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drawings/drawing4.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omments12.xml" ContentType="application/vnd.openxmlformats-officedocument.spreadsheetml.comments+xml"/>
  <Override PartName="/xl/threadedComments/threadedComment12.xml" ContentType="application/vnd.ms-excel.threadedcomments+xml"/>
  <Override PartName="/xl/drawings/drawing6.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drawings/drawing8.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comments22.xml" ContentType="application/vnd.openxmlformats-officedocument.spreadsheetml.comments+xml"/>
  <Override PartName="/xl/threadedComments/threadedComment22.xml" ContentType="application/vnd.ms-excel.threadedcomments+xml"/>
  <Override PartName="/xl/comments23.xml" ContentType="application/vnd.openxmlformats-officedocument.spreadsheetml.comments+xml"/>
  <Override PartName="/xl/threadedComments/threadedComment23.xml" ContentType="application/vnd.ms-excel.threadedcomments+xml"/>
  <Override PartName="/xl/drawings/drawing9.xml" ContentType="application/vnd.openxmlformats-officedocument.drawing+xml"/>
  <Override PartName="/xl/comments24.xml" ContentType="application/vnd.openxmlformats-officedocument.spreadsheetml.comments+xml"/>
  <Override PartName="/xl/threadedComments/threadedComment2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P3516\Desktop\GFHK\"/>
    </mc:Choice>
  </mc:AlternateContent>
  <xr:revisionPtr revIDLastSave="0" documentId="8_{D852ED32-670A-443D-948B-9FE2AAE7B2E6}" xr6:coauthVersionLast="47" xr6:coauthVersionMax="47" xr10:uidLastSave="{00000000-0000-0000-0000-000000000000}"/>
  <bookViews>
    <workbookView xWindow="-110" yWindow="-110" windowWidth="25820" windowHeight="14620" firstSheet="1" activeTab="1" xr2:uid="{00000000-000D-0000-FFFF-FFFF00000000}"/>
  </bookViews>
  <sheets>
    <sheet name="Capacity Detail" sheetId="1" r:id="rId1"/>
    <sheet name="Price&amp;Q" sheetId="22" r:id="rId2"/>
    <sheet name="CA" sheetId="14" r:id="rId3"/>
    <sheet name="Earning Forecast" sheetId="6" r:id="rId4"/>
    <sheet name="Fin Sta as rep" sheetId="11" r:id="rId5"/>
    <sheet name="Valuation" sheetId="7" r:id="rId6"/>
    <sheet name="Est. Record" sheetId="13" r:id="rId7"/>
    <sheet name="Financial Tables Chinese Nio" sheetId="42" r:id="rId8"/>
    <sheet name="Model 22A NIO " sheetId="39" r:id="rId9"/>
    <sheet name="Model 22A Li" sheetId="29" r:id="rId10"/>
    <sheet name="Model 22A-BYD" sheetId="30" r:id="rId11"/>
    <sheet name="Log-Li Model" sheetId="37" r:id="rId12"/>
    <sheet name="Tesla FSD" sheetId="34" r:id="rId13"/>
    <sheet name="Model 22A-Tesla" sheetId="25" r:id="rId14"/>
    <sheet name="Financial Tables Chinese Li" sheetId="28" r:id="rId15"/>
    <sheet name="【Draft】Beakdown analysis BYD" sheetId="35" r:id="rId16"/>
    <sheet name="Financial Tables Chinese BYD" sheetId="36" r:id="rId17"/>
    <sheet name="TSLA Financial Tables Chinese" sheetId="26" r:id="rId18"/>
    <sheet name="Charts" sheetId="4" r:id="rId19"/>
    <sheet name="Model 21A-Tesla" sheetId="15" r:id="rId20"/>
    <sheet name="Model 21A-BYD" sheetId="20" r:id="rId21"/>
    <sheet name="Model 21A-NIO" sheetId="27" r:id="rId22"/>
    <sheet name="Model 21A-Tesla (2)" sheetId="24" r:id="rId23"/>
    <sheet name="Production Quarterly" sheetId="23" r:id="rId24"/>
    <sheet name="Tesla-Demand forecasting-detail" sheetId="16" r:id="rId25"/>
    <sheet name="Tesla-Demand forecasting sum" sheetId="17" r:id="rId26"/>
    <sheet name="BYD-Demand forecasting-detail" sheetId="18" r:id="rId27"/>
    <sheet name="BYD-Demand forecasting sum" sheetId="19" r:id="rId28"/>
    <sheet name="Model 20A" sheetId="10" r:id="rId29"/>
    <sheet name="Ratio" sheetId="12" r:id="rId30"/>
    <sheet name="Consensus" sheetId="5" r:id="rId31"/>
    <sheet name="Sheet1" sheetId="8" r:id="rId32"/>
    <sheet name="Price and Quant" sheetId="2" r:id="rId33"/>
    <sheet name="Claim" sheetId="21" r:id="rId34"/>
  </sheets>
  <externalReferences>
    <externalReference r:id="rId35"/>
    <externalReference r:id="rId36"/>
  </externalReferences>
  <definedNames>
    <definedName name="_xlnm._FilterDatabase" localSheetId="11" hidden="1">'Log-Li Model'!$A$1:$D$1</definedName>
    <definedName name="_xlnm.Print_Area" localSheetId="16">'Financial Tables Chinese BYD'!$Q$12,'Financial Tables Chinese BYD'!$B$2:$N$56</definedName>
    <definedName name="_xlnm.Print_Area" localSheetId="14">'Financial Tables Chinese Li'!$Q$12,'Financial Tables Chinese Li'!$B$2:$N$56</definedName>
    <definedName name="_xlnm.Print_Area" localSheetId="7">'Financial Tables Chinese Nio'!$Q$12,'Financial Tables Chinese Nio'!$B$2:$N$56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V69" i="22" l="1"/>
  <c r="F62" i="7"/>
  <c r="E62" i="7"/>
  <c r="D61" i="7"/>
  <c r="F61" i="7"/>
  <c r="E61" i="7"/>
  <c r="D62" i="7"/>
  <c r="G55" i="39"/>
  <c r="G60" i="39"/>
  <c r="G11" i="14"/>
  <c r="G12" i="14"/>
  <c r="G13" i="14"/>
  <c r="BL67" i="22"/>
  <c r="BK67" i="22"/>
  <c r="BJ67" i="22"/>
  <c r="BL68" i="22"/>
  <c r="BL70" i="22"/>
  <c r="BO70" i="22"/>
  <c r="BN70" i="22"/>
  <c r="BM70" i="22"/>
  <c r="BO69" i="22"/>
  <c r="BN69" i="22"/>
  <c r="BM69" i="22"/>
  <c r="BO68" i="22"/>
  <c r="BN68" i="22"/>
  <c r="BM68" i="22"/>
  <c r="BO67" i="22"/>
  <c r="BN67" i="22"/>
  <c r="BM67" i="22"/>
  <c r="F237" i="13"/>
  <c r="E237" i="13"/>
  <c r="D237" i="13"/>
  <c r="AC25" i="34"/>
  <c r="Z25" i="34"/>
  <c r="V25" i="34"/>
  <c r="R25" i="34"/>
  <c r="N25" i="34"/>
  <c r="J25" i="34"/>
  <c r="E33" i="29"/>
  <c r="E30" i="39"/>
  <c r="E75" i="39"/>
  <c r="H67" i="39"/>
  <c r="P85" i="39"/>
  <c r="Q85" i="39"/>
  <c r="R85" i="39" s="1"/>
  <c r="G85" i="39"/>
  <c r="G65" i="39" s="1"/>
  <c r="G71" i="39" s="1"/>
  <c r="G67" i="39"/>
  <c r="K53" i="42"/>
  <c r="I58" i="39"/>
  <c r="I55" i="39"/>
  <c r="I60" i="39"/>
  <c r="I69" i="39"/>
  <c r="I66" i="39"/>
  <c r="I67" i="39"/>
  <c r="I75" i="39"/>
  <c r="I30" i="39"/>
  <c r="I88" i="39"/>
  <c r="H75" i="39"/>
  <c r="H69" i="39"/>
  <c r="G69" i="39"/>
  <c r="H21" i="39"/>
  <c r="H22" i="39" s="1"/>
  <c r="H27" i="39" s="1"/>
  <c r="H30" i="39" s="1"/>
  <c r="H15" i="39"/>
  <c r="H66" i="39"/>
  <c r="H94" i="39"/>
  <c r="G94" i="39"/>
  <c r="G66" i="39" s="1"/>
  <c r="H95" i="39"/>
  <c r="I93" i="39"/>
  <c r="N84" i="39"/>
  <c r="R60" i="39"/>
  <c r="I88" i="30"/>
  <c r="I94" i="30"/>
  <c r="P93" i="39"/>
  <c r="G93" i="39" s="1"/>
  <c r="G95" i="39" s="1"/>
  <c r="F94" i="39"/>
  <c r="F95" i="39" s="1"/>
  <c r="D45" i="7"/>
  <c r="K246" i="6"/>
  <c r="J246" i="6"/>
  <c r="I246" i="6"/>
  <c r="I189" i="6"/>
  <c r="I250" i="6"/>
  <c r="G25" i="39" s="1"/>
  <c r="G27" i="39" s="1"/>
  <c r="F99" i="39"/>
  <c r="I72" i="30"/>
  <c r="F67" i="39"/>
  <c r="F71" i="39" s="1"/>
  <c r="M46" i="7"/>
  <c r="N46" i="7"/>
  <c r="E44" i="7"/>
  <c r="D44" i="7"/>
  <c r="H264" i="6"/>
  <c r="G264" i="6"/>
  <c r="H231" i="6"/>
  <c r="J239" i="6"/>
  <c r="K239" i="6" s="1"/>
  <c r="H85" i="39" l="1"/>
  <c r="H65" i="39" s="1"/>
  <c r="H71" i="39" s="1"/>
  <c r="I85" i="39" l="1"/>
  <c r="I65" i="39" s="1"/>
  <c r="I71" i="39" s="1"/>
  <c r="K128" i="14" l="1"/>
  <c r="J128" i="14"/>
  <c r="I128" i="14"/>
  <c r="E224" i="6" l="1"/>
  <c r="F224" i="6"/>
  <c r="H224" i="6"/>
  <c r="H232" i="6"/>
  <c r="F151" i="14"/>
  <c r="F153" i="14" s="1"/>
  <c r="DI51" i="22"/>
  <c r="DI52" i="22"/>
  <c r="DI53" i="22"/>
  <c r="DI54" i="22"/>
  <c r="DI55" i="22"/>
  <c r="DI56" i="22"/>
  <c r="CW51" i="22"/>
  <c r="CW52" i="22"/>
  <c r="CW53" i="22"/>
  <c r="CW54" i="22"/>
  <c r="CW55" i="22"/>
  <c r="CW65" i="22"/>
  <c r="BM65" i="22"/>
  <c r="CC65" i="22"/>
  <c r="CB65" i="22"/>
  <c r="F159" i="14" l="1"/>
  <c r="F155" i="14"/>
  <c r="H237" i="6" l="1"/>
  <c r="H146" i="14"/>
  <c r="H145" i="14" s="1"/>
  <c r="H143" i="14" s="1"/>
  <c r="H202" i="14"/>
  <c r="H310" i="14"/>
  <c r="H139" i="14" s="1"/>
  <c r="H137" i="14" s="1"/>
  <c r="I146" i="14" l="1"/>
  <c r="G146" i="14"/>
  <c r="G139" i="14"/>
  <c r="G137" i="14" s="1"/>
  <c r="G145" i="14" l="1"/>
  <c r="G143" i="14" s="1"/>
  <c r="F146" i="14"/>
  <c r="F145" i="14" s="1"/>
  <c r="F143" i="14" s="1"/>
  <c r="I145" i="14"/>
  <c r="I143" i="14" s="1"/>
  <c r="J146" i="14"/>
  <c r="F139" i="14"/>
  <c r="F137" i="14" s="1"/>
  <c r="K146" i="14" l="1"/>
  <c r="K145" i="14" s="1"/>
  <c r="K143" i="14" s="1"/>
  <c r="J145" i="14"/>
  <c r="J143" i="14" s="1"/>
  <c r="J291" i="6"/>
  <c r="F130" i="14"/>
  <c r="G130" i="14"/>
  <c r="I107" i="30"/>
  <c r="G241" i="6"/>
  <c r="I262" i="6"/>
  <c r="K45" i="42"/>
  <c r="J45" i="42"/>
  <c r="K44" i="42"/>
  <c r="J44" i="42"/>
  <c r="J43" i="42"/>
  <c r="K8" i="42"/>
  <c r="K9" i="42"/>
  <c r="K10" i="42"/>
  <c r="L10" i="42"/>
  <c r="M10" i="42"/>
  <c r="N10" i="42"/>
  <c r="K11" i="42"/>
  <c r="K12" i="42"/>
  <c r="K13" i="42"/>
  <c r="K14" i="42"/>
  <c r="K17" i="42"/>
  <c r="L17" i="42"/>
  <c r="M17" i="42"/>
  <c r="N17" i="42"/>
  <c r="K19" i="42"/>
  <c r="L19" i="42"/>
  <c r="L22" i="42"/>
  <c r="M22" i="42"/>
  <c r="N22" i="42"/>
  <c r="K23" i="42"/>
  <c r="L23" i="42"/>
  <c r="M23" i="42"/>
  <c r="N23" i="42"/>
  <c r="L26" i="42"/>
  <c r="M26" i="42"/>
  <c r="N26" i="42"/>
  <c r="J23" i="42"/>
  <c r="J21" i="42"/>
  <c r="J19" i="42"/>
  <c r="J17" i="42"/>
  <c r="J18" i="42"/>
  <c r="J16" i="42"/>
  <c r="J14" i="42"/>
  <c r="J13" i="42"/>
  <c r="J8" i="42"/>
  <c r="J9" i="42"/>
  <c r="J10" i="42"/>
  <c r="J11" i="42"/>
  <c r="J12" i="42"/>
  <c r="D12" i="42"/>
  <c r="D13" i="42"/>
  <c r="E13" i="42"/>
  <c r="F13" i="42"/>
  <c r="G13" i="42"/>
  <c r="D14" i="42"/>
  <c r="E14" i="42"/>
  <c r="F14" i="42"/>
  <c r="G14" i="42"/>
  <c r="D15" i="42"/>
  <c r="D20" i="42"/>
  <c r="D21" i="42"/>
  <c r="D22" i="42"/>
  <c r="D29" i="42"/>
  <c r="E29" i="42"/>
  <c r="F29" i="42"/>
  <c r="G29" i="42"/>
  <c r="E30" i="42"/>
  <c r="D5" i="42"/>
  <c r="D6" i="42"/>
  <c r="D7" i="42"/>
  <c r="D8" i="42"/>
  <c r="C29" i="42"/>
  <c r="C15" i="42"/>
  <c r="C14" i="42"/>
  <c r="C12" i="42"/>
  <c r="C10" i="42"/>
  <c r="C5" i="42"/>
  <c r="D119" i="14"/>
  <c r="B45" i="39" s="1"/>
  <c r="B46" i="39" s="1"/>
  <c r="E119" i="14"/>
  <c r="C45" i="39" s="1"/>
  <c r="C46" i="39" s="1"/>
  <c r="F119" i="14"/>
  <c r="D45" i="39" s="1"/>
  <c r="D46" i="39" s="1"/>
  <c r="C119" i="14"/>
  <c r="G961" i="11"/>
  <c r="N962" i="11" s="1"/>
  <c r="F961" i="11"/>
  <c r="M961" i="11" s="1"/>
  <c r="I31" i="39"/>
  <c r="C32" i="39"/>
  <c r="D32" i="39"/>
  <c r="E32" i="39"/>
  <c r="F32" i="39"/>
  <c r="C34" i="39"/>
  <c r="D34" i="39"/>
  <c r="J53" i="42" s="1"/>
  <c r="E34" i="39"/>
  <c r="F34" i="39"/>
  <c r="K52" i="42" s="1"/>
  <c r="G34" i="39"/>
  <c r="C24" i="39"/>
  <c r="D24" i="39"/>
  <c r="E24" i="39"/>
  <c r="C47" i="42" s="1"/>
  <c r="F24" i="39"/>
  <c r="D47" i="42" s="1"/>
  <c r="C25" i="39"/>
  <c r="D25" i="39"/>
  <c r="E25" i="39"/>
  <c r="C48" i="42" s="1"/>
  <c r="F25" i="39"/>
  <c r="D48" i="42" s="1"/>
  <c r="C26" i="39"/>
  <c r="D26" i="39"/>
  <c r="E26" i="39"/>
  <c r="F26" i="39"/>
  <c r="C28" i="39"/>
  <c r="D28" i="39"/>
  <c r="E28" i="39"/>
  <c r="C50" i="42" s="1"/>
  <c r="F28" i="39"/>
  <c r="D50" i="42" s="1"/>
  <c r="C18" i="39"/>
  <c r="D18" i="39"/>
  <c r="E18" i="39"/>
  <c r="F18" i="39"/>
  <c r="C19" i="39"/>
  <c r="D19" i="39"/>
  <c r="E19" i="39"/>
  <c r="C44" i="42" s="1"/>
  <c r="F19" i="39"/>
  <c r="D44" i="42" s="1"/>
  <c r="C20" i="39"/>
  <c r="C21" i="39" s="1"/>
  <c r="D20" i="39"/>
  <c r="E20" i="39"/>
  <c r="C45" i="42" s="1"/>
  <c r="F20" i="39"/>
  <c r="D45" i="42" s="1"/>
  <c r="G20" i="39"/>
  <c r="E45" i="42" s="1"/>
  <c r="H20" i="39"/>
  <c r="F45" i="42" s="1"/>
  <c r="I20" i="39"/>
  <c r="G45" i="42" s="1"/>
  <c r="D21" i="39"/>
  <c r="E21" i="39"/>
  <c r="C42" i="42" s="1"/>
  <c r="F21" i="39"/>
  <c r="D42" i="42" s="1"/>
  <c r="C12" i="39"/>
  <c r="D12" i="39"/>
  <c r="E12" i="39"/>
  <c r="F12" i="39"/>
  <c r="D39" i="42" s="1"/>
  <c r="C13" i="39"/>
  <c r="D13" i="39"/>
  <c r="E13" i="39"/>
  <c r="C40" i="42" s="1"/>
  <c r="F13" i="39"/>
  <c r="D40" i="42" s="1"/>
  <c r="D7" i="39"/>
  <c r="E7" i="39"/>
  <c r="C36" i="42" s="1"/>
  <c r="F7" i="39"/>
  <c r="D36" i="42" s="1"/>
  <c r="D8" i="39"/>
  <c r="E8" i="39"/>
  <c r="C37" i="42" s="1"/>
  <c r="F8" i="39"/>
  <c r="D37" i="42" s="1"/>
  <c r="J262" i="6"/>
  <c r="K262" i="6" s="1"/>
  <c r="I34" i="39" s="1"/>
  <c r="I256" i="6"/>
  <c r="J256" i="6" s="1"/>
  <c r="K256" i="6" s="1"/>
  <c r="K258" i="6" s="1"/>
  <c r="I248" i="6"/>
  <c r="I247" i="6"/>
  <c r="J247" i="6" s="1"/>
  <c r="E250" i="6"/>
  <c r="F250" i="6"/>
  <c r="G250" i="6"/>
  <c r="H250" i="6"/>
  <c r="D250" i="6"/>
  <c r="I244" i="6"/>
  <c r="G24" i="39" s="1"/>
  <c r="E47" i="42" s="1"/>
  <c r="B26" i="39"/>
  <c r="B24" i="39"/>
  <c r="B25" i="39"/>
  <c r="D879" i="11"/>
  <c r="E879" i="11"/>
  <c r="F879" i="11"/>
  <c r="G879" i="11"/>
  <c r="C879" i="11"/>
  <c r="D871" i="11"/>
  <c r="E871" i="11"/>
  <c r="F871" i="11"/>
  <c r="G871" i="11"/>
  <c r="C871" i="11"/>
  <c r="B20" i="39"/>
  <c r="E241" i="6"/>
  <c r="F241" i="6"/>
  <c r="H241" i="6"/>
  <c r="D241" i="6"/>
  <c r="E228" i="6"/>
  <c r="F228" i="6"/>
  <c r="G228" i="6"/>
  <c r="H228" i="6"/>
  <c r="D228" i="6"/>
  <c r="E227" i="6"/>
  <c r="D227" i="6"/>
  <c r="E219" i="6"/>
  <c r="F219" i="6"/>
  <c r="G219" i="6"/>
  <c r="H219" i="6"/>
  <c r="D219" i="6"/>
  <c r="G44" i="39"/>
  <c r="I118" i="14" s="1"/>
  <c r="C47" i="39"/>
  <c r="D47" i="39"/>
  <c r="E47" i="39"/>
  <c r="F47" i="39"/>
  <c r="B47" i="39"/>
  <c r="B44" i="39"/>
  <c r="C44" i="39"/>
  <c r="D44" i="39"/>
  <c r="E44" i="39"/>
  <c r="F44" i="39"/>
  <c r="D10" i="42" s="1"/>
  <c r="J132" i="14"/>
  <c r="K132" i="14"/>
  <c r="I133" i="14"/>
  <c r="E127" i="14"/>
  <c r="D127" i="14"/>
  <c r="CL65" i="22"/>
  <c r="H134" i="14"/>
  <c r="H93" i="26"/>
  <c r="I93" i="26"/>
  <c r="J93" i="26"/>
  <c r="K93" i="26"/>
  <c r="L93" i="26"/>
  <c r="M93" i="26"/>
  <c r="G93" i="26"/>
  <c r="H91" i="26"/>
  <c r="I91" i="26"/>
  <c r="J91" i="26"/>
  <c r="K91" i="26"/>
  <c r="L91" i="26"/>
  <c r="M91" i="26"/>
  <c r="G91" i="26"/>
  <c r="H89" i="26"/>
  <c r="I89" i="26"/>
  <c r="J89" i="26"/>
  <c r="K89" i="26"/>
  <c r="L89" i="26"/>
  <c r="M89" i="26"/>
  <c r="G89" i="26"/>
  <c r="H87" i="26"/>
  <c r="I87" i="26"/>
  <c r="J87" i="26"/>
  <c r="K87" i="26"/>
  <c r="L87" i="26"/>
  <c r="M87" i="26"/>
  <c r="G87" i="26"/>
  <c r="H85" i="26"/>
  <c r="I85" i="26"/>
  <c r="J85" i="26"/>
  <c r="K85" i="26"/>
  <c r="L85" i="26"/>
  <c r="M85" i="26"/>
  <c r="G85" i="26"/>
  <c r="H81" i="26"/>
  <c r="I81" i="26"/>
  <c r="J81" i="26"/>
  <c r="K81" i="26"/>
  <c r="L81" i="26"/>
  <c r="M81" i="26"/>
  <c r="G81" i="26"/>
  <c r="I73" i="26"/>
  <c r="H71" i="26"/>
  <c r="I71" i="26"/>
  <c r="J71" i="26"/>
  <c r="K71" i="26"/>
  <c r="L71" i="26"/>
  <c r="M71" i="26"/>
  <c r="G71" i="26"/>
  <c r="H69" i="26"/>
  <c r="I69" i="26"/>
  <c r="J69" i="26"/>
  <c r="K69" i="26"/>
  <c r="L69" i="26"/>
  <c r="M69" i="26"/>
  <c r="G69" i="26"/>
  <c r="H65" i="26"/>
  <c r="I65" i="26"/>
  <c r="J65" i="26"/>
  <c r="K65" i="26"/>
  <c r="L65" i="26"/>
  <c r="M65" i="26"/>
  <c r="G65" i="26"/>
  <c r="H63" i="26"/>
  <c r="I63" i="26"/>
  <c r="J63" i="26"/>
  <c r="K63" i="26"/>
  <c r="L63" i="26"/>
  <c r="M63" i="26"/>
  <c r="G63" i="26"/>
  <c r="H61" i="26"/>
  <c r="I61" i="26"/>
  <c r="J61" i="26"/>
  <c r="K61" i="26"/>
  <c r="L61" i="26"/>
  <c r="M61" i="26"/>
  <c r="G61" i="26"/>
  <c r="I18" i="14"/>
  <c r="I131" i="14"/>
  <c r="D82" i="26"/>
  <c r="E82" i="26"/>
  <c r="F82" i="26"/>
  <c r="G82" i="26"/>
  <c r="H82" i="26"/>
  <c r="I82" i="26"/>
  <c r="C82" i="26"/>
  <c r="D72" i="26"/>
  <c r="E72" i="26"/>
  <c r="F72" i="26"/>
  <c r="G72" i="26"/>
  <c r="H72" i="26"/>
  <c r="H73" i="26" s="1"/>
  <c r="I72" i="26"/>
  <c r="J72" i="26"/>
  <c r="J73" i="26" s="1"/>
  <c r="K72" i="26"/>
  <c r="K73" i="26" s="1"/>
  <c r="L72" i="26"/>
  <c r="L73" i="26" s="1"/>
  <c r="M72" i="26"/>
  <c r="M73" i="26" s="1"/>
  <c r="C72" i="26"/>
  <c r="G73" i="26" s="1"/>
  <c r="D76" i="26"/>
  <c r="E76" i="26"/>
  <c r="F76" i="26"/>
  <c r="C76" i="26"/>
  <c r="D74" i="26"/>
  <c r="E74" i="26"/>
  <c r="F74" i="26"/>
  <c r="C74" i="26"/>
  <c r="L66" i="26"/>
  <c r="L67" i="26" s="1"/>
  <c r="M66" i="26"/>
  <c r="M67" i="26" s="1"/>
  <c r="D66" i="26"/>
  <c r="D78" i="26" s="1"/>
  <c r="E66" i="26"/>
  <c r="F66" i="26"/>
  <c r="G66" i="26"/>
  <c r="G67" i="26" s="1"/>
  <c r="H66" i="26"/>
  <c r="H67" i="26" s="1"/>
  <c r="I66" i="26"/>
  <c r="I67" i="26" s="1"/>
  <c r="J66" i="26"/>
  <c r="J67" i="26" s="1"/>
  <c r="K66" i="26"/>
  <c r="C66" i="26"/>
  <c r="H74" i="26"/>
  <c r="I74" i="26"/>
  <c r="J74" i="26"/>
  <c r="K74" i="26"/>
  <c r="L74" i="26"/>
  <c r="M74" i="26"/>
  <c r="G74" i="26"/>
  <c r="H76" i="26"/>
  <c r="I76" i="26"/>
  <c r="J76" i="26"/>
  <c r="K76" i="26"/>
  <c r="L76" i="26"/>
  <c r="M76" i="26"/>
  <c r="G76" i="26"/>
  <c r="J82" i="26"/>
  <c r="K82" i="26"/>
  <c r="L82" i="26"/>
  <c r="M82" i="26"/>
  <c r="H22" i="7"/>
  <c r="H21" i="7"/>
  <c r="H20" i="7"/>
  <c r="H19" i="7"/>
  <c r="G133" i="14"/>
  <c r="G134" i="14" s="1"/>
  <c r="E123" i="14"/>
  <c r="F123" i="14"/>
  <c r="G123" i="14"/>
  <c r="G152" i="14" s="1"/>
  <c r="H123" i="14"/>
  <c r="D123" i="14"/>
  <c r="G131" i="14"/>
  <c r="H131" i="14"/>
  <c r="F131" i="14"/>
  <c r="E118" i="14"/>
  <c r="F118" i="14"/>
  <c r="G118" i="14"/>
  <c r="H118" i="14"/>
  <c r="D118" i="14"/>
  <c r="C48" i="39"/>
  <c r="D48" i="39"/>
  <c r="E48" i="39"/>
  <c r="F48" i="39"/>
  <c r="C50" i="39"/>
  <c r="D50" i="39"/>
  <c r="E50" i="39"/>
  <c r="F50" i="39"/>
  <c r="C51" i="39"/>
  <c r="C52" i="39" s="1"/>
  <c r="D51" i="39"/>
  <c r="D52" i="39" s="1"/>
  <c r="E51" i="39"/>
  <c r="C16" i="42" s="1"/>
  <c r="F51" i="39"/>
  <c r="B51" i="39"/>
  <c r="B52" i="39" s="1"/>
  <c r="B50" i="39"/>
  <c r="B48" i="39"/>
  <c r="C13" i="42" s="1"/>
  <c r="C38" i="39"/>
  <c r="D38" i="39"/>
  <c r="E38" i="39"/>
  <c r="F38" i="39"/>
  <c r="C39" i="39"/>
  <c r="D39" i="39"/>
  <c r="E39" i="39"/>
  <c r="C6" i="42" s="1"/>
  <c r="F39" i="39"/>
  <c r="C40" i="39"/>
  <c r="D40" i="39"/>
  <c r="E40" i="39"/>
  <c r="C7" i="42" s="1"/>
  <c r="F40" i="39"/>
  <c r="C41" i="39"/>
  <c r="D41" i="39"/>
  <c r="E41" i="39"/>
  <c r="C8" i="42" s="1"/>
  <c r="F41" i="39"/>
  <c r="B41" i="39"/>
  <c r="B40" i="39"/>
  <c r="B39" i="39"/>
  <c r="B38" i="39"/>
  <c r="B91" i="39"/>
  <c r="C91" i="39"/>
  <c r="D91" i="39"/>
  <c r="E91" i="39"/>
  <c r="F91" i="39"/>
  <c r="K16" i="42" s="1"/>
  <c r="C79" i="39"/>
  <c r="D79" i="39"/>
  <c r="E79" i="39"/>
  <c r="J6" i="42" s="1"/>
  <c r="F79" i="39"/>
  <c r="K6" i="42" s="1"/>
  <c r="C80" i="39"/>
  <c r="D80" i="39"/>
  <c r="E80" i="39"/>
  <c r="J7" i="42" s="1"/>
  <c r="F80" i="39"/>
  <c r="K7" i="42" s="1"/>
  <c r="C81" i="39"/>
  <c r="D81" i="39"/>
  <c r="E81" i="39"/>
  <c r="F81" i="39"/>
  <c r="C82" i="39"/>
  <c r="D82" i="39"/>
  <c r="E82" i="39"/>
  <c r="F82" i="39"/>
  <c r="C83" i="39"/>
  <c r="D83" i="39"/>
  <c r="E83" i="39"/>
  <c r="F83" i="39"/>
  <c r="G83" i="39" s="1"/>
  <c r="H83" i="39" s="1"/>
  <c r="I83" i="39" s="1"/>
  <c r="C84" i="39"/>
  <c r="L84" i="39" s="1"/>
  <c r="D84" i="39"/>
  <c r="M84" i="39" s="1"/>
  <c r="E84" i="39"/>
  <c r="F84" i="39"/>
  <c r="O84" i="39" s="1"/>
  <c r="C85" i="39"/>
  <c r="L85" i="39" s="1"/>
  <c r="D85" i="39"/>
  <c r="M85" i="39" s="1"/>
  <c r="E85" i="39"/>
  <c r="N85" i="39" s="1"/>
  <c r="F85" i="39"/>
  <c r="O85" i="39" s="1"/>
  <c r="C86" i="39"/>
  <c r="D86" i="39"/>
  <c r="E86" i="39"/>
  <c r="F86" i="39"/>
  <c r="C87" i="39"/>
  <c r="D87" i="39"/>
  <c r="E87" i="39"/>
  <c r="F87" i="39"/>
  <c r="C88" i="39"/>
  <c r="L88" i="39" s="1"/>
  <c r="D88" i="39"/>
  <c r="M88" i="39" s="1"/>
  <c r="E88" i="39"/>
  <c r="N88" i="39" s="1"/>
  <c r="F88" i="39"/>
  <c r="B87" i="39"/>
  <c r="D997" i="11"/>
  <c r="E997" i="11"/>
  <c r="F997" i="11"/>
  <c r="G997" i="11"/>
  <c r="C97" i="39"/>
  <c r="D97" i="39"/>
  <c r="E97" i="39"/>
  <c r="F97" i="39"/>
  <c r="K21" i="42" s="1"/>
  <c r="C98" i="39"/>
  <c r="D98" i="39"/>
  <c r="E98" i="39"/>
  <c r="J22" i="42" s="1"/>
  <c r="F98" i="39"/>
  <c r="K22" i="42" s="1"/>
  <c r="B98" i="39"/>
  <c r="B97" i="39"/>
  <c r="D1038" i="11"/>
  <c r="E1038" i="11"/>
  <c r="F1038" i="11"/>
  <c r="G1038" i="11"/>
  <c r="C1038" i="11"/>
  <c r="C103" i="39"/>
  <c r="D103" i="39"/>
  <c r="E103" i="39"/>
  <c r="J26" i="42" s="1"/>
  <c r="F103" i="39"/>
  <c r="K26" i="42" s="1"/>
  <c r="B103" i="39"/>
  <c r="C99" i="39"/>
  <c r="D99" i="39"/>
  <c r="E99" i="39"/>
  <c r="G99" i="39" s="1"/>
  <c r="K24" i="42"/>
  <c r="B99" i="39"/>
  <c r="C93" i="39"/>
  <c r="L93" i="39" s="1"/>
  <c r="D93" i="39"/>
  <c r="M93" i="39" s="1"/>
  <c r="E93" i="39"/>
  <c r="N93" i="39" s="1"/>
  <c r="F93" i="39"/>
  <c r="O93" i="39" s="1"/>
  <c r="C94" i="39"/>
  <c r="D94" i="39"/>
  <c r="E94" i="39"/>
  <c r="B94" i="39"/>
  <c r="B93" i="39"/>
  <c r="B83" i="39"/>
  <c r="B88" i="39"/>
  <c r="C997" i="11"/>
  <c r="B84" i="39"/>
  <c r="B86" i="39"/>
  <c r="B85" i="39"/>
  <c r="B82" i="39"/>
  <c r="B81" i="39"/>
  <c r="B80" i="39"/>
  <c r="B79" i="39"/>
  <c r="C65" i="39"/>
  <c r="D65" i="39"/>
  <c r="E65" i="39"/>
  <c r="C26" i="42" s="1"/>
  <c r="F65" i="39"/>
  <c r="D26" i="42" s="1"/>
  <c r="C66" i="39"/>
  <c r="D66" i="39"/>
  <c r="E66" i="39"/>
  <c r="C27" i="42" s="1"/>
  <c r="F66" i="39"/>
  <c r="C67" i="39"/>
  <c r="D67" i="39"/>
  <c r="E67" i="39"/>
  <c r="C28" i="42" s="1"/>
  <c r="D28" i="42"/>
  <c r="C69" i="39"/>
  <c r="D69" i="39"/>
  <c r="E69" i="39"/>
  <c r="C30" i="42" s="1"/>
  <c r="F69" i="39"/>
  <c r="B69" i="39"/>
  <c r="B67" i="39"/>
  <c r="B66" i="39"/>
  <c r="B65" i="39"/>
  <c r="C60" i="39"/>
  <c r="L60" i="39" s="1"/>
  <c r="D60" i="39"/>
  <c r="M60" i="39" s="1"/>
  <c r="E60" i="39"/>
  <c r="N60" i="39" s="1"/>
  <c r="F60" i="39"/>
  <c r="O60" i="39" s="1"/>
  <c r="P60" i="39" s="1"/>
  <c r="C61" i="39"/>
  <c r="D61" i="39"/>
  <c r="E61" i="39"/>
  <c r="C24" i="42" s="1"/>
  <c r="F61" i="39"/>
  <c r="B61" i="39"/>
  <c r="B60" i="39"/>
  <c r="C55" i="39"/>
  <c r="D55" i="39"/>
  <c r="E55" i="39"/>
  <c r="C19" i="42" s="1"/>
  <c r="F55" i="39"/>
  <c r="D19" i="42" s="1"/>
  <c r="C56" i="39"/>
  <c r="D56" i="39"/>
  <c r="E56" i="39"/>
  <c r="C20" i="42" s="1"/>
  <c r="F56" i="39"/>
  <c r="C57" i="39"/>
  <c r="D57" i="39"/>
  <c r="E57" i="39"/>
  <c r="C21" i="42" s="1"/>
  <c r="F57" i="39"/>
  <c r="B57" i="39"/>
  <c r="B56" i="39"/>
  <c r="B55" i="39"/>
  <c r="B34" i="39"/>
  <c r="B32" i="39"/>
  <c r="B28" i="39"/>
  <c r="B19" i="39"/>
  <c r="B18" i="39"/>
  <c r="B13" i="39"/>
  <c r="B12" i="39"/>
  <c r="B14" i="39" s="1"/>
  <c r="C7" i="39"/>
  <c r="C9" i="39" s="1"/>
  <c r="C8" i="39"/>
  <c r="B8" i="39"/>
  <c r="B7" i="39"/>
  <c r="B9" i="39" s="1"/>
  <c r="A12" i="39"/>
  <c r="A13" i="39"/>
  <c r="D16" i="42" l="1"/>
  <c r="G51" i="39"/>
  <c r="F30" i="42"/>
  <c r="J248" i="6"/>
  <c r="K248" i="6"/>
  <c r="F152" i="14"/>
  <c r="I134" i="14"/>
  <c r="I132" i="14" s="1"/>
  <c r="E14" i="39"/>
  <c r="C38" i="42" s="1"/>
  <c r="D14" i="39"/>
  <c r="C14" i="39"/>
  <c r="C15" i="39" s="1"/>
  <c r="C22" i="39" s="1"/>
  <c r="C27" i="39" s="1"/>
  <c r="C30" i="39" s="1"/>
  <c r="C39" i="42"/>
  <c r="D9" i="39"/>
  <c r="J52" i="42"/>
  <c r="F14" i="39"/>
  <c r="D38" i="42" s="1"/>
  <c r="E48" i="42"/>
  <c r="H34" i="39"/>
  <c r="F52" i="39"/>
  <c r="D9" i="42" s="1"/>
  <c r="E52" i="39"/>
  <c r="C9" i="42" s="1"/>
  <c r="G119" i="14"/>
  <c r="E45" i="39" s="1"/>
  <c r="E46" i="39" s="1"/>
  <c r="N961" i="11"/>
  <c r="H119" i="14" s="1"/>
  <c r="F45" i="39" s="1"/>
  <c r="H99" i="39"/>
  <c r="L24" i="42"/>
  <c r="K18" i="42"/>
  <c r="J24" i="42"/>
  <c r="M962" i="11"/>
  <c r="D30" i="42"/>
  <c r="F27" i="42"/>
  <c r="F9" i="39"/>
  <c r="D27" i="42"/>
  <c r="E9" i="39"/>
  <c r="G26" i="39"/>
  <c r="D24" i="42"/>
  <c r="E27" i="42"/>
  <c r="E10" i="42"/>
  <c r="D23" i="42"/>
  <c r="C22" i="42"/>
  <c r="C23" i="42"/>
  <c r="K247" i="6"/>
  <c r="J258" i="6"/>
  <c r="H31" i="39" s="1"/>
  <c r="I258" i="6"/>
  <c r="G31" i="39" s="1"/>
  <c r="B21" i="39"/>
  <c r="E95" i="39"/>
  <c r="J20" i="42" s="1"/>
  <c r="K20" i="42"/>
  <c r="D95" i="39"/>
  <c r="G88" i="39"/>
  <c r="L14" i="42" s="1"/>
  <c r="C95" i="39"/>
  <c r="F102" i="39"/>
  <c r="K25" i="42" s="1"/>
  <c r="B102" i="39"/>
  <c r="E102" i="39"/>
  <c r="J25" i="42" s="1"/>
  <c r="D102" i="39"/>
  <c r="C102" i="39"/>
  <c r="Q60" i="39"/>
  <c r="F160" i="14"/>
  <c r="F161" i="14" s="1"/>
  <c r="K67" i="26"/>
  <c r="K78" i="26"/>
  <c r="J78" i="26"/>
  <c r="C78" i="26"/>
  <c r="I78" i="26"/>
  <c r="H78" i="26"/>
  <c r="G78" i="26"/>
  <c r="F78" i="26"/>
  <c r="E78" i="26"/>
  <c r="M78" i="26"/>
  <c r="L78" i="26"/>
  <c r="G128" i="14"/>
  <c r="B95" i="39"/>
  <c r="B58" i="39"/>
  <c r="B62" i="39" s="1"/>
  <c r="L91" i="39"/>
  <c r="B15" i="39"/>
  <c r="M91" i="39"/>
  <c r="F42" i="39"/>
  <c r="E42" i="39"/>
  <c r="D31" i="42"/>
  <c r="K43" i="42" s="1"/>
  <c r="C71" i="39"/>
  <c r="C42" i="39"/>
  <c r="C53" i="39" s="1"/>
  <c r="E71" i="39"/>
  <c r="C31" i="42" s="1"/>
  <c r="D71" i="39"/>
  <c r="D42" i="39"/>
  <c r="D53" i="39" s="1"/>
  <c r="D58" i="39"/>
  <c r="D62" i="39" s="1"/>
  <c r="D72" i="39" s="1"/>
  <c r="C58" i="39"/>
  <c r="C62" i="39" s="1"/>
  <c r="B42" i="39"/>
  <c r="B53" i="39" s="1"/>
  <c r="E58" i="39"/>
  <c r="F58" i="39"/>
  <c r="P84" i="39"/>
  <c r="G84" i="39" s="1"/>
  <c r="B71" i="39"/>
  <c r="G61" i="39" l="1"/>
  <c r="H51" i="39"/>
  <c r="D15" i="39"/>
  <c r="D22" i="39" s="1"/>
  <c r="D27" i="39" s="1"/>
  <c r="D30" i="39" s="1"/>
  <c r="M76" i="39"/>
  <c r="C4" i="42"/>
  <c r="E53" i="39"/>
  <c r="E23" i="42"/>
  <c r="E62" i="39"/>
  <c r="C25" i="42" s="1"/>
  <c r="C18" i="42"/>
  <c r="D35" i="42"/>
  <c r="F15" i="39"/>
  <c r="G47" i="39"/>
  <c r="L11" i="42"/>
  <c r="F62" i="39"/>
  <c r="D25" i="42" s="1"/>
  <c r="D18" i="42"/>
  <c r="C35" i="42"/>
  <c r="E15" i="39"/>
  <c r="F53" i="39"/>
  <c r="D4" i="42"/>
  <c r="B22" i="39"/>
  <c r="B27" i="39" s="1"/>
  <c r="B30" i="39" s="1"/>
  <c r="B75" i="39" s="1"/>
  <c r="G48" i="39"/>
  <c r="L18" i="42"/>
  <c r="I99" i="39"/>
  <c r="N24" i="42" s="1"/>
  <c r="M24" i="42"/>
  <c r="E26" i="42"/>
  <c r="L12" i="42"/>
  <c r="N91" i="39"/>
  <c r="C72" i="39"/>
  <c r="E72" i="39"/>
  <c r="F72" i="39"/>
  <c r="H60" i="39"/>
  <c r="F154" i="14"/>
  <c r="Q93" i="39"/>
  <c r="H93" i="39" s="1"/>
  <c r="O91" i="39"/>
  <c r="D73" i="39"/>
  <c r="C73" i="39"/>
  <c r="B72" i="39"/>
  <c r="B73" i="39"/>
  <c r="Q84" i="39"/>
  <c r="R93" i="39"/>
  <c r="N18" i="42" s="1"/>
  <c r="H61" i="39" l="1"/>
  <c r="D17" i="42"/>
  <c r="K42" i="42" s="1"/>
  <c r="C17" i="42"/>
  <c r="J42" i="42" s="1"/>
  <c r="K47" i="42"/>
  <c r="J47" i="42"/>
  <c r="E12" i="42"/>
  <c r="H48" i="39"/>
  <c r="M18" i="42"/>
  <c r="F23" i="42"/>
  <c r="F22" i="39"/>
  <c r="D41" i="42"/>
  <c r="G23" i="42"/>
  <c r="F73" i="39"/>
  <c r="D32" i="42"/>
  <c r="E73" i="39"/>
  <c r="C32" i="42"/>
  <c r="E22" i="39"/>
  <c r="J34" i="42" s="1"/>
  <c r="C41" i="42"/>
  <c r="C75" i="39"/>
  <c r="D75" i="39"/>
  <c r="I48" i="39"/>
  <c r="R84" i="39"/>
  <c r="I84" i="39" s="1"/>
  <c r="N11" i="42" s="1"/>
  <c r="H84" i="39"/>
  <c r="N12" i="42"/>
  <c r="H258" i="6"/>
  <c r="F31" i="39" s="1"/>
  <c r="G258" i="6"/>
  <c r="E31" i="39" s="1"/>
  <c r="F258" i="6"/>
  <c r="D31" i="39" s="1"/>
  <c r="D33" i="39" s="1"/>
  <c r="E258" i="6"/>
  <c r="C31" i="39" s="1"/>
  <c r="C33" i="39" s="1"/>
  <c r="D258" i="6"/>
  <c r="B31" i="39" s="1"/>
  <c r="B33" i="39" s="1"/>
  <c r="B35" i="39" s="1"/>
  <c r="DE65" i="22"/>
  <c r="DE64" i="22"/>
  <c r="F76" i="39"/>
  <c r="E76" i="39"/>
  <c r="L962" i="11"/>
  <c r="K962" i="11"/>
  <c r="J962" i="11"/>
  <c r="C961" i="11" s="1"/>
  <c r="E961" i="11"/>
  <c r="D76" i="39" s="1"/>
  <c r="D961" i="11"/>
  <c r="C76" i="39" s="1"/>
  <c r="G941" i="11"/>
  <c r="F941" i="11"/>
  <c r="E941" i="11"/>
  <c r="D941" i="11"/>
  <c r="C941" i="11"/>
  <c r="G866" i="11"/>
  <c r="F866" i="11"/>
  <c r="E866" i="11"/>
  <c r="D866" i="11"/>
  <c r="C866" i="11"/>
  <c r="DF64" i="22"/>
  <c r="DG64" i="22"/>
  <c r="DH64" i="22"/>
  <c r="DI64" i="22"/>
  <c r="CR65" i="22"/>
  <c r="CT65" i="22"/>
  <c r="CS65" i="22"/>
  <c r="CT64" i="22"/>
  <c r="CU64" i="22"/>
  <c r="CV64" i="22"/>
  <c r="CW64" i="22"/>
  <c r="CS64" i="22"/>
  <c r="DF52" i="22"/>
  <c r="DG52" i="22"/>
  <c r="DH52" i="22"/>
  <c r="DE53" i="22"/>
  <c r="DF53" i="22"/>
  <c r="DG53" i="22"/>
  <c r="DH53" i="22"/>
  <c r="DE54" i="22"/>
  <c r="DF54" i="22"/>
  <c r="DG54" i="22"/>
  <c r="DH54" i="22"/>
  <c r="DG55" i="22"/>
  <c r="DH55" i="22"/>
  <c r="DF56" i="22"/>
  <c r="DG56" i="22"/>
  <c r="DH56" i="22"/>
  <c r="DF57" i="22"/>
  <c r="DG57" i="22"/>
  <c r="DH57" i="22"/>
  <c r="DI57" i="22"/>
  <c r="DF51" i="22"/>
  <c r="DG51" i="22"/>
  <c r="DH51" i="22"/>
  <c r="DE51" i="22"/>
  <c r="DE26" i="22"/>
  <c r="CA65" i="22"/>
  <c r="CR52" i="22"/>
  <c r="X63" i="22"/>
  <c r="W63" i="22"/>
  <c r="W51" i="22"/>
  <c r="CR51" i="22" s="1"/>
  <c r="X51" i="22"/>
  <c r="CS51" i="22" s="1"/>
  <c r="Z51" i="22"/>
  <c r="AA51" i="22"/>
  <c r="CS52" i="22"/>
  <c r="Y52" i="22"/>
  <c r="CT52" i="22" s="1"/>
  <c r="Z52" i="22"/>
  <c r="CU52" i="22" s="1"/>
  <c r="AA52" i="22"/>
  <c r="CV52" i="22" s="1"/>
  <c r="W53" i="22"/>
  <c r="CR53" i="22" s="1"/>
  <c r="X53" i="22"/>
  <c r="CS53" i="22" s="1"/>
  <c r="Z53" i="22"/>
  <c r="AA53" i="22"/>
  <c r="W54" i="22"/>
  <c r="CR54" i="22" s="1"/>
  <c r="X54" i="22"/>
  <c r="CS54" i="22" s="1"/>
  <c r="Z54" i="22"/>
  <c r="AA54" i="22"/>
  <c r="Z55" i="22"/>
  <c r="CU55" i="22" s="1"/>
  <c r="AA55" i="22"/>
  <c r="CV55" i="22" s="1"/>
  <c r="Z56" i="22"/>
  <c r="AA56" i="22"/>
  <c r="Y57" i="22"/>
  <c r="Z57" i="22"/>
  <c r="AA57" i="22"/>
  <c r="CR55" i="22"/>
  <c r="CS55" i="22"/>
  <c r="CT55" i="22"/>
  <c r="CR56" i="22"/>
  <c r="CS56" i="22"/>
  <c r="CR57" i="22"/>
  <c r="CS57" i="22"/>
  <c r="AB52" i="22"/>
  <c r="AB55" i="22"/>
  <c r="CT57" i="22"/>
  <c r="CU57" i="22"/>
  <c r="CV57" i="22"/>
  <c r="AB57" i="22"/>
  <c r="CW57" i="22" s="1"/>
  <c r="BK65" i="22"/>
  <c r="CM65" i="22" s="1"/>
  <c r="G151" i="14" s="1"/>
  <c r="BL65" i="22"/>
  <c r="CN65" i="22" s="1"/>
  <c r="H151" i="14" s="1"/>
  <c r="CO65" i="22"/>
  <c r="I151" i="14" s="1"/>
  <c r="I155" i="14" s="1"/>
  <c r="BN65" i="22"/>
  <c r="CP65" i="22" s="1"/>
  <c r="J151" i="14" s="1"/>
  <c r="J155" i="14" s="1"/>
  <c r="BO65" i="22"/>
  <c r="BJ65" i="22"/>
  <c r="E237" i="6"/>
  <c r="F237" i="6"/>
  <c r="G237" i="6"/>
  <c r="D237" i="6"/>
  <c r="E232" i="6"/>
  <c r="E233" i="6" s="1"/>
  <c r="E242" i="6" s="1"/>
  <c r="F232" i="6"/>
  <c r="F233" i="6" s="1"/>
  <c r="G232" i="6"/>
  <c r="G233" i="6" s="1"/>
  <c r="H233" i="6"/>
  <c r="D232" i="6"/>
  <c r="D233" i="6" s="1"/>
  <c r="D242" i="6" s="1"/>
  <c r="F231" i="6"/>
  <c r="G231" i="6"/>
  <c r="E231" i="6"/>
  <c r="E225" i="6"/>
  <c r="E226" i="6" s="1"/>
  <c r="F225" i="6"/>
  <c r="F226" i="6" s="1"/>
  <c r="G225" i="6"/>
  <c r="G226" i="6" s="1"/>
  <c r="H225" i="6"/>
  <c r="H226" i="6" s="1"/>
  <c r="D225" i="6"/>
  <c r="D226" i="6" s="1"/>
  <c r="G224" i="6"/>
  <c r="D224" i="6"/>
  <c r="F222" i="6"/>
  <c r="G222" i="6"/>
  <c r="H222" i="6"/>
  <c r="E222" i="6"/>
  <c r="E216" i="6"/>
  <c r="F216" i="6"/>
  <c r="G216" i="6"/>
  <c r="H216" i="6"/>
  <c r="H218" i="6" s="1"/>
  <c r="E52" i="7" s="1"/>
  <c r="D216" i="6"/>
  <c r="F214" i="6"/>
  <c r="G214" i="6"/>
  <c r="J33" i="42" s="1"/>
  <c r="H214" i="6"/>
  <c r="K33" i="42" s="1"/>
  <c r="E214" i="6"/>
  <c r="J23" i="14"/>
  <c r="K23" i="14" s="1"/>
  <c r="J25" i="14"/>
  <c r="K25" i="14" s="1"/>
  <c r="AE10" i="22"/>
  <c r="J18" i="14"/>
  <c r="BM77" i="1"/>
  <c r="E121" i="14"/>
  <c r="E125" i="14" s="1"/>
  <c r="E124" i="14" s="1"/>
  <c r="F121" i="14"/>
  <c r="F125" i="14" s="1"/>
  <c r="F135" i="14" s="1"/>
  <c r="G121" i="14"/>
  <c r="G125" i="14" s="1"/>
  <c r="G135" i="14" s="1"/>
  <c r="H121" i="14"/>
  <c r="D121" i="14"/>
  <c r="D125" i="14" s="1"/>
  <c r="D124" i="14" s="1"/>
  <c r="E120" i="14"/>
  <c r="F120" i="14"/>
  <c r="G120" i="14"/>
  <c r="H120" i="14"/>
  <c r="D120" i="14"/>
  <c r="C91" i="29"/>
  <c r="D91" i="29"/>
  <c r="E91" i="29"/>
  <c r="B91" i="29"/>
  <c r="C90" i="29"/>
  <c r="D90" i="29"/>
  <c r="E90" i="29"/>
  <c r="B90" i="29"/>
  <c r="I224" i="6" l="1"/>
  <c r="J224" i="6"/>
  <c r="I226" i="6"/>
  <c r="G155" i="14"/>
  <c r="G153" i="14"/>
  <c r="F127" i="14"/>
  <c r="H155" i="14"/>
  <c r="H152" i="14"/>
  <c r="G127" i="14"/>
  <c r="G154" i="14"/>
  <c r="DF65" i="22"/>
  <c r="H130" i="14" s="1"/>
  <c r="H128" i="14" s="1"/>
  <c r="H153" i="14" s="1"/>
  <c r="H154" i="14" s="1"/>
  <c r="H159" i="14"/>
  <c r="G159" i="14"/>
  <c r="CQ65" i="22"/>
  <c r="K151" i="14" s="1"/>
  <c r="K155" i="14" s="1"/>
  <c r="AB63" i="22"/>
  <c r="DH65" i="22"/>
  <c r="J130" i="14" s="1"/>
  <c r="DI65" i="22"/>
  <c r="K130" i="14" s="1"/>
  <c r="AA63" i="22"/>
  <c r="Z63" i="22"/>
  <c r="DG65" i="22"/>
  <c r="I130" i="14" s="1"/>
  <c r="G227" i="6"/>
  <c r="D53" i="7" s="1"/>
  <c r="G242" i="6"/>
  <c r="G252" i="6" s="1"/>
  <c r="F242" i="6"/>
  <c r="F252" i="6" s="1"/>
  <c r="F227" i="6"/>
  <c r="H242" i="6"/>
  <c r="H252" i="6" s="1"/>
  <c r="H227" i="6"/>
  <c r="E53" i="7" s="1"/>
  <c r="K34" i="42"/>
  <c r="M12" i="42"/>
  <c r="E27" i="39"/>
  <c r="C46" i="42"/>
  <c r="C43" i="42"/>
  <c r="F27" i="39"/>
  <c r="D43" i="42"/>
  <c r="D46" i="42"/>
  <c r="H47" i="39"/>
  <c r="M11" i="42"/>
  <c r="C35" i="39"/>
  <c r="D35" i="39"/>
  <c r="H217" i="6"/>
  <c r="F217" i="6"/>
  <c r="F218" i="6"/>
  <c r="D217" i="6"/>
  <c r="D218" i="6"/>
  <c r="G217" i="6"/>
  <c r="G218" i="6"/>
  <c r="D52" i="7" s="1"/>
  <c r="E217" i="6"/>
  <c r="E218" i="6"/>
  <c r="H125" i="14"/>
  <c r="H135" i="14" s="1"/>
  <c r="E122" i="14"/>
  <c r="H122" i="14"/>
  <c r="G122" i="14"/>
  <c r="D122" i="14"/>
  <c r="F122" i="14"/>
  <c r="F77" i="39"/>
  <c r="F78" i="39" s="1"/>
  <c r="E77" i="39"/>
  <c r="D962" i="11"/>
  <c r="C77" i="39" s="1"/>
  <c r="C78" i="39" s="1"/>
  <c r="L76" i="39" s="1"/>
  <c r="E962" i="11"/>
  <c r="D77" i="39" s="1"/>
  <c r="D78" i="39" s="1"/>
  <c r="C962" i="11"/>
  <c r="B77" i="39" s="1"/>
  <c r="B76" i="39"/>
  <c r="E252" i="6"/>
  <c r="E234" i="6"/>
  <c r="F234" i="6"/>
  <c r="H234" i="6"/>
  <c r="K37" i="42" s="1"/>
  <c r="D252" i="6"/>
  <c r="D234" i="6"/>
  <c r="G234" i="6"/>
  <c r="J37" i="42" s="1"/>
  <c r="J226" i="6" l="1"/>
  <c r="K226" i="6" s="1"/>
  <c r="I153" i="14"/>
  <c r="G160" i="14"/>
  <c r="G161" i="14" s="1"/>
  <c r="H160" i="14"/>
  <c r="H161" i="14" s="1"/>
  <c r="J58" i="42"/>
  <c r="J57" i="42"/>
  <c r="K58" i="42"/>
  <c r="K57" i="42"/>
  <c r="K5" i="42"/>
  <c r="O76" i="39"/>
  <c r="I47" i="39"/>
  <c r="G12" i="42" s="1"/>
  <c r="F12" i="42"/>
  <c r="C49" i="42"/>
  <c r="F30" i="39"/>
  <c r="F33" i="39" s="1"/>
  <c r="F35" i="39" s="1"/>
  <c r="D49" i="42"/>
  <c r="G26" i="42"/>
  <c r="F26" i="42"/>
  <c r="E78" i="39"/>
  <c r="K224" i="6"/>
  <c r="G136" i="14"/>
  <c r="G124" i="14"/>
  <c r="F136" i="14"/>
  <c r="F124" i="14"/>
  <c r="B78" i="39"/>
  <c r="B89" i="39" s="1"/>
  <c r="H255" i="6"/>
  <c r="K38" i="42" s="1"/>
  <c r="H254" i="6"/>
  <c r="D255" i="6"/>
  <c r="D260" i="6" s="1"/>
  <c r="D254" i="6"/>
  <c r="G254" i="6"/>
  <c r="G255" i="6"/>
  <c r="F254" i="6"/>
  <c r="F255" i="6"/>
  <c r="F260" i="6" s="1"/>
  <c r="E255" i="6"/>
  <c r="E260" i="6" s="1"/>
  <c r="E254" i="6"/>
  <c r="L16" i="28"/>
  <c r="M16" i="28"/>
  <c r="N16" i="28"/>
  <c r="L18" i="28"/>
  <c r="M18" i="28"/>
  <c r="N18" i="28"/>
  <c r="K21" i="28"/>
  <c r="L21" i="28"/>
  <c r="M21" i="28"/>
  <c r="N21" i="28"/>
  <c r="K22" i="28"/>
  <c r="L22" i="28"/>
  <c r="M22" i="28"/>
  <c r="N22" i="28"/>
  <c r="L24" i="28"/>
  <c r="M24" i="28"/>
  <c r="N24" i="28"/>
  <c r="J293" i="6"/>
  <c r="K293" i="6" s="1"/>
  <c r="H68" i="22"/>
  <c r="I69" i="22"/>
  <c r="K291" i="6"/>
  <c r="I70" i="22"/>
  <c r="I68" i="22"/>
  <c r="I347" i="14"/>
  <c r="I348" i="14" s="1"/>
  <c r="I226" i="14"/>
  <c r="I227" i="14" s="1"/>
  <c r="I287" i="14"/>
  <c r="I288" i="14" s="1"/>
  <c r="G68" i="22"/>
  <c r="G69" i="22"/>
  <c r="G70" i="22"/>
  <c r="H69" i="22"/>
  <c r="H70" i="22"/>
  <c r="F105" i="20"/>
  <c r="J22" i="28"/>
  <c r="J21" i="28"/>
  <c r="D31" i="29"/>
  <c r="C30" i="29"/>
  <c r="D42" i="29"/>
  <c r="C6" i="28" s="1"/>
  <c r="C37" i="29"/>
  <c r="D37" i="29"/>
  <c r="E37" i="29"/>
  <c r="F37" i="29"/>
  <c r="G37" i="29"/>
  <c r="H37" i="29"/>
  <c r="B37" i="29"/>
  <c r="B7" i="29"/>
  <c r="J13" i="28"/>
  <c r="K13" i="28"/>
  <c r="D185" i="11"/>
  <c r="E160" i="11"/>
  <c r="F160" i="11"/>
  <c r="G160" i="11"/>
  <c r="I160" i="11"/>
  <c r="J160" i="11"/>
  <c r="D160" i="11"/>
  <c r="D94" i="25"/>
  <c r="E94" i="25"/>
  <c r="F94" i="25"/>
  <c r="G94" i="25"/>
  <c r="H94" i="25"/>
  <c r="I94" i="25"/>
  <c r="D93" i="25"/>
  <c r="E93" i="25"/>
  <c r="F93" i="25"/>
  <c r="G93" i="25"/>
  <c r="H93" i="25"/>
  <c r="I93" i="25"/>
  <c r="D92" i="25"/>
  <c r="E92" i="25"/>
  <c r="F92" i="25"/>
  <c r="G92" i="25"/>
  <c r="H92" i="25"/>
  <c r="I92" i="25"/>
  <c r="D91" i="25"/>
  <c r="E91" i="25"/>
  <c r="F91" i="25"/>
  <c r="G91" i="25"/>
  <c r="H91" i="25"/>
  <c r="I91" i="25"/>
  <c r="C92" i="25"/>
  <c r="C94" i="25"/>
  <c r="J88" i="25"/>
  <c r="C85" i="29"/>
  <c r="D85" i="29"/>
  <c r="J9" i="28" s="1"/>
  <c r="E85" i="29"/>
  <c r="K9" i="28" s="1"/>
  <c r="B85" i="29"/>
  <c r="C87" i="29"/>
  <c r="L87" i="29" s="1"/>
  <c r="D87" i="29"/>
  <c r="M87" i="29" s="1"/>
  <c r="E87" i="29"/>
  <c r="N87" i="29" s="1"/>
  <c r="B87" i="29"/>
  <c r="K87" i="29" s="1"/>
  <c r="C81" i="29"/>
  <c r="C78" i="29" s="1"/>
  <c r="D81" i="29"/>
  <c r="M79" i="29" s="1"/>
  <c r="E81" i="29"/>
  <c r="E78" i="29" s="1"/>
  <c r="K5" i="28" s="1"/>
  <c r="B81" i="29"/>
  <c r="K79" i="29" s="1"/>
  <c r="P96" i="29"/>
  <c r="Q96" i="29" s="1"/>
  <c r="C113" i="29"/>
  <c r="D113" i="29"/>
  <c r="J26" i="28" s="1"/>
  <c r="E113" i="29"/>
  <c r="K26" i="28" s="1"/>
  <c r="B113" i="29"/>
  <c r="C110" i="29"/>
  <c r="D110" i="29"/>
  <c r="J24" i="28" s="1"/>
  <c r="E110" i="29"/>
  <c r="K24" i="28" s="1"/>
  <c r="B110" i="29"/>
  <c r="C105" i="29"/>
  <c r="D105" i="29"/>
  <c r="E105" i="29"/>
  <c r="B105" i="29"/>
  <c r="C104" i="29"/>
  <c r="D104" i="29"/>
  <c r="J20" i="28" s="1"/>
  <c r="E104" i="29"/>
  <c r="B104" i="29"/>
  <c r="C93" i="29"/>
  <c r="D93" i="29"/>
  <c r="E93" i="29"/>
  <c r="B93" i="29"/>
  <c r="C98" i="29"/>
  <c r="D98" i="29"/>
  <c r="J17" i="28" s="1"/>
  <c r="E98" i="29"/>
  <c r="N98" i="29" s="1"/>
  <c r="B98" i="29"/>
  <c r="C99" i="29"/>
  <c r="D99" i="29"/>
  <c r="J18" i="28" s="1"/>
  <c r="E99" i="29"/>
  <c r="K18" i="28" s="1"/>
  <c r="C97" i="29"/>
  <c r="D97" i="29"/>
  <c r="J16" i="28" s="1"/>
  <c r="E97" i="29"/>
  <c r="K16" i="28" s="1"/>
  <c r="C96" i="29"/>
  <c r="C141" i="29" s="1"/>
  <c r="D96" i="29"/>
  <c r="D141" i="29" s="1"/>
  <c r="E96" i="29"/>
  <c r="K15" i="28" s="1"/>
  <c r="C101" i="29"/>
  <c r="D101" i="29"/>
  <c r="E101" i="29"/>
  <c r="B101" i="29"/>
  <c r="B99" i="29"/>
  <c r="B97" i="29"/>
  <c r="B96" i="29"/>
  <c r="B141" i="29" s="1"/>
  <c r="G596" i="11"/>
  <c r="C89" i="29"/>
  <c r="D89" i="29"/>
  <c r="E89" i="29"/>
  <c r="C88" i="29"/>
  <c r="L88" i="29" s="1"/>
  <c r="D88" i="29"/>
  <c r="M88" i="29" s="1"/>
  <c r="E88" i="29"/>
  <c r="N88" i="29" s="1"/>
  <c r="C86" i="29"/>
  <c r="D86" i="29"/>
  <c r="J10" i="28" s="1"/>
  <c r="E86" i="29"/>
  <c r="F86" i="29" s="1"/>
  <c r="C84" i="29"/>
  <c r="D84" i="29"/>
  <c r="J8" i="28" s="1"/>
  <c r="E84" i="29"/>
  <c r="K8" i="28" s="1"/>
  <c r="C83" i="29"/>
  <c r="D83" i="29"/>
  <c r="J7" i="28" s="1"/>
  <c r="E83" i="29"/>
  <c r="K7" i="28" s="1"/>
  <c r="C82" i="29"/>
  <c r="D82" i="29"/>
  <c r="J6" i="28" s="1"/>
  <c r="E82" i="29"/>
  <c r="K6" i="28" s="1"/>
  <c r="C77" i="29"/>
  <c r="D77" i="29"/>
  <c r="E77" i="29"/>
  <c r="B77" i="29"/>
  <c r="B88" i="29"/>
  <c r="K88" i="29" s="1"/>
  <c r="B84" i="29"/>
  <c r="B89" i="29"/>
  <c r="B86" i="29"/>
  <c r="B83" i="29"/>
  <c r="B82" i="29"/>
  <c r="C27" i="29"/>
  <c r="D27" i="29"/>
  <c r="E27" i="29"/>
  <c r="C28" i="29"/>
  <c r="D28" i="29"/>
  <c r="E28" i="29"/>
  <c r="B31" i="29"/>
  <c r="F70" i="29"/>
  <c r="G70" i="29"/>
  <c r="H70" i="29"/>
  <c r="C68" i="29"/>
  <c r="D68" i="29"/>
  <c r="C29" i="28" s="1"/>
  <c r="E68" i="29"/>
  <c r="F68" i="29" s="1"/>
  <c r="E29" i="28" s="1"/>
  <c r="B68" i="29"/>
  <c r="C70" i="29"/>
  <c r="D70" i="29"/>
  <c r="E70" i="29"/>
  <c r="B70" i="29"/>
  <c r="C69" i="29"/>
  <c r="D69" i="29"/>
  <c r="C30" i="28" s="1"/>
  <c r="E69" i="29"/>
  <c r="F69" i="29" s="1"/>
  <c r="E30" i="28" s="1"/>
  <c r="B69" i="29"/>
  <c r="C67" i="29"/>
  <c r="D67" i="29"/>
  <c r="C28" i="28" s="1"/>
  <c r="E67" i="29"/>
  <c r="B67" i="29"/>
  <c r="C66" i="29"/>
  <c r="D66" i="29"/>
  <c r="C27" i="28" s="1"/>
  <c r="E66" i="29"/>
  <c r="F66" i="29" s="1"/>
  <c r="E27" i="28" s="1"/>
  <c r="B66" i="29"/>
  <c r="C65" i="29"/>
  <c r="D65" i="29"/>
  <c r="C26" i="28" s="1"/>
  <c r="E65" i="29"/>
  <c r="D26" i="28" s="1"/>
  <c r="B65" i="29"/>
  <c r="D295" i="6"/>
  <c r="B34" i="29"/>
  <c r="H34" i="29"/>
  <c r="G34" i="29"/>
  <c r="F34" i="29"/>
  <c r="E34" i="29"/>
  <c r="D34" i="29"/>
  <c r="C34" i="29"/>
  <c r="C31" i="29"/>
  <c r="E31" i="29"/>
  <c r="F31" i="29"/>
  <c r="G31" i="29"/>
  <c r="H31" i="29"/>
  <c r="C35" i="29"/>
  <c r="D35" i="29"/>
  <c r="E35" i="29"/>
  <c r="F35" i="29"/>
  <c r="G35" i="29"/>
  <c r="H35" i="29"/>
  <c r="B35" i="29"/>
  <c r="E298" i="6"/>
  <c r="B28" i="29" s="1"/>
  <c r="D298" i="6"/>
  <c r="Q22" i="29"/>
  <c r="R22" i="29" s="1"/>
  <c r="J9" i="29"/>
  <c r="Q9" i="29"/>
  <c r="R9" i="29" s="1"/>
  <c r="H299" i="6"/>
  <c r="E26" i="29" s="1"/>
  <c r="G299" i="6"/>
  <c r="D26" i="29" s="1"/>
  <c r="C46" i="28" s="1"/>
  <c r="F299" i="6"/>
  <c r="C26" i="29" s="1"/>
  <c r="E299" i="6"/>
  <c r="B26" i="29" s="1"/>
  <c r="D299" i="6"/>
  <c r="E35" i="30"/>
  <c r="E34" i="30"/>
  <c r="E33" i="30"/>
  <c r="D30" i="29"/>
  <c r="C49" i="28" s="1"/>
  <c r="E30" i="29"/>
  <c r="D49" i="28" s="1"/>
  <c r="B30" i="29"/>
  <c r="E39" i="30"/>
  <c r="B39" i="30"/>
  <c r="J8" i="36"/>
  <c r="C26" i="36"/>
  <c r="H72" i="30"/>
  <c r="H70" i="30"/>
  <c r="I70" i="30" s="1"/>
  <c r="E41" i="29"/>
  <c r="I298" i="6" s="1"/>
  <c r="N61" i="29"/>
  <c r="I49" i="6"/>
  <c r="J30" i="15" s="1"/>
  <c r="B105" i="30"/>
  <c r="C107" i="30"/>
  <c r="C109" i="30"/>
  <c r="C105" i="25"/>
  <c r="B30" i="30"/>
  <c r="D28" i="28" l="1"/>
  <c r="F75" i="39"/>
  <c r="I254" i="6"/>
  <c r="J254" i="6" s="1"/>
  <c r="K254" i="6" s="1"/>
  <c r="D51" i="42"/>
  <c r="K4" i="42"/>
  <c r="K39" i="42"/>
  <c r="K40" i="42"/>
  <c r="G260" i="6"/>
  <c r="J38" i="42"/>
  <c r="N76" i="39"/>
  <c r="J5" i="42"/>
  <c r="H261" i="6"/>
  <c r="H260" i="6"/>
  <c r="E33" i="39"/>
  <c r="J35" i="42" s="1"/>
  <c r="H136" i="14"/>
  <c r="I136" i="14" s="1"/>
  <c r="H127" i="14"/>
  <c r="H124" i="14" s="1"/>
  <c r="F129" i="14"/>
  <c r="F126" i="14"/>
  <c r="G129" i="14"/>
  <c r="G126" i="14"/>
  <c r="B104" i="39"/>
  <c r="B107" i="39" s="1"/>
  <c r="C106" i="39" s="1"/>
  <c r="C89" i="39"/>
  <c r="D89" i="39"/>
  <c r="E89" i="39"/>
  <c r="J15" i="42" s="1"/>
  <c r="F89" i="39"/>
  <c r="K15" i="42" s="1"/>
  <c r="E261" i="6"/>
  <c r="E263" i="6" s="1"/>
  <c r="F261" i="6"/>
  <c r="F263" i="6" s="1"/>
  <c r="D261" i="6"/>
  <c r="D263" i="6" s="1"/>
  <c r="H263" i="6"/>
  <c r="G261" i="6"/>
  <c r="G263" i="6" s="1"/>
  <c r="C109" i="29"/>
  <c r="B27" i="29"/>
  <c r="D304" i="6"/>
  <c r="D307" i="6" s="1"/>
  <c r="D309" i="6" s="1"/>
  <c r="D312" i="6" s="1"/>
  <c r="C47" i="28"/>
  <c r="D47" i="28"/>
  <c r="J15" i="28"/>
  <c r="D5" i="28"/>
  <c r="E141" i="29"/>
  <c r="E109" i="29"/>
  <c r="K23" i="28" s="1"/>
  <c r="J11" i="28"/>
  <c r="D78" i="29"/>
  <c r="J5" i="28" s="1"/>
  <c r="K11" i="28"/>
  <c r="G86" i="29"/>
  <c r="L10" i="28"/>
  <c r="K12" i="28"/>
  <c r="K10" i="28"/>
  <c r="D46" i="28"/>
  <c r="D29" i="28"/>
  <c r="K20" i="28"/>
  <c r="J12" i="28"/>
  <c r="K17" i="28"/>
  <c r="D30" i="28"/>
  <c r="D27" i="28"/>
  <c r="D109" i="29"/>
  <c r="J23" i="28" s="1"/>
  <c r="G68" i="29"/>
  <c r="B100" i="29"/>
  <c r="B102" i="29" s="1"/>
  <c r="B78" i="29"/>
  <c r="N79" i="29"/>
  <c r="L79" i="29"/>
  <c r="O88" i="29"/>
  <c r="F88" i="29" s="1"/>
  <c r="F65" i="29" s="1"/>
  <c r="O87" i="29"/>
  <c r="F87" i="29" s="1"/>
  <c r="L11" i="28" s="1"/>
  <c r="G66" i="29"/>
  <c r="G69" i="29"/>
  <c r="B109" i="29"/>
  <c r="C100" i="29"/>
  <c r="C102" i="29" s="1"/>
  <c r="E100" i="29"/>
  <c r="D100" i="29"/>
  <c r="F28" i="29"/>
  <c r="E71" i="29"/>
  <c r="B71" i="29"/>
  <c r="C71" i="29"/>
  <c r="D71" i="29"/>
  <c r="CP69" i="22"/>
  <c r="CO68" i="22"/>
  <c r="I303" i="6"/>
  <c r="F27" i="29" s="1"/>
  <c r="CV67" i="22"/>
  <c r="CW67" i="22"/>
  <c r="Z67" i="22"/>
  <c r="CU67" i="22" s="1"/>
  <c r="BM66" i="22"/>
  <c r="C235" i="34"/>
  <c r="C236" i="34" s="1"/>
  <c r="C237" i="34" s="1"/>
  <c r="C238" i="34" s="1"/>
  <c r="C239" i="34" s="1"/>
  <c r="C240" i="34" s="1"/>
  <c r="C241" i="34" s="1"/>
  <c r="C242" i="34" s="1"/>
  <c r="J32" i="25"/>
  <c r="E48" i="26" s="1"/>
  <c r="J30" i="25"/>
  <c r="E47" i="26" s="1"/>
  <c r="M13" i="26"/>
  <c r="O13" i="26"/>
  <c r="D11" i="26"/>
  <c r="C11" i="26"/>
  <c r="D41" i="26"/>
  <c r="D37" i="26"/>
  <c r="C37" i="26"/>
  <c r="D36" i="26"/>
  <c r="C36" i="26"/>
  <c r="C35" i="26"/>
  <c r="K18" i="14"/>
  <c r="I39" i="14"/>
  <c r="I38" i="14" s="1"/>
  <c r="I35" i="14" s="1"/>
  <c r="BT16" i="22"/>
  <c r="Z11" i="34"/>
  <c r="Z5" i="34" s="1"/>
  <c r="H22" i="6"/>
  <c r="G22" i="6"/>
  <c r="BN9" i="22"/>
  <c r="BM9" i="22"/>
  <c r="BO14" i="22"/>
  <c r="BN14" i="22"/>
  <c r="BM14" i="22"/>
  <c r="P76" i="39" l="1"/>
  <c r="Q76" i="39"/>
  <c r="R76" i="39" s="1"/>
  <c r="J136" i="14"/>
  <c r="K136" i="14" s="1"/>
  <c r="K35" i="42"/>
  <c r="J4" i="42"/>
  <c r="J39" i="42"/>
  <c r="J40" i="42"/>
  <c r="D54" i="7"/>
  <c r="C51" i="42"/>
  <c r="E35" i="39"/>
  <c r="I260" i="6"/>
  <c r="J260" i="6" s="1"/>
  <c r="H129" i="14"/>
  <c r="H126" i="14"/>
  <c r="F104" i="39"/>
  <c r="C104" i="39"/>
  <c r="C107" i="39" s="1"/>
  <c r="D106" i="39" s="1"/>
  <c r="E104" i="39"/>
  <c r="J27" i="42" s="1"/>
  <c r="D104" i="39"/>
  <c r="D306" i="6"/>
  <c r="O79" i="29"/>
  <c r="P79" i="29" s="1"/>
  <c r="Q79" i="29" s="1"/>
  <c r="P88" i="29"/>
  <c r="G88" i="29" s="1"/>
  <c r="M12" i="28" s="1"/>
  <c r="D31" i="28"/>
  <c r="K51" i="28"/>
  <c r="C31" i="28"/>
  <c r="J51" i="28"/>
  <c r="E47" i="28"/>
  <c r="D102" i="29"/>
  <c r="J19" i="28"/>
  <c r="E102" i="29"/>
  <c r="K19" i="28"/>
  <c r="H69" i="29"/>
  <c r="G30" i="28" s="1"/>
  <c r="F30" i="28"/>
  <c r="H66" i="29"/>
  <c r="G27" i="28" s="1"/>
  <c r="F27" i="28"/>
  <c r="E26" i="28"/>
  <c r="L12" i="28"/>
  <c r="H68" i="29"/>
  <c r="G29" i="28" s="1"/>
  <c r="F29" i="28"/>
  <c r="H86" i="29"/>
  <c r="N10" i="28" s="1"/>
  <c r="M10" i="28"/>
  <c r="P87" i="29"/>
  <c r="G87" i="29" s="1"/>
  <c r="M11" i="28" s="1"/>
  <c r="BO9" i="22"/>
  <c r="BM17" i="22"/>
  <c r="K27" i="42" l="1"/>
  <c r="K260" i="6"/>
  <c r="D107" i="39"/>
  <c r="E106" i="39" s="1"/>
  <c r="G65" i="29"/>
  <c r="F26" i="28" s="1"/>
  <c r="Q88" i="29"/>
  <c r="H88" i="29" s="1"/>
  <c r="N12" i="28" s="1"/>
  <c r="Q87" i="29"/>
  <c r="H87" i="29" s="1"/>
  <c r="N11" i="28" s="1"/>
  <c r="D176" i="34"/>
  <c r="C106" i="34"/>
  <c r="D106" i="34"/>
  <c r="F151" i="34"/>
  <c r="X23" i="34"/>
  <c r="Y23" i="34"/>
  <c r="Z23" i="34"/>
  <c r="AA23" i="34"/>
  <c r="AB23" i="34"/>
  <c r="AC23" i="34"/>
  <c r="R23" i="34"/>
  <c r="S23" i="34"/>
  <c r="T23" i="34"/>
  <c r="U23" i="34"/>
  <c r="V23" i="34"/>
  <c r="W23" i="34"/>
  <c r="K23" i="34"/>
  <c r="L23" i="34"/>
  <c r="M23" i="34"/>
  <c r="N23" i="34"/>
  <c r="O23" i="34"/>
  <c r="P23" i="34"/>
  <c r="Q23" i="34"/>
  <c r="F23" i="34"/>
  <c r="G23" i="34"/>
  <c r="H23" i="34"/>
  <c r="I23" i="34"/>
  <c r="J23" i="34"/>
  <c r="E24" i="34"/>
  <c r="E23" i="34"/>
  <c r="G24" i="34"/>
  <c r="B24" i="34"/>
  <c r="C24" i="34"/>
  <c r="D24" i="34"/>
  <c r="F24" i="34"/>
  <c r="H24" i="34"/>
  <c r="I24" i="34"/>
  <c r="J24" i="34"/>
  <c r="K24" i="34"/>
  <c r="L24" i="34"/>
  <c r="M24" i="34"/>
  <c r="N24" i="34"/>
  <c r="O24" i="34"/>
  <c r="P24" i="34"/>
  <c r="Q24" i="34"/>
  <c r="R24" i="34"/>
  <c r="S24" i="34"/>
  <c r="T24" i="34"/>
  <c r="U24" i="34"/>
  <c r="V24" i="34"/>
  <c r="W24" i="34"/>
  <c r="X24" i="34"/>
  <c r="Y24" i="34"/>
  <c r="Z24" i="34"/>
  <c r="AA24" i="34"/>
  <c r="AB24" i="34"/>
  <c r="AC24" i="34"/>
  <c r="E142" i="34"/>
  <c r="E143" i="34"/>
  <c r="E144" i="34"/>
  <c r="E145" i="34"/>
  <c r="E146" i="34"/>
  <c r="E147" i="34"/>
  <c r="E148" i="34"/>
  <c r="E149" i="34"/>
  <c r="E150" i="34"/>
  <c r="E151" i="34"/>
  <c r="E152" i="34"/>
  <c r="E153" i="34"/>
  <c r="E154" i="34"/>
  <c r="F154" i="34" s="1"/>
  <c r="E155" i="34"/>
  <c r="E156" i="34"/>
  <c r="E157" i="34"/>
  <c r="E158" i="34"/>
  <c r="E159" i="34"/>
  <c r="E160" i="34"/>
  <c r="E161" i="34"/>
  <c r="E162" i="34"/>
  <c r="E163" i="34"/>
  <c r="E164" i="34"/>
  <c r="E165" i="34"/>
  <c r="E141" i="34"/>
  <c r="W40" i="34"/>
  <c r="W42" i="34" s="1"/>
  <c r="X40" i="34"/>
  <c r="X42" i="34" s="1"/>
  <c r="Y40" i="34"/>
  <c r="Y42" i="34" s="1"/>
  <c r="W36" i="34"/>
  <c r="W38" i="34" s="1"/>
  <c r="X36" i="34"/>
  <c r="X38" i="34" s="1"/>
  <c r="Y36" i="34"/>
  <c r="Y38" i="34" s="1"/>
  <c r="X32" i="34"/>
  <c r="X34" i="34" s="1"/>
  <c r="W32" i="34"/>
  <c r="W34" i="34" s="1"/>
  <c r="Y32" i="34"/>
  <c r="Y34" i="34" s="1"/>
  <c r="Y33" i="34"/>
  <c r="AA30" i="34"/>
  <c r="AB30" i="34"/>
  <c r="AC30" i="34"/>
  <c r="C30" i="34"/>
  <c r="D30" i="34"/>
  <c r="E30" i="34"/>
  <c r="F30" i="34"/>
  <c r="G30" i="34"/>
  <c r="H30" i="34"/>
  <c r="I30" i="34"/>
  <c r="J30" i="34"/>
  <c r="K30" i="34"/>
  <c r="L30" i="34"/>
  <c r="M30" i="34"/>
  <c r="N30" i="34"/>
  <c r="O30" i="34"/>
  <c r="P30" i="34"/>
  <c r="Q30" i="34"/>
  <c r="R30" i="34"/>
  <c r="S30" i="34"/>
  <c r="T30" i="34"/>
  <c r="U30" i="34"/>
  <c r="V30" i="34"/>
  <c r="W30" i="34"/>
  <c r="X30" i="34"/>
  <c r="Y30" i="34"/>
  <c r="B30" i="34"/>
  <c r="Z4" i="34"/>
  <c r="Z2" i="34" s="1"/>
  <c r="Z3" i="34"/>
  <c r="C5" i="34"/>
  <c r="D5" i="34"/>
  <c r="E5" i="34"/>
  <c r="F5" i="34"/>
  <c r="B5" i="34"/>
  <c r="Z15" i="34"/>
  <c r="Z16" i="34"/>
  <c r="Z17" i="34"/>
  <c r="Z14" i="34"/>
  <c r="Z9" i="34"/>
  <c r="Z8" i="34"/>
  <c r="Z10" i="34"/>
  <c r="D66" i="35"/>
  <c r="E66" i="35"/>
  <c r="F66" i="35"/>
  <c r="G66" i="35"/>
  <c r="J45" i="35"/>
  <c r="I45" i="35"/>
  <c r="H45" i="35"/>
  <c r="G45" i="35"/>
  <c r="G46" i="35" s="1"/>
  <c r="F45" i="35"/>
  <c r="F46" i="35" s="1"/>
  <c r="E45" i="35"/>
  <c r="E46" i="35" s="1"/>
  <c r="D45" i="35"/>
  <c r="D46" i="35" s="1"/>
  <c r="D62" i="35"/>
  <c r="E62" i="35"/>
  <c r="F62" i="35"/>
  <c r="G62" i="35"/>
  <c r="D43" i="35"/>
  <c r="D44" i="35" s="1"/>
  <c r="E43" i="35"/>
  <c r="E44" i="35" s="1"/>
  <c r="F43" i="35"/>
  <c r="F44" i="35" s="1"/>
  <c r="G43" i="35"/>
  <c r="G44" i="35" s="1"/>
  <c r="H43" i="35"/>
  <c r="I43" i="35"/>
  <c r="J43" i="35"/>
  <c r="D58" i="35"/>
  <c r="E58" i="35"/>
  <c r="F58" i="35"/>
  <c r="G58" i="35"/>
  <c r="J41" i="35"/>
  <c r="I41" i="35"/>
  <c r="H41" i="35"/>
  <c r="G41" i="35"/>
  <c r="G42" i="35" s="1"/>
  <c r="F41" i="35"/>
  <c r="F42" i="35" s="1"/>
  <c r="E41" i="35"/>
  <c r="E42" i="35" s="1"/>
  <c r="D41" i="35"/>
  <c r="D42" i="35" s="1"/>
  <c r="M19" i="42" l="1"/>
  <c r="E107" i="39"/>
  <c r="J28" i="42"/>
  <c r="H65" i="29"/>
  <c r="G26" i="28" s="1"/>
  <c r="H44" i="35"/>
  <c r="J44" i="35"/>
  <c r="F150" i="34"/>
  <c r="I44" i="35"/>
  <c r="I46" i="35"/>
  <c r="Z34" i="34"/>
  <c r="Z32" i="34" s="1"/>
  <c r="Z33" i="34" s="1"/>
  <c r="Z27" i="34" s="1"/>
  <c r="Z42" i="34"/>
  <c r="Z40" i="34" s="1"/>
  <c r="Z38" i="34"/>
  <c r="Z36" i="34" s="1"/>
  <c r="Z37" i="34" s="1"/>
  <c r="Z28" i="34" s="1"/>
  <c r="X37" i="34"/>
  <c r="W37" i="34"/>
  <c r="Y41" i="34"/>
  <c r="W41" i="34"/>
  <c r="Y37" i="34"/>
  <c r="X41" i="34"/>
  <c r="X33" i="34"/>
  <c r="W33" i="34"/>
  <c r="AA11" i="34"/>
  <c r="H46" i="35"/>
  <c r="J46" i="35"/>
  <c r="J42" i="35"/>
  <c r="H42" i="35"/>
  <c r="I42" i="35"/>
  <c r="E83" i="14"/>
  <c r="E87" i="14" s="1"/>
  <c r="E80" i="14"/>
  <c r="D83" i="14"/>
  <c r="D87" i="14" s="1"/>
  <c r="E76" i="35"/>
  <c r="K42" i="35"/>
  <c r="K41" i="35"/>
  <c r="L41" i="35"/>
  <c r="L42" i="35"/>
  <c r="D76" i="35"/>
  <c r="F75" i="35" s="1"/>
  <c r="F106" i="39" l="1"/>
  <c r="J29" i="42"/>
  <c r="Z41" i="34"/>
  <c r="Z29" i="34"/>
  <c r="Z30" i="34" s="1"/>
  <c r="AB11" i="34"/>
  <c r="AA5" i="34"/>
  <c r="K71" i="35"/>
  <c r="I93" i="14"/>
  <c r="X77" i="1"/>
  <c r="W77" i="1"/>
  <c r="V77" i="1"/>
  <c r="W58" i="1"/>
  <c r="W45" i="1"/>
  <c r="M77" i="1"/>
  <c r="BL77" i="1"/>
  <c r="BK77" i="1"/>
  <c r="X78" i="1"/>
  <c r="AR77" i="1"/>
  <c r="AP77" i="1"/>
  <c r="AQ77" i="1"/>
  <c r="DE44" i="22"/>
  <c r="DF44" i="22"/>
  <c r="DG44" i="22"/>
  <c r="DH44" i="22"/>
  <c r="DI44" i="22"/>
  <c r="DF30" i="22"/>
  <c r="DF31" i="22"/>
  <c r="DF32" i="22"/>
  <c r="DE33" i="22"/>
  <c r="DF33" i="22"/>
  <c r="DE34" i="22"/>
  <c r="DF34" i="22"/>
  <c r="DF35" i="22"/>
  <c r="DE28" i="22"/>
  <c r="DF28" i="22"/>
  <c r="DG28" i="22"/>
  <c r="DH28" i="22"/>
  <c r="DI28" i="22"/>
  <c r="DF29" i="22"/>
  <c r="DA38" i="22"/>
  <c r="DB38" i="22" s="1"/>
  <c r="DC38" i="22" s="1"/>
  <c r="DI38" i="22" s="1"/>
  <c r="DF38" i="22"/>
  <c r="BM45" i="22"/>
  <c r="BN45" i="22" s="1"/>
  <c r="BO45" i="22" s="1"/>
  <c r="F107" i="39" l="1"/>
  <c r="K28" i="42"/>
  <c r="DG38" i="22"/>
  <c r="AB5" i="34"/>
  <c r="AC11" i="34"/>
  <c r="AC5" i="34" s="1"/>
  <c r="DH38" i="22"/>
  <c r="G106" i="39" l="1"/>
  <c r="L28" i="42" s="1"/>
  <c r="K29" i="42"/>
  <c r="X39" i="22"/>
  <c r="CS39" i="22" s="1"/>
  <c r="X40" i="22"/>
  <c r="CS40" i="22" s="1"/>
  <c r="Y38" i="22"/>
  <c r="CT38" i="22" s="1"/>
  <c r="Z38" i="22"/>
  <c r="CU38" i="22" s="1"/>
  <c r="H38" i="22"/>
  <c r="I38" i="22" s="1"/>
  <c r="AB38" i="22" s="1"/>
  <c r="CW38" i="22" s="1"/>
  <c r="Y28" i="22"/>
  <c r="CT28" i="22" s="1"/>
  <c r="Z28" i="22"/>
  <c r="CU28" i="22" s="1"/>
  <c r="AA28" i="22"/>
  <c r="CV28" i="22" s="1"/>
  <c r="AB28" i="22"/>
  <c r="CW28" i="22" s="1"/>
  <c r="Y29" i="22"/>
  <c r="Z29" i="22"/>
  <c r="Y30" i="22"/>
  <c r="Z30" i="22"/>
  <c r="Y31" i="22"/>
  <c r="Z31" i="22"/>
  <c r="Y32" i="22"/>
  <c r="Z32" i="22"/>
  <c r="Y33" i="22"/>
  <c r="Z33" i="22"/>
  <c r="Y34" i="22"/>
  <c r="Z34" i="22"/>
  <c r="Y35" i="22"/>
  <c r="Z35" i="22"/>
  <c r="Y36" i="22"/>
  <c r="Z36" i="22"/>
  <c r="CU36" i="22" s="1"/>
  <c r="Y37" i="22"/>
  <c r="Z37" i="22"/>
  <c r="Y39" i="22"/>
  <c r="CT39" i="22" s="1"/>
  <c r="Z39" i="22"/>
  <c r="CU39" i="22" s="1"/>
  <c r="Y40" i="22"/>
  <c r="CT40" i="22" s="1"/>
  <c r="Z40" i="22"/>
  <c r="CU40" i="22" s="1"/>
  <c r="Y41" i="22"/>
  <c r="CT41" i="22" s="1"/>
  <c r="Z41" i="22"/>
  <c r="CU41" i="22" s="1"/>
  <c r="Y42" i="22"/>
  <c r="CT42" i="22" s="1"/>
  <c r="Z42" i="22"/>
  <c r="CU42" i="22" s="1"/>
  <c r="Y43" i="22"/>
  <c r="CT43" i="22" s="1"/>
  <c r="Z43" i="22"/>
  <c r="CU43" i="22" s="1"/>
  <c r="AA43" i="22"/>
  <c r="CV43" i="22" s="1"/>
  <c r="AB43" i="22"/>
  <c r="CW43" i="22" s="1"/>
  <c r="Z44" i="22"/>
  <c r="CU44" i="22" s="1"/>
  <c r="AA44" i="22"/>
  <c r="CV44" i="22" s="1"/>
  <c r="AB44" i="22"/>
  <c r="CW44" i="22" s="1"/>
  <c r="Y45" i="22"/>
  <c r="Z45" i="22"/>
  <c r="AA45" i="22"/>
  <c r="AB45" i="22"/>
  <c r="Z68" i="22"/>
  <c r="CU68" i="22" s="1"/>
  <c r="CI48" i="22"/>
  <c r="CJ48" i="22" s="1"/>
  <c r="E70" i="35"/>
  <c r="D70" i="35"/>
  <c r="D77" i="35" s="1"/>
  <c r="E69" i="35"/>
  <c r="E89" i="35"/>
  <c r="D89" i="35"/>
  <c r="E88" i="35"/>
  <c r="D88" i="35"/>
  <c r="E87" i="35"/>
  <c r="D87" i="35"/>
  <c r="F72" i="35"/>
  <c r="K74" i="35" s="1"/>
  <c r="F71" i="35"/>
  <c r="K73" i="35" s="1"/>
  <c r="L73" i="35" s="1"/>
  <c r="O27" i="35"/>
  <c r="Q27" i="35" s="1"/>
  <c r="Q26" i="35"/>
  <c r="Q25" i="35"/>
  <c r="Q24" i="35"/>
  <c r="Q23" i="35"/>
  <c r="Q22" i="35"/>
  <c r="Q21" i="35"/>
  <c r="Q20" i="35"/>
  <c r="Q19" i="35"/>
  <c r="Q18" i="35"/>
  <c r="Q17" i="35"/>
  <c r="Q16" i="35"/>
  <c r="Q15" i="35"/>
  <c r="Q14" i="35"/>
  <c r="Q13" i="35"/>
  <c r="Q12" i="35"/>
  <c r="Q11" i="35"/>
  <c r="Q10" i="35"/>
  <c r="Q9" i="35"/>
  <c r="Q8" i="35"/>
  <c r="Q7" i="35"/>
  <c r="Q6" i="35"/>
  <c r="Q5" i="35"/>
  <c r="Q4" i="35"/>
  <c r="Q3" i="35"/>
  <c r="Q2" i="35"/>
  <c r="AA38" i="22" l="1"/>
  <c r="CV38" i="22" s="1"/>
  <c r="F76" i="35"/>
  <c r="E77" i="35"/>
  <c r="E85" i="35" s="1"/>
  <c r="D85" i="35"/>
  <c r="Q28" i="35"/>
  <c r="O28" i="35"/>
  <c r="F77" i="35" l="1"/>
  <c r="G77" i="35" s="1"/>
  <c r="K69" i="35" s="1"/>
  <c r="K77" i="35" s="1"/>
  <c r="R51" i="35" l="1"/>
  <c r="S49" i="35"/>
  <c r="P48" i="35"/>
  <c r="I135" i="6"/>
  <c r="R48" i="35" s="1"/>
  <c r="R42" i="35"/>
  <c r="R47" i="35"/>
  <c r="S45" i="35"/>
  <c r="AA4" i="35"/>
  <c r="AA5" i="35"/>
  <c r="AA6" i="35"/>
  <c r="AA7" i="35"/>
  <c r="AA8" i="35"/>
  <c r="AA9" i="35"/>
  <c r="AA10" i="35"/>
  <c r="AA11" i="35"/>
  <c r="AA12" i="35"/>
  <c r="AA13" i="35"/>
  <c r="AA14" i="35"/>
  <c r="AA15" i="35"/>
  <c r="AA16" i="35"/>
  <c r="AA17" i="35"/>
  <c r="AA18" i="35"/>
  <c r="AA19" i="35"/>
  <c r="AA3" i="35"/>
  <c r="T28" i="35"/>
  <c r="V28" i="35" s="1"/>
  <c r="V4" i="35"/>
  <c r="V5" i="35"/>
  <c r="V6" i="35"/>
  <c r="V7" i="35"/>
  <c r="V8" i="35"/>
  <c r="V9" i="35"/>
  <c r="V10" i="35"/>
  <c r="V11" i="35"/>
  <c r="V12" i="35"/>
  <c r="V13" i="35"/>
  <c r="V14" i="35"/>
  <c r="V15" i="35"/>
  <c r="V16" i="35"/>
  <c r="V17" i="35"/>
  <c r="V18" i="35"/>
  <c r="V19" i="35"/>
  <c r="V20" i="35"/>
  <c r="V21" i="35"/>
  <c r="V22" i="35"/>
  <c r="V23" i="35"/>
  <c r="V24" i="35"/>
  <c r="V25" i="35"/>
  <c r="V26" i="35"/>
  <c r="V27" i="35"/>
  <c r="V3" i="35"/>
  <c r="T29" i="35" s="1"/>
  <c r="S44" i="35"/>
  <c r="V29" i="35" l="1"/>
  <c r="Y20" i="35"/>
  <c r="Z21" i="35"/>
  <c r="Z22" i="35" s="1"/>
  <c r="S51" i="35"/>
  <c r="T51" i="35" s="1"/>
  <c r="E55" i="35" l="1"/>
  <c r="F55" i="35"/>
  <c r="G55" i="35"/>
  <c r="H55" i="35"/>
  <c r="I55" i="35"/>
  <c r="J55" i="35"/>
  <c r="D55" i="35"/>
  <c r="CI46" i="22"/>
  <c r="CJ46" i="22" l="1"/>
  <c r="AD2" i="34"/>
  <c r="AE2" i="34"/>
  <c r="AF2" i="34"/>
  <c r="AG2" i="34"/>
  <c r="AD3" i="34"/>
  <c r="AE3" i="34"/>
  <c r="AF3" i="34"/>
  <c r="AG3" i="34"/>
  <c r="AD4" i="34"/>
  <c r="AE4" i="34"/>
  <c r="AF4" i="34"/>
  <c r="AG4" i="34"/>
  <c r="AJ12" i="34"/>
  <c r="AK12" i="34"/>
  <c r="AI12" i="34"/>
  <c r="AH22" i="34"/>
  <c r="AH12" i="34" s="1"/>
  <c r="AG22" i="34"/>
  <c r="AF22" i="34"/>
  <c r="AE22" i="34"/>
  <c r="AD22" i="34"/>
  <c r="Q5" i="34"/>
  <c r="R5" i="34"/>
  <c r="S5" i="34"/>
  <c r="T5" i="34"/>
  <c r="U5" i="34"/>
  <c r="V5" i="34"/>
  <c r="W5" i="34"/>
  <c r="X5" i="34"/>
  <c r="Y5" i="34"/>
  <c r="H5" i="34"/>
  <c r="I5" i="34"/>
  <c r="J5" i="34"/>
  <c r="K5" i="34"/>
  <c r="L5" i="34"/>
  <c r="M5" i="34"/>
  <c r="N5" i="34"/>
  <c r="O5" i="34"/>
  <c r="P5" i="34"/>
  <c r="G5" i="34"/>
  <c r="G22" i="7"/>
  <c r="X29" i="22"/>
  <c r="AM77" i="1"/>
  <c r="AD77" i="1"/>
  <c r="AE47" i="1"/>
  <c r="AE77" i="1" s="1"/>
  <c r="AD52" i="1"/>
  <c r="AN77" i="1"/>
  <c r="AO77" i="1"/>
  <c r="D92" i="14"/>
  <c r="D93" i="14" s="1"/>
  <c r="AH5" i="34" l="1"/>
  <c r="AH11" i="34" s="1"/>
  <c r="AE5" i="34"/>
  <c r="AD5" i="34"/>
  <c r="AD11" i="34" s="1"/>
  <c r="AF5" i="34"/>
  <c r="AF11" i="34" s="1"/>
  <c r="AG5" i="34"/>
  <c r="AG11" i="34" s="1"/>
  <c r="AE11" i="34"/>
  <c r="C154" i="13"/>
  <c r="C150" i="13"/>
  <c r="B154" i="13"/>
  <c r="D150" i="13"/>
  <c r="AI11" i="34" l="1"/>
  <c r="AJ11" i="34" s="1"/>
  <c r="AK11" i="34" s="1"/>
  <c r="J102" i="14"/>
  <c r="K102" i="14" s="1"/>
  <c r="J101" i="14"/>
  <c r="K101" i="14" s="1"/>
  <c r="J92" i="14"/>
  <c r="I104" i="6"/>
  <c r="H26" i="39" l="1"/>
  <c r="J250" i="6"/>
  <c r="H25" i="39" s="1"/>
  <c r="F48" i="42" s="1"/>
  <c r="K92" i="14"/>
  <c r="J131" i="14"/>
  <c r="J153" i="14" s="1"/>
  <c r="DA26" i="22"/>
  <c r="DA27" i="22"/>
  <c r="DA29" i="22"/>
  <c r="DG29" i="22" s="1"/>
  <c r="Y26" i="22"/>
  <c r="H42" i="22"/>
  <c r="H41" i="22"/>
  <c r="H40" i="22"/>
  <c r="H39" i="22"/>
  <c r="H37" i="22"/>
  <c r="H36" i="22"/>
  <c r="H35" i="22"/>
  <c r="H34" i="22"/>
  <c r="H33" i="22"/>
  <c r="H32" i="22"/>
  <c r="H31" i="22"/>
  <c r="H30" i="22"/>
  <c r="H29" i="22"/>
  <c r="H27" i="22"/>
  <c r="I27" i="22" s="1"/>
  <c r="H26" i="22"/>
  <c r="I26" i="22" s="1"/>
  <c r="I103" i="6"/>
  <c r="DG43" i="22"/>
  <c r="BJ77" i="1"/>
  <c r="H137" i="6"/>
  <c r="CA26" i="1"/>
  <c r="K93" i="14" l="1"/>
  <c r="K131" i="14"/>
  <c r="I29" i="22"/>
  <c r="AB29" i="22" s="1"/>
  <c r="AA29" i="22"/>
  <c r="I30" i="22"/>
  <c r="AB30" i="22" s="1"/>
  <c r="AA30" i="22"/>
  <c r="I31" i="22"/>
  <c r="AB31" i="22" s="1"/>
  <c r="AA31" i="22"/>
  <c r="I32" i="22"/>
  <c r="AB32" i="22" s="1"/>
  <c r="AA32" i="22"/>
  <c r="I33" i="22"/>
  <c r="AB33" i="22" s="1"/>
  <c r="AA33" i="22"/>
  <c r="I34" i="22"/>
  <c r="AB34" i="22" s="1"/>
  <c r="AA34" i="22"/>
  <c r="I35" i="22"/>
  <c r="AB35" i="22" s="1"/>
  <c r="AA35" i="22"/>
  <c r="I36" i="22"/>
  <c r="AB36" i="22" s="1"/>
  <c r="AA36" i="22"/>
  <c r="I37" i="22"/>
  <c r="AB37" i="22" s="1"/>
  <c r="AA37" i="22"/>
  <c r="I39" i="22"/>
  <c r="AB39" i="22" s="1"/>
  <c r="CW39" i="22" s="1"/>
  <c r="AA39" i="22"/>
  <c r="CV39" i="22" s="1"/>
  <c r="I40" i="22"/>
  <c r="AB40" i="22" s="1"/>
  <c r="CW40" i="22" s="1"/>
  <c r="AA40" i="22"/>
  <c r="CV40" i="22" s="1"/>
  <c r="I41" i="22"/>
  <c r="AB41" i="22" s="1"/>
  <c r="CW41" i="22" s="1"/>
  <c r="AA41" i="22"/>
  <c r="CV41" i="22" s="1"/>
  <c r="I42" i="22"/>
  <c r="AB42" i="22" s="1"/>
  <c r="CW42" i="22" s="1"/>
  <c r="AA42" i="22"/>
  <c r="CV42" i="22" s="1"/>
  <c r="J93" i="14"/>
  <c r="BK48" i="22"/>
  <c r="CM48" i="22" s="1"/>
  <c r="J104" i="6"/>
  <c r="K104" i="6"/>
  <c r="BJ48" i="22"/>
  <c r="CL48" i="22" s="1"/>
  <c r="BL48" i="22"/>
  <c r="CN48" i="22" s="1"/>
  <c r="BM48" i="22"/>
  <c r="BN48" i="22"/>
  <c r="CC26" i="1"/>
  <c r="BK8" i="1"/>
  <c r="CB26" i="1"/>
  <c r="BO48" i="22"/>
  <c r="K153" i="14" l="1"/>
  <c r="J105" i="14"/>
  <c r="J106" i="14" s="1"/>
  <c r="J94" i="14" s="1"/>
  <c r="CP48" i="22"/>
  <c r="I105" i="14"/>
  <c r="I106" i="14" s="1"/>
  <c r="CO48" i="22"/>
  <c r="K105" i="14"/>
  <c r="K106" i="14" s="1"/>
  <c r="K94" i="14" s="1"/>
  <c r="CQ48" i="22"/>
  <c r="I94" i="14" l="1"/>
  <c r="CB75" i="1"/>
  <c r="I131" i="6"/>
  <c r="Y46" i="22"/>
  <c r="CT46" i="22" s="1"/>
  <c r="CT26" i="22"/>
  <c r="E93" i="14"/>
  <c r="H93" i="14"/>
  <c r="AA26" i="22"/>
  <c r="AB26" i="22"/>
  <c r="AA27" i="22"/>
  <c r="AB27" i="22"/>
  <c r="CW27" i="22" s="1"/>
  <c r="AA46" i="22"/>
  <c r="CV46" i="22" s="1"/>
  <c r="AB46" i="22"/>
  <c r="CW46" i="22" s="1"/>
  <c r="W26" i="22"/>
  <c r="X26" i="22"/>
  <c r="W27" i="22"/>
  <c r="X27" i="22"/>
  <c r="Y27" i="22"/>
  <c r="W29" i="22"/>
  <c r="W30" i="22"/>
  <c r="X30" i="22"/>
  <c r="W31" i="22"/>
  <c r="X31" i="22"/>
  <c r="W32" i="22"/>
  <c r="CR32" i="22" s="1"/>
  <c r="X32" i="22"/>
  <c r="W33" i="22"/>
  <c r="X33" i="22"/>
  <c r="W34" i="22"/>
  <c r="X34" i="22"/>
  <c r="W35" i="22"/>
  <c r="X35" i="22"/>
  <c r="W36" i="22"/>
  <c r="X36" i="22"/>
  <c r="W37" i="22"/>
  <c r="X37" i="22"/>
  <c r="W39" i="22"/>
  <c r="CR39" i="22" s="1"/>
  <c r="W40" i="22"/>
  <c r="CR40" i="22" s="1"/>
  <c r="W41" i="22"/>
  <c r="CR41" i="22" s="1"/>
  <c r="X41" i="22"/>
  <c r="CS41" i="22" s="1"/>
  <c r="W42" i="22"/>
  <c r="CR42" i="22" s="1"/>
  <c r="X42" i="22"/>
  <c r="CS42" i="22" s="1"/>
  <c r="W43" i="22"/>
  <c r="CR43" i="22" s="1"/>
  <c r="X43" i="22"/>
  <c r="CS43" i="22" s="1"/>
  <c r="W45" i="22"/>
  <c r="X45" i="22"/>
  <c r="W46" i="22"/>
  <c r="X46" i="22"/>
  <c r="Z46" i="22"/>
  <c r="CU46" i="22" s="1"/>
  <c r="Z27" i="22"/>
  <c r="Z26" i="22"/>
  <c r="CU26" i="22" s="1"/>
  <c r="H72" i="6"/>
  <c r="DE43" i="22"/>
  <c r="DF43" i="22"/>
  <c r="DH43" i="22"/>
  <c r="DI43" i="22"/>
  <c r="DE45" i="22"/>
  <c r="DF45" i="22"/>
  <c r="DG45" i="22"/>
  <c r="DH45" i="22"/>
  <c r="DI45" i="22"/>
  <c r="DE42" i="22"/>
  <c r="H76" i="6" l="1"/>
  <c r="H75" i="6" s="1"/>
  <c r="H188" i="14"/>
  <c r="G188" i="14" s="1"/>
  <c r="F188" i="14" s="1"/>
  <c r="F186" i="14" s="1"/>
  <c r="H186" i="14" l="1"/>
  <c r="H214" i="14" s="1"/>
  <c r="H401" i="14"/>
  <c r="H172" i="14"/>
  <c r="D171" i="14" l="1"/>
  <c r="F171" i="14"/>
  <c r="G171" i="14"/>
  <c r="H171" i="14"/>
  <c r="E171" i="14"/>
  <c r="J272" i="14" l="1"/>
  <c r="J333" i="14"/>
  <c r="K275" i="14" l="1"/>
  <c r="J275" i="14"/>
  <c r="I275" i="14"/>
  <c r="J273" i="14"/>
  <c r="K273" i="14"/>
  <c r="I273" i="14"/>
  <c r="J267" i="14"/>
  <c r="K267" i="14" s="1"/>
  <c r="J266" i="14"/>
  <c r="K266" i="14" s="1"/>
  <c r="J265" i="14"/>
  <c r="H394" i="14"/>
  <c r="H393" i="14"/>
  <c r="K398" i="14"/>
  <c r="J398" i="14"/>
  <c r="I398" i="14"/>
  <c r="H398" i="14"/>
  <c r="K396" i="14"/>
  <c r="I396" i="14"/>
  <c r="H396" i="14"/>
  <c r="J396" i="14"/>
  <c r="J390" i="14"/>
  <c r="K390" i="14" s="1"/>
  <c r="J389" i="14"/>
  <c r="J388" i="14"/>
  <c r="H331" i="14"/>
  <c r="K336" i="14"/>
  <c r="J336" i="14"/>
  <c r="I336" i="14"/>
  <c r="H336" i="14"/>
  <c r="K334" i="14"/>
  <c r="J334" i="14"/>
  <c r="I334" i="14"/>
  <c r="H334" i="14"/>
  <c r="J328" i="14"/>
  <c r="K328" i="14" s="1"/>
  <c r="J327" i="14"/>
  <c r="K327" i="14" s="1"/>
  <c r="J326" i="14"/>
  <c r="H290" i="14"/>
  <c r="K389" i="14" l="1"/>
  <c r="BL66" i="22" l="1"/>
  <c r="F179" i="6"/>
  <c r="G199" i="6"/>
  <c r="Y70" i="22"/>
  <c r="CT70" i="22" s="1"/>
  <c r="H185" i="14"/>
  <c r="H184" i="14" s="1"/>
  <c r="G185" i="14"/>
  <c r="G184" i="14" s="1"/>
  <c r="G414" i="14" s="1"/>
  <c r="F185" i="14"/>
  <c r="F184" i="14" s="1"/>
  <c r="F414" i="14" s="1"/>
  <c r="H197" i="14"/>
  <c r="G197" i="14" s="1"/>
  <c r="H372" i="14"/>
  <c r="H200" i="14" l="1"/>
  <c r="F415" i="14"/>
  <c r="F214" i="14"/>
  <c r="G202" i="14"/>
  <c r="F202" i="14" s="1"/>
  <c r="G186" i="14"/>
  <c r="G415" i="14" s="1"/>
  <c r="F197" i="14"/>
  <c r="F420" i="14"/>
  <c r="I180" i="14"/>
  <c r="J180" i="14"/>
  <c r="K180" i="14"/>
  <c r="H182" i="14"/>
  <c r="G182" i="14"/>
  <c r="E182" i="14"/>
  <c r="I181" i="14"/>
  <c r="D181" i="14"/>
  <c r="D182" i="14" s="1"/>
  <c r="D226" i="14"/>
  <c r="D227" i="14" s="1"/>
  <c r="E227" i="14"/>
  <c r="G227" i="14"/>
  <c r="D287" i="14"/>
  <c r="D288" i="14" s="1"/>
  <c r="E288" i="14"/>
  <c r="G288" i="14"/>
  <c r="H229" i="14"/>
  <c r="H293" i="14"/>
  <c r="H321" i="14"/>
  <c r="H381" i="14"/>
  <c r="H382" i="14" s="1"/>
  <c r="H353" i="14"/>
  <c r="H354" i="14" s="1"/>
  <c r="H350" i="14"/>
  <c r="H351" i="14" s="1"/>
  <c r="I377" i="14"/>
  <c r="J377" i="14"/>
  <c r="K377" i="14"/>
  <c r="H377" i="14"/>
  <c r="I312" i="14"/>
  <c r="I310" i="14" s="1"/>
  <c r="I139" i="14" s="1"/>
  <c r="I137" i="14" s="1"/>
  <c r="I383" i="14"/>
  <c r="I394" i="14" s="1"/>
  <c r="I251" i="14"/>
  <c r="J251" i="14" s="1"/>
  <c r="I374" i="14"/>
  <c r="J374" i="14" s="1"/>
  <c r="J372" i="14" s="1"/>
  <c r="H380" i="14"/>
  <c r="I380" i="14" s="1"/>
  <c r="H370" i="14"/>
  <c r="I369" i="14"/>
  <c r="I370" i="14" s="1"/>
  <c r="D347" i="14"/>
  <c r="J365" i="14"/>
  <c r="H363" i="14"/>
  <c r="I363" i="14"/>
  <c r="I149" i="14" s="1"/>
  <c r="I147" i="14" s="1"/>
  <c r="I156" i="14" s="1"/>
  <c r="DF69" i="22"/>
  <c r="H225" i="14" s="1"/>
  <c r="CN67" i="22"/>
  <c r="CO67" i="22"/>
  <c r="CP67" i="22"/>
  <c r="CQ67" i="22"/>
  <c r="CN68" i="22"/>
  <c r="DF68" i="22" s="1"/>
  <c r="H286" i="14" s="1"/>
  <c r="CL70" i="22"/>
  <c r="CM70" i="22"/>
  <c r="CN70" i="22"/>
  <c r="Y67" i="22"/>
  <c r="Y68" i="22"/>
  <c r="AA68" i="22"/>
  <c r="CV68" i="22" s="1"/>
  <c r="AB68" i="22"/>
  <c r="CW68" i="22" s="1"/>
  <c r="Y69" i="22"/>
  <c r="Z69" i="22"/>
  <c r="CU69" i="22" s="1"/>
  <c r="AA69" i="22"/>
  <c r="AB69" i="22"/>
  <c r="CW69" i="22" s="1"/>
  <c r="I296" i="14"/>
  <c r="I356" i="14"/>
  <c r="I393" i="14" s="1"/>
  <c r="I235" i="14"/>
  <c r="I270" i="14" s="1"/>
  <c r="H149" i="14" l="1"/>
  <c r="H147" i="14" s="1"/>
  <c r="H156" i="14" s="1"/>
  <c r="H240" i="14"/>
  <c r="H239" i="14" s="1"/>
  <c r="H300" i="14" s="1"/>
  <c r="H198" i="14"/>
  <c r="H306" i="14"/>
  <c r="K315" i="14"/>
  <c r="K313" i="14" s="1"/>
  <c r="K142" i="14"/>
  <c r="K140" i="14" s="1"/>
  <c r="H205" i="14"/>
  <c r="G205" i="14" s="1"/>
  <c r="F205" i="14" s="1"/>
  <c r="H315" i="14"/>
  <c r="H254" i="14" s="1"/>
  <c r="H142" i="14"/>
  <c r="H140" i="14" s="1"/>
  <c r="H150" i="14" s="1"/>
  <c r="J375" i="14"/>
  <c r="J142" i="14"/>
  <c r="J140" i="14" s="1"/>
  <c r="I315" i="14"/>
  <c r="I313" i="14" s="1"/>
  <c r="I142" i="14"/>
  <c r="DF67" i="22"/>
  <c r="H180" i="14" s="1"/>
  <c r="CN74" i="22"/>
  <c r="H359" i="14"/>
  <c r="H301" i="14"/>
  <c r="I182" i="14"/>
  <c r="J181" i="14"/>
  <c r="G214" i="14"/>
  <c r="I240" i="14"/>
  <c r="I239" i="14" s="1"/>
  <c r="J235" i="14"/>
  <c r="J270" i="14" s="1"/>
  <c r="J296" i="14"/>
  <c r="I331" i="14"/>
  <c r="H319" i="14"/>
  <c r="H320" i="14" s="1"/>
  <c r="H332" i="14"/>
  <c r="J383" i="14"/>
  <c r="J394" i="14" s="1"/>
  <c r="H294" i="14"/>
  <c r="J356" i="14"/>
  <c r="J393" i="14" s="1"/>
  <c r="G200" i="14"/>
  <c r="H291" i="14"/>
  <c r="H375" i="14"/>
  <c r="G377" i="14"/>
  <c r="H366" i="14"/>
  <c r="I178" i="14"/>
  <c r="I177" i="14" s="1"/>
  <c r="H178" i="14"/>
  <c r="I242" i="14"/>
  <c r="H260" i="14"/>
  <c r="H303" i="14"/>
  <c r="K254" i="14"/>
  <c r="K252" i="14" s="1"/>
  <c r="I254" i="14"/>
  <c r="I252" i="14" s="1"/>
  <c r="H257" i="14"/>
  <c r="I245" i="14"/>
  <c r="I257" i="14"/>
  <c r="I255" i="14" s="1"/>
  <c r="H318" i="14"/>
  <c r="H316" i="14" s="1"/>
  <c r="I318" i="14"/>
  <c r="I316" i="14" s="1"/>
  <c r="J315" i="14"/>
  <c r="I321" i="14"/>
  <c r="I332" i="14" s="1"/>
  <c r="I306" i="14"/>
  <c r="I303" i="14"/>
  <c r="I366" i="14"/>
  <c r="I249" i="14"/>
  <c r="I301" i="14"/>
  <c r="I375" i="14"/>
  <c r="H378" i="14"/>
  <c r="I372" i="14"/>
  <c r="J312" i="14"/>
  <c r="K375" i="14"/>
  <c r="J380" i="14"/>
  <c r="J318" i="14" s="1"/>
  <c r="J369" i="14"/>
  <c r="K251" i="14"/>
  <c r="K249" i="14" s="1"/>
  <c r="J249" i="14"/>
  <c r="K374" i="14"/>
  <c r="K372" i="14" s="1"/>
  <c r="I150" i="14" l="1"/>
  <c r="I135" i="14" s="1"/>
  <c r="H158" i="14"/>
  <c r="J150" i="14"/>
  <c r="I158" i="14"/>
  <c r="I127" i="14"/>
  <c r="I140" i="14"/>
  <c r="H157" i="14"/>
  <c r="G149" i="14"/>
  <c r="G147" i="14" s="1"/>
  <c r="G156" i="14" s="1"/>
  <c r="F377" i="14"/>
  <c r="F142" i="14" s="1"/>
  <c r="F140" i="14" s="1"/>
  <c r="G142" i="14"/>
  <c r="G140" i="14" s="1"/>
  <c r="K356" i="14"/>
  <c r="K393" i="14" s="1"/>
  <c r="F200" i="14"/>
  <c r="H179" i="14"/>
  <c r="H213" i="14" s="1"/>
  <c r="H212" i="14" s="1"/>
  <c r="J257" i="14"/>
  <c r="J255" i="14" s="1"/>
  <c r="J378" i="14"/>
  <c r="J371" i="14" s="1"/>
  <c r="H371" i="14"/>
  <c r="H357" i="14" s="1"/>
  <c r="H358" i="14" s="1"/>
  <c r="K235" i="14"/>
  <c r="K270" i="14" s="1"/>
  <c r="J321" i="14"/>
  <c r="J332" i="14" s="1"/>
  <c r="K296" i="14"/>
  <c r="J331" i="14"/>
  <c r="H193" i="14"/>
  <c r="H191" i="14" s="1"/>
  <c r="K383" i="14"/>
  <c r="K394" i="14" s="1"/>
  <c r="H203" i="14"/>
  <c r="H199" i="14" s="1"/>
  <c r="G198" i="14"/>
  <c r="H194" i="14"/>
  <c r="H302" i="14"/>
  <c r="J182" i="14"/>
  <c r="J178" i="14" s="1"/>
  <c r="J177" i="14" s="1"/>
  <c r="K181" i="14"/>
  <c r="K182" i="14" s="1"/>
  <c r="K178" i="14" s="1"/>
  <c r="K177" i="14" s="1"/>
  <c r="I300" i="14"/>
  <c r="I364" i="14" s="1"/>
  <c r="I260" i="14"/>
  <c r="I271" i="14" s="1"/>
  <c r="H313" i="14"/>
  <c r="H309" i="14" s="1"/>
  <c r="J313" i="14"/>
  <c r="J254" i="14"/>
  <c r="J252" i="14" s="1"/>
  <c r="J316" i="14"/>
  <c r="H299" i="14"/>
  <c r="K312" i="14"/>
  <c r="K310" i="14" s="1"/>
  <c r="K139" i="14" s="1"/>
  <c r="K137" i="14" s="1"/>
  <c r="K157" i="14" s="1"/>
  <c r="J310" i="14"/>
  <c r="J139" i="14" s="1"/>
  <c r="J137" i="14" s="1"/>
  <c r="J157" i="14" s="1"/>
  <c r="J370" i="14"/>
  <c r="J366" i="14" s="1"/>
  <c r="K369" i="14"/>
  <c r="K380" i="14"/>
  <c r="K378" i="14" s="1"/>
  <c r="K371" i="14" s="1"/>
  <c r="K365" i="14"/>
  <c r="K363" i="14" s="1"/>
  <c r="K149" i="14" s="1"/>
  <c r="K147" i="14" s="1"/>
  <c r="K156" i="14" s="1"/>
  <c r="J363" i="14"/>
  <c r="J149" i="14" s="1"/>
  <c r="J147" i="14" s="1"/>
  <c r="J156" i="14" s="1"/>
  <c r="I231" i="14"/>
  <c r="I292" i="14"/>
  <c r="I352" i="14"/>
  <c r="I402" i="14"/>
  <c r="H227" i="14"/>
  <c r="H288" i="14"/>
  <c r="H284" i="14" s="1"/>
  <c r="J347" i="14"/>
  <c r="E348" i="14"/>
  <c r="D348" i="14"/>
  <c r="G348" i="14"/>
  <c r="H348" i="14"/>
  <c r="Z66" i="22"/>
  <c r="CU66" i="22" s="1"/>
  <c r="G9" i="6"/>
  <c r="H24" i="6"/>
  <c r="F41" i="6"/>
  <c r="F2095" i="4"/>
  <c r="F2094" i="4"/>
  <c r="F2093" i="4"/>
  <c r="F2092" i="4"/>
  <c r="F2091" i="4"/>
  <c r="F2090" i="4"/>
  <c r="C62" i="29"/>
  <c r="D62" i="29"/>
  <c r="C24" i="28" s="1"/>
  <c r="E62" i="29"/>
  <c r="B62" i="29"/>
  <c r="C61" i="29"/>
  <c r="L61" i="29" s="1"/>
  <c r="D61" i="29"/>
  <c r="E61" i="29"/>
  <c r="D23" i="28" s="1"/>
  <c r="B61" i="29"/>
  <c r="K61" i="29" s="1"/>
  <c r="C58" i="29"/>
  <c r="D58" i="29"/>
  <c r="C21" i="28" s="1"/>
  <c r="E58" i="29"/>
  <c r="D21" i="28" s="1"/>
  <c r="B58" i="29"/>
  <c r="C57" i="29"/>
  <c r="D57" i="29"/>
  <c r="C20" i="28" s="1"/>
  <c r="E57" i="29"/>
  <c r="D20" i="28" s="1"/>
  <c r="B57" i="29"/>
  <c r="C56" i="29"/>
  <c r="D56" i="29"/>
  <c r="C19" i="28" s="1"/>
  <c r="E56" i="29"/>
  <c r="D19" i="28" s="1"/>
  <c r="B56" i="29"/>
  <c r="C53" i="29"/>
  <c r="D53" i="29"/>
  <c r="C16" i="28" s="1"/>
  <c r="E53" i="29"/>
  <c r="D16" i="28" s="1"/>
  <c r="B53" i="29"/>
  <c r="C52" i="29"/>
  <c r="D52" i="29"/>
  <c r="C15" i="28" s="1"/>
  <c r="E52" i="29"/>
  <c r="D15" i="28" s="1"/>
  <c r="B52" i="29"/>
  <c r="C51" i="29"/>
  <c r="D51" i="29"/>
  <c r="C14" i="28" s="1"/>
  <c r="E51" i="29"/>
  <c r="D14" i="28" s="1"/>
  <c r="B51" i="29"/>
  <c r="C50" i="29"/>
  <c r="D50" i="29"/>
  <c r="C13" i="28" s="1"/>
  <c r="E50" i="29"/>
  <c r="D13" i="28" s="1"/>
  <c r="B50" i="29"/>
  <c r="C49" i="29"/>
  <c r="D49" i="29"/>
  <c r="C12" i="28" s="1"/>
  <c r="E49" i="29"/>
  <c r="B49" i="29"/>
  <c r="C47" i="29"/>
  <c r="D47" i="29"/>
  <c r="C10" i="28" s="1"/>
  <c r="E47" i="29"/>
  <c r="D10" i="28" s="1"/>
  <c r="B47" i="29"/>
  <c r="C41" i="29"/>
  <c r="D41" i="29"/>
  <c r="C5" i="28" s="1"/>
  <c r="B41" i="29"/>
  <c r="C44" i="29"/>
  <c r="D44" i="29"/>
  <c r="C8" i="28" s="1"/>
  <c r="E44" i="29"/>
  <c r="D8" i="28" s="1"/>
  <c r="B44" i="29"/>
  <c r="C43" i="29"/>
  <c r="D43" i="29"/>
  <c r="C7" i="28" s="1"/>
  <c r="E43" i="29"/>
  <c r="D7" i="28" s="1"/>
  <c r="B43" i="29"/>
  <c r="C42" i="29"/>
  <c r="E42" i="29"/>
  <c r="D6" i="28" s="1"/>
  <c r="B42" i="29"/>
  <c r="I149" i="6"/>
  <c r="Q3" i="30"/>
  <c r="Q4" i="30"/>
  <c r="K311" i="11"/>
  <c r="H109" i="30"/>
  <c r="H107" i="30"/>
  <c r="K22" i="36" s="1"/>
  <c r="H103" i="30"/>
  <c r="K20" i="36" s="1"/>
  <c r="H104" i="30"/>
  <c r="H105" i="30"/>
  <c r="K21" i="36" s="1"/>
  <c r="H99" i="30"/>
  <c r="H100" i="30"/>
  <c r="H97" i="30"/>
  <c r="K15" i="36" s="1"/>
  <c r="H94" i="30"/>
  <c r="K13" i="36" s="1"/>
  <c r="H93" i="30"/>
  <c r="H86" i="30"/>
  <c r="H87" i="30"/>
  <c r="H89" i="30"/>
  <c r="H90" i="30"/>
  <c r="H82" i="30"/>
  <c r="H83" i="30"/>
  <c r="K325" i="11"/>
  <c r="H61" i="30"/>
  <c r="H62" i="30"/>
  <c r="H63" i="30"/>
  <c r="H74" i="30"/>
  <c r="H75" i="30"/>
  <c r="I75" i="30" s="1"/>
  <c r="J75" i="30" s="1"/>
  <c r="K75" i="30" s="1"/>
  <c r="J70" i="30"/>
  <c r="K70" i="30" s="1"/>
  <c r="H66" i="30"/>
  <c r="Q66" i="30" s="1"/>
  <c r="R66" i="30" s="1"/>
  <c r="I66" i="30" s="1"/>
  <c r="H67" i="30"/>
  <c r="H55" i="30"/>
  <c r="H56" i="30"/>
  <c r="I56" i="30" s="1"/>
  <c r="J56" i="30" s="1"/>
  <c r="K56" i="30" s="1"/>
  <c r="H57" i="30"/>
  <c r="H58" i="30"/>
  <c r="I58" i="30" s="1"/>
  <c r="J58" i="30" s="1"/>
  <c r="K58" i="30" s="1"/>
  <c r="H52" i="30"/>
  <c r="H46" i="30"/>
  <c r="H47" i="30"/>
  <c r="H48" i="30"/>
  <c r="H49" i="30"/>
  <c r="H30" i="30"/>
  <c r="G47" i="30"/>
  <c r="G62" i="30"/>
  <c r="H157" i="6"/>
  <c r="H158" i="6" s="1"/>
  <c r="H156" i="6"/>
  <c r="G32" i="30"/>
  <c r="F30" i="30"/>
  <c r="G30" i="30"/>
  <c r="H106" i="6"/>
  <c r="H107" i="6" s="1"/>
  <c r="K213" i="11"/>
  <c r="H10" i="30"/>
  <c r="K207" i="11"/>
  <c r="E91" i="14"/>
  <c r="F91" i="14"/>
  <c r="F90" i="14" s="1"/>
  <c r="D91" i="14"/>
  <c r="D90" i="14" s="1"/>
  <c r="V70" i="1"/>
  <c r="AF70" i="1" s="1"/>
  <c r="BJ49" i="22"/>
  <c r="CL49" i="22" s="1"/>
  <c r="H99" i="14"/>
  <c r="G83" i="6"/>
  <c r="G84" i="6" s="1"/>
  <c r="H91" i="6"/>
  <c r="B82" i="30"/>
  <c r="C82" i="30"/>
  <c r="D82" i="30"/>
  <c r="E82" i="30"/>
  <c r="F82" i="30"/>
  <c r="G82" i="30"/>
  <c r="B83" i="30"/>
  <c r="C83" i="30"/>
  <c r="D83" i="30"/>
  <c r="E83" i="30"/>
  <c r="F83" i="30"/>
  <c r="G83" i="30"/>
  <c r="B86" i="30"/>
  <c r="C86" i="30"/>
  <c r="D86" i="30"/>
  <c r="E86" i="30"/>
  <c r="F86" i="30"/>
  <c r="G86" i="30"/>
  <c r="B87" i="30"/>
  <c r="C87" i="30"/>
  <c r="D87" i="30"/>
  <c r="E87" i="30"/>
  <c r="F87" i="30"/>
  <c r="G87" i="30"/>
  <c r="B89" i="30"/>
  <c r="C89" i="30"/>
  <c r="D89" i="30"/>
  <c r="E89" i="30"/>
  <c r="F89" i="30"/>
  <c r="G89" i="30"/>
  <c r="B90" i="30"/>
  <c r="C90" i="30"/>
  <c r="D90" i="30"/>
  <c r="E90" i="30"/>
  <c r="F90" i="30"/>
  <c r="G90" i="30"/>
  <c r="B93" i="30"/>
  <c r="C93" i="30"/>
  <c r="D93" i="30"/>
  <c r="E93" i="30"/>
  <c r="F93" i="30"/>
  <c r="G93" i="30"/>
  <c r="B94" i="30"/>
  <c r="C94" i="30"/>
  <c r="D94" i="30"/>
  <c r="E94" i="30"/>
  <c r="N94" i="30" s="1"/>
  <c r="F94" i="30"/>
  <c r="O94" i="30" s="1"/>
  <c r="G94" i="30"/>
  <c r="B97" i="30"/>
  <c r="C97" i="30"/>
  <c r="D97" i="30"/>
  <c r="E97" i="30"/>
  <c r="F97" i="30"/>
  <c r="G97" i="30"/>
  <c r="B99" i="30"/>
  <c r="C99" i="30"/>
  <c r="D99" i="30"/>
  <c r="E99" i="30"/>
  <c r="N99" i="30" s="1"/>
  <c r="F99" i="30"/>
  <c r="O99" i="30" s="1"/>
  <c r="G99" i="30"/>
  <c r="B100" i="30"/>
  <c r="C100" i="30"/>
  <c r="D100" i="30"/>
  <c r="E100" i="30"/>
  <c r="F100" i="30"/>
  <c r="G100" i="30"/>
  <c r="B103" i="30"/>
  <c r="C103" i="30"/>
  <c r="D103" i="30"/>
  <c r="E103" i="30"/>
  <c r="F103" i="30"/>
  <c r="G103" i="30"/>
  <c r="B104" i="30"/>
  <c r="C104" i="30"/>
  <c r="D104" i="30"/>
  <c r="E104" i="30"/>
  <c r="F104" i="30"/>
  <c r="G104" i="30"/>
  <c r="C105" i="30"/>
  <c r="D105" i="30"/>
  <c r="E105" i="30"/>
  <c r="F105" i="30"/>
  <c r="G105" i="30"/>
  <c r="B107" i="30"/>
  <c r="D107" i="30"/>
  <c r="E107" i="30"/>
  <c r="F107" i="30"/>
  <c r="G107" i="30"/>
  <c r="B109" i="30"/>
  <c r="D109" i="30"/>
  <c r="E109" i="30"/>
  <c r="F109" i="30"/>
  <c r="G109" i="30"/>
  <c r="N3" i="30"/>
  <c r="O3" i="30"/>
  <c r="P3" i="30"/>
  <c r="R3" i="30"/>
  <c r="T3" i="30"/>
  <c r="N4" i="30"/>
  <c r="O4" i="30"/>
  <c r="P4" i="30"/>
  <c r="R4" i="30"/>
  <c r="S4" i="30"/>
  <c r="T4" i="30"/>
  <c r="M7" i="30"/>
  <c r="B8" i="30"/>
  <c r="C8" i="30"/>
  <c r="D8" i="30"/>
  <c r="E8" i="30"/>
  <c r="F8" i="30"/>
  <c r="G8" i="30"/>
  <c r="H8" i="30"/>
  <c r="M8" i="30"/>
  <c r="B9" i="30"/>
  <c r="C9" i="30"/>
  <c r="D9" i="30"/>
  <c r="E9" i="30"/>
  <c r="F9" i="30"/>
  <c r="G9" i="30"/>
  <c r="M9" i="30"/>
  <c r="B10" i="30"/>
  <c r="C10" i="30"/>
  <c r="D10" i="30"/>
  <c r="E10" i="30"/>
  <c r="F10" i="30"/>
  <c r="G10" i="30"/>
  <c r="M10" i="30"/>
  <c r="K11" i="30"/>
  <c r="M11" i="30"/>
  <c r="T11" i="30"/>
  <c r="U11" i="30" s="1"/>
  <c r="U13" i="30"/>
  <c r="M14" i="30"/>
  <c r="M15" i="30"/>
  <c r="M16" i="30"/>
  <c r="M17" i="30"/>
  <c r="M18" i="30"/>
  <c r="T18" i="30"/>
  <c r="U18" i="30" s="1"/>
  <c r="M19" i="30"/>
  <c r="T19" i="30"/>
  <c r="U19" i="30" s="1"/>
  <c r="U21" i="30"/>
  <c r="B24" i="30"/>
  <c r="C24" i="30"/>
  <c r="D24" i="30"/>
  <c r="E24" i="30"/>
  <c r="F24" i="30"/>
  <c r="G24" i="30"/>
  <c r="M24" i="30"/>
  <c r="M25" i="30"/>
  <c r="B26" i="30"/>
  <c r="C26" i="30"/>
  <c r="D26" i="30"/>
  <c r="E26" i="30"/>
  <c r="F26" i="30"/>
  <c r="G26" i="30"/>
  <c r="H26" i="30"/>
  <c r="M26" i="30"/>
  <c r="M27" i="30"/>
  <c r="T27" i="30"/>
  <c r="U27" i="30" s="1"/>
  <c r="U29" i="30"/>
  <c r="C30" i="30"/>
  <c r="D30" i="30"/>
  <c r="E30" i="30"/>
  <c r="M30" i="30"/>
  <c r="B32" i="30"/>
  <c r="C32" i="30"/>
  <c r="D32" i="30"/>
  <c r="E32" i="30"/>
  <c r="F32" i="30"/>
  <c r="M32" i="30"/>
  <c r="B33" i="30"/>
  <c r="C33" i="30"/>
  <c r="D33" i="30"/>
  <c r="F33" i="30"/>
  <c r="G33" i="30"/>
  <c r="M33" i="30"/>
  <c r="D34" i="30"/>
  <c r="F34" i="30"/>
  <c r="G34" i="30"/>
  <c r="M34" i="30"/>
  <c r="D35" i="30"/>
  <c r="F35" i="30"/>
  <c r="G35" i="30"/>
  <c r="H35" i="30"/>
  <c r="M35" i="30"/>
  <c r="B36" i="30"/>
  <c r="C36" i="30"/>
  <c r="D36" i="30"/>
  <c r="E36" i="30"/>
  <c r="F36" i="30"/>
  <c r="G36" i="30"/>
  <c r="H36" i="30"/>
  <c r="M36" i="30"/>
  <c r="U38" i="30"/>
  <c r="C39" i="30"/>
  <c r="D39" i="30"/>
  <c r="F39" i="30"/>
  <c r="G39" i="30"/>
  <c r="H39" i="30"/>
  <c r="M41" i="30"/>
  <c r="U43" i="30"/>
  <c r="B46" i="30"/>
  <c r="B113" i="30" s="1"/>
  <c r="C46" i="30"/>
  <c r="D46" i="30"/>
  <c r="E46" i="30"/>
  <c r="F46" i="30"/>
  <c r="G46" i="30"/>
  <c r="C5" i="36" s="1"/>
  <c r="B47" i="30"/>
  <c r="C47" i="30"/>
  <c r="D47" i="30"/>
  <c r="E47" i="30"/>
  <c r="F47" i="30"/>
  <c r="B48" i="30"/>
  <c r="C48" i="30"/>
  <c r="D48" i="30"/>
  <c r="E48" i="30"/>
  <c r="F48" i="30"/>
  <c r="G48" i="30"/>
  <c r="B49" i="30"/>
  <c r="C49" i="30"/>
  <c r="D49" i="30"/>
  <c r="E49" i="30"/>
  <c r="F49" i="30"/>
  <c r="G49" i="30"/>
  <c r="B52" i="30"/>
  <c r="C52" i="30"/>
  <c r="D52" i="30"/>
  <c r="E52" i="30"/>
  <c r="F52" i="30"/>
  <c r="G52" i="30"/>
  <c r="B55" i="30"/>
  <c r="C55" i="30"/>
  <c r="D55" i="30"/>
  <c r="E55" i="30"/>
  <c r="F55" i="30"/>
  <c r="G55" i="30"/>
  <c r="B56" i="30"/>
  <c r="C56" i="30"/>
  <c r="D56" i="30"/>
  <c r="E56" i="30"/>
  <c r="F56" i="30"/>
  <c r="G56" i="30"/>
  <c r="B57" i="30"/>
  <c r="C57" i="30"/>
  <c r="D57" i="30"/>
  <c r="E57" i="30"/>
  <c r="F57" i="30"/>
  <c r="G57" i="30"/>
  <c r="B58" i="30"/>
  <c r="C58" i="30"/>
  <c r="D58" i="30"/>
  <c r="E58" i="30"/>
  <c r="F58" i="30"/>
  <c r="G58" i="30"/>
  <c r="B61" i="30"/>
  <c r="C61" i="30"/>
  <c r="D61" i="30"/>
  <c r="E61" i="30"/>
  <c r="F61" i="30"/>
  <c r="G61" i="30"/>
  <c r="B62" i="30"/>
  <c r="C62" i="30"/>
  <c r="D62" i="30"/>
  <c r="E62" i="30"/>
  <c r="F62" i="30"/>
  <c r="B63" i="30"/>
  <c r="C63" i="30"/>
  <c r="D63" i="30"/>
  <c r="E63" i="30"/>
  <c r="F63" i="30"/>
  <c r="G63" i="30"/>
  <c r="B66" i="30"/>
  <c r="C66" i="30"/>
  <c r="D66" i="30"/>
  <c r="E66" i="30"/>
  <c r="N66" i="30" s="1"/>
  <c r="F66" i="30"/>
  <c r="O66" i="30" s="1"/>
  <c r="G66" i="30"/>
  <c r="P66" i="30" s="1"/>
  <c r="B67" i="30"/>
  <c r="C67" i="30"/>
  <c r="D67" i="30"/>
  <c r="E67" i="30"/>
  <c r="F67" i="30"/>
  <c r="G67" i="30"/>
  <c r="B70" i="30"/>
  <c r="C70" i="30"/>
  <c r="D70" i="30"/>
  <c r="E70" i="30"/>
  <c r="F70" i="30"/>
  <c r="G70" i="30"/>
  <c r="B72" i="30"/>
  <c r="C72" i="30"/>
  <c r="D72" i="30"/>
  <c r="E72" i="30"/>
  <c r="F72" i="30"/>
  <c r="G72" i="30"/>
  <c r="B74" i="30"/>
  <c r="C74" i="30"/>
  <c r="D74" i="30"/>
  <c r="E74" i="30"/>
  <c r="F74" i="30"/>
  <c r="G74" i="30"/>
  <c r="B75" i="30"/>
  <c r="C75" i="30"/>
  <c r="D75" i="30"/>
  <c r="E75" i="30"/>
  <c r="F75" i="30"/>
  <c r="G75" i="30"/>
  <c r="BT75" i="1"/>
  <c r="H113" i="6"/>
  <c r="H104" i="6"/>
  <c r="G104" i="6"/>
  <c r="J327" i="11"/>
  <c r="C327" i="11"/>
  <c r="G49" i="20"/>
  <c r="D101" i="14"/>
  <c r="D103" i="14" s="1"/>
  <c r="D327" i="11"/>
  <c r="G30" i="20"/>
  <c r="C49" i="36" s="1"/>
  <c r="G137" i="6"/>
  <c r="H141" i="6"/>
  <c r="I359" i="6"/>
  <c r="J359" i="6" s="1"/>
  <c r="K359" i="6" s="1"/>
  <c r="I354" i="6"/>
  <c r="J354" i="6" s="1"/>
  <c r="K354" i="6" s="1"/>
  <c r="J353" i="6"/>
  <c r="K353" i="6"/>
  <c r="I353" i="6"/>
  <c r="I348" i="6"/>
  <c r="J348" i="6" s="1"/>
  <c r="K348" i="6" s="1"/>
  <c r="I349" i="6"/>
  <c r="J349" i="6" s="1"/>
  <c r="K349" i="6" s="1"/>
  <c r="I350" i="6"/>
  <c r="I347" i="6"/>
  <c r="J347" i="6" s="1"/>
  <c r="K347" i="6" s="1"/>
  <c r="I346" i="6"/>
  <c r="J346" i="6" s="1"/>
  <c r="K346" i="6" s="1"/>
  <c r="G103" i="14"/>
  <c r="G99" i="14"/>
  <c r="G105" i="14"/>
  <c r="G93" i="14"/>
  <c r="H83" i="14"/>
  <c r="H87" i="14" s="1"/>
  <c r="G83" i="14"/>
  <c r="G87" i="14" s="1"/>
  <c r="H80" i="14"/>
  <c r="H103" i="14"/>
  <c r="F83" i="14"/>
  <c r="F87" i="14" s="1"/>
  <c r="F767" i="4"/>
  <c r="F768" i="4"/>
  <c r="F769" i="4"/>
  <c r="F770" i="4"/>
  <c r="F771" i="4"/>
  <c r="F766" i="4"/>
  <c r="F1666" i="4"/>
  <c r="F1667" i="4"/>
  <c r="F1668" i="4"/>
  <c r="F1669" i="4"/>
  <c r="F1670" i="4"/>
  <c r="F1671" i="4"/>
  <c r="F1665" i="4"/>
  <c r="I344" i="6"/>
  <c r="J344" i="6" s="1"/>
  <c r="K344" i="6" s="1"/>
  <c r="E1574" i="4"/>
  <c r="F1574" i="4"/>
  <c r="G1574" i="4"/>
  <c r="C1090" i="4"/>
  <c r="K1112" i="4"/>
  <c r="CM77" i="22"/>
  <c r="DE77" i="22" s="1"/>
  <c r="CN77" i="22"/>
  <c r="DF77" i="22" s="1"/>
  <c r="CO77" i="22"/>
  <c r="DG77" i="22" s="1"/>
  <c r="CP77" i="22"/>
  <c r="DH77" i="22" s="1"/>
  <c r="CQ77" i="22"/>
  <c r="DI77" i="22" s="1"/>
  <c r="CL77" i="22"/>
  <c r="DD77" i="22" s="1"/>
  <c r="CM76" i="22"/>
  <c r="DE76" i="22" s="1"/>
  <c r="CN76" i="22"/>
  <c r="DF76" i="22" s="1"/>
  <c r="CO76" i="22"/>
  <c r="DG76" i="22" s="1"/>
  <c r="CP76" i="22"/>
  <c r="DH76" i="22" s="1"/>
  <c r="CQ76" i="22"/>
  <c r="DI76" i="22" s="1"/>
  <c r="CL76" i="22"/>
  <c r="DD76" i="22" s="1"/>
  <c r="F456" i="14"/>
  <c r="G456" i="14"/>
  <c r="H456" i="14"/>
  <c r="X77" i="22"/>
  <c r="CS77" i="22" s="1"/>
  <c r="Y77" i="22"/>
  <c r="CT77" i="22" s="1"/>
  <c r="Z77" i="22"/>
  <c r="CU77" i="22" s="1"/>
  <c r="AA77" i="22"/>
  <c r="CV77" i="22" s="1"/>
  <c r="AB77" i="22"/>
  <c r="CW77" i="22" s="1"/>
  <c r="Y78" i="22"/>
  <c r="CT78" i="22" s="1"/>
  <c r="Z78" i="22"/>
  <c r="AA78" i="22"/>
  <c r="AB78" i="22"/>
  <c r="X75" i="22"/>
  <c r="CS75" i="22" s="1"/>
  <c r="Y75" i="22"/>
  <c r="CT75" i="22" s="1"/>
  <c r="Z75" i="22"/>
  <c r="CU75" i="22" s="1"/>
  <c r="AA75" i="22"/>
  <c r="CV75" i="22" s="1"/>
  <c r="AB75" i="22"/>
  <c r="CW75" i="22" s="1"/>
  <c r="X76" i="22"/>
  <c r="CS76" i="22" s="1"/>
  <c r="Y76" i="22"/>
  <c r="CT76" i="22" s="1"/>
  <c r="Z76" i="22"/>
  <c r="CU76" i="22" s="1"/>
  <c r="AA76" i="22"/>
  <c r="CV76" i="22" s="1"/>
  <c r="AB76" i="22"/>
  <c r="CW76" i="22" s="1"/>
  <c r="W76" i="22"/>
  <c r="CR76" i="22" s="1"/>
  <c r="W75" i="22"/>
  <c r="F443" i="14"/>
  <c r="J445" i="14"/>
  <c r="K445" i="14" s="1"/>
  <c r="G444" i="14"/>
  <c r="CM75" i="22"/>
  <c r="DE75" i="22" s="1"/>
  <c r="CN75" i="22"/>
  <c r="DF75" i="22" s="1"/>
  <c r="CO75" i="22"/>
  <c r="DG75" i="22" s="1"/>
  <c r="CP75" i="22"/>
  <c r="DH75" i="22" s="1"/>
  <c r="CQ75" i="22"/>
  <c r="DI75" i="22" s="1"/>
  <c r="CM78" i="22"/>
  <c r="DE78" i="22" s="1"/>
  <c r="CN78" i="22"/>
  <c r="DF78" i="22" s="1"/>
  <c r="CL78" i="22"/>
  <c r="DD78" i="22" s="1"/>
  <c r="CL75" i="22"/>
  <c r="BK79" i="22"/>
  <c r="BL79" i="22"/>
  <c r="BJ79" i="22"/>
  <c r="C32" i="15"/>
  <c r="J20" i="29"/>
  <c r="C21" i="29"/>
  <c r="D21" i="29"/>
  <c r="C44" i="28" s="1"/>
  <c r="E21" i="29"/>
  <c r="D44" i="28" s="1"/>
  <c r="B21" i="29"/>
  <c r="C19" i="29"/>
  <c r="D19" i="29"/>
  <c r="C43" i="28" s="1"/>
  <c r="E19" i="29"/>
  <c r="D43" i="28" s="1"/>
  <c r="B19" i="29"/>
  <c r="C14" i="29"/>
  <c r="D14" i="29"/>
  <c r="C40" i="28" s="1"/>
  <c r="E14" i="29"/>
  <c r="D40" i="28" s="1"/>
  <c r="B14" i="29"/>
  <c r="C13" i="29"/>
  <c r="D13" i="29"/>
  <c r="C39" i="28" s="1"/>
  <c r="E13" i="29"/>
  <c r="D39" i="28" s="1"/>
  <c r="B13" i="29"/>
  <c r="B123" i="29" s="1"/>
  <c r="A14" i="29"/>
  <c r="J14" i="29" s="1"/>
  <c r="A13" i="29"/>
  <c r="J13" i="29" s="1"/>
  <c r="C8" i="29"/>
  <c r="C119" i="29" s="1"/>
  <c r="D8" i="29"/>
  <c r="E8" i="29"/>
  <c r="C7" i="29"/>
  <c r="D7" i="29"/>
  <c r="E7" i="29"/>
  <c r="K48" i="42" s="1"/>
  <c r="B8" i="29"/>
  <c r="H440" i="14"/>
  <c r="G440" i="14"/>
  <c r="E440" i="14"/>
  <c r="I439" i="14"/>
  <c r="D439" i="14"/>
  <c r="D440" i="14" s="1"/>
  <c r="K91" i="29"/>
  <c r="L91" i="29"/>
  <c r="M91" i="29"/>
  <c r="K98" i="29"/>
  <c r="L98" i="29"/>
  <c r="M98" i="29"/>
  <c r="K3" i="29"/>
  <c r="L3" i="29"/>
  <c r="M3" i="29"/>
  <c r="N3" i="29"/>
  <c r="O3" i="29"/>
  <c r="Q3" i="29"/>
  <c r="R3" i="29"/>
  <c r="K4" i="29"/>
  <c r="L4" i="29"/>
  <c r="M4" i="29"/>
  <c r="N4" i="29"/>
  <c r="O4" i="29"/>
  <c r="P4" i="29"/>
  <c r="Q4" i="29"/>
  <c r="R4" i="29"/>
  <c r="J7" i="29"/>
  <c r="J8" i="29"/>
  <c r="R16" i="29"/>
  <c r="J19" i="29"/>
  <c r="J21" i="29"/>
  <c r="J22" i="29"/>
  <c r="R24" i="29"/>
  <c r="R36" i="29"/>
  <c r="H428" i="14"/>
  <c r="I428" i="14" s="1"/>
  <c r="J428" i="14" s="1"/>
  <c r="K428" i="14" s="1"/>
  <c r="H427" i="14"/>
  <c r="I427" i="14" s="1"/>
  <c r="J427" i="14" s="1"/>
  <c r="K427" i="14" s="1"/>
  <c r="E360" i="6"/>
  <c r="F360" i="6"/>
  <c r="G360" i="6"/>
  <c r="H360" i="6"/>
  <c r="D360" i="6"/>
  <c r="E432" i="14"/>
  <c r="F432" i="14"/>
  <c r="F453" i="14" s="1"/>
  <c r="G432" i="14"/>
  <c r="G453" i="14" s="1"/>
  <c r="H432" i="14"/>
  <c r="H453" i="14" s="1"/>
  <c r="D432" i="14"/>
  <c r="E337" i="6"/>
  <c r="F337" i="6"/>
  <c r="G337" i="6"/>
  <c r="H337" i="6"/>
  <c r="D337" i="6"/>
  <c r="E335" i="6"/>
  <c r="F335" i="6"/>
  <c r="G335" i="6"/>
  <c r="H335" i="6"/>
  <c r="D335" i="6"/>
  <c r="E329" i="6"/>
  <c r="F329" i="6"/>
  <c r="G329" i="6"/>
  <c r="H329" i="6"/>
  <c r="D329" i="6"/>
  <c r="E330" i="6"/>
  <c r="F330" i="6"/>
  <c r="G330" i="6"/>
  <c r="H330" i="6"/>
  <c r="D330" i="6"/>
  <c r="F327" i="6"/>
  <c r="G327" i="6"/>
  <c r="H327" i="6"/>
  <c r="E327" i="6"/>
  <c r="E321" i="6"/>
  <c r="F321" i="6"/>
  <c r="G321" i="6"/>
  <c r="H321" i="6"/>
  <c r="D321" i="6"/>
  <c r="F319" i="6"/>
  <c r="G319" i="6"/>
  <c r="H319" i="6"/>
  <c r="E319" i="6"/>
  <c r="J303" i="6"/>
  <c r="H167" i="14"/>
  <c r="I167" i="14" s="1"/>
  <c r="J167" i="14" s="1"/>
  <c r="K167" i="14" s="1"/>
  <c r="E426" i="14"/>
  <c r="E429" i="14" s="1"/>
  <c r="F426" i="14"/>
  <c r="F429" i="14" s="1"/>
  <c r="G426" i="14"/>
  <c r="H426" i="14"/>
  <c r="D426" i="14"/>
  <c r="E745" i="11"/>
  <c r="E755" i="11" s="1"/>
  <c r="E775" i="11" s="1"/>
  <c r="F745" i="11"/>
  <c r="F755" i="11" s="1"/>
  <c r="F775" i="11" s="1"/>
  <c r="G745" i="11"/>
  <c r="G755" i="11" s="1"/>
  <c r="G775" i="11" s="1"/>
  <c r="D745" i="11"/>
  <c r="D755" i="11" s="1"/>
  <c r="D775" i="11" s="1"/>
  <c r="E720" i="11"/>
  <c r="E732" i="11" s="1"/>
  <c r="F720" i="11"/>
  <c r="F732" i="11" s="1"/>
  <c r="G720" i="11"/>
  <c r="G732" i="11" s="1"/>
  <c r="D720" i="11"/>
  <c r="D732" i="11" s="1"/>
  <c r="I193" i="6"/>
  <c r="G169" i="14"/>
  <c r="G174" i="14" s="1"/>
  <c r="F169" i="14"/>
  <c r="F174" i="14" s="1"/>
  <c r="H166" i="14"/>
  <c r="G166" i="14"/>
  <c r="G168" i="14" s="1"/>
  <c r="DD70" i="22"/>
  <c r="F346" i="14" s="1"/>
  <c r="DE70" i="22"/>
  <c r="G346" i="14" s="1"/>
  <c r="DF70" i="22"/>
  <c r="H346" i="14" s="1"/>
  <c r="H344" i="14" s="1"/>
  <c r="H345" i="14" s="1"/>
  <c r="H392" i="14" s="1"/>
  <c r="H391" i="14" s="1"/>
  <c r="CN66" i="22"/>
  <c r="H181" i="6"/>
  <c r="G420" i="14"/>
  <c r="H420" i="14"/>
  <c r="H287" i="6"/>
  <c r="H179" i="6"/>
  <c r="G277" i="6"/>
  <c r="G173" i="6"/>
  <c r="H173" i="6"/>
  <c r="H271" i="6"/>
  <c r="H165" i="6"/>
  <c r="H166" i="6" s="1"/>
  <c r="I166" i="6" s="1"/>
  <c r="G401" i="14"/>
  <c r="F401" i="14"/>
  <c r="I403" i="14"/>
  <c r="J403" i="14" s="1"/>
  <c r="K403" i="14" s="1"/>
  <c r="H36" i="14"/>
  <c r="G36" i="14" s="1"/>
  <c r="F36" i="14" s="1"/>
  <c r="E36" i="14" s="1"/>
  <c r="H37" i="14"/>
  <c r="F99" i="14"/>
  <c r="H285" i="6"/>
  <c r="H280" i="6"/>
  <c r="H279" i="6"/>
  <c r="H277" i="6"/>
  <c r="G80" i="14"/>
  <c r="G82" i="14" s="1"/>
  <c r="H104" i="14"/>
  <c r="H204" i="6"/>
  <c r="H189" i="6"/>
  <c r="H186" i="6"/>
  <c r="H184" i="6"/>
  <c r="H174" i="6"/>
  <c r="H175" i="6" s="1"/>
  <c r="F427" i="4"/>
  <c r="F172" i="14"/>
  <c r="F411" i="14" s="1"/>
  <c r="G172" i="14"/>
  <c r="E172" i="14"/>
  <c r="G536" i="11"/>
  <c r="G537" i="11" s="1"/>
  <c r="G528" i="11"/>
  <c r="G538" i="11" s="1"/>
  <c r="G561" i="11" s="1"/>
  <c r="G502" i="11"/>
  <c r="G514" i="11" s="1"/>
  <c r="G436" i="11"/>
  <c r="G437" i="11" s="1"/>
  <c r="G431" i="11"/>
  <c r="E279" i="6"/>
  <c r="D314" i="6"/>
  <c r="F287" i="6"/>
  <c r="G287" i="6"/>
  <c r="E287" i="6"/>
  <c r="F285" i="6"/>
  <c r="G285" i="6"/>
  <c r="E285" i="6"/>
  <c r="F280" i="6"/>
  <c r="G280" i="6"/>
  <c r="E280" i="6"/>
  <c r="F279" i="6"/>
  <c r="G279" i="6"/>
  <c r="F277" i="6"/>
  <c r="E166" i="14"/>
  <c r="E168" i="14" s="1"/>
  <c r="F166" i="14"/>
  <c r="F168" i="14" s="1"/>
  <c r="D166" i="14"/>
  <c r="D168" i="14" s="1"/>
  <c r="F271" i="6"/>
  <c r="G271" i="6"/>
  <c r="E271" i="6"/>
  <c r="C12" i="11"/>
  <c r="F269" i="6"/>
  <c r="G269" i="6"/>
  <c r="H269" i="6"/>
  <c r="G109" i="27"/>
  <c r="F109" i="27"/>
  <c r="E109" i="27"/>
  <c r="D109" i="27"/>
  <c r="C109" i="27"/>
  <c r="B109" i="27"/>
  <c r="G107" i="27"/>
  <c r="F107" i="27"/>
  <c r="E107" i="27"/>
  <c r="D107" i="27"/>
  <c r="C107" i="27"/>
  <c r="B107" i="27"/>
  <c r="G105" i="27"/>
  <c r="F105" i="27"/>
  <c r="E105" i="27"/>
  <c r="D105" i="27"/>
  <c r="C105" i="27"/>
  <c r="B105" i="27"/>
  <c r="G104" i="27"/>
  <c r="F104" i="27"/>
  <c r="E104" i="27"/>
  <c r="D104" i="27"/>
  <c r="C104" i="27"/>
  <c r="B104" i="27"/>
  <c r="G103" i="27"/>
  <c r="F103" i="27"/>
  <c r="E103" i="27"/>
  <c r="D103" i="27"/>
  <c r="C103" i="27"/>
  <c r="B103" i="27"/>
  <c r="G100" i="27"/>
  <c r="F100" i="27"/>
  <c r="E100" i="27"/>
  <c r="D100" i="27"/>
  <c r="C100" i="27"/>
  <c r="B100" i="27"/>
  <c r="G99" i="27"/>
  <c r="P99" i="27" s="1"/>
  <c r="Q99" i="27" s="1"/>
  <c r="F99" i="27"/>
  <c r="O99" i="27" s="1"/>
  <c r="E99" i="27"/>
  <c r="N99" i="27" s="1"/>
  <c r="D99" i="27"/>
  <c r="C99" i="27"/>
  <c r="B99" i="27"/>
  <c r="G97" i="27"/>
  <c r="F97" i="27"/>
  <c r="E97" i="27"/>
  <c r="D97" i="27"/>
  <c r="C97" i="27"/>
  <c r="B97" i="27"/>
  <c r="G94" i="27"/>
  <c r="P94" i="27" s="1"/>
  <c r="F94" i="27"/>
  <c r="O94" i="27" s="1"/>
  <c r="E94" i="27"/>
  <c r="N94" i="27" s="1"/>
  <c r="D94" i="27"/>
  <c r="C94" i="27"/>
  <c r="B94" i="27"/>
  <c r="G93" i="27"/>
  <c r="F93" i="27"/>
  <c r="E93" i="27"/>
  <c r="D93" i="27"/>
  <c r="C93" i="27"/>
  <c r="B93" i="27"/>
  <c r="G90" i="27"/>
  <c r="F90" i="27"/>
  <c r="E90" i="27"/>
  <c r="D90" i="27"/>
  <c r="C90" i="27"/>
  <c r="B90" i="27"/>
  <c r="G89" i="27"/>
  <c r="F89" i="27"/>
  <c r="E89" i="27"/>
  <c r="D89" i="27"/>
  <c r="C89" i="27"/>
  <c r="B89" i="27"/>
  <c r="G87" i="27"/>
  <c r="F87" i="27"/>
  <c r="E87" i="27"/>
  <c r="D87" i="27"/>
  <c r="C87" i="27"/>
  <c r="B87" i="27"/>
  <c r="G86" i="27"/>
  <c r="F86" i="27"/>
  <c r="E86" i="27"/>
  <c r="D86" i="27"/>
  <c r="C86" i="27"/>
  <c r="B86" i="27"/>
  <c r="G83" i="27"/>
  <c r="F83" i="27"/>
  <c r="E83" i="27"/>
  <c r="D83" i="27"/>
  <c r="C83" i="27"/>
  <c r="B83" i="27"/>
  <c r="G82" i="27"/>
  <c r="F82" i="27"/>
  <c r="E82" i="27"/>
  <c r="D82" i="27"/>
  <c r="C82" i="27"/>
  <c r="B82" i="27"/>
  <c r="G75" i="27"/>
  <c r="H75" i="27" s="1"/>
  <c r="I75" i="27" s="1"/>
  <c r="J75" i="27" s="1"/>
  <c r="K75" i="27" s="1"/>
  <c r="F75" i="27"/>
  <c r="E75" i="27"/>
  <c r="D75" i="27"/>
  <c r="C75" i="27"/>
  <c r="B75" i="27"/>
  <c r="G74" i="27"/>
  <c r="F74" i="27"/>
  <c r="E74" i="27"/>
  <c r="D74" i="27"/>
  <c r="C74" i="27"/>
  <c r="B74" i="27"/>
  <c r="G72" i="27"/>
  <c r="F72" i="27"/>
  <c r="E72" i="27"/>
  <c r="D72" i="27"/>
  <c r="C72" i="27"/>
  <c r="B72" i="27"/>
  <c r="G70" i="27"/>
  <c r="F70" i="27"/>
  <c r="E70" i="27"/>
  <c r="D70" i="27"/>
  <c r="C70" i="27"/>
  <c r="B70" i="27"/>
  <c r="G67" i="27"/>
  <c r="H67" i="27" s="1"/>
  <c r="I67" i="27" s="1"/>
  <c r="J67" i="27" s="1"/>
  <c r="K67" i="27" s="1"/>
  <c r="F67" i="27"/>
  <c r="E67" i="27"/>
  <c r="D67" i="27"/>
  <c r="C67" i="27"/>
  <c r="B67" i="27"/>
  <c r="G66" i="27"/>
  <c r="F66" i="27"/>
  <c r="E66" i="27"/>
  <c r="D66" i="27"/>
  <c r="C66" i="27"/>
  <c r="B66" i="27"/>
  <c r="G63" i="27"/>
  <c r="F63" i="27"/>
  <c r="E63" i="27"/>
  <c r="D63" i="27"/>
  <c r="C63" i="27"/>
  <c r="B63" i="27"/>
  <c r="G62" i="27"/>
  <c r="F62" i="27"/>
  <c r="E62" i="27"/>
  <c r="D62" i="27"/>
  <c r="C62" i="27"/>
  <c r="B62" i="27"/>
  <c r="G61" i="27"/>
  <c r="F61" i="27"/>
  <c r="E61" i="27"/>
  <c r="D61" i="27"/>
  <c r="C61" i="27"/>
  <c r="B61" i="27"/>
  <c r="G58" i="27"/>
  <c r="H58" i="27" s="1"/>
  <c r="I58" i="27" s="1"/>
  <c r="J58" i="27" s="1"/>
  <c r="K58" i="27" s="1"/>
  <c r="F58" i="27"/>
  <c r="E58" i="27"/>
  <c r="D58" i="27"/>
  <c r="C58" i="27"/>
  <c r="B58" i="27"/>
  <c r="G57" i="27"/>
  <c r="F57" i="27"/>
  <c r="E57" i="27"/>
  <c r="D57" i="27"/>
  <c r="C57" i="27"/>
  <c r="B57" i="27"/>
  <c r="G56" i="27"/>
  <c r="H56" i="27" s="1"/>
  <c r="I56" i="27" s="1"/>
  <c r="J56" i="27" s="1"/>
  <c r="K56" i="27" s="1"/>
  <c r="F56" i="27"/>
  <c r="E56" i="27"/>
  <c r="D56" i="27"/>
  <c r="C56" i="27"/>
  <c r="B56" i="27"/>
  <c r="G55" i="27"/>
  <c r="F55" i="27"/>
  <c r="E55" i="27"/>
  <c r="D55" i="27"/>
  <c r="C55" i="27"/>
  <c r="B55" i="27"/>
  <c r="G52" i="27"/>
  <c r="F52" i="27"/>
  <c r="E52" i="27"/>
  <c r="D52" i="27"/>
  <c r="C52" i="27"/>
  <c r="B52" i="27"/>
  <c r="G49" i="27"/>
  <c r="F49" i="27"/>
  <c r="E49" i="27"/>
  <c r="D49" i="27"/>
  <c r="C49" i="27"/>
  <c r="B49" i="27"/>
  <c r="G48" i="27"/>
  <c r="F48" i="27"/>
  <c r="E48" i="27"/>
  <c r="D48" i="27"/>
  <c r="C48" i="27"/>
  <c r="B48" i="27"/>
  <c r="G47" i="27"/>
  <c r="F47" i="27"/>
  <c r="E47" i="27"/>
  <c r="D47" i="27"/>
  <c r="C47" i="27"/>
  <c r="B47" i="27"/>
  <c r="G46" i="27"/>
  <c r="F46" i="27"/>
  <c r="E46" i="27"/>
  <c r="D46" i="27"/>
  <c r="C46" i="27"/>
  <c r="B46" i="27"/>
  <c r="U43" i="27"/>
  <c r="M41" i="27"/>
  <c r="G39" i="27"/>
  <c r="F39" i="27"/>
  <c r="E39" i="27"/>
  <c r="D39" i="27"/>
  <c r="C39" i="27"/>
  <c r="B39" i="27"/>
  <c r="U38" i="27"/>
  <c r="M36" i="27"/>
  <c r="G36" i="27"/>
  <c r="F36" i="27"/>
  <c r="E36" i="27"/>
  <c r="D36" i="27"/>
  <c r="C36" i="27"/>
  <c r="B36" i="27"/>
  <c r="M35" i="27"/>
  <c r="G35" i="27"/>
  <c r="F35" i="27"/>
  <c r="E35" i="27"/>
  <c r="D35" i="27"/>
  <c r="M34" i="27"/>
  <c r="G34" i="27"/>
  <c r="F34" i="27"/>
  <c r="E34" i="27"/>
  <c r="D34" i="27"/>
  <c r="M33" i="27"/>
  <c r="G33" i="27"/>
  <c r="F33" i="27"/>
  <c r="E33" i="27"/>
  <c r="D33" i="27"/>
  <c r="C33" i="27"/>
  <c r="B33" i="27"/>
  <c r="M32" i="27"/>
  <c r="G32" i="27"/>
  <c r="F32" i="27"/>
  <c r="E32" i="27"/>
  <c r="D32" i="27"/>
  <c r="C32" i="27"/>
  <c r="B32" i="27"/>
  <c r="M30" i="27"/>
  <c r="G30" i="27"/>
  <c r="F30" i="27"/>
  <c r="E30" i="27"/>
  <c r="D30" i="27"/>
  <c r="C30" i="27"/>
  <c r="B30" i="27"/>
  <c r="U29" i="27"/>
  <c r="T27" i="27"/>
  <c r="U27" i="27" s="1"/>
  <c r="M27" i="27"/>
  <c r="M26" i="27"/>
  <c r="G26" i="27"/>
  <c r="F26" i="27"/>
  <c r="E26" i="27"/>
  <c r="D26" i="27"/>
  <c r="C26" i="27"/>
  <c r="B26" i="27"/>
  <c r="M25" i="27"/>
  <c r="M24" i="27"/>
  <c r="G24" i="27"/>
  <c r="F24" i="27"/>
  <c r="E24" i="27"/>
  <c r="D24" i="27"/>
  <c r="C24" i="27"/>
  <c r="B24" i="27"/>
  <c r="U21" i="27"/>
  <c r="T19" i="27"/>
  <c r="U19" i="27" s="1"/>
  <c r="M19" i="27"/>
  <c r="T18" i="27"/>
  <c r="U18" i="27" s="1"/>
  <c r="M18" i="27"/>
  <c r="M17" i="27"/>
  <c r="M16" i="27"/>
  <c r="M15" i="27"/>
  <c r="M14" i="27"/>
  <c r="U13" i="27"/>
  <c r="T11" i="27"/>
  <c r="U11" i="27" s="1"/>
  <c r="M11" i="27"/>
  <c r="K11" i="27"/>
  <c r="M10" i="27"/>
  <c r="G10" i="27"/>
  <c r="F10" i="27"/>
  <c r="E10" i="27"/>
  <c r="D10" i="27"/>
  <c r="C10" i="27"/>
  <c r="B10" i="27"/>
  <c r="M9" i="27"/>
  <c r="G9" i="27"/>
  <c r="F9" i="27"/>
  <c r="E9" i="27"/>
  <c r="D9" i="27"/>
  <c r="C9" i="27"/>
  <c r="B9" i="27"/>
  <c r="M8" i="27"/>
  <c r="G8" i="27"/>
  <c r="F8" i="27"/>
  <c r="E8" i="27"/>
  <c r="D8" i="27"/>
  <c r="C8" i="27"/>
  <c r="B8" i="27"/>
  <c r="M7" i="27"/>
  <c r="U4" i="27"/>
  <c r="T4" i="27"/>
  <c r="S4" i="27"/>
  <c r="R4" i="27"/>
  <c r="Q4" i="27"/>
  <c r="P4" i="27"/>
  <c r="O4" i="27"/>
  <c r="N4" i="27"/>
  <c r="U3" i="27"/>
  <c r="T3" i="27"/>
  <c r="R3" i="27"/>
  <c r="Q3" i="27"/>
  <c r="P3" i="27"/>
  <c r="O3" i="27"/>
  <c r="N3" i="27"/>
  <c r="AB51" i="22"/>
  <c r="AB53" i="22"/>
  <c r="AB54" i="22"/>
  <c r="AB56" i="22"/>
  <c r="CW56" i="22" s="1"/>
  <c r="CU53" i="22"/>
  <c r="CV53" i="22"/>
  <c r="CU54" i="22"/>
  <c r="CV54" i="22"/>
  <c r="CU56" i="22"/>
  <c r="CV56" i="22"/>
  <c r="F56" i="22"/>
  <c r="Y56" i="22" s="1"/>
  <c r="CT56" i="22" s="1"/>
  <c r="F54" i="22"/>
  <c r="Y54" i="22" s="1"/>
  <c r="CT54" i="22" s="1"/>
  <c r="F53" i="22"/>
  <c r="Y53" i="22" s="1"/>
  <c r="CT53" i="22" s="1"/>
  <c r="F51" i="22"/>
  <c r="BL74" i="22"/>
  <c r="H414" i="14" s="1"/>
  <c r="AG29" i="1"/>
  <c r="AH29" i="1"/>
  <c r="BF213"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00" i="4"/>
  <c r="F528" i="11"/>
  <c r="F538" i="11" s="1"/>
  <c r="F561" i="11" s="1"/>
  <c r="F502" i="11"/>
  <c r="F514" i="11" s="1"/>
  <c r="E528" i="11"/>
  <c r="E538" i="11" s="1"/>
  <c r="E561" i="11" s="1"/>
  <c r="D528" i="11"/>
  <c r="D538" i="11" s="1"/>
  <c r="D561" i="11" s="1"/>
  <c r="E502" i="11"/>
  <c r="E514" i="11" s="1"/>
  <c r="D502" i="11"/>
  <c r="D514" i="11" s="1"/>
  <c r="AO5" i="1"/>
  <c r="AN3" i="1"/>
  <c r="Z70" i="22"/>
  <c r="AA70" i="22"/>
  <c r="AB70" i="22"/>
  <c r="X66" i="22"/>
  <c r="Y66" i="22"/>
  <c r="CT66" i="22" s="1"/>
  <c r="AA66" i="22"/>
  <c r="AB66" i="22"/>
  <c r="W66" i="22"/>
  <c r="Y70" i="1"/>
  <c r="Z70" i="1"/>
  <c r="AA70" i="1"/>
  <c r="AB70" i="1"/>
  <c r="AC70" i="1"/>
  <c r="AD70" i="1"/>
  <c r="AE70" i="1"/>
  <c r="Y71" i="1"/>
  <c r="Z71" i="1"/>
  <c r="AA71" i="1"/>
  <c r="AB71" i="1"/>
  <c r="AC71" i="1"/>
  <c r="AD71" i="1"/>
  <c r="AE71" i="1"/>
  <c r="AF71" i="1"/>
  <c r="Y72" i="1"/>
  <c r="Z72" i="1"/>
  <c r="AA72" i="1"/>
  <c r="AB72" i="1"/>
  <c r="AC72" i="1"/>
  <c r="AD72" i="1"/>
  <c r="AE72" i="1"/>
  <c r="AF72" i="1"/>
  <c r="AG72" i="1"/>
  <c r="AH72" i="1"/>
  <c r="Y73" i="1"/>
  <c r="Z73" i="1"/>
  <c r="AA73" i="1"/>
  <c r="AB73" i="1"/>
  <c r="AC73" i="1"/>
  <c r="AD73" i="1"/>
  <c r="AE73" i="1"/>
  <c r="AF73" i="1"/>
  <c r="AG73" i="1"/>
  <c r="AH73" i="1"/>
  <c r="AF75" i="2"/>
  <c r="AG75" i="2"/>
  <c r="AH75" i="2"/>
  <c r="AI75" i="2"/>
  <c r="G94" i="20"/>
  <c r="P94" i="20" s="1"/>
  <c r="C104" i="20"/>
  <c r="D104" i="20"/>
  <c r="E104" i="20"/>
  <c r="F104" i="20"/>
  <c r="G104" i="20"/>
  <c r="C105" i="20"/>
  <c r="D105" i="20"/>
  <c r="E105" i="20"/>
  <c r="G105" i="20"/>
  <c r="B105" i="20"/>
  <c r="B104" i="20"/>
  <c r="C70" i="20"/>
  <c r="D70" i="20"/>
  <c r="E70" i="20"/>
  <c r="F70" i="20"/>
  <c r="G70" i="20"/>
  <c r="C25" i="36" s="1"/>
  <c r="C72" i="20"/>
  <c r="D72" i="20"/>
  <c r="E72" i="20"/>
  <c r="F72" i="20"/>
  <c r="G72" i="20"/>
  <c r="C74" i="20"/>
  <c r="D74" i="20"/>
  <c r="E74" i="20"/>
  <c r="F74" i="20"/>
  <c r="G74" i="20"/>
  <c r="C75" i="20"/>
  <c r="D75" i="20"/>
  <c r="E75" i="20"/>
  <c r="F75" i="20"/>
  <c r="G75" i="20"/>
  <c r="H75" i="20" s="1"/>
  <c r="I75" i="20" s="1"/>
  <c r="J75" i="20" s="1"/>
  <c r="K75" i="20" s="1"/>
  <c r="B75" i="20"/>
  <c r="B72" i="20"/>
  <c r="B74" i="20"/>
  <c r="B70" i="20"/>
  <c r="C66" i="20"/>
  <c r="D66" i="20"/>
  <c r="E66" i="20"/>
  <c r="N66" i="20" s="1"/>
  <c r="F66" i="20"/>
  <c r="O66" i="20" s="1"/>
  <c r="G66" i="20"/>
  <c r="C67" i="20"/>
  <c r="D67" i="20"/>
  <c r="E67" i="20"/>
  <c r="F67" i="20"/>
  <c r="G67" i="20"/>
  <c r="C23" i="36" s="1"/>
  <c r="B67" i="20"/>
  <c r="B66" i="20"/>
  <c r="E327" i="11"/>
  <c r="F327" i="11"/>
  <c r="G327" i="11"/>
  <c r="I327" i="11"/>
  <c r="C61" i="20"/>
  <c r="D61" i="20"/>
  <c r="E61" i="20"/>
  <c r="F61" i="20"/>
  <c r="G61" i="20"/>
  <c r="C62" i="20"/>
  <c r="D62" i="20"/>
  <c r="E62" i="20"/>
  <c r="F62" i="20"/>
  <c r="G62" i="20"/>
  <c r="C63" i="20"/>
  <c r="D63" i="20"/>
  <c r="E63" i="20"/>
  <c r="F63" i="20"/>
  <c r="G63" i="20"/>
  <c r="B63" i="20"/>
  <c r="B62" i="20"/>
  <c r="B61" i="20"/>
  <c r="C52" i="20"/>
  <c r="D52" i="20"/>
  <c r="E52" i="20"/>
  <c r="F52" i="20"/>
  <c r="G52" i="20"/>
  <c r="C55" i="20"/>
  <c r="D55" i="20"/>
  <c r="E55" i="20"/>
  <c r="F55" i="20"/>
  <c r="G55" i="20"/>
  <c r="C56" i="20"/>
  <c r="D56" i="20"/>
  <c r="E56" i="20"/>
  <c r="F56" i="20"/>
  <c r="G56" i="20"/>
  <c r="C13" i="36" s="1"/>
  <c r="C57" i="20"/>
  <c r="D57" i="20"/>
  <c r="E57" i="20"/>
  <c r="F57" i="20"/>
  <c r="G57" i="20"/>
  <c r="C58" i="20"/>
  <c r="D58" i="20"/>
  <c r="E58" i="20"/>
  <c r="F58" i="20"/>
  <c r="G58" i="20"/>
  <c r="C15" i="36" s="1"/>
  <c r="B57" i="20"/>
  <c r="B58" i="20"/>
  <c r="B55" i="20"/>
  <c r="B56" i="20"/>
  <c r="B52" i="20"/>
  <c r="C46" i="20"/>
  <c r="D46" i="20"/>
  <c r="E46" i="20"/>
  <c r="F46" i="20"/>
  <c r="G46" i="20"/>
  <c r="C47" i="20"/>
  <c r="D47" i="20"/>
  <c r="E47" i="20"/>
  <c r="F47" i="20"/>
  <c r="G47" i="20"/>
  <c r="C48" i="20"/>
  <c r="D48" i="20"/>
  <c r="E48" i="20"/>
  <c r="F48" i="20"/>
  <c r="G48" i="20"/>
  <c r="C49" i="20"/>
  <c r="D49" i="20"/>
  <c r="E49" i="20"/>
  <c r="F49" i="20"/>
  <c r="B49" i="20"/>
  <c r="B48" i="20"/>
  <c r="B47" i="20"/>
  <c r="B46" i="20"/>
  <c r="B113" i="20" s="1"/>
  <c r="C109" i="20"/>
  <c r="D109" i="20"/>
  <c r="E109" i="20"/>
  <c r="F109" i="20"/>
  <c r="G109" i="20"/>
  <c r="B109" i="20"/>
  <c r="C103" i="20"/>
  <c r="D103" i="20"/>
  <c r="E103" i="20"/>
  <c r="F103" i="20"/>
  <c r="G103" i="20"/>
  <c r="C107" i="20"/>
  <c r="D107" i="20"/>
  <c r="E107" i="20"/>
  <c r="F107" i="20"/>
  <c r="G107" i="20"/>
  <c r="K107" i="20" s="1"/>
  <c r="B107" i="20"/>
  <c r="B103" i="20"/>
  <c r="C97" i="20"/>
  <c r="D97" i="20"/>
  <c r="E97" i="20"/>
  <c r="F97" i="20"/>
  <c r="G97" i="20"/>
  <c r="C99" i="20"/>
  <c r="D99" i="20"/>
  <c r="E99" i="20"/>
  <c r="N99" i="20" s="1"/>
  <c r="F99" i="20"/>
  <c r="O99" i="20" s="1"/>
  <c r="G99" i="20"/>
  <c r="P99" i="20" s="1"/>
  <c r="Q99" i="20" s="1"/>
  <c r="R99" i="20" s="1"/>
  <c r="S99" i="20" s="1"/>
  <c r="T99" i="20" s="1"/>
  <c r="U99" i="20" s="1"/>
  <c r="C100" i="20"/>
  <c r="D100" i="20"/>
  <c r="E100" i="20"/>
  <c r="F100" i="20"/>
  <c r="G100" i="20"/>
  <c r="B100" i="20"/>
  <c r="B99" i="20"/>
  <c r="B97" i="20"/>
  <c r="C82" i="20"/>
  <c r="D82" i="20"/>
  <c r="E82" i="20"/>
  <c r="F82" i="20"/>
  <c r="G82" i="20"/>
  <c r="C83" i="20"/>
  <c r="D83" i="20"/>
  <c r="E83" i="20"/>
  <c r="F83" i="20"/>
  <c r="G83" i="20"/>
  <c r="C86" i="20"/>
  <c r="D86" i="20"/>
  <c r="E86" i="20"/>
  <c r="F86" i="20"/>
  <c r="G86" i="20"/>
  <c r="C87" i="20"/>
  <c r="D87" i="20"/>
  <c r="E87" i="20"/>
  <c r="F87" i="20"/>
  <c r="G87" i="20"/>
  <c r="C89" i="20"/>
  <c r="D89" i="20"/>
  <c r="E89" i="20"/>
  <c r="F89" i="20"/>
  <c r="G89" i="20"/>
  <c r="C90" i="20"/>
  <c r="D90" i="20"/>
  <c r="E90" i="20"/>
  <c r="F90" i="20"/>
  <c r="G90" i="20"/>
  <c r="C93" i="20"/>
  <c r="D93" i="20"/>
  <c r="E93" i="20"/>
  <c r="F93" i="20"/>
  <c r="G93" i="20"/>
  <c r="C94" i="20"/>
  <c r="D94" i="20"/>
  <c r="E94" i="20"/>
  <c r="N94" i="20" s="1"/>
  <c r="F94" i="20"/>
  <c r="O94" i="20" s="1"/>
  <c r="B94" i="20"/>
  <c r="B93" i="20"/>
  <c r="B90" i="20"/>
  <c r="B89" i="20"/>
  <c r="B87" i="20"/>
  <c r="B86" i="20"/>
  <c r="B83" i="20"/>
  <c r="B82" i="20"/>
  <c r="DF46" i="22"/>
  <c r="DA46" i="22"/>
  <c r="DB46" i="22" s="1"/>
  <c r="DC46" i="22" s="1"/>
  <c r="DI46" i="22" s="1"/>
  <c r="CY46" i="22"/>
  <c r="DE46" i="22" s="1"/>
  <c r="DI42" i="22"/>
  <c r="K99" i="14"/>
  <c r="K103" i="14"/>
  <c r="K104" i="14"/>
  <c r="DF42" i="22"/>
  <c r="DG42" i="22"/>
  <c r="DH42" i="22"/>
  <c r="CR46" i="22"/>
  <c r="CS46" i="22"/>
  <c r="CS45" i="22"/>
  <c r="CT45" i="22"/>
  <c r="CU45" i="22"/>
  <c r="CV45" i="22"/>
  <c r="CW45" i="22"/>
  <c r="CR45" i="22"/>
  <c r="F34" i="1"/>
  <c r="G34" i="1"/>
  <c r="H34" i="1"/>
  <c r="I34" i="1"/>
  <c r="J34" i="1"/>
  <c r="K34" i="1"/>
  <c r="L34" i="1"/>
  <c r="M34" i="1"/>
  <c r="N34" i="1"/>
  <c r="E34" i="1"/>
  <c r="Z17" i="1"/>
  <c r="AA17" i="1"/>
  <c r="AB17" i="1"/>
  <c r="AC17" i="1"/>
  <c r="AD17" i="1"/>
  <c r="Y17" i="1"/>
  <c r="U17" i="1"/>
  <c r="W17" i="1"/>
  <c r="X17" i="1"/>
  <c r="V17" i="1"/>
  <c r="BH8" i="1"/>
  <c r="AN8" i="1" s="1"/>
  <c r="AP12" i="1"/>
  <c r="AQ12" i="1" s="1"/>
  <c r="AR12" i="1" s="1"/>
  <c r="AQ10" i="1"/>
  <c r="AR10" i="1" s="1"/>
  <c r="AQ13" i="1"/>
  <c r="AR13" i="1" s="1"/>
  <c r="T9" i="1"/>
  <c r="F80" i="14"/>
  <c r="BL9" i="1"/>
  <c r="CD9" i="1" s="1"/>
  <c r="CR26" i="22"/>
  <c r="CW26" i="22"/>
  <c r="CW29" i="22"/>
  <c r="CW30" i="22"/>
  <c r="CW31" i="22"/>
  <c r="CW32" i="22"/>
  <c r="CW33" i="22"/>
  <c r="CW34" i="22"/>
  <c r="CW35" i="22"/>
  <c r="CW36" i="22"/>
  <c r="CW37" i="22"/>
  <c r="BK4" i="1"/>
  <c r="BK3" i="1"/>
  <c r="AH3" i="1"/>
  <c r="AH5" i="1"/>
  <c r="AH8" i="1"/>
  <c r="AH9" i="1"/>
  <c r="AH27" i="1"/>
  <c r="AH28" i="1"/>
  <c r="X30" i="1"/>
  <c r="X6" i="1"/>
  <c r="AH6" i="1" s="1"/>
  <c r="X7" i="1"/>
  <c r="X10" i="1"/>
  <c r="X12" i="1"/>
  <c r="AH12" i="1" s="1"/>
  <c r="X13" i="1"/>
  <c r="X14" i="1"/>
  <c r="AH14" i="1" s="1"/>
  <c r="X15" i="1"/>
  <c r="AH15" i="1" s="1"/>
  <c r="X16" i="1"/>
  <c r="AH16" i="1" s="1"/>
  <c r="X18" i="1"/>
  <c r="AH18" i="1" s="1"/>
  <c r="X19" i="1"/>
  <c r="AH19" i="1" s="1"/>
  <c r="X20" i="1"/>
  <c r="X21" i="1"/>
  <c r="X22" i="1"/>
  <c r="X23" i="1"/>
  <c r="X24" i="1"/>
  <c r="X25" i="1"/>
  <c r="E99" i="14"/>
  <c r="D99" i="14"/>
  <c r="D104" i="14"/>
  <c r="B91" i="14"/>
  <c r="C91" i="14"/>
  <c r="N26" i="1"/>
  <c r="E133" i="25"/>
  <c r="F133" i="25"/>
  <c r="G133" i="25"/>
  <c r="I133" i="25"/>
  <c r="J102" i="25"/>
  <c r="D88" i="25"/>
  <c r="E88" i="25"/>
  <c r="F88" i="25"/>
  <c r="G88" i="25"/>
  <c r="Q88" i="25" s="1"/>
  <c r="H88" i="25"/>
  <c r="I88" i="25"/>
  <c r="C88" i="25"/>
  <c r="D85" i="25"/>
  <c r="E85" i="25"/>
  <c r="F85" i="25"/>
  <c r="G85" i="25"/>
  <c r="Q85" i="25" s="1"/>
  <c r="H85" i="25"/>
  <c r="I85" i="25"/>
  <c r="C85" i="25"/>
  <c r="J77" i="25"/>
  <c r="K77" i="25"/>
  <c r="L77" i="25"/>
  <c r="K27" i="25"/>
  <c r="L27" i="25"/>
  <c r="K32" i="25"/>
  <c r="F48" i="26" s="1"/>
  <c r="L32" i="25"/>
  <c r="G48" i="26" s="1"/>
  <c r="K98" i="25"/>
  <c r="L98" i="25"/>
  <c r="K99" i="25"/>
  <c r="L99" i="25"/>
  <c r="K102" i="25"/>
  <c r="L102" i="25"/>
  <c r="E142" i="11"/>
  <c r="C160" i="11"/>
  <c r="C87" i="25"/>
  <c r="D142" i="11"/>
  <c r="C142" i="11"/>
  <c r="F142" i="11"/>
  <c r="G142" i="11"/>
  <c r="I142" i="11"/>
  <c r="J142" i="11"/>
  <c r="E185" i="11"/>
  <c r="F185" i="11"/>
  <c r="G185" i="11"/>
  <c r="I185" i="11"/>
  <c r="J185" i="11"/>
  <c r="C185" i="11"/>
  <c r="K15" i="26"/>
  <c r="L15" i="26"/>
  <c r="C93" i="25"/>
  <c r="C91" i="25"/>
  <c r="I87" i="25"/>
  <c r="H87" i="25"/>
  <c r="I86" i="25"/>
  <c r="H86" i="25"/>
  <c r="I84" i="25"/>
  <c r="H84" i="25"/>
  <c r="I78" i="25"/>
  <c r="H78" i="25"/>
  <c r="I102" i="25"/>
  <c r="H102" i="25"/>
  <c r="I100" i="25"/>
  <c r="S100" i="25" s="1"/>
  <c r="T100" i="25" s="1"/>
  <c r="H100" i="25"/>
  <c r="R100" i="25" s="1"/>
  <c r="I99" i="25"/>
  <c r="S99" i="25" s="1"/>
  <c r="T99" i="25" s="1"/>
  <c r="J99" i="25" s="1"/>
  <c r="H99" i="25"/>
  <c r="R99" i="25" s="1"/>
  <c r="I98" i="25"/>
  <c r="S98" i="25" s="1"/>
  <c r="H98" i="25"/>
  <c r="R98" i="25" s="1"/>
  <c r="I97" i="25"/>
  <c r="L19" i="26" s="1"/>
  <c r="H97" i="25"/>
  <c r="K19" i="26" s="1"/>
  <c r="C134" i="25"/>
  <c r="D134" i="25"/>
  <c r="D63" i="15"/>
  <c r="E63" i="15"/>
  <c r="F63" i="15"/>
  <c r="G63" i="15"/>
  <c r="C63" i="15"/>
  <c r="D68" i="15"/>
  <c r="E68" i="15"/>
  <c r="F68" i="15"/>
  <c r="G68" i="15"/>
  <c r="C68" i="15"/>
  <c r="D69" i="15"/>
  <c r="E69" i="15"/>
  <c r="F69" i="15"/>
  <c r="G69" i="15"/>
  <c r="C69" i="15"/>
  <c r="D70" i="15"/>
  <c r="E70" i="15"/>
  <c r="F70" i="15"/>
  <c r="G70" i="15"/>
  <c r="C70" i="15"/>
  <c r="H80" i="25"/>
  <c r="K6" i="26" s="1"/>
  <c r="I80" i="25"/>
  <c r="L6" i="26" s="1"/>
  <c r="H81" i="25"/>
  <c r="K7" i="26" s="1"/>
  <c r="I81" i="25"/>
  <c r="L7" i="26" s="1"/>
  <c r="H83" i="25"/>
  <c r="K9" i="26" s="1"/>
  <c r="I83" i="25"/>
  <c r="L9" i="26" s="1"/>
  <c r="G81" i="11"/>
  <c r="H76" i="25"/>
  <c r="K5" i="26" s="1"/>
  <c r="I76" i="25"/>
  <c r="L5" i="26" s="1"/>
  <c r="F93" i="11"/>
  <c r="D42" i="25"/>
  <c r="E42" i="25"/>
  <c r="F42" i="25"/>
  <c r="G42" i="25"/>
  <c r="D43" i="25"/>
  <c r="E43" i="25"/>
  <c r="F43" i="25"/>
  <c r="G43" i="25"/>
  <c r="H43" i="25"/>
  <c r="C6" i="26" s="1"/>
  <c r="I43" i="25"/>
  <c r="D6" i="26" s="1"/>
  <c r="D44" i="25"/>
  <c r="E44" i="25"/>
  <c r="F44" i="25"/>
  <c r="G44" i="25"/>
  <c r="H44" i="25"/>
  <c r="C7" i="26" s="1"/>
  <c r="I44" i="25"/>
  <c r="D7" i="26" s="1"/>
  <c r="D45" i="25"/>
  <c r="D82" i="25" s="1"/>
  <c r="E45" i="25"/>
  <c r="E82" i="25" s="1"/>
  <c r="F45" i="25"/>
  <c r="F82" i="25" s="1"/>
  <c r="G45" i="25"/>
  <c r="H45" i="25"/>
  <c r="I45" i="25"/>
  <c r="D50" i="25"/>
  <c r="E50" i="25"/>
  <c r="F50" i="25"/>
  <c r="G50" i="25"/>
  <c r="H50" i="25"/>
  <c r="C12" i="26" s="1"/>
  <c r="I50" i="25"/>
  <c r="D51" i="25"/>
  <c r="E51" i="25"/>
  <c r="F51" i="25"/>
  <c r="G51" i="25"/>
  <c r="H51" i="25"/>
  <c r="C13" i="26" s="1"/>
  <c r="I51" i="25"/>
  <c r="D52" i="25"/>
  <c r="E52" i="25"/>
  <c r="F52" i="25"/>
  <c r="G52" i="25"/>
  <c r="H52" i="25"/>
  <c r="C14" i="26" s="1"/>
  <c r="I52" i="25"/>
  <c r="D14" i="26" s="1"/>
  <c r="D53" i="25"/>
  <c r="E53" i="25"/>
  <c r="F53" i="25"/>
  <c r="G53" i="25"/>
  <c r="H53" i="25"/>
  <c r="C15" i="26" s="1"/>
  <c r="I53" i="25"/>
  <c r="D15" i="26" s="1"/>
  <c r="D54" i="25"/>
  <c r="E54" i="25"/>
  <c r="F54" i="25"/>
  <c r="G54" i="25"/>
  <c r="H54" i="25"/>
  <c r="I54" i="25"/>
  <c r="D48" i="25"/>
  <c r="E48" i="25"/>
  <c r="F48" i="25"/>
  <c r="G48" i="25"/>
  <c r="H48" i="25"/>
  <c r="C10" i="26" s="1"/>
  <c r="I48" i="25"/>
  <c r="D10" i="26" s="1"/>
  <c r="D57" i="25"/>
  <c r="E57" i="25"/>
  <c r="F57" i="25"/>
  <c r="G57" i="25"/>
  <c r="H57" i="25"/>
  <c r="C18" i="26" s="1"/>
  <c r="I57" i="25"/>
  <c r="D18" i="26" s="1"/>
  <c r="D58" i="25"/>
  <c r="E58" i="25"/>
  <c r="F58" i="25"/>
  <c r="G58" i="25"/>
  <c r="H58" i="25"/>
  <c r="C19" i="26" s="1"/>
  <c r="I58" i="25"/>
  <c r="D19" i="26" s="1"/>
  <c r="D59" i="25"/>
  <c r="E59" i="25"/>
  <c r="F59" i="25"/>
  <c r="G59" i="25"/>
  <c r="H59" i="25"/>
  <c r="C20" i="26" s="1"/>
  <c r="I59" i="25"/>
  <c r="D20" i="26" s="1"/>
  <c r="F62" i="25"/>
  <c r="G62" i="25"/>
  <c r="H62" i="25"/>
  <c r="I62" i="25"/>
  <c r="F63" i="25"/>
  <c r="G63" i="25"/>
  <c r="H63" i="25"/>
  <c r="C23" i="26" s="1"/>
  <c r="I63" i="25"/>
  <c r="F66" i="25"/>
  <c r="G66" i="25"/>
  <c r="H66" i="25"/>
  <c r="C25" i="26" s="1"/>
  <c r="I66" i="25"/>
  <c r="F68" i="25"/>
  <c r="G68" i="25"/>
  <c r="H68" i="25"/>
  <c r="C27" i="26" s="1"/>
  <c r="I68" i="25"/>
  <c r="F69" i="25"/>
  <c r="G69" i="25"/>
  <c r="H69" i="25"/>
  <c r="C28" i="26" s="1"/>
  <c r="I69" i="25"/>
  <c r="D28" i="26" s="1"/>
  <c r="F70" i="25"/>
  <c r="G70" i="25"/>
  <c r="H70" i="25"/>
  <c r="C29" i="26" s="1"/>
  <c r="I70" i="25"/>
  <c r="D29" i="26" s="1"/>
  <c r="D69" i="25"/>
  <c r="E69" i="25"/>
  <c r="C69" i="25"/>
  <c r="K98" i="15"/>
  <c r="L98" i="15"/>
  <c r="K100" i="15"/>
  <c r="L100" i="15"/>
  <c r="K93" i="15"/>
  <c r="L93" i="15"/>
  <c r="K94" i="15"/>
  <c r="L94" i="15"/>
  <c r="K77" i="15"/>
  <c r="L77" i="15"/>
  <c r="D93" i="11"/>
  <c r="E93" i="11"/>
  <c r="G93" i="11"/>
  <c r="I93" i="11"/>
  <c r="J93" i="11"/>
  <c r="D67" i="11"/>
  <c r="E67" i="11"/>
  <c r="F67" i="11"/>
  <c r="G67" i="11"/>
  <c r="I67" i="11"/>
  <c r="J67" i="11"/>
  <c r="C67" i="11"/>
  <c r="C93" i="11"/>
  <c r="D81" i="11"/>
  <c r="E81" i="11"/>
  <c r="F81" i="11"/>
  <c r="I81" i="11"/>
  <c r="J81" i="11"/>
  <c r="C81" i="11"/>
  <c r="D70" i="25"/>
  <c r="E70" i="25"/>
  <c r="D68" i="25"/>
  <c r="E68" i="25"/>
  <c r="C68" i="25"/>
  <c r="D62" i="25"/>
  <c r="E62" i="25"/>
  <c r="D63" i="25"/>
  <c r="E63" i="25"/>
  <c r="C63" i="25"/>
  <c r="L32" i="15"/>
  <c r="C52" i="25"/>
  <c r="C48" i="25"/>
  <c r="C51" i="25"/>
  <c r="C50" i="25"/>
  <c r="J44" i="11"/>
  <c r="I42" i="25" s="1"/>
  <c r="D5" i="26" s="1"/>
  <c r="I44" i="11"/>
  <c r="H42" i="25" s="1"/>
  <c r="C5" i="26" s="1"/>
  <c r="G102" i="25"/>
  <c r="F102" i="25"/>
  <c r="E102" i="25"/>
  <c r="D102" i="25"/>
  <c r="C102" i="25"/>
  <c r="G100" i="25"/>
  <c r="F100" i="25"/>
  <c r="E100" i="25"/>
  <c r="D100" i="25"/>
  <c r="C100" i="25"/>
  <c r="G99" i="25"/>
  <c r="F99" i="25"/>
  <c r="E99" i="25"/>
  <c r="D99" i="25"/>
  <c r="C99" i="25"/>
  <c r="J98" i="25"/>
  <c r="G98" i="25"/>
  <c r="F98" i="25"/>
  <c r="E98" i="25"/>
  <c r="D98" i="25"/>
  <c r="C98" i="25"/>
  <c r="G97" i="25"/>
  <c r="F97" i="25"/>
  <c r="E97" i="25"/>
  <c r="D97" i="25"/>
  <c r="C97" i="25"/>
  <c r="G87" i="25"/>
  <c r="F87" i="25"/>
  <c r="E87" i="25"/>
  <c r="D87" i="25"/>
  <c r="G86" i="25"/>
  <c r="Q86" i="25" s="1"/>
  <c r="F86" i="25"/>
  <c r="E86" i="25"/>
  <c r="D86" i="25"/>
  <c r="C86" i="25"/>
  <c r="G84" i="25"/>
  <c r="F84" i="25"/>
  <c r="E84" i="25"/>
  <c r="D84" i="25"/>
  <c r="C84" i="25"/>
  <c r="G83" i="25"/>
  <c r="F83" i="25"/>
  <c r="E83" i="25"/>
  <c r="D83" i="25"/>
  <c r="C83" i="25"/>
  <c r="G81" i="25"/>
  <c r="F81" i="25"/>
  <c r="E81" i="25"/>
  <c r="D81" i="25"/>
  <c r="C81" i="25"/>
  <c r="G80" i="25"/>
  <c r="F80" i="25"/>
  <c r="E80" i="25"/>
  <c r="D80" i="25"/>
  <c r="C80" i="25"/>
  <c r="G78" i="25"/>
  <c r="F78" i="25"/>
  <c r="E78" i="25"/>
  <c r="D78" i="25"/>
  <c r="C78" i="25"/>
  <c r="I77" i="25"/>
  <c r="H77" i="25"/>
  <c r="G76" i="25"/>
  <c r="F76" i="25"/>
  <c r="E76" i="25"/>
  <c r="D76" i="25"/>
  <c r="C76" i="25"/>
  <c r="C70" i="25"/>
  <c r="E66" i="25"/>
  <c r="D66" i="25"/>
  <c r="C66" i="25"/>
  <c r="C62" i="25"/>
  <c r="C59" i="25"/>
  <c r="C58" i="25"/>
  <c r="C57" i="25"/>
  <c r="C54" i="25"/>
  <c r="C53" i="25"/>
  <c r="C45" i="25"/>
  <c r="C82" i="25" s="1"/>
  <c r="C44" i="25"/>
  <c r="C43" i="25"/>
  <c r="C42" i="25"/>
  <c r="B42" i="25"/>
  <c r="N37" i="25"/>
  <c r="I37" i="25"/>
  <c r="D51" i="26" s="1"/>
  <c r="H37" i="25"/>
  <c r="C51" i="26" s="1"/>
  <c r="G37" i="25"/>
  <c r="F37" i="25"/>
  <c r="E37" i="25"/>
  <c r="D37" i="25"/>
  <c r="D132" i="25" s="1"/>
  <c r="C37" i="25"/>
  <c r="C126" i="25" s="1"/>
  <c r="I35" i="25"/>
  <c r="D50" i="26" s="1"/>
  <c r="H35" i="25"/>
  <c r="C50" i="26" s="1"/>
  <c r="G35" i="25"/>
  <c r="F35" i="25"/>
  <c r="E35" i="25"/>
  <c r="D35" i="25"/>
  <c r="C35" i="25"/>
  <c r="C125" i="25" s="1"/>
  <c r="N32" i="25"/>
  <c r="H32" i="25"/>
  <c r="C48" i="26" s="1"/>
  <c r="G32" i="25"/>
  <c r="F32" i="25"/>
  <c r="E32" i="25"/>
  <c r="D32" i="25"/>
  <c r="C32" i="25"/>
  <c r="C123" i="25" s="1"/>
  <c r="N30" i="25"/>
  <c r="I30" i="25"/>
  <c r="D47" i="26" s="1"/>
  <c r="H30" i="25"/>
  <c r="C47" i="26" s="1"/>
  <c r="G30" i="25"/>
  <c r="F30" i="25"/>
  <c r="E30" i="25"/>
  <c r="D30" i="25"/>
  <c r="C30" i="25"/>
  <c r="N27" i="25"/>
  <c r="J27" i="25"/>
  <c r="I27" i="25"/>
  <c r="H27" i="25"/>
  <c r="N26" i="25"/>
  <c r="I26" i="25"/>
  <c r="D45" i="26" s="1"/>
  <c r="H26" i="25"/>
  <c r="C45" i="26" s="1"/>
  <c r="G26" i="25"/>
  <c r="F26" i="25"/>
  <c r="E26" i="25"/>
  <c r="D26" i="25"/>
  <c r="C26" i="25"/>
  <c r="N25" i="25"/>
  <c r="N24" i="25"/>
  <c r="I24" i="25"/>
  <c r="D44" i="26" s="1"/>
  <c r="H24" i="25"/>
  <c r="C44" i="26" s="1"/>
  <c r="G24" i="25"/>
  <c r="F24" i="25"/>
  <c r="E24" i="25"/>
  <c r="D24" i="25"/>
  <c r="C24" i="25"/>
  <c r="N19" i="25"/>
  <c r="N18" i="25"/>
  <c r="N17" i="25"/>
  <c r="G17" i="25"/>
  <c r="F17" i="25"/>
  <c r="E17" i="25"/>
  <c r="D17" i="25"/>
  <c r="C17" i="25"/>
  <c r="N16" i="25"/>
  <c r="G16" i="25"/>
  <c r="F16" i="25"/>
  <c r="E16" i="25"/>
  <c r="D16" i="25"/>
  <c r="C16" i="25"/>
  <c r="N15" i="25"/>
  <c r="U12" i="25"/>
  <c r="V12" i="25" s="1"/>
  <c r="N12" i="25"/>
  <c r="T11" i="25"/>
  <c r="S11" i="25"/>
  <c r="R11" i="25"/>
  <c r="Q11" i="25"/>
  <c r="P11" i="25"/>
  <c r="O11" i="25"/>
  <c r="N11" i="25"/>
  <c r="N10" i="25"/>
  <c r="I10" i="25"/>
  <c r="H10" i="25"/>
  <c r="G10" i="25"/>
  <c r="F10" i="25"/>
  <c r="E10" i="25"/>
  <c r="D10" i="25"/>
  <c r="C10" i="25"/>
  <c r="N9" i="25"/>
  <c r="I9" i="25"/>
  <c r="H9" i="25"/>
  <c r="G9" i="25"/>
  <c r="F9" i="25"/>
  <c r="E9" i="25"/>
  <c r="D9" i="25"/>
  <c r="C9" i="25"/>
  <c r="N8" i="25"/>
  <c r="H8" i="25"/>
  <c r="V4" i="25"/>
  <c r="U4" i="25"/>
  <c r="T4" i="25"/>
  <c r="S4" i="25"/>
  <c r="R4" i="25"/>
  <c r="Q4" i="25"/>
  <c r="P4" i="25"/>
  <c r="O4" i="25"/>
  <c r="V3" i="25"/>
  <c r="U3" i="25"/>
  <c r="T3" i="25"/>
  <c r="S3" i="25"/>
  <c r="R3" i="25"/>
  <c r="Q3" i="25"/>
  <c r="P3" i="25"/>
  <c r="O3" i="25"/>
  <c r="F23" i="6"/>
  <c r="E23" i="6"/>
  <c r="D23" i="6"/>
  <c r="C23" i="6"/>
  <c r="B23" i="6"/>
  <c r="C16" i="6"/>
  <c r="D16" i="6"/>
  <c r="E16" i="6"/>
  <c r="F16" i="6"/>
  <c r="B16" i="6"/>
  <c r="H8" i="24"/>
  <c r="N8" i="24"/>
  <c r="C9" i="24"/>
  <c r="D9" i="24"/>
  <c r="E9" i="24"/>
  <c r="F9" i="24"/>
  <c r="G9" i="24"/>
  <c r="H9" i="24"/>
  <c r="I9" i="24"/>
  <c r="N9" i="24"/>
  <c r="C10" i="24"/>
  <c r="D10" i="24"/>
  <c r="E10" i="24"/>
  <c r="F10" i="24"/>
  <c r="G10" i="24"/>
  <c r="H10" i="24"/>
  <c r="I10" i="24"/>
  <c r="N10" i="24"/>
  <c r="K11" i="24"/>
  <c r="L11" i="24" s="1"/>
  <c r="N11" i="24"/>
  <c r="O11" i="24"/>
  <c r="P11" i="24"/>
  <c r="Q11" i="24"/>
  <c r="R11" i="24"/>
  <c r="S11" i="24"/>
  <c r="T11" i="24"/>
  <c r="N12" i="24"/>
  <c r="U12" i="24"/>
  <c r="K12" i="24" s="1"/>
  <c r="N15" i="24"/>
  <c r="C16" i="24"/>
  <c r="D16" i="24"/>
  <c r="E16" i="24"/>
  <c r="F16" i="24"/>
  <c r="G16" i="24"/>
  <c r="N16" i="24"/>
  <c r="C17" i="24"/>
  <c r="D17" i="24"/>
  <c r="E17" i="24"/>
  <c r="F17" i="24"/>
  <c r="G17" i="24"/>
  <c r="N17" i="24"/>
  <c r="N18" i="24"/>
  <c r="L19" i="24"/>
  <c r="N19" i="24"/>
  <c r="C24" i="24"/>
  <c r="D24" i="24"/>
  <c r="E24" i="24"/>
  <c r="F24" i="24"/>
  <c r="G24" i="24"/>
  <c r="H24" i="24"/>
  <c r="I24" i="24"/>
  <c r="N24" i="24"/>
  <c r="N25" i="24"/>
  <c r="C26" i="24"/>
  <c r="D26" i="24"/>
  <c r="E26" i="24"/>
  <c r="F26" i="24"/>
  <c r="G26" i="24"/>
  <c r="H26" i="24"/>
  <c r="I26" i="24"/>
  <c r="N26" i="24"/>
  <c r="H27" i="24"/>
  <c r="I27" i="24"/>
  <c r="J27" i="24"/>
  <c r="K27" i="24"/>
  <c r="L27" i="24"/>
  <c r="N27" i="24"/>
  <c r="C30" i="24"/>
  <c r="D30" i="24"/>
  <c r="E30" i="24"/>
  <c r="F30" i="24"/>
  <c r="G30" i="24"/>
  <c r="H30" i="24"/>
  <c r="I30" i="24"/>
  <c r="N30" i="24"/>
  <c r="C32" i="24"/>
  <c r="D32" i="24"/>
  <c r="E32" i="24"/>
  <c r="F32" i="24"/>
  <c r="G32" i="24"/>
  <c r="H32" i="24"/>
  <c r="J32" i="24"/>
  <c r="K32" i="24"/>
  <c r="L32" i="24"/>
  <c r="N32" i="24"/>
  <c r="C35" i="24"/>
  <c r="D35" i="24"/>
  <c r="E35" i="24"/>
  <c r="F35" i="24"/>
  <c r="G35" i="24"/>
  <c r="H35" i="24"/>
  <c r="I35" i="24"/>
  <c r="C37" i="24"/>
  <c r="D37" i="24"/>
  <c r="E37" i="24"/>
  <c r="F37" i="24"/>
  <c r="G37" i="24"/>
  <c r="H37" i="24"/>
  <c r="I37" i="24"/>
  <c r="L37" i="24"/>
  <c r="N37" i="24"/>
  <c r="B42" i="24"/>
  <c r="C105" i="24" s="1"/>
  <c r="C42" i="24"/>
  <c r="D42" i="24"/>
  <c r="E42" i="24"/>
  <c r="F42" i="24"/>
  <c r="G42" i="24"/>
  <c r="C43" i="24"/>
  <c r="D43" i="24"/>
  <c r="E43" i="24"/>
  <c r="F43" i="24"/>
  <c r="G43" i="24"/>
  <c r="C44" i="24"/>
  <c r="D44" i="24"/>
  <c r="E44" i="24"/>
  <c r="F44" i="24"/>
  <c r="G44" i="24"/>
  <c r="C45" i="24"/>
  <c r="C82" i="24" s="1"/>
  <c r="D45" i="24"/>
  <c r="D82" i="24" s="1"/>
  <c r="E45" i="24"/>
  <c r="E82" i="24" s="1"/>
  <c r="F45" i="24"/>
  <c r="F82" i="24" s="1"/>
  <c r="G45" i="24"/>
  <c r="G82" i="24" s="1"/>
  <c r="C48" i="24"/>
  <c r="D48" i="24"/>
  <c r="E48" i="24"/>
  <c r="F48" i="24"/>
  <c r="G48" i="24"/>
  <c r="F50" i="24"/>
  <c r="G50" i="24"/>
  <c r="D51" i="24"/>
  <c r="E51" i="24"/>
  <c r="F51" i="24"/>
  <c r="G51" i="24"/>
  <c r="H51" i="24" s="1"/>
  <c r="I51" i="24" s="1"/>
  <c r="J51" i="24" s="1"/>
  <c r="K51" i="24" s="1"/>
  <c r="L51" i="24" s="1"/>
  <c r="C52" i="24"/>
  <c r="D52" i="24"/>
  <c r="E52" i="24"/>
  <c r="F52" i="24"/>
  <c r="G52" i="24"/>
  <c r="C53" i="24"/>
  <c r="D53" i="24"/>
  <c r="E53" i="24"/>
  <c r="F53" i="24"/>
  <c r="G53" i="24"/>
  <c r="C54" i="24"/>
  <c r="D54" i="24"/>
  <c r="E54" i="24"/>
  <c r="F54" i="24"/>
  <c r="C57" i="24"/>
  <c r="D57" i="24"/>
  <c r="E57" i="24"/>
  <c r="F57" i="24"/>
  <c r="G57" i="24"/>
  <c r="C58" i="24"/>
  <c r="D58" i="24"/>
  <c r="E58" i="24"/>
  <c r="F58" i="24"/>
  <c r="G58" i="24"/>
  <c r="C59" i="24"/>
  <c r="D59" i="24"/>
  <c r="E59" i="24"/>
  <c r="F59" i="24"/>
  <c r="G59" i="24"/>
  <c r="C62" i="24"/>
  <c r="D62" i="24"/>
  <c r="E62" i="24"/>
  <c r="F62" i="24"/>
  <c r="G62" i="24"/>
  <c r="R62" i="24"/>
  <c r="H62" i="24" s="1"/>
  <c r="S62" i="24"/>
  <c r="I62" i="24" s="1"/>
  <c r="T62" i="24" s="1"/>
  <c r="C63" i="24"/>
  <c r="D63" i="24"/>
  <c r="E63" i="24"/>
  <c r="F63" i="24"/>
  <c r="G63" i="24"/>
  <c r="C66" i="24"/>
  <c r="D66" i="24"/>
  <c r="E66" i="24"/>
  <c r="F66" i="24"/>
  <c r="G66" i="24"/>
  <c r="C68" i="24"/>
  <c r="D68" i="24"/>
  <c r="E68" i="24"/>
  <c r="F68" i="24"/>
  <c r="G68" i="24"/>
  <c r="C70" i="24"/>
  <c r="D70" i="24"/>
  <c r="E70" i="24"/>
  <c r="F70" i="24"/>
  <c r="G70" i="24"/>
  <c r="C76" i="24"/>
  <c r="D76" i="24"/>
  <c r="E76" i="24"/>
  <c r="F76" i="24"/>
  <c r="G76" i="24"/>
  <c r="H77" i="24"/>
  <c r="I77" i="24"/>
  <c r="J77" i="24"/>
  <c r="K77" i="24"/>
  <c r="L77" i="24"/>
  <c r="C78" i="24"/>
  <c r="D78" i="24"/>
  <c r="E78" i="24"/>
  <c r="F78" i="24"/>
  <c r="G78" i="24"/>
  <c r="C80" i="24"/>
  <c r="D80" i="24"/>
  <c r="E80" i="24"/>
  <c r="F80" i="24"/>
  <c r="G80" i="24"/>
  <c r="C81" i="24"/>
  <c r="D81" i="24"/>
  <c r="E81" i="24"/>
  <c r="F81" i="24"/>
  <c r="G81" i="24"/>
  <c r="C83" i="24"/>
  <c r="D83" i="24"/>
  <c r="E83" i="24"/>
  <c r="F83" i="24"/>
  <c r="G83" i="24"/>
  <c r="C84" i="24"/>
  <c r="D84" i="24"/>
  <c r="E84" i="24"/>
  <c r="F84" i="24"/>
  <c r="G84" i="24"/>
  <c r="C86" i="24"/>
  <c r="D86" i="24"/>
  <c r="E86" i="24"/>
  <c r="F86" i="24"/>
  <c r="G86" i="24"/>
  <c r="H86" i="24"/>
  <c r="I86" i="24"/>
  <c r="J86" i="24"/>
  <c r="K86" i="24"/>
  <c r="L86" i="24"/>
  <c r="C87" i="24"/>
  <c r="D87" i="24"/>
  <c r="E87" i="24"/>
  <c r="F87" i="24"/>
  <c r="G87" i="24"/>
  <c r="H87" i="24" s="1"/>
  <c r="I87" i="24" s="1"/>
  <c r="J87" i="24" s="1"/>
  <c r="K87" i="24" s="1"/>
  <c r="L87" i="24" s="1"/>
  <c r="C88" i="24"/>
  <c r="D88" i="24"/>
  <c r="E88" i="24"/>
  <c r="F88" i="24"/>
  <c r="G88" i="24"/>
  <c r="H88" i="24"/>
  <c r="I88" i="24"/>
  <c r="J88" i="24"/>
  <c r="K88" i="24"/>
  <c r="L88" i="24"/>
  <c r="C91" i="24"/>
  <c r="D91" i="24"/>
  <c r="E91" i="24"/>
  <c r="F91" i="24"/>
  <c r="G91" i="24"/>
  <c r="C92" i="24"/>
  <c r="D92" i="24"/>
  <c r="E92" i="24"/>
  <c r="F92" i="24"/>
  <c r="G92" i="24"/>
  <c r="C93" i="24"/>
  <c r="D93" i="24"/>
  <c r="E93" i="24"/>
  <c r="F93" i="24"/>
  <c r="G93" i="24"/>
  <c r="H93" i="24"/>
  <c r="H54" i="24" s="1"/>
  <c r="I93" i="24"/>
  <c r="J93" i="24"/>
  <c r="K93" i="24"/>
  <c r="L93" i="24"/>
  <c r="C94" i="24"/>
  <c r="D94" i="24"/>
  <c r="E94" i="24"/>
  <c r="F94" i="24"/>
  <c r="G94" i="24"/>
  <c r="H94" i="24"/>
  <c r="I94" i="24"/>
  <c r="J94" i="24"/>
  <c r="K94" i="24"/>
  <c r="L94" i="24"/>
  <c r="C97" i="24"/>
  <c r="D97" i="24"/>
  <c r="E97" i="24"/>
  <c r="F97" i="24"/>
  <c r="G97" i="24"/>
  <c r="C98" i="24"/>
  <c r="D98" i="24"/>
  <c r="E98" i="24"/>
  <c r="F98" i="24"/>
  <c r="G98" i="24"/>
  <c r="H98" i="24"/>
  <c r="I98" i="24"/>
  <c r="J98" i="24"/>
  <c r="K98" i="24"/>
  <c r="L98" i="24"/>
  <c r="C99" i="24"/>
  <c r="D99" i="24"/>
  <c r="E99" i="24"/>
  <c r="F99" i="24"/>
  <c r="G99" i="24"/>
  <c r="R99" i="24"/>
  <c r="H99" i="24" s="1"/>
  <c r="H69" i="24" s="1"/>
  <c r="C100" i="24"/>
  <c r="D100" i="24"/>
  <c r="E100" i="24"/>
  <c r="F100" i="24"/>
  <c r="G100" i="24"/>
  <c r="H100" i="24"/>
  <c r="I100" i="24"/>
  <c r="J100" i="24"/>
  <c r="K100" i="24"/>
  <c r="L100" i="24"/>
  <c r="C102" i="24"/>
  <c r="D102" i="24"/>
  <c r="E102" i="24"/>
  <c r="F102" i="24"/>
  <c r="G102" i="24"/>
  <c r="K102" i="24"/>
  <c r="L102" i="24"/>
  <c r="O3" i="24"/>
  <c r="P3" i="24"/>
  <c r="Q3" i="24"/>
  <c r="R3" i="24"/>
  <c r="S3" i="24"/>
  <c r="T3" i="24"/>
  <c r="U3" i="24"/>
  <c r="V3" i="24"/>
  <c r="O4" i="24"/>
  <c r="P4" i="24"/>
  <c r="Q4" i="24"/>
  <c r="R4" i="24"/>
  <c r="S4" i="24"/>
  <c r="T4" i="24"/>
  <c r="U4" i="24"/>
  <c r="V4" i="24"/>
  <c r="AB213" i="4"/>
  <c r="AC213" i="4"/>
  <c r="AB215" i="4"/>
  <c r="AC215" i="4"/>
  <c r="AB216" i="4"/>
  <c r="AC216" i="4"/>
  <c r="AA213" i="4"/>
  <c r="AA215" i="4"/>
  <c r="AA216" i="4"/>
  <c r="H55" i="6"/>
  <c r="H50" i="6"/>
  <c r="J22" i="2"/>
  <c r="T21" i="2"/>
  <c r="H15" i="6"/>
  <c r="H51" i="14"/>
  <c r="BJ10" i="22"/>
  <c r="BJ11" i="22" s="1"/>
  <c r="AP16" i="22"/>
  <c r="AP15" i="22"/>
  <c r="AP13" i="22"/>
  <c r="AP11" i="22"/>
  <c r="AP10" i="22"/>
  <c r="AP8" i="22"/>
  <c r="AI16" i="22"/>
  <c r="AI15" i="22"/>
  <c r="AI13" i="22"/>
  <c r="AI11" i="22"/>
  <c r="AI10" i="22"/>
  <c r="AI8" i="22"/>
  <c r="AB16" i="22"/>
  <c r="AB15" i="22"/>
  <c r="AB13" i="22"/>
  <c r="AB11" i="22"/>
  <c r="AB10" i="22"/>
  <c r="AB8" i="22"/>
  <c r="K37" i="14"/>
  <c r="K57" i="14"/>
  <c r="K58" i="14"/>
  <c r="K59" i="14"/>
  <c r="K60" i="14"/>
  <c r="K63" i="6"/>
  <c r="L133" i="25" s="1"/>
  <c r="BV13" i="22"/>
  <c r="CQ13" i="22" s="1"/>
  <c r="BU13" i="22"/>
  <c r="CP13" i="22" s="1"/>
  <c r="BT13" i="22"/>
  <c r="CO13" i="22" s="1"/>
  <c r="BS13" i="22"/>
  <c r="CN13" i="22" s="1"/>
  <c r="DF13" i="22" s="1"/>
  <c r="BR13" i="22"/>
  <c r="CM13" i="22" s="1"/>
  <c r="BQ13" i="22"/>
  <c r="CL13" i="22" s="1"/>
  <c r="BR8" i="22"/>
  <c r="CM8" i="22" s="1"/>
  <c r="BS8" i="22"/>
  <c r="CN8" i="22" s="1"/>
  <c r="BT8" i="22"/>
  <c r="CO8" i="22" s="1"/>
  <c r="BU8" i="22"/>
  <c r="CP8" i="22" s="1"/>
  <c r="BV8" i="22"/>
  <c r="CQ8" i="22" s="1"/>
  <c r="BQ8" i="22"/>
  <c r="CQ9" i="22"/>
  <c r="CQ14" i="22"/>
  <c r="CJ10" i="22"/>
  <c r="CJ11" i="22" s="1"/>
  <c r="CI10" i="22"/>
  <c r="CI11" i="22" s="1"/>
  <c r="CH10" i="22"/>
  <c r="CH11" i="22" s="1"/>
  <c r="CG10" i="22"/>
  <c r="CG11" i="22" s="1"/>
  <c r="CF10" i="22"/>
  <c r="CF11" i="22" s="1"/>
  <c r="CE10" i="22"/>
  <c r="CE11" i="22" s="1"/>
  <c r="CJ15" i="22"/>
  <c r="CJ16" i="22" s="1"/>
  <c r="CI15" i="22"/>
  <c r="CI16" i="22" s="1"/>
  <c r="CH15" i="22"/>
  <c r="CH16" i="22" s="1"/>
  <c r="CG15" i="22"/>
  <c r="CG16" i="22" s="1"/>
  <c r="CF15" i="22"/>
  <c r="CF16" i="22" s="1"/>
  <c r="CE15" i="22"/>
  <c r="CC10" i="22"/>
  <c r="CC11" i="22" s="1"/>
  <c r="CB10" i="22"/>
  <c r="CA10" i="22"/>
  <c r="BZ10" i="22"/>
  <c r="BY10" i="22"/>
  <c r="BX10" i="22"/>
  <c r="CC15" i="22"/>
  <c r="CC16" i="22" s="1"/>
  <c r="CB15" i="22"/>
  <c r="CA15" i="22"/>
  <c r="BZ15" i="22"/>
  <c r="BY15" i="22"/>
  <c r="BX15" i="22"/>
  <c r="BO10" i="22"/>
  <c r="BO11" i="22" s="1"/>
  <c r="BN10" i="22"/>
  <c r="BN11" i="22" s="1"/>
  <c r="BM10" i="22"/>
  <c r="BM11" i="22" s="1"/>
  <c r="BL10" i="22"/>
  <c r="BL11" i="22" s="1"/>
  <c r="BK10" i="22"/>
  <c r="BK11" i="22" s="1"/>
  <c r="BK15" i="22"/>
  <c r="BK16" i="22" s="1"/>
  <c r="BL15" i="22"/>
  <c r="BL16" i="22" s="1"/>
  <c r="BM15" i="22"/>
  <c r="BM16" i="22" s="1"/>
  <c r="BN15" i="22"/>
  <c r="BN16" i="22" s="1"/>
  <c r="BO15" i="22"/>
  <c r="BO16" i="22" s="1"/>
  <c r="BJ15" i="22"/>
  <c r="BJ16" i="22" s="1"/>
  <c r="BV10" i="22"/>
  <c r="BV11" i="22" s="1"/>
  <c r="BU10" i="22"/>
  <c r="BU11" i="22" s="1"/>
  <c r="BT10" i="22"/>
  <c r="BT11" i="22" s="1"/>
  <c r="BS10" i="22"/>
  <c r="BS11" i="22" s="1"/>
  <c r="BR10" i="22"/>
  <c r="BR11" i="22" s="1"/>
  <c r="BQ10" i="22"/>
  <c r="BQ11" i="22" s="1"/>
  <c r="BR15" i="22"/>
  <c r="BR16" i="22" s="1"/>
  <c r="BQ15" i="22"/>
  <c r="BQ16" i="22" s="1"/>
  <c r="BO17" i="22"/>
  <c r="CJ17" i="22"/>
  <c r="CI17" i="22"/>
  <c r="CH17" i="22"/>
  <c r="CG17" i="22"/>
  <c r="CF17" i="22"/>
  <c r="CE17" i="22"/>
  <c r="CC17" i="22"/>
  <c r="BV16" i="22"/>
  <c r="CM9" i="22"/>
  <c r="CN9" i="22"/>
  <c r="CO9" i="22"/>
  <c r="CP9" i="22"/>
  <c r="CM14" i="22"/>
  <c r="CN14" i="22"/>
  <c r="CO14" i="22"/>
  <c r="CP14" i="22"/>
  <c r="CL9" i="22"/>
  <c r="CL14" i="22"/>
  <c r="B63" i="6"/>
  <c r="C133" i="25" s="1"/>
  <c r="C63" i="6"/>
  <c r="D133" i="25" s="1"/>
  <c r="G63" i="6"/>
  <c r="H38" i="14"/>
  <c r="H35" i="14" s="1"/>
  <c r="F37" i="14"/>
  <c r="G37" i="14"/>
  <c r="I37" i="14"/>
  <c r="J37" i="14"/>
  <c r="I30" i="14"/>
  <c r="J30" i="14" s="1"/>
  <c r="K30" i="14" s="1"/>
  <c r="I29" i="14"/>
  <c r="J29" i="14" s="1"/>
  <c r="K29" i="14" s="1"/>
  <c r="H31" i="14"/>
  <c r="E27" i="14"/>
  <c r="E32" i="14" s="1"/>
  <c r="F28" i="14"/>
  <c r="I20" i="14"/>
  <c r="J20" i="14" s="1"/>
  <c r="K20" i="14" s="1"/>
  <c r="I19" i="14"/>
  <c r="F18" i="14"/>
  <c r="F21" i="14" s="1"/>
  <c r="G18" i="14"/>
  <c r="G21" i="14" s="1"/>
  <c r="H18" i="14"/>
  <c r="H21" i="14" s="1"/>
  <c r="E18" i="14"/>
  <c r="E21" i="14" s="1"/>
  <c r="DA16" i="22"/>
  <c r="CY16" i="22"/>
  <c r="CX16" i="22" s="1"/>
  <c r="DA15" i="22"/>
  <c r="CY15" i="22"/>
  <c r="CX15" i="22" s="1"/>
  <c r="DA13" i="22"/>
  <c r="CY13" i="22"/>
  <c r="DA11" i="22"/>
  <c r="CY11" i="22"/>
  <c r="CX11" i="22" s="1"/>
  <c r="DA10" i="22"/>
  <c r="CY10" i="22"/>
  <c r="CX10" i="22" s="1"/>
  <c r="DA8" i="22"/>
  <c r="CY8" i="22"/>
  <c r="B12" i="14"/>
  <c r="D15" i="14"/>
  <c r="D14" i="14" s="1"/>
  <c r="C15" i="14"/>
  <c r="C14" i="14" s="1"/>
  <c r="B15" i="14"/>
  <c r="B14" i="14" s="1"/>
  <c r="AM16" i="22"/>
  <c r="AN16" i="22"/>
  <c r="AO16" i="22"/>
  <c r="AL16" i="22"/>
  <c r="AM15" i="22"/>
  <c r="AN15" i="22"/>
  <c r="AO15" i="22"/>
  <c r="AL15" i="22"/>
  <c r="AL13" i="22"/>
  <c r="AM13" i="22"/>
  <c r="AN13" i="22"/>
  <c r="AO13" i="22"/>
  <c r="AK13" i="22"/>
  <c r="AL11" i="22"/>
  <c r="AM11" i="22"/>
  <c r="AN11" i="22"/>
  <c r="AO11" i="22"/>
  <c r="AK11" i="22"/>
  <c r="AL10" i="22"/>
  <c r="AM10" i="22"/>
  <c r="AN10" i="22"/>
  <c r="AO10" i="22"/>
  <c r="AK10" i="22"/>
  <c r="AL8" i="22"/>
  <c r="AM8" i="22"/>
  <c r="AN8" i="22"/>
  <c r="AO8" i="22"/>
  <c r="AK8" i="22"/>
  <c r="AE16" i="22"/>
  <c r="AF16" i="22"/>
  <c r="AG16" i="22"/>
  <c r="AH16" i="22"/>
  <c r="AE15" i="22"/>
  <c r="AF15" i="22"/>
  <c r="AG15" i="22"/>
  <c r="AH15" i="22"/>
  <c r="AE13" i="22"/>
  <c r="AF13" i="22"/>
  <c r="AG13" i="22"/>
  <c r="AH13" i="22"/>
  <c r="AE11" i="22"/>
  <c r="AF11" i="22"/>
  <c r="AG11" i="22"/>
  <c r="AH11" i="22"/>
  <c r="AD11" i="22"/>
  <c r="AD13" i="22"/>
  <c r="AD15" i="22"/>
  <c r="AD16" i="22"/>
  <c r="AF10" i="22"/>
  <c r="AG10" i="22"/>
  <c r="AH10" i="22"/>
  <c r="AD10" i="22"/>
  <c r="AE8" i="22"/>
  <c r="AF8" i="22"/>
  <c r="AG8" i="22"/>
  <c r="AH8" i="22"/>
  <c r="AD8" i="22"/>
  <c r="DE41" i="22"/>
  <c r="CY40" i="22"/>
  <c r="DE40" i="22" s="1"/>
  <c r="CY39" i="22"/>
  <c r="DE39" i="22" s="1"/>
  <c r="CY37" i="22"/>
  <c r="DE37" i="22" s="1"/>
  <c r="CY36" i="22"/>
  <c r="DE36" i="22" s="1"/>
  <c r="CY35" i="22"/>
  <c r="DE35" i="22" s="1"/>
  <c r="CY32" i="22"/>
  <c r="DE32" i="22" s="1"/>
  <c r="CY31" i="22"/>
  <c r="DE31" i="22" s="1"/>
  <c r="CY30" i="22"/>
  <c r="DE30" i="22" s="1"/>
  <c r="CY29" i="22"/>
  <c r="DE29" i="22" s="1"/>
  <c r="CY27" i="22"/>
  <c r="DE27" i="22" s="1"/>
  <c r="DF27" i="22"/>
  <c r="DF36" i="22"/>
  <c r="DF37" i="22"/>
  <c r="DF39" i="22"/>
  <c r="DF40" i="22"/>
  <c r="DF41" i="22"/>
  <c r="DF26" i="22"/>
  <c r="DG27" i="22"/>
  <c r="DA30" i="22"/>
  <c r="DG30" i="22" s="1"/>
  <c r="DA31" i="22"/>
  <c r="DG31" i="22" s="1"/>
  <c r="DA32" i="22"/>
  <c r="DG32" i="22" s="1"/>
  <c r="DA33" i="22"/>
  <c r="DG33" i="22" s="1"/>
  <c r="DA34" i="22"/>
  <c r="DG34" i="22" s="1"/>
  <c r="DA35" i="22"/>
  <c r="DG35" i="22" s="1"/>
  <c r="DA36" i="22"/>
  <c r="DG36" i="22" s="1"/>
  <c r="DA37" i="22"/>
  <c r="DG37" i="22" s="1"/>
  <c r="DA39" i="22"/>
  <c r="DG39" i="22" s="1"/>
  <c r="DA40" i="22"/>
  <c r="DG40" i="22" s="1"/>
  <c r="DA41" i="22"/>
  <c r="DG41" i="22" s="1"/>
  <c r="DG26" i="22"/>
  <c r="BY76" i="1"/>
  <c r="AP16" i="1"/>
  <c r="BS75" i="1"/>
  <c r="BR75" i="1"/>
  <c r="BO76" i="1"/>
  <c r="AA16" i="22"/>
  <c r="Z16" i="22"/>
  <c r="Y16" i="22"/>
  <c r="X16" i="22"/>
  <c r="W16" i="22"/>
  <c r="AA15" i="22"/>
  <c r="Z15" i="22"/>
  <c r="Y15" i="22"/>
  <c r="X15" i="22"/>
  <c r="W15" i="22"/>
  <c r="AA13" i="22"/>
  <c r="Z13" i="22"/>
  <c r="Y13" i="22"/>
  <c r="X13" i="22"/>
  <c r="W13" i="22"/>
  <c r="AA11" i="22"/>
  <c r="Z11" i="22"/>
  <c r="Y11" i="22"/>
  <c r="X11" i="22"/>
  <c r="W11" i="22"/>
  <c r="AA10" i="22"/>
  <c r="Z10" i="22"/>
  <c r="Y10" i="22"/>
  <c r="X10" i="22"/>
  <c r="W10" i="22"/>
  <c r="X8" i="22"/>
  <c r="Y8" i="22"/>
  <c r="Z8" i="22"/>
  <c r="AA8" i="22"/>
  <c r="W8" i="22"/>
  <c r="J224" i="4"/>
  <c r="G224" i="4"/>
  <c r="F224" i="4"/>
  <c r="E224" i="4"/>
  <c r="D224" i="4"/>
  <c r="L223" i="4"/>
  <c r="L224" i="4" s="1"/>
  <c r="K223" i="4"/>
  <c r="K222" i="4"/>
  <c r="I221" i="4"/>
  <c r="I224" i="4" s="1"/>
  <c r="H221" i="4"/>
  <c r="H224" i="4" s="1"/>
  <c r="BQ217" i="4"/>
  <c r="BP217" i="4"/>
  <c r="BO217" i="4"/>
  <c r="BN217" i="4"/>
  <c r="BM217" i="4"/>
  <c r="BL217" i="4"/>
  <c r="BC217" i="4"/>
  <c r="BB217" i="4"/>
  <c r="BA217" i="4"/>
  <c r="AZ217" i="4"/>
  <c r="AY217" i="4"/>
  <c r="AX217" i="4"/>
  <c r="T217" i="4"/>
  <c r="Q217" i="4"/>
  <c r="P217" i="4"/>
  <c r="O217" i="4"/>
  <c r="N217" i="4"/>
  <c r="J217" i="4"/>
  <c r="I217" i="4"/>
  <c r="H217" i="4"/>
  <c r="G217" i="4"/>
  <c r="F217" i="4"/>
  <c r="E217" i="4"/>
  <c r="BH216" i="4"/>
  <c r="BG216" i="4"/>
  <c r="AN216" i="4"/>
  <c r="AM216" i="4"/>
  <c r="AL216" i="4"/>
  <c r="BD216" i="4" s="1"/>
  <c r="Z216" i="4"/>
  <c r="Y216" i="4"/>
  <c r="X216" i="4"/>
  <c r="W216" i="4"/>
  <c r="V216" i="4"/>
  <c r="U216" i="4"/>
  <c r="AD216" i="4" s="1"/>
  <c r="BH215" i="4"/>
  <c r="BG215" i="4"/>
  <c r="AN215" i="4"/>
  <c r="BF215" i="4" s="1"/>
  <c r="AM215" i="4"/>
  <c r="AL215" i="4"/>
  <c r="BD215" i="4" s="1"/>
  <c r="AE215" i="4"/>
  <c r="Z215" i="4"/>
  <c r="Y215" i="4"/>
  <c r="X215" i="4"/>
  <c r="W215" i="4"/>
  <c r="U215" i="4"/>
  <c r="BH214" i="4"/>
  <c r="BG214" i="4"/>
  <c r="BF214" i="4"/>
  <c r="BE214" i="4"/>
  <c r="BD214" i="4"/>
  <c r="Z214" i="4"/>
  <c r="Y214" i="4"/>
  <c r="X214" i="4"/>
  <c r="W214" i="4"/>
  <c r="S214" i="4"/>
  <c r="AB214" i="4" s="1"/>
  <c r="R214" i="4"/>
  <c r="AA214" i="4" s="1"/>
  <c r="K214" i="4"/>
  <c r="AC214" i="4" s="1"/>
  <c r="BH213" i="4"/>
  <c r="BG213" i="4"/>
  <c r="BE213" i="4"/>
  <c r="BD213" i="4"/>
  <c r="AK213" i="4"/>
  <c r="AE213" i="4"/>
  <c r="AD213" i="4"/>
  <c r="Z213" i="4"/>
  <c r="Y213" i="4"/>
  <c r="X213" i="4"/>
  <c r="W213" i="4"/>
  <c r="C59" i="23"/>
  <c r="C58" i="23"/>
  <c r="C57" i="23"/>
  <c r="C56" i="23"/>
  <c r="C55" i="23"/>
  <c r="C54" i="23"/>
  <c r="C53" i="23"/>
  <c r="C52" i="23"/>
  <c r="B59" i="23"/>
  <c r="B58" i="23"/>
  <c r="B57" i="23"/>
  <c r="B56" i="23"/>
  <c r="B55" i="23"/>
  <c r="B54" i="23"/>
  <c r="B53" i="23"/>
  <c r="B52" i="23"/>
  <c r="H70" i="14"/>
  <c r="I70" i="14" s="1"/>
  <c r="J70" i="14" s="1"/>
  <c r="K70" i="14" s="1"/>
  <c r="AQ5" i="1"/>
  <c r="AP5" i="1"/>
  <c r="BY17" i="22"/>
  <c r="BZ17" i="22"/>
  <c r="CA17" i="22"/>
  <c r="CB17" i="22"/>
  <c r="BX17" i="22"/>
  <c r="BJ17" i="22"/>
  <c r="BU16" i="22"/>
  <c r="BS16" i="22"/>
  <c r="BN17" i="22"/>
  <c r="BL17" i="22"/>
  <c r="BK17" i="22"/>
  <c r="C50" i="14"/>
  <c r="D50" i="14"/>
  <c r="E50" i="14"/>
  <c r="F50" i="14"/>
  <c r="G50" i="14"/>
  <c r="B50" i="14"/>
  <c r="C49" i="14"/>
  <c r="D49" i="14"/>
  <c r="E49" i="14"/>
  <c r="F49" i="14"/>
  <c r="G49" i="14"/>
  <c r="B49" i="14"/>
  <c r="BQ18" i="22"/>
  <c r="J18" i="22" s="1"/>
  <c r="BR19" i="22"/>
  <c r="BR18" i="22" s="1"/>
  <c r="J48" i="42" l="1"/>
  <c r="D24" i="28"/>
  <c r="K150" i="14"/>
  <c r="K158" i="14" s="1"/>
  <c r="J158" i="14"/>
  <c r="G157" i="14"/>
  <c r="G150" i="14"/>
  <c r="G158" i="14" s="1"/>
  <c r="I157" i="14"/>
  <c r="F157" i="14"/>
  <c r="F149" i="14"/>
  <c r="F147" i="14" s="1"/>
  <c r="F156" i="14" s="1"/>
  <c r="K213" i="6"/>
  <c r="N8" i="30"/>
  <c r="I21" i="14"/>
  <c r="J19" i="14"/>
  <c r="H15" i="30"/>
  <c r="G126" i="24"/>
  <c r="P9" i="30"/>
  <c r="Y63" i="22"/>
  <c r="Y51" i="22"/>
  <c r="J31" i="28"/>
  <c r="K31" i="28"/>
  <c r="H417" i="14"/>
  <c r="H415" i="14"/>
  <c r="M61" i="29"/>
  <c r="O61" i="29" s="1"/>
  <c r="F61" i="29" s="1"/>
  <c r="E23" i="28" s="1"/>
  <c r="C23" i="28"/>
  <c r="D36" i="28"/>
  <c r="K46" i="28"/>
  <c r="E119" i="29"/>
  <c r="D37" i="28"/>
  <c r="D119" i="29"/>
  <c r="C37" i="28"/>
  <c r="C36" i="28"/>
  <c r="J46" i="28"/>
  <c r="F49" i="29"/>
  <c r="D12" i="28"/>
  <c r="D123" i="29"/>
  <c r="E123" i="29"/>
  <c r="C123" i="29"/>
  <c r="K8" i="29"/>
  <c r="B119" i="29"/>
  <c r="E118" i="29"/>
  <c r="L97" i="29"/>
  <c r="C118" i="29"/>
  <c r="M97" i="29"/>
  <c r="D118" i="29"/>
  <c r="K97" i="29"/>
  <c r="B118" i="29"/>
  <c r="D12" i="26"/>
  <c r="D23" i="26"/>
  <c r="U100" i="25"/>
  <c r="V100" i="25" s="1"/>
  <c r="L100" i="25" s="1"/>
  <c r="J100" i="25"/>
  <c r="J67" i="25" s="1"/>
  <c r="D27" i="26"/>
  <c r="D25" i="26"/>
  <c r="O98" i="29"/>
  <c r="F98" i="29" s="1"/>
  <c r="L17" i="28" s="1"/>
  <c r="F51" i="29"/>
  <c r="I299" i="6"/>
  <c r="F26" i="29" s="1"/>
  <c r="F91" i="29" s="1"/>
  <c r="Q99" i="30"/>
  <c r="K17" i="36"/>
  <c r="C20" i="36"/>
  <c r="J20" i="36"/>
  <c r="C19" i="36"/>
  <c r="C108" i="30"/>
  <c r="J10" i="36"/>
  <c r="J18" i="36"/>
  <c r="R86" i="25"/>
  <c r="K12" i="26"/>
  <c r="S62" i="25"/>
  <c r="T62" i="25" s="1"/>
  <c r="U62" i="25" s="1"/>
  <c r="D22" i="26"/>
  <c r="C18" i="36"/>
  <c r="R85" i="25"/>
  <c r="K11" i="26"/>
  <c r="C8" i="36"/>
  <c r="S85" i="25"/>
  <c r="L11" i="26"/>
  <c r="J17" i="36"/>
  <c r="R62" i="25"/>
  <c r="C22" i="26"/>
  <c r="J9" i="36"/>
  <c r="C7" i="36"/>
  <c r="J7" i="36"/>
  <c r="S88" i="25"/>
  <c r="L13" i="26"/>
  <c r="R88" i="25"/>
  <c r="K13" i="26"/>
  <c r="J15" i="36"/>
  <c r="I30" i="30"/>
  <c r="D5" i="36"/>
  <c r="C21" i="36"/>
  <c r="C22" i="36"/>
  <c r="H82" i="25"/>
  <c r="K8" i="26" s="1"/>
  <c r="C8" i="26"/>
  <c r="J6" i="36"/>
  <c r="H30" i="20"/>
  <c r="D49" i="36" s="1"/>
  <c r="C14" i="36"/>
  <c r="C29" i="36"/>
  <c r="I67" i="30"/>
  <c r="I68" i="30" s="1"/>
  <c r="C27" i="36"/>
  <c r="H76" i="30"/>
  <c r="K51" i="36" s="1"/>
  <c r="I166" i="14"/>
  <c r="I168" i="14" s="1"/>
  <c r="H168" i="14"/>
  <c r="J22" i="36"/>
  <c r="C12" i="36"/>
  <c r="J21" i="36"/>
  <c r="H82" i="14"/>
  <c r="H84" i="14" s="1"/>
  <c r="I80" i="14"/>
  <c r="S86" i="25"/>
  <c r="L12" i="26"/>
  <c r="J87" i="25"/>
  <c r="K87" i="25" s="1"/>
  <c r="L87" i="25" s="1"/>
  <c r="C6" i="36"/>
  <c r="J13" i="36"/>
  <c r="J24" i="36"/>
  <c r="J51" i="25"/>
  <c r="J93" i="25" s="1"/>
  <c r="D13" i="26"/>
  <c r="C10" i="36"/>
  <c r="I82" i="25"/>
  <c r="L8" i="26" s="1"/>
  <c r="D8" i="26"/>
  <c r="M8" i="29"/>
  <c r="E123" i="24"/>
  <c r="P10" i="24"/>
  <c r="G125" i="24"/>
  <c r="H126" i="24"/>
  <c r="H283" i="6"/>
  <c r="H291" i="6"/>
  <c r="I279" i="6"/>
  <c r="J279" i="6" s="1"/>
  <c r="K279" i="6" s="1"/>
  <c r="B23" i="29"/>
  <c r="B126" i="29" s="1"/>
  <c r="K303" i="6"/>
  <c r="E45" i="29"/>
  <c r="CU70" i="22"/>
  <c r="CO17" i="22"/>
  <c r="I41" i="14" s="1"/>
  <c r="I24" i="14" s="1"/>
  <c r="I17" i="25"/>
  <c r="H125" i="24"/>
  <c r="G111" i="14"/>
  <c r="Q8" i="30"/>
  <c r="E10" i="29"/>
  <c r="K49" i="42" s="1"/>
  <c r="C23" i="27"/>
  <c r="CW48" i="22"/>
  <c r="K81" i="6" s="1"/>
  <c r="DE48" i="22"/>
  <c r="BP77" i="1" s="1"/>
  <c r="DF48" i="22"/>
  <c r="I107" i="14"/>
  <c r="J260" i="14"/>
  <c r="J271" i="14" s="1"/>
  <c r="I401" i="14"/>
  <c r="G193" i="14"/>
  <c r="G191" i="14" s="1"/>
  <c r="K331" i="14"/>
  <c r="H285" i="14"/>
  <c r="H330" i="14" s="1"/>
  <c r="K321" i="14"/>
  <c r="K332" i="14" s="1"/>
  <c r="H411" i="14"/>
  <c r="H190" i="14"/>
  <c r="F198" i="14"/>
  <c r="F194" i="14" s="1"/>
  <c r="G194" i="14"/>
  <c r="F203" i="14"/>
  <c r="F199" i="14" s="1"/>
  <c r="G203" i="14"/>
  <c r="G199" i="14" s="1"/>
  <c r="O10" i="24"/>
  <c r="R9" i="24"/>
  <c r="G85" i="20"/>
  <c r="P83" i="20" s="1"/>
  <c r="G23" i="27"/>
  <c r="B23" i="27"/>
  <c r="C23" i="25"/>
  <c r="C121" i="25" s="1"/>
  <c r="O10" i="30"/>
  <c r="H297" i="14"/>
  <c r="J402" i="14"/>
  <c r="K318" i="14"/>
  <c r="K316" i="14" s="1"/>
  <c r="K257" i="14"/>
  <c r="K255" i="14" s="1"/>
  <c r="J245" i="14"/>
  <c r="J242" i="14"/>
  <c r="J231" i="14"/>
  <c r="J292" i="14"/>
  <c r="J303" i="14"/>
  <c r="J306" i="14"/>
  <c r="J352" i="14"/>
  <c r="J301" i="14"/>
  <c r="J240" i="14"/>
  <c r="J239" i="14" s="1"/>
  <c r="K301" i="14"/>
  <c r="K240" i="14"/>
  <c r="K239" i="14" s="1"/>
  <c r="Q9" i="24"/>
  <c r="N8" i="29"/>
  <c r="E15" i="29"/>
  <c r="D15" i="29"/>
  <c r="C15" i="29"/>
  <c r="O8" i="30"/>
  <c r="Q10" i="30"/>
  <c r="K370" i="14"/>
  <c r="K366" i="14" s="1"/>
  <c r="J62" i="24"/>
  <c r="U62" i="24"/>
  <c r="K62" i="24" s="1"/>
  <c r="E85" i="27"/>
  <c r="N83" i="27" s="1"/>
  <c r="F85" i="27"/>
  <c r="O83" i="27" s="1"/>
  <c r="C10" i="29"/>
  <c r="L78" i="29" s="1"/>
  <c r="B15" i="29"/>
  <c r="J287" i="14"/>
  <c r="K287" i="14" s="1"/>
  <c r="K288" i="14" s="1"/>
  <c r="F125" i="24"/>
  <c r="S10" i="24"/>
  <c r="C85" i="20"/>
  <c r="D85" i="20"/>
  <c r="E23" i="25"/>
  <c r="F23" i="25"/>
  <c r="G23" i="25"/>
  <c r="AI217" i="4"/>
  <c r="M7" i="29"/>
  <c r="D45" i="29"/>
  <c r="C85" i="30"/>
  <c r="D85" i="30"/>
  <c r="J226" i="14"/>
  <c r="I126" i="24"/>
  <c r="E125" i="24"/>
  <c r="F126" i="24"/>
  <c r="R10" i="24"/>
  <c r="F123" i="24"/>
  <c r="Q10" i="24"/>
  <c r="B64" i="20"/>
  <c r="B68" i="27"/>
  <c r="B76" i="27"/>
  <c r="AA217" i="4"/>
  <c r="AG217" i="4"/>
  <c r="AH217" i="4"/>
  <c r="B85" i="30"/>
  <c r="P8" i="30"/>
  <c r="B108" i="30"/>
  <c r="F286" i="6"/>
  <c r="G286" i="6"/>
  <c r="DB30" i="22"/>
  <c r="DH30" i="22" s="1"/>
  <c r="DB36" i="22"/>
  <c r="DH36" i="22" s="1"/>
  <c r="S99" i="24"/>
  <c r="H52" i="24"/>
  <c r="I52" i="24" s="1"/>
  <c r="J52" i="24" s="1"/>
  <c r="K52" i="24" s="1"/>
  <c r="L52" i="24" s="1"/>
  <c r="E79" i="24"/>
  <c r="D79" i="24"/>
  <c r="P9" i="24"/>
  <c r="F71" i="24"/>
  <c r="F72" i="24" s="1"/>
  <c r="I125" i="24"/>
  <c r="V12" i="24"/>
  <c r="L12" i="24" s="1"/>
  <c r="G76" i="20"/>
  <c r="B68" i="20"/>
  <c r="G50" i="20"/>
  <c r="C76" i="27"/>
  <c r="H30" i="27"/>
  <c r="H94" i="27" s="1"/>
  <c r="H105" i="27" s="1"/>
  <c r="D23" i="27"/>
  <c r="E23" i="27"/>
  <c r="D68" i="27"/>
  <c r="F23" i="27"/>
  <c r="B85" i="27"/>
  <c r="C85" i="27"/>
  <c r="F50" i="27"/>
  <c r="F59" i="27" s="1"/>
  <c r="D85" i="27"/>
  <c r="B45" i="29"/>
  <c r="B54" i="29" s="1"/>
  <c r="C45" i="29"/>
  <c r="C54" i="29" s="1"/>
  <c r="B59" i="29"/>
  <c r="B63" i="29" s="1"/>
  <c r="E59" i="29"/>
  <c r="D59" i="29"/>
  <c r="C59" i="29"/>
  <c r="C63" i="29" s="1"/>
  <c r="D95" i="11"/>
  <c r="D107" i="11" s="1"/>
  <c r="P99" i="30"/>
  <c r="D64" i="30"/>
  <c r="E64" i="30"/>
  <c r="G64" i="30"/>
  <c r="F64" i="30"/>
  <c r="C101" i="30"/>
  <c r="P10" i="30"/>
  <c r="BQ17" i="22"/>
  <c r="D100" i="14"/>
  <c r="G84" i="14"/>
  <c r="G170" i="14"/>
  <c r="F430" i="14"/>
  <c r="F431" i="14" s="1"/>
  <c r="E132" i="24"/>
  <c r="D46" i="24"/>
  <c r="D55" i="24" s="1"/>
  <c r="S9" i="24"/>
  <c r="E126" i="24"/>
  <c r="C60" i="24"/>
  <c r="C64" i="24" s="1"/>
  <c r="H123" i="24"/>
  <c r="G123" i="24"/>
  <c r="F76" i="20"/>
  <c r="C76" i="20"/>
  <c r="E85" i="20"/>
  <c r="N83" i="20" s="1"/>
  <c r="B10" i="29"/>
  <c r="K78" i="29" s="1"/>
  <c r="E23" i="29"/>
  <c r="J95" i="11"/>
  <c r="J107" i="11" s="1"/>
  <c r="E95" i="11"/>
  <c r="E107" i="11" s="1"/>
  <c r="B68" i="30"/>
  <c r="E76" i="30"/>
  <c r="E85" i="30"/>
  <c r="N83" i="30" s="1"/>
  <c r="G85" i="30"/>
  <c r="P83" i="30" s="1"/>
  <c r="F85" i="30"/>
  <c r="O83" i="30" s="1"/>
  <c r="D76" i="30"/>
  <c r="E50" i="30"/>
  <c r="E59" i="30" s="1"/>
  <c r="F101" i="30"/>
  <c r="C76" i="30"/>
  <c r="E101" i="30"/>
  <c r="G76" i="30"/>
  <c r="D101" i="30"/>
  <c r="B50" i="30"/>
  <c r="B59" i="30" s="1"/>
  <c r="K107" i="30"/>
  <c r="G68" i="30"/>
  <c r="J107" i="30"/>
  <c r="B101" i="30"/>
  <c r="F68" i="30"/>
  <c r="O9" i="30"/>
  <c r="I71" i="30"/>
  <c r="F108" i="30"/>
  <c r="E68" i="30"/>
  <c r="E108" i="30"/>
  <c r="N9" i="30"/>
  <c r="D108" i="30"/>
  <c r="F170" i="14"/>
  <c r="CV13" i="22"/>
  <c r="CP17" i="22"/>
  <c r="J41" i="14" s="1"/>
  <c r="CL8" i="22"/>
  <c r="CL17" i="22" s="1"/>
  <c r="CM17" i="22"/>
  <c r="CS22" i="22" s="1"/>
  <c r="BT17" i="22"/>
  <c r="CT74" i="22"/>
  <c r="CT73" i="22" s="1"/>
  <c r="BU17" i="22"/>
  <c r="AH30" i="1"/>
  <c r="O9" i="24"/>
  <c r="G71" i="24"/>
  <c r="G72" i="24" s="1"/>
  <c r="D76" i="20"/>
  <c r="B108" i="20"/>
  <c r="B76" i="20"/>
  <c r="C68" i="27"/>
  <c r="G85" i="27"/>
  <c r="P83" i="27" s="1"/>
  <c r="B64" i="27"/>
  <c r="B108" i="27"/>
  <c r="C64" i="27"/>
  <c r="C108" i="27"/>
  <c r="D64" i="27"/>
  <c r="B101" i="27"/>
  <c r="D108" i="27"/>
  <c r="F64" i="27"/>
  <c r="D101" i="27"/>
  <c r="F108" i="27"/>
  <c r="D76" i="27"/>
  <c r="G108" i="27"/>
  <c r="E64" i="27"/>
  <c r="C101" i="27"/>
  <c r="C50" i="27"/>
  <c r="C59" i="27" s="1"/>
  <c r="E76" i="27"/>
  <c r="F76" i="27"/>
  <c r="E108" i="27"/>
  <c r="D50" i="27"/>
  <c r="D59" i="27" s="1"/>
  <c r="E50" i="27"/>
  <c r="E59" i="27" s="1"/>
  <c r="E79" i="25"/>
  <c r="H23" i="25"/>
  <c r="C43" i="26" s="1"/>
  <c r="W217" i="4"/>
  <c r="X217" i="4"/>
  <c r="Y217" i="4"/>
  <c r="AB217" i="4"/>
  <c r="Z217" i="4"/>
  <c r="K224" i="4"/>
  <c r="E409" i="4"/>
  <c r="AC217" i="4"/>
  <c r="AF217" i="4"/>
  <c r="D10" i="29"/>
  <c r="J49" i="42" s="1"/>
  <c r="N7" i="29"/>
  <c r="D23" i="29"/>
  <c r="L8" i="29"/>
  <c r="L7" i="29"/>
  <c r="C23" i="29"/>
  <c r="C126" i="29" s="1"/>
  <c r="K7" i="29"/>
  <c r="F50" i="30"/>
  <c r="F59" i="30" s="1"/>
  <c r="D50" i="30"/>
  <c r="D59" i="30" s="1"/>
  <c r="C68" i="30"/>
  <c r="G50" i="30"/>
  <c r="C95" i="11"/>
  <c r="C97" i="11" s="1"/>
  <c r="B76" i="30"/>
  <c r="F76" i="30"/>
  <c r="C64" i="30"/>
  <c r="G95" i="11"/>
  <c r="G107" i="11" s="1"/>
  <c r="B64" i="30"/>
  <c r="D68" i="30"/>
  <c r="I95" i="11"/>
  <c r="I107" i="11" s="1"/>
  <c r="C50" i="30"/>
  <c r="C59" i="30" s="1"/>
  <c r="F95" i="11"/>
  <c r="F107" i="11" s="1"/>
  <c r="S66" i="30"/>
  <c r="H68" i="30"/>
  <c r="G108" i="30"/>
  <c r="H85" i="30"/>
  <c r="Q83" i="30" s="1"/>
  <c r="P94" i="30"/>
  <c r="G101" i="30"/>
  <c r="H73" i="6"/>
  <c r="CN79" i="22"/>
  <c r="CM79" i="22"/>
  <c r="CR13" i="22"/>
  <c r="CW15" i="22"/>
  <c r="BS17" i="22"/>
  <c r="CS13" i="22"/>
  <c r="BR17" i="22"/>
  <c r="BR20" i="22" s="1"/>
  <c r="CT13" i="22"/>
  <c r="CU13" i="22"/>
  <c r="CV8" i="22"/>
  <c r="CU8" i="22"/>
  <c r="CT8" i="22"/>
  <c r="CS8" i="22"/>
  <c r="BV17" i="22"/>
  <c r="J149" i="6"/>
  <c r="K149" i="6" s="1"/>
  <c r="H100" i="14"/>
  <c r="C112" i="30"/>
  <c r="G23" i="30"/>
  <c r="F23" i="30"/>
  <c r="E23" i="30"/>
  <c r="D23" i="30"/>
  <c r="C23" i="30"/>
  <c r="B23" i="30"/>
  <c r="I329" i="6"/>
  <c r="CR75" i="22"/>
  <c r="CR79" i="22" s="1"/>
  <c r="G429" i="14"/>
  <c r="G430" i="14" s="1"/>
  <c r="G431" i="14" s="1"/>
  <c r="J350" i="6"/>
  <c r="K350" i="6" s="1"/>
  <c r="G443" i="14"/>
  <c r="H444" i="14"/>
  <c r="H457" i="14"/>
  <c r="G457" i="14"/>
  <c r="F457" i="14"/>
  <c r="CQ17" i="22"/>
  <c r="F344" i="14"/>
  <c r="DF66" i="22"/>
  <c r="DF74" i="22" s="1"/>
  <c r="CO78" i="22"/>
  <c r="BM79" i="22"/>
  <c r="CT79" i="22"/>
  <c r="CS79" i="22"/>
  <c r="CV78" i="22"/>
  <c r="CV79" i="22" s="1"/>
  <c r="J318" i="6" s="1"/>
  <c r="CU78" i="22"/>
  <c r="CU79" i="22" s="1"/>
  <c r="I318" i="6" s="1"/>
  <c r="DF79" i="22"/>
  <c r="H438" i="14" s="1"/>
  <c r="H437" i="14" s="1"/>
  <c r="H454" i="14" s="1"/>
  <c r="DE79" i="22"/>
  <c r="G438" i="14" s="1"/>
  <c r="G437" i="14" s="1"/>
  <c r="G454" i="14" s="1"/>
  <c r="DD75" i="22"/>
  <c r="DD79" i="22" s="1"/>
  <c r="F438" i="14" s="1"/>
  <c r="F437" i="14" s="1"/>
  <c r="F454" i="14" s="1"/>
  <c r="CL79" i="22"/>
  <c r="I440" i="14"/>
  <c r="J439" i="14"/>
  <c r="H429" i="14"/>
  <c r="I426" i="14"/>
  <c r="I429" i="14" s="1"/>
  <c r="D322" i="6"/>
  <c r="D338" i="6"/>
  <c r="D345" i="6" s="1"/>
  <c r="D351" i="6" s="1"/>
  <c r="H322" i="6"/>
  <c r="H338" i="6"/>
  <c r="H345" i="6" s="1"/>
  <c r="H351" i="6" s="1"/>
  <c r="G322" i="6"/>
  <c r="G338" i="6"/>
  <c r="G345" i="6" s="1"/>
  <c r="G351" i="6" s="1"/>
  <c r="F322" i="6"/>
  <c r="F338" i="6"/>
  <c r="F345" i="6" s="1"/>
  <c r="F351" i="6" s="1"/>
  <c r="E322" i="6"/>
  <c r="E338" i="6"/>
  <c r="E345" i="6" s="1"/>
  <c r="E351" i="6" s="1"/>
  <c r="D331" i="6"/>
  <c r="H331" i="6"/>
  <c r="G331" i="6"/>
  <c r="F331" i="6"/>
  <c r="E331" i="6"/>
  <c r="D343" i="6"/>
  <c r="D341" i="6"/>
  <c r="D333" i="6"/>
  <c r="D324" i="6"/>
  <c r="H343" i="6"/>
  <c r="H341" i="6"/>
  <c r="H333" i="6"/>
  <c r="H324" i="6"/>
  <c r="H336" i="6"/>
  <c r="G343" i="6"/>
  <c r="G341" i="6"/>
  <c r="G333" i="6"/>
  <c r="G324" i="6"/>
  <c r="G336" i="6"/>
  <c r="F343" i="6"/>
  <c r="F341" i="6"/>
  <c r="F333" i="6"/>
  <c r="F324" i="6"/>
  <c r="F336" i="6"/>
  <c r="E343" i="6"/>
  <c r="E341" i="6"/>
  <c r="E333" i="6"/>
  <c r="E324" i="6"/>
  <c r="E336" i="6"/>
  <c r="H293" i="6"/>
  <c r="H274" i="6"/>
  <c r="H272" i="6"/>
  <c r="G35" i="14"/>
  <c r="F35" i="14" s="1"/>
  <c r="E35" i="14" s="1"/>
  <c r="E26" i="14" s="1"/>
  <c r="G411" i="14"/>
  <c r="E288" i="6"/>
  <c r="E272" i="6"/>
  <c r="G288" i="6"/>
  <c r="G272" i="6"/>
  <c r="F288" i="6"/>
  <c r="F272" i="6"/>
  <c r="E281" i="6"/>
  <c r="G281" i="6"/>
  <c r="F281" i="6"/>
  <c r="E283" i="6"/>
  <c r="E274" i="6"/>
  <c r="E293" i="6"/>
  <c r="E291" i="6"/>
  <c r="H286" i="6"/>
  <c r="G283" i="6"/>
  <c r="G274" i="6"/>
  <c r="G293" i="6"/>
  <c r="G291" i="6"/>
  <c r="F283" i="6"/>
  <c r="F274" i="6"/>
  <c r="F293" i="6"/>
  <c r="F291" i="6"/>
  <c r="H185" i="6"/>
  <c r="H187" i="6"/>
  <c r="H288" i="6"/>
  <c r="H295" i="6" s="1"/>
  <c r="H281" i="6"/>
  <c r="H112" i="20"/>
  <c r="H58" i="20"/>
  <c r="D15" i="36" s="1"/>
  <c r="H56" i="20"/>
  <c r="D13" i="36" s="1"/>
  <c r="H67" i="20"/>
  <c r="D23" i="36" s="1"/>
  <c r="P66" i="20"/>
  <c r="Q66" i="20" s="1"/>
  <c r="R66" i="20" s="1"/>
  <c r="H70" i="20"/>
  <c r="D25" i="36" s="1"/>
  <c r="H64" i="6"/>
  <c r="H133" i="25"/>
  <c r="H16" i="6"/>
  <c r="D40" i="26" s="1"/>
  <c r="I16" i="25"/>
  <c r="I32" i="24"/>
  <c r="I123" i="24" s="1"/>
  <c r="I32" i="25"/>
  <c r="N8" i="27"/>
  <c r="O8" i="27"/>
  <c r="P8" i="27"/>
  <c r="N9" i="27"/>
  <c r="O9" i="27"/>
  <c r="P9" i="27"/>
  <c r="O10" i="27"/>
  <c r="P10" i="27"/>
  <c r="B113" i="27"/>
  <c r="C112" i="27"/>
  <c r="B50" i="27"/>
  <c r="B59" i="27" s="1"/>
  <c r="H112" i="27"/>
  <c r="G50" i="27"/>
  <c r="G59" i="27" s="1"/>
  <c r="G64" i="27"/>
  <c r="E68" i="27"/>
  <c r="N66" i="27"/>
  <c r="F68" i="27"/>
  <c r="O66" i="27"/>
  <c r="G68" i="27"/>
  <c r="P66" i="27"/>
  <c r="Q66" i="27" s="1"/>
  <c r="G76" i="27"/>
  <c r="H70" i="27"/>
  <c r="E101" i="27"/>
  <c r="F101" i="27"/>
  <c r="G101" i="27"/>
  <c r="R99" i="27"/>
  <c r="H99" i="27"/>
  <c r="H55" i="27" s="1"/>
  <c r="K107" i="27"/>
  <c r="J107" i="27"/>
  <c r="I107" i="27"/>
  <c r="H107" i="27"/>
  <c r="C101" i="24"/>
  <c r="G101" i="24"/>
  <c r="D101" i="24"/>
  <c r="F101" i="24"/>
  <c r="E101" i="24"/>
  <c r="G95" i="24"/>
  <c r="F95" i="24"/>
  <c r="E95" i="24"/>
  <c r="D95" i="24"/>
  <c r="C95" i="24"/>
  <c r="G79" i="24"/>
  <c r="F79" i="24"/>
  <c r="C79" i="24"/>
  <c r="E71" i="24"/>
  <c r="D71" i="24"/>
  <c r="C71" i="24"/>
  <c r="G60" i="24"/>
  <c r="G64" i="24" s="1"/>
  <c r="F60" i="24"/>
  <c r="F64" i="24" s="1"/>
  <c r="E60" i="24"/>
  <c r="E64" i="24" s="1"/>
  <c r="D60" i="24"/>
  <c r="D64" i="24" s="1"/>
  <c r="G46" i="24"/>
  <c r="G55" i="24" s="1"/>
  <c r="F46" i="24"/>
  <c r="F55" i="24" s="1"/>
  <c r="E46" i="24"/>
  <c r="E55" i="24" s="1"/>
  <c r="C46" i="24"/>
  <c r="C55" i="24" s="1"/>
  <c r="F85" i="20"/>
  <c r="O83" i="20" s="1"/>
  <c r="E76" i="20"/>
  <c r="DB35" i="22"/>
  <c r="DH35" i="22" s="1"/>
  <c r="DB29" i="22"/>
  <c r="DH29" i="22" s="1"/>
  <c r="DB41" i="22"/>
  <c r="DB34" i="22"/>
  <c r="DH34" i="22" s="1"/>
  <c r="DB27" i="22"/>
  <c r="DH46" i="22"/>
  <c r="DG46" i="22"/>
  <c r="DG48" i="22" s="1"/>
  <c r="CB76" i="1" s="1"/>
  <c r="DB40" i="22"/>
  <c r="DB33" i="22"/>
  <c r="DH33" i="22" s="1"/>
  <c r="DB39" i="22"/>
  <c r="DB32" i="22"/>
  <c r="DH32" i="22" s="1"/>
  <c r="DB37" i="22"/>
  <c r="DB31" i="22"/>
  <c r="DH31" i="22" s="1"/>
  <c r="J107" i="20"/>
  <c r="I107" i="20"/>
  <c r="H107" i="20"/>
  <c r="H71" i="20" s="1"/>
  <c r="B101" i="20"/>
  <c r="C112" i="20"/>
  <c r="J69" i="25"/>
  <c r="C95" i="25"/>
  <c r="B85" i="20"/>
  <c r="G64" i="20"/>
  <c r="F64" i="20"/>
  <c r="E64" i="20"/>
  <c r="D64" i="20"/>
  <c r="C64" i="20"/>
  <c r="G68" i="20"/>
  <c r="F68" i="20"/>
  <c r="E68" i="20"/>
  <c r="D68" i="20"/>
  <c r="C68" i="20"/>
  <c r="G101" i="20"/>
  <c r="F101" i="20"/>
  <c r="E101" i="20"/>
  <c r="D101" i="20"/>
  <c r="C101" i="20"/>
  <c r="G108" i="20"/>
  <c r="F108" i="20"/>
  <c r="E108" i="20"/>
  <c r="D108" i="20"/>
  <c r="C108" i="20"/>
  <c r="K100" i="14"/>
  <c r="AQ16" i="1"/>
  <c r="AR16" i="1" s="1"/>
  <c r="BL16" i="1" s="1"/>
  <c r="CD16" i="1" s="1"/>
  <c r="BJ17" i="1"/>
  <c r="AF17" i="1"/>
  <c r="BL17" i="1"/>
  <c r="AH17" i="1"/>
  <c r="BK17" i="1"/>
  <c r="AG17" i="1"/>
  <c r="BI17" i="1"/>
  <c r="AE17" i="1"/>
  <c r="AH25" i="1"/>
  <c r="AH24" i="1"/>
  <c r="AH23" i="1"/>
  <c r="AH22" i="1"/>
  <c r="AH21" i="1"/>
  <c r="AH20" i="1"/>
  <c r="BL13" i="1"/>
  <c r="CD13" i="1" s="1"/>
  <c r="AH13" i="1"/>
  <c r="BL10" i="1"/>
  <c r="CD10" i="1" s="1"/>
  <c r="AH10" i="1"/>
  <c r="X26" i="1"/>
  <c r="CW11" i="22"/>
  <c r="CW16" i="22"/>
  <c r="CW10" i="22"/>
  <c r="CW8" i="22"/>
  <c r="CW13" i="22"/>
  <c r="H7" i="25"/>
  <c r="R92" i="25"/>
  <c r="D23" i="25"/>
  <c r="I23" i="25"/>
  <c r="D43" i="26" s="1"/>
  <c r="D125" i="25"/>
  <c r="E60" i="25"/>
  <c r="E64" i="25" s="1"/>
  <c r="G46" i="25"/>
  <c r="G55" i="25" s="1"/>
  <c r="F46" i="25"/>
  <c r="F55" i="25" s="1"/>
  <c r="D95" i="25"/>
  <c r="J52" i="25"/>
  <c r="D123" i="25"/>
  <c r="D126" i="25"/>
  <c r="D79" i="25"/>
  <c r="D60" i="25"/>
  <c r="D64" i="25" s="1"/>
  <c r="C132" i="25"/>
  <c r="E46" i="25"/>
  <c r="E55" i="25" s="1"/>
  <c r="F71" i="25"/>
  <c r="F135" i="25" s="1"/>
  <c r="F60" i="25"/>
  <c r="F64" i="25" s="1"/>
  <c r="D46" i="25"/>
  <c r="D55" i="25" s="1"/>
  <c r="F79" i="25"/>
  <c r="F101" i="25"/>
  <c r="G79" i="25"/>
  <c r="G101" i="25"/>
  <c r="C60" i="25"/>
  <c r="C64" i="25" s="1"/>
  <c r="C71" i="25"/>
  <c r="C135" i="25" s="1"/>
  <c r="C79" i="25"/>
  <c r="C101" i="25"/>
  <c r="D71" i="25"/>
  <c r="D135" i="25" s="1"/>
  <c r="D101" i="25"/>
  <c r="C46" i="25"/>
  <c r="C55" i="25" s="1"/>
  <c r="E71" i="25"/>
  <c r="E135" i="25" s="1"/>
  <c r="E101" i="25"/>
  <c r="K88" i="25"/>
  <c r="N13" i="26" s="1"/>
  <c r="O9" i="25"/>
  <c r="P9" i="25"/>
  <c r="Q9" i="25"/>
  <c r="R9" i="25"/>
  <c r="S9" i="25"/>
  <c r="O10" i="25"/>
  <c r="P10" i="25"/>
  <c r="Q10" i="25"/>
  <c r="R10" i="25"/>
  <c r="S10" i="25"/>
  <c r="E123" i="25"/>
  <c r="F123" i="25"/>
  <c r="G123" i="25"/>
  <c r="H123" i="25"/>
  <c r="E125" i="25"/>
  <c r="F125" i="25"/>
  <c r="G125" i="25"/>
  <c r="H125" i="25"/>
  <c r="I125" i="25"/>
  <c r="E132" i="25"/>
  <c r="E126" i="25"/>
  <c r="F126" i="25"/>
  <c r="G126" i="25"/>
  <c r="H126" i="25"/>
  <c r="I126" i="25"/>
  <c r="G82" i="25"/>
  <c r="G60" i="25"/>
  <c r="G64" i="25" s="1"/>
  <c r="G71" i="25"/>
  <c r="G135" i="25" s="1"/>
  <c r="E95" i="25"/>
  <c r="F95" i="25"/>
  <c r="G95" i="25"/>
  <c r="H17" i="6"/>
  <c r="I16" i="24"/>
  <c r="H67" i="24"/>
  <c r="I67" i="24" s="1"/>
  <c r="J67" i="24" s="1"/>
  <c r="K67" i="24" s="1"/>
  <c r="L67" i="24" s="1"/>
  <c r="H70" i="24"/>
  <c r="I70" i="24" s="1"/>
  <c r="J70" i="24" s="1"/>
  <c r="K70" i="24" s="1"/>
  <c r="L70" i="24" s="1"/>
  <c r="I54" i="24"/>
  <c r="H66" i="24"/>
  <c r="I23" i="24"/>
  <c r="H23" i="24"/>
  <c r="G23" i="24"/>
  <c r="F23" i="24"/>
  <c r="E23" i="24"/>
  <c r="D23" i="24"/>
  <c r="C23" i="24"/>
  <c r="H7" i="24"/>
  <c r="CQ11" i="22"/>
  <c r="DI11" i="22" s="1"/>
  <c r="CQ16" i="22"/>
  <c r="CQ15" i="22"/>
  <c r="CQ10" i="22"/>
  <c r="BX11" i="22"/>
  <c r="CL11" i="22" s="1"/>
  <c r="DD11" i="22" s="1"/>
  <c r="CL10" i="22"/>
  <c r="DD10" i="22" s="1"/>
  <c r="CB11" i="22"/>
  <c r="CP11" i="22" s="1"/>
  <c r="CP10" i="22"/>
  <c r="CA11" i="22"/>
  <c r="CO11" i="22" s="1"/>
  <c r="DG11" i="22" s="1"/>
  <c r="CO10" i="22"/>
  <c r="DG10" i="22" s="1"/>
  <c r="BZ11" i="22"/>
  <c r="CN11" i="22" s="1"/>
  <c r="DF11" i="22" s="1"/>
  <c r="CN10" i="22"/>
  <c r="DF10" i="22" s="1"/>
  <c r="BY11" i="22"/>
  <c r="CM11" i="22" s="1"/>
  <c r="DE11" i="22" s="1"/>
  <c r="CM10" i="22"/>
  <c r="DE10" i="22" s="1"/>
  <c r="BY16" i="22"/>
  <c r="CM16" i="22" s="1"/>
  <c r="DE16" i="22" s="1"/>
  <c r="CM15" i="22"/>
  <c r="DE15" i="22" s="1"/>
  <c r="CB16" i="22"/>
  <c r="CP16" i="22" s="1"/>
  <c r="CP15" i="22"/>
  <c r="CA16" i="22"/>
  <c r="CO16" i="22" s="1"/>
  <c r="DG16" i="22" s="1"/>
  <c r="CO15" i="22"/>
  <c r="DG15" i="22" s="1"/>
  <c r="BZ16" i="22"/>
  <c r="CN16" i="22" s="1"/>
  <c r="DF16" i="22" s="1"/>
  <c r="CN15" i="22"/>
  <c r="DF15" i="22" s="1"/>
  <c r="BX16" i="22"/>
  <c r="CL16" i="22" s="1"/>
  <c r="DD16" i="22" s="1"/>
  <c r="CL15" i="22"/>
  <c r="DD15" i="22" s="1"/>
  <c r="CR10" i="22"/>
  <c r="CS10" i="22"/>
  <c r="CT10" i="22"/>
  <c r="CU10" i="22"/>
  <c r="CV10" i="22"/>
  <c r="CS15" i="22"/>
  <c r="CT15" i="22"/>
  <c r="CU15" i="22"/>
  <c r="CV15" i="22"/>
  <c r="CN17" i="22"/>
  <c r="DF8" i="22"/>
  <c r="CX8" i="22"/>
  <c r="DE8" i="22"/>
  <c r="DB8" i="22"/>
  <c r="DG8" i="22"/>
  <c r="DB10" i="22"/>
  <c r="DC10" i="22" s="1"/>
  <c r="DB11" i="22"/>
  <c r="DC11" i="22" s="1"/>
  <c r="CX13" i="22"/>
  <c r="DD13" i="22" s="1"/>
  <c r="DE13" i="22"/>
  <c r="DB13" i="22"/>
  <c r="DG13" i="22"/>
  <c r="DB15" i="22"/>
  <c r="DC15" i="22" s="1"/>
  <c r="DB16" i="22"/>
  <c r="DC16" i="22" s="1"/>
  <c r="F27" i="14"/>
  <c r="F32" i="14" s="1"/>
  <c r="G28" i="14"/>
  <c r="I31" i="14"/>
  <c r="I36" i="14"/>
  <c r="J39" i="14"/>
  <c r="K39" i="14" s="1"/>
  <c r="DB26" i="22"/>
  <c r="BD217" i="4"/>
  <c r="BR213" i="4"/>
  <c r="BI213" i="4"/>
  <c r="BS213" i="4"/>
  <c r="BJ213" i="4"/>
  <c r="BT213" i="4"/>
  <c r="BK213" i="4"/>
  <c r="K217" i="4"/>
  <c r="L214" i="4"/>
  <c r="R217" i="4"/>
  <c r="AJ217" i="4" s="1"/>
  <c r="S217" i="4"/>
  <c r="AK217" i="4" s="1"/>
  <c r="AK214" i="4"/>
  <c r="BR214" i="4"/>
  <c r="BI214" i="4"/>
  <c r="BS214" i="4"/>
  <c r="BJ214" i="4"/>
  <c r="BT214" i="4"/>
  <c r="BK214" i="4"/>
  <c r="U217" i="4"/>
  <c r="AD215" i="4"/>
  <c r="BR215" i="4"/>
  <c r="BI215" i="4"/>
  <c r="BE215" i="4"/>
  <c r="BT215" i="4"/>
  <c r="BK215" i="4"/>
  <c r="V217" i="4"/>
  <c r="AE216" i="4"/>
  <c r="BR216" i="4"/>
  <c r="BI216" i="4"/>
  <c r="BE216" i="4"/>
  <c r="BF216" i="4"/>
  <c r="BF217" i="4" s="1"/>
  <c r="BT217" i="4" s="1"/>
  <c r="B51" i="14"/>
  <c r="G51" i="14"/>
  <c r="I51" i="14" s="1"/>
  <c r="F51" i="14"/>
  <c r="E51" i="14"/>
  <c r="D51" i="14"/>
  <c r="C51" i="14"/>
  <c r="K18" i="22"/>
  <c r="L18" i="22" s="1"/>
  <c r="M18" i="22" s="1"/>
  <c r="N18" i="22" s="1"/>
  <c r="O18" i="22" s="1"/>
  <c r="BS19" i="22"/>
  <c r="BS18" i="22" s="1"/>
  <c r="CU51" i="22"/>
  <c r="CU65" i="22" s="1"/>
  <c r="I213" i="6" s="1"/>
  <c r="I221" i="6" s="1"/>
  <c r="CV51" i="22"/>
  <c r="CV65" i="22" s="1"/>
  <c r="J213" i="6" s="1"/>
  <c r="J221" i="6" s="1"/>
  <c r="J230" i="6" s="1"/>
  <c r="J238" i="6" s="1"/>
  <c r="CT51" i="22"/>
  <c r="CR27" i="22"/>
  <c r="CR30" i="22"/>
  <c r="CS30" i="22"/>
  <c r="CR31" i="22"/>
  <c r="CR34" i="22"/>
  <c r="CR36" i="22"/>
  <c r="CS27" i="22"/>
  <c r="CT27" i="22"/>
  <c r="CU27" i="22"/>
  <c r="CV27" i="22"/>
  <c r="CR29" i="22"/>
  <c r="CS29" i="22"/>
  <c r="CT29" i="22"/>
  <c r="CU29" i="22"/>
  <c r="CV29" i="22"/>
  <c r="CT30" i="22"/>
  <c r="CU30" i="22"/>
  <c r="CV30" i="22"/>
  <c r="CS31" i="22"/>
  <c r="CT31" i="22"/>
  <c r="CU31" i="22"/>
  <c r="CV31" i="22"/>
  <c r="CS32" i="22"/>
  <c r="CT32" i="22"/>
  <c r="CU32" i="22"/>
  <c r="CV32" i="22"/>
  <c r="CR33" i="22"/>
  <c r="CS33" i="22"/>
  <c r="CT33" i="22"/>
  <c r="CU33" i="22"/>
  <c r="CV33" i="22"/>
  <c r="CS34" i="22"/>
  <c r="CT34" i="22"/>
  <c r="CU34" i="22"/>
  <c r="CV34" i="22"/>
  <c r="CR35" i="22"/>
  <c r="CS35" i="22"/>
  <c r="CT35" i="22"/>
  <c r="CU35" i="22"/>
  <c r="CV35" i="22"/>
  <c r="CS36" i="22"/>
  <c r="CT36" i="22"/>
  <c r="CV36" i="22"/>
  <c r="CR37" i="22"/>
  <c r="CS37" i="22"/>
  <c r="CT37" i="22"/>
  <c r="CU37" i="22"/>
  <c r="CV37" i="22"/>
  <c r="CS26" i="22"/>
  <c r="CV26" i="22"/>
  <c r="V12" i="1"/>
  <c r="U12" i="1"/>
  <c r="U14" i="1"/>
  <c r="I99" i="14"/>
  <c r="J99" i="14"/>
  <c r="I103" i="14"/>
  <c r="J103" i="14"/>
  <c r="I104" i="14"/>
  <c r="J104" i="14"/>
  <c r="L19" i="15"/>
  <c r="L27" i="15"/>
  <c r="K32" i="15"/>
  <c r="K27" i="15"/>
  <c r="AK15" i="22"/>
  <c r="CR15" i="22" s="1"/>
  <c r="E163" i="6"/>
  <c r="BV7" i="1"/>
  <c r="BH7" i="1"/>
  <c r="H12" i="2"/>
  <c r="S88" i="2"/>
  <c r="S82" i="2" s="1"/>
  <c r="K31" i="2"/>
  <c r="L31" i="2" s="1"/>
  <c r="I230" i="6" l="1"/>
  <c r="I225" i="6"/>
  <c r="I223" i="6" s="1"/>
  <c r="I343" i="6"/>
  <c r="I7" i="39"/>
  <c r="K221" i="6"/>
  <c r="K225" i="6" s="1"/>
  <c r="K223" i="6" s="1"/>
  <c r="F150" i="14"/>
  <c r="F158" i="14" s="1"/>
  <c r="J135" i="14"/>
  <c r="J127" i="14" s="1"/>
  <c r="K135" i="14"/>
  <c r="K127" i="14" s="1"/>
  <c r="I214" i="6"/>
  <c r="L33" i="42" s="1"/>
  <c r="G7" i="39"/>
  <c r="E36" i="42" s="1"/>
  <c r="J222" i="6"/>
  <c r="J214" i="6"/>
  <c r="M33" i="42" s="1"/>
  <c r="K214" i="6"/>
  <c r="N33" i="42" s="1"/>
  <c r="H7" i="39"/>
  <c r="F36" i="42" s="1"/>
  <c r="I8" i="39"/>
  <c r="G37" i="42" s="1"/>
  <c r="K230" i="6"/>
  <c r="K238" i="6" s="1"/>
  <c r="G36" i="42"/>
  <c r="I9" i="39"/>
  <c r="I76" i="39" s="1"/>
  <c r="I222" i="6"/>
  <c r="I228" i="6"/>
  <c r="G8" i="39"/>
  <c r="E37" i="42" s="1"/>
  <c r="G13" i="39"/>
  <c r="E40" i="42" s="1"/>
  <c r="I96" i="14"/>
  <c r="H282" i="6"/>
  <c r="E70" i="7" s="1"/>
  <c r="K19" i="14"/>
  <c r="K21" i="14" s="1"/>
  <c r="J21" i="14"/>
  <c r="D124" i="29"/>
  <c r="J24" i="14"/>
  <c r="J22" i="14"/>
  <c r="P61" i="29"/>
  <c r="CV48" i="22"/>
  <c r="CU48" i="22"/>
  <c r="I81" i="6" s="1"/>
  <c r="BS20" i="22"/>
  <c r="CT48" i="22"/>
  <c r="BQ77" i="1"/>
  <c r="CA77" i="1" s="1"/>
  <c r="BL49" i="22" s="1"/>
  <c r="CN49" i="22" s="1"/>
  <c r="T86" i="25"/>
  <c r="J86" i="25" s="1"/>
  <c r="M12" i="26" s="1"/>
  <c r="R99" i="30"/>
  <c r="I99" i="30" s="1"/>
  <c r="L17" i="36" s="1"/>
  <c r="I100" i="14"/>
  <c r="C72" i="29"/>
  <c r="C73" i="29" s="1"/>
  <c r="C137" i="29"/>
  <c r="B72" i="29"/>
  <c r="B73" i="29" s="1"/>
  <c r="B137" i="29"/>
  <c r="E126" i="29"/>
  <c r="D42" i="28"/>
  <c r="D35" i="28"/>
  <c r="K47" i="28"/>
  <c r="N78" i="29"/>
  <c r="D126" i="29"/>
  <c r="C42" i="28"/>
  <c r="J47" i="28"/>
  <c r="C35" i="28"/>
  <c r="M78" i="29"/>
  <c r="J43" i="28"/>
  <c r="J42" i="28"/>
  <c r="B124" i="29"/>
  <c r="D63" i="29"/>
  <c r="C18" i="28"/>
  <c r="E63" i="29"/>
  <c r="D18" i="28"/>
  <c r="G51" i="29"/>
  <c r="E14" i="28"/>
  <c r="K42" i="28"/>
  <c r="K43" i="28"/>
  <c r="L13" i="28"/>
  <c r="E46" i="28"/>
  <c r="G49" i="29"/>
  <c r="E12" i="28"/>
  <c r="CU74" i="22"/>
  <c r="I268" i="6" s="1"/>
  <c r="E124" i="29"/>
  <c r="C124" i="29"/>
  <c r="B120" i="29"/>
  <c r="B127" i="29" s="1"/>
  <c r="E120" i="29"/>
  <c r="C120" i="29"/>
  <c r="D120" i="29"/>
  <c r="P98" i="29"/>
  <c r="Q98" i="29" s="1"/>
  <c r="H98" i="29" s="1"/>
  <c r="N17" i="28" s="1"/>
  <c r="I74" i="30"/>
  <c r="J74" i="30" s="1"/>
  <c r="K74" i="30" s="1"/>
  <c r="K100" i="25"/>
  <c r="K67" i="25"/>
  <c r="L67" i="25" s="1"/>
  <c r="N96" i="29"/>
  <c r="J41" i="36"/>
  <c r="J67" i="30"/>
  <c r="K67" i="30" s="1"/>
  <c r="J62" i="25"/>
  <c r="E22" i="26" s="1"/>
  <c r="T85" i="25"/>
  <c r="J85" i="25" s="1"/>
  <c r="J23" i="36"/>
  <c r="K41" i="36"/>
  <c r="C30" i="36"/>
  <c r="J19" i="36"/>
  <c r="L22" i="36"/>
  <c r="H170" i="14"/>
  <c r="I170" i="14" s="1"/>
  <c r="I169" i="14" s="1"/>
  <c r="I174" i="14" s="1"/>
  <c r="N22" i="36"/>
  <c r="G59" i="30"/>
  <c r="J43" i="36"/>
  <c r="C4" i="36"/>
  <c r="J42" i="36"/>
  <c r="M22" i="36"/>
  <c r="J51" i="14"/>
  <c r="K51" i="14" s="1"/>
  <c r="R83" i="30"/>
  <c r="S83" i="30" s="1"/>
  <c r="J5" i="36"/>
  <c r="K51" i="25"/>
  <c r="F13" i="26" s="1"/>
  <c r="E13" i="26"/>
  <c r="J51" i="36"/>
  <c r="D26" i="36"/>
  <c r="C24" i="36"/>
  <c r="C17" i="36"/>
  <c r="K69" i="25"/>
  <c r="E28" i="26"/>
  <c r="K52" i="25"/>
  <c r="E14" i="26"/>
  <c r="N28" i="29"/>
  <c r="K28" i="29"/>
  <c r="M28" i="29"/>
  <c r="L28" i="29"/>
  <c r="G282" i="6"/>
  <c r="D70" i="7" s="1"/>
  <c r="G295" i="6"/>
  <c r="G304" i="6" s="1"/>
  <c r="F282" i="6"/>
  <c r="F295" i="6"/>
  <c r="F304" i="6" s="1"/>
  <c r="E295" i="6"/>
  <c r="E304" i="6" s="1"/>
  <c r="I281" i="6"/>
  <c r="N20" i="29"/>
  <c r="M20" i="29"/>
  <c r="L20" i="29"/>
  <c r="K13" i="29"/>
  <c r="K20" i="29"/>
  <c r="H110" i="25"/>
  <c r="K46" i="26"/>
  <c r="K45" i="26"/>
  <c r="I123" i="25"/>
  <c r="D48" i="26"/>
  <c r="K21" i="29"/>
  <c r="B16" i="29"/>
  <c r="B24" i="29" s="1"/>
  <c r="D54" i="29"/>
  <c r="J45" i="28" s="1"/>
  <c r="C4" i="28"/>
  <c r="Q61" i="29"/>
  <c r="G61" i="29"/>
  <c r="F23" i="28" s="1"/>
  <c r="D4" i="28"/>
  <c r="E54" i="29"/>
  <c r="AK22" i="34"/>
  <c r="AK5" i="34" s="1"/>
  <c r="K27" i="6" s="1"/>
  <c r="K41" i="14"/>
  <c r="I22" i="14"/>
  <c r="D121" i="25"/>
  <c r="E16" i="29"/>
  <c r="BS7" i="1"/>
  <c r="J56" i="14" s="1"/>
  <c r="AJ22" i="34"/>
  <c r="AJ5" i="34" s="1"/>
  <c r="BR7" i="1"/>
  <c r="I56" i="14" s="1"/>
  <c r="AI22" i="34"/>
  <c r="AI5" i="34" s="1"/>
  <c r="I27" i="6" s="1"/>
  <c r="J13" i="25" s="1"/>
  <c r="J81" i="6"/>
  <c r="G121" i="25"/>
  <c r="BP76" i="1"/>
  <c r="BZ77" i="1"/>
  <c r="BR77" i="1"/>
  <c r="CR48" i="22"/>
  <c r="D91" i="35"/>
  <c r="CS48" i="22"/>
  <c r="CS47" i="22" s="1"/>
  <c r="F193" i="14"/>
  <c r="F191" i="14" s="1"/>
  <c r="F190" i="14" s="1"/>
  <c r="F416" i="14" s="1"/>
  <c r="H329" i="14"/>
  <c r="K260" i="14"/>
  <c r="K271" i="14" s="1"/>
  <c r="H298" i="14"/>
  <c r="H416" i="14" s="1"/>
  <c r="F421" i="14"/>
  <c r="F422" i="14" s="1"/>
  <c r="H421" i="14"/>
  <c r="H422" i="14" s="1"/>
  <c r="G190" i="14"/>
  <c r="V62" i="24"/>
  <c r="L62" i="24" s="1"/>
  <c r="F121" i="25"/>
  <c r="D16" i="29"/>
  <c r="G77" i="30"/>
  <c r="J300" i="14"/>
  <c r="J364" i="14" s="1"/>
  <c r="J359" i="14" s="1"/>
  <c r="K300" i="14"/>
  <c r="K364" i="14" s="1"/>
  <c r="K359" i="14" s="1"/>
  <c r="J227" i="14"/>
  <c r="J288" i="14"/>
  <c r="K242" i="14"/>
  <c r="K245" i="14"/>
  <c r="K231" i="14"/>
  <c r="K292" i="14"/>
  <c r="K306" i="14"/>
  <c r="K303" i="14"/>
  <c r="K352" i="14"/>
  <c r="F73" i="24"/>
  <c r="C16" i="29"/>
  <c r="C24" i="29" s="1"/>
  <c r="C29" i="29" s="1"/>
  <c r="C129" i="29" s="1"/>
  <c r="DC36" i="22"/>
  <c r="DI36" i="22" s="1"/>
  <c r="DC30" i="22"/>
  <c r="DI30" i="22" s="1"/>
  <c r="H121" i="25"/>
  <c r="K226" i="14"/>
  <c r="K227" i="14" s="1"/>
  <c r="G59" i="20"/>
  <c r="B77" i="27"/>
  <c r="H332" i="6"/>
  <c r="D332" i="6"/>
  <c r="B77" i="20"/>
  <c r="E77" i="30"/>
  <c r="E79" i="30" s="1"/>
  <c r="H91" i="14"/>
  <c r="H90" i="14" s="1"/>
  <c r="AF74" i="2"/>
  <c r="AF72" i="2"/>
  <c r="CR8" i="22"/>
  <c r="G91" i="14"/>
  <c r="DI10" i="22"/>
  <c r="H223" i="14"/>
  <c r="G73" i="24"/>
  <c r="J123" i="24"/>
  <c r="I99" i="24"/>
  <c r="I69" i="24" s="1"/>
  <c r="T99" i="24"/>
  <c r="J99" i="24" s="1"/>
  <c r="R26" i="25"/>
  <c r="R18" i="25"/>
  <c r="H131" i="25"/>
  <c r="R24" i="25"/>
  <c r="R25" i="25"/>
  <c r="R30" i="25"/>
  <c r="M10" i="29"/>
  <c r="C107" i="11"/>
  <c r="C108" i="11" s="1"/>
  <c r="F77" i="30"/>
  <c r="F79" i="30" s="1"/>
  <c r="F434" i="14"/>
  <c r="F441" i="14" s="1"/>
  <c r="CV16" i="22"/>
  <c r="BP7" i="1"/>
  <c r="BP6" i="1" s="1"/>
  <c r="CV11" i="22"/>
  <c r="CU11" i="22"/>
  <c r="DD8" i="22"/>
  <c r="DD25" i="22" s="1"/>
  <c r="G344" i="14"/>
  <c r="E72" i="24"/>
  <c r="E73" i="24" s="1"/>
  <c r="Q83" i="20"/>
  <c r="R83" i="20" s="1"/>
  <c r="S83" i="20" s="1"/>
  <c r="C77" i="27"/>
  <c r="I121" i="25"/>
  <c r="E72" i="25"/>
  <c r="E73" i="25" s="1"/>
  <c r="R23" i="25"/>
  <c r="H113" i="25"/>
  <c r="P78" i="29"/>
  <c r="Q78" i="29" s="1"/>
  <c r="D77" i="30"/>
  <c r="D79" i="30" s="1"/>
  <c r="B77" i="30"/>
  <c r="B79" i="30" s="1"/>
  <c r="J71" i="30"/>
  <c r="K71" i="30" s="1"/>
  <c r="C77" i="30"/>
  <c r="C79" i="30" s="1"/>
  <c r="E282" i="6"/>
  <c r="G434" i="14"/>
  <c r="G441" i="14" s="1"/>
  <c r="G442" i="14" s="1"/>
  <c r="F26" i="14"/>
  <c r="CR16" i="22"/>
  <c r="CA76" i="1"/>
  <c r="D72" i="24"/>
  <c r="D73" i="24" s="1"/>
  <c r="H66" i="20"/>
  <c r="D77" i="27"/>
  <c r="F77" i="27"/>
  <c r="E77" i="27"/>
  <c r="J123" i="25"/>
  <c r="E121" i="25"/>
  <c r="J66" i="30"/>
  <c r="T66" i="30"/>
  <c r="E332" i="6"/>
  <c r="G421" i="14"/>
  <c r="G422" i="14" s="1"/>
  <c r="I331" i="6"/>
  <c r="J331" i="6" s="1"/>
  <c r="F332" i="6"/>
  <c r="I341" i="6"/>
  <c r="J341" i="6" s="1"/>
  <c r="J343" i="6"/>
  <c r="G332" i="6"/>
  <c r="CR11" i="22"/>
  <c r="AH26" i="1"/>
  <c r="K9" i="27"/>
  <c r="K9" i="30"/>
  <c r="E353" i="6"/>
  <c r="E355" i="6"/>
  <c r="E356" i="6" s="1"/>
  <c r="E357" i="6" s="1"/>
  <c r="F353" i="6"/>
  <c r="F355" i="6"/>
  <c r="F356" i="6" s="1"/>
  <c r="F357" i="6" s="1"/>
  <c r="G353" i="6"/>
  <c r="G355" i="6"/>
  <c r="G356" i="6" s="1"/>
  <c r="G357" i="6" s="1"/>
  <c r="H353" i="6"/>
  <c r="H355" i="6"/>
  <c r="H356" i="6" s="1"/>
  <c r="H357" i="6" s="1"/>
  <c r="D353" i="6"/>
  <c r="D355" i="6"/>
  <c r="D356" i="6" s="1"/>
  <c r="D357" i="6" s="1"/>
  <c r="J329" i="6"/>
  <c r="K329" i="6" s="1"/>
  <c r="I326" i="6"/>
  <c r="I319" i="6"/>
  <c r="J319" i="6"/>
  <c r="DG78" i="22"/>
  <c r="DG79" i="22" s="1"/>
  <c r="I438" i="14" s="1"/>
  <c r="I437" i="14" s="1"/>
  <c r="I454" i="14" s="1"/>
  <c r="CO79" i="22"/>
  <c r="H443" i="14"/>
  <c r="I444" i="14"/>
  <c r="I456" i="14"/>
  <c r="J456" i="14"/>
  <c r="CW17" i="22"/>
  <c r="CP78" i="22"/>
  <c r="BN79" i="22"/>
  <c r="L10" i="29"/>
  <c r="J440" i="14"/>
  <c r="K439" i="14"/>
  <c r="K96" i="29"/>
  <c r="K6" i="29"/>
  <c r="K14" i="29"/>
  <c r="K19" i="29"/>
  <c r="L96" i="29"/>
  <c r="L13" i="29"/>
  <c r="L14" i="29"/>
  <c r="L19" i="29"/>
  <c r="L21" i="29"/>
  <c r="M96" i="29"/>
  <c r="M13" i="29"/>
  <c r="M14" i="29"/>
  <c r="M19" i="29"/>
  <c r="M21" i="29"/>
  <c r="N10" i="29"/>
  <c r="N13" i="29"/>
  <c r="N14" i="29"/>
  <c r="N19" i="29"/>
  <c r="N21" i="29"/>
  <c r="K15" i="29"/>
  <c r="L15" i="29"/>
  <c r="M15" i="29"/>
  <c r="N15" i="29"/>
  <c r="H431" i="14"/>
  <c r="H430" i="14" s="1"/>
  <c r="H434" i="14" s="1"/>
  <c r="J426" i="14"/>
  <c r="E339" i="6"/>
  <c r="E323" i="6"/>
  <c r="F339" i="6"/>
  <c r="F323" i="6"/>
  <c r="G339" i="6"/>
  <c r="G323" i="6"/>
  <c r="H339" i="6"/>
  <c r="H323" i="6"/>
  <c r="D339" i="6"/>
  <c r="D323" i="6"/>
  <c r="H304" i="6"/>
  <c r="H289" i="6"/>
  <c r="K35" i="28" s="1"/>
  <c r="H273" i="6"/>
  <c r="E69" i="7" s="1"/>
  <c r="J401" i="14"/>
  <c r="K402" i="14"/>
  <c r="K401" i="14" s="1"/>
  <c r="J166" i="14"/>
  <c r="J168" i="14" s="1"/>
  <c r="F289" i="6"/>
  <c r="F273" i="6"/>
  <c r="G289" i="6"/>
  <c r="J35" i="28" s="1"/>
  <c r="G273" i="6"/>
  <c r="D69" i="7" s="1"/>
  <c r="E289" i="6"/>
  <c r="E273" i="6"/>
  <c r="I70" i="20"/>
  <c r="E25" i="36" s="1"/>
  <c r="I67" i="20"/>
  <c r="E23" i="36" s="1"/>
  <c r="I56" i="20"/>
  <c r="E13" i="36" s="1"/>
  <c r="I58" i="20"/>
  <c r="E15" i="36" s="1"/>
  <c r="J348" i="14"/>
  <c r="K347" i="14"/>
  <c r="K348" i="14" s="1"/>
  <c r="H71" i="27"/>
  <c r="I71" i="27" s="1"/>
  <c r="J71" i="27" s="1"/>
  <c r="K71" i="27" s="1"/>
  <c r="H74" i="27"/>
  <c r="I74" i="27" s="1"/>
  <c r="J74" i="27" s="1"/>
  <c r="K74" i="27" s="1"/>
  <c r="S99" i="27"/>
  <c r="I99" i="27"/>
  <c r="I55" i="27" s="1"/>
  <c r="Q83" i="27"/>
  <c r="I70" i="27"/>
  <c r="R66" i="27"/>
  <c r="H66" i="27"/>
  <c r="H68" i="27" s="1"/>
  <c r="G77" i="27"/>
  <c r="H94" i="20"/>
  <c r="H105" i="20" s="1"/>
  <c r="C72" i="24"/>
  <c r="C73" i="24" s="1"/>
  <c r="DC31" i="22"/>
  <c r="DI31" i="22" s="1"/>
  <c r="DH27" i="22"/>
  <c r="DC27" i="22"/>
  <c r="DI27" i="22" s="1"/>
  <c r="DH37" i="22"/>
  <c r="DC37" i="22"/>
  <c r="DI37" i="22" s="1"/>
  <c r="DC34" i="22"/>
  <c r="DI34" i="22" s="1"/>
  <c r="DC32" i="22"/>
  <c r="DI32" i="22" s="1"/>
  <c r="DH41" i="22"/>
  <c r="DC41" i="22"/>
  <c r="DI41" i="22" s="1"/>
  <c r="DH39" i="22"/>
  <c r="DC39" i="22"/>
  <c r="DI39" i="22" s="1"/>
  <c r="DC29" i="22"/>
  <c r="DI29" i="22" s="1"/>
  <c r="DC35" i="22"/>
  <c r="DI35" i="22" s="1"/>
  <c r="K9" i="20"/>
  <c r="DI16" i="22"/>
  <c r="DI15" i="22"/>
  <c r="DH26" i="22"/>
  <c r="DC26" i="22"/>
  <c r="DI26" i="22" s="1"/>
  <c r="CS11" i="22"/>
  <c r="DC33" i="22"/>
  <c r="DI33" i="22" s="1"/>
  <c r="CT11" i="22"/>
  <c r="CU16" i="22"/>
  <c r="DH40" i="22"/>
  <c r="DC40" i="22"/>
  <c r="DI40" i="22" s="1"/>
  <c r="CT16" i="22"/>
  <c r="CS16" i="22"/>
  <c r="H74" i="20"/>
  <c r="S66" i="20"/>
  <c r="I66" i="20"/>
  <c r="H99" i="20"/>
  <c r="H55" i="20" s="1"/>
  <c r="C77" i="20"/>
  <c r="D77" i="20"/>
  <c r="E77" i="20"/>
  <c r="F77" i="20"/>
  <c r="G77" i="20"/>
  <c r="F72" i="25"/>
  <c r="F73" i="25" s="1"/>
  <c r="D72" i="25"/>
  <c r="D73" i="25" s="1"/>
  <c r="G72" i="25"/>
  <c r="G73" i="25" s="1"/>
  <c r="J70" i="25"/>
  <c r="C72" i="25"/>
  <c r="C73" i="25" s="1"/>
  <c r="V62" i="25"/>
  <c r="L62" i="25" s="1"/>
  <c r="G22" i="26" s="1"/>
  <c r="K62" i="25"/>
  <c r="F22" i="26" s="1"/>
  <c r="L88" i="25"/>
  <c r="H101" i="25"/>
  <c r="K22" i="26" s="1"/>
  <c r="H60" i="25"/>
  <c r="J54" i="25"/>
  <c r="R18" i="24"/>
  <c r="R24" i="24"/>
  <c r="R25" i="24"/>
  <c r="R26" i="24"/>
  <c r="R30" i="24"/>
  <c r="H91" i="24"/>
  <c r="H92" i="24"/>
  <c r="H50" i="24" s="1"/>
  <c r="H110" i="24"/>
  <c r="H131" i="24"/>
  <c r="E121" i="24"/>
  <c r="F121" i="24"/>
  <c r="G121" i="24"/>
  <c r="R23" i="24"/>
  <c r="H45" i="24"/>
  <c r="H57" i="24"/>
  <c r="H58" i="24"/>
  <c r="H59" i="24"/>
  <c r="H113" i="24"/>
  <c r="H121" i="24"/>
  <c r="I121" i="24"/>
  <c r="I66" i="24"/>
  <c r="J54" i="24"/>
  <c r="K36" i="14"/>
  <c r="K38" i="14"/>
  <c r="K35" i="14" s="1"/>
  <c r="J31" i="14"/>
  <c r="K31" i="14"/>
  <c r="CR22" i="22"/>
  <c r="BO7" i="1"/>
  <c r="DH13" i="22"/>
  <c r="DC13" i="22"/>
  <c r="DI13" i="22" s="1"/>
  <c r="DH8" i="22"/>
  <c r="DC8" i="22"/>
  <c r="DI8" i="22" s="1"/>
  <c r="CT22" i="22"/>
  <c r="CU22" i="22" s="1"/>
  <c r="BQ7" i="1"/>
  <c r="DH16" i="22"/>
  <c r="DH15" i="22"/>
  <c r="DH11" i="22"/>
  <c r="DH10" i="22"/>
  <c r="DG25" i="22"/>
  <c r="I16" i="14" s="1"/>
  <c r="I15" i="14" s="1"/>
  <c r="DF25" i="22"/>
  <c r="H16" i="14" s="1"/>
  <c r="DE25" i="22"/>
  <c r="G16" i="14" s="1"/>
  <c r="G27" i="14"/>
  <c r="G26" i="14" s="1"/>
  <c r="J36" i="14"/>
  <c r="J38" i="14"/>
  <c r="J35" i="14" s="1"/>
  <c r="H28" i="14"/>
  <c r="BT216" i="4"/>
  <c r="BK216" i="4"/>
  <c r="BS216" i="4"/>
  <c r="BJ216" i="4"/>
  <c r="BS215" i="4"/>
  <c r="BJ215" i="4"/>
  <c r="BE217" i="4"/>
  <c r="L217" i="4"/>
  <c r="AD214" i="4"/>
  <c r="AD217" i="4" s="1"/>
  <c r="M214" i="4"/>
  <c r="BR217" i="4"/>
  <c r="AL217" i="4"/>
  <c r="BT19" i="22"/>
  <c r="J80" i="14"/>
  <c r="K80" i="14" s="1"/>
  <c r="I81" i="14"/>
  <c r="I82" i="14" s="1"/>
  <c r="J100" i="14"/>
  <c r="C105" i="14"/>
  <c r="D105" i="14"/>
  <c r="D111" i="14" s="1"/>
  <c r="E105" i="14"/>
  <c r="E111" i="14" s="1"/>
  <c r="F105" i="14"/>
  <c r="F111" i="14" s="1"/>
  <c r="B105" i="14"/>
  <c r="G107" i="14"/>
  <c r="G96" i="14" s="1"/>
  <c r="E102" i="14"/>
  <c r="E103" i="14" s="1"/>
  <c r="F102" i="14"/>
  <c r="F103" i="14" s="1"/>
  <c r="C83" i="14"/>
  <c r="C87" i="14" s="1"/>
  <c r="C80" i="14"/>
  <c r="C82" i="14" s="1"/>
  <c r="D80" i="14"/>
  <c r="E82" i="14"/>
  <c r="E84" i="14" s="1"/>
  <c r="F82" i="14"/>
  <c r="B80" i="14"/>
  <c r="B82" i="14" s="1"/>
  <c r="E104" i="14"/>
  <c r="F104" i="14"/>
  <c r="G104" i="14"/>
  <c r="G100" i="14" s="1"/>
  <c r="S4" i="1"/>
  <c r="N193" i="4"/>
  <c r="M193" i="4"/>
  <c r="L193" i="4"/>
  <c r="K193" i="4"/>
  <c r="J193" i="4"/>
  <c r="I193" i="4"/>
  <c r="Q192" i="4"/>
  <c r="T192" i="4" s="1"/>
  <c r="P192" i="4"/>
  <c r="O192" i="4"/>
  <c r="Q191" i="4"/>
  <c r="T191" i="4" s="1"/>
  <c r="P191" i="4"/>
  <c r="O191" i="4"/>
  <c r="Q190" i="4"/>
  <c r="T190" i="4" s="1"/>
  <c r="P190" i="4"/>
  <c r="O190" i="4"/>
  <c r="G190" i="4"/>
  <c r="Q189" i="4"/>
  <c r="T189" i="4" s="1"/>
  <c r="P189" i="4"/>
  <c r="O189" i="4"/>
  <c r="G189" i="4"/>
  <c r="Q188" i="4"/>
  <c r="T188" i="4" s="1"/>
  <c r="P188" i="4"/>
  <c r="O188" i="4"/>
  <c r="G188" i="4"/>
  <c r="Q187" i="4"/>
  <c r="T187" i="4" s="1"/>
  <c r="P187" i="4"/>
  <c r="O187" i="4"/>
  <c r="Q186" i="4"/>
  <c r="T186" i="4" s="1"/>
  <c r="P186" i="4"/>
  <c r="O186" i="4"/>
  <c r="G186" i="4"/>
  <c r="Q185" i="4"/>
  <c r="T185" i="4" s="1"/>
  <c r="P185" i="4"/>
  <c r="O185" i="4"/>
  <c r="Q184" i="4"/>
  <c r="T184" i="4" s="1"/>
  <c r="P184" i="4"/>
  <c r="O184" i="4"/>
  <c r="Q183" i="4"/>
  <c r="T183" i="4" s="1"/>
  <c r="P183" i="4"/>
  <c r="O183" i="4"/>
  <c r="Q182" i="4"/>
  <c r="T182" i="4" s="1"/>
  <c r="P182" i="4"/>
  <c r="O182" i="4"/>
  <c r="Q181" i="4"/>
  <c r="T181" i="4" s="1"/>
  <c r="P181" i="4"/>
  <c r="O181" i="4"/>
  <c r="Q180" i="4"/>
  <c r="T180" i="4" s="1"/>
  <c r="P180" i="4"/>
  <c r="O180" i="4"/>
  <c r="Q179" i="4"/>
  <c r="T179" i="4" s="1"/>
  <c r="P179" i="4"/>
  <c r="O179" i="4"/>
  <c r="G179" i="4"/>
  <c r="Q178" i="4"/>
  <c r="T178" i="4" s="1"/>
  <c r="P178" i="4"/>
  <c r="O178" i="4"/>
  <c r="G178" i="4"/>
  <c r="Q177" i="4"/>
  <c r="T177" i="4" s="1"/>
  <c r="P177" i="4"/>
  <c r="O177" i="4"/>
  <c r="Q176" i="4"/>
  <c r="T176" i="4" s="1"/>
  <c r="P176" i="4"/>
  <c r="O176" i="4"/>
  <c r="Q175" i="4"/>
  <c r="P175" i="4"/>
  <c r="O175" i="4"/>
  <c r="L145" i="13"/>
  <c r="L143" i="13"/>
  <c r="L90" i="19"/>
  <c r="L85" i="19"/>
  <c r="L80" i="19"/>
  <c r="L75" i="19"/>
  <c r="I63" i="6"/>
  <c r="J133" i="25" s="1"/>
  <c r="J63" i="6"/>
  <c r="K133" i="25" s="1"/>
  <c r="M198" i="18"/>
  <c r="N198" i="18"/>
  <c r="L198" i="18"/>
  <c r="J198" i="18"/>
  <c r="K198" i="18"/>
  <c r="I198" i="18"/>
  <c r="C50" i="20"/>
  <c r="C59" i="20" s="1"/>
  <c r="D50" i="20"/>
  <c r="D59" i="20" s="1"/>
  <c r="E50" i="20"/>
  <c r="E59" i="20" s="1"/>
  <c r="F50" i="20"/>
  <c r="F59" i="20" s="1"/>
  <c r="B50" i="20"/>
  <c r="B59" i="20" s="1"/>
  <c r="C53" i="15"/>
  <c r="M33" i="20"/>
  <c r="M34" i="20"/>
  <c r="M35" i="20"/>
  <c r="M36" i="20"/>
  <c r="M41" i="20"/>
  <c r="M32" i="20"/>
  <c r="C37" i="15"/>
  <c r="C36" i="20"/>
  <c r="D36" i="20"/>
  <c r="E36" i="20"/>
  <c r="F36" i="20"/>
  <c r="G36" i="20"/>
  <c r="B36" i="20"/>
  <c r="B32" i="20"/>
  <c r="D35" i="20"/>
  <c r="E35" i="20"/>
  <c r="F35" i="20"/>
  <c r="G35" i="20"/>
  <c r="D34" i="20"/>
  <c r="E34" i="20"/>
  <c r="F34" i="20"/>
  <c r="G34" i="20"/>
  <c r="C32" i="20"/>
  <c r="D32" i="20"/>
  <c r="E32" i="20"/>
  <c r="F32" i="20"/>
  <c r="G32" i="20"/>
  <c r="C33" i="20"/>
  <c r="D33" i="20"/>
  <c r="E33" i="20"/>
  <c r="F33" i="20"/>
  <c r="G33" i="20"/>
  <c r="B33" i="20"/>
  <c r="C39" i="20"/>
  <c r="D39" i="20"/>
  <c r="E39" i="20"/>
  <c r="F39" i="20"/>
  <c r="G39" i="20"/>
  <c r="B39" i="20"/>
  <c r="M30" i="20"/>
  <c r="C30" i="20"/>
  <c r="D30" i="20"/>
  <c r="E30" i="20"/>
  <c r="F30" i="20"/>
  <c r="B30" i="20"/>
  <c r="T27" i="20"/>
  <c r="U27" i="20" s="1"/>
  <c r="T18" i="20"/>
  <c r="U18" i="20" s="1"/>
  <c r="T19" i="20"/>
  <c r="U19" i="20" s="1"/>
  <c r="M27" i="20"/>
  <c r="M26" i="20"/>
  <c r="M25" i="20"/>
  <c r="M24" i="20"/>
  <c r="C26" i="20"/>
  <c r="D26" i="20"/>
  <c r="E26" i="20"/>
  <c r="F26" i="20"/>
  <c r="G26" i="20"/>
  <c r="B26" i="20"/>
  <c r="C24" i="20"/>
  <c r="D24" i="20"/>
  <c r="E24" i="20"/>
  <c r="F24" i="20"/>
  <c r="G24" i="20"/>
  <c r="B24" i="20"/>
  <c r="M19" i="20"/>
  <c r="M18" i="20"/>
  <c r="M17" i="20"/>
  <c r="M16" i="20"/>
  <c r="M15" i="20"/>
  <c r="M14" i="20"/>
  <c r="D16" i="15"/>
  <c r="C16" i="15"/>
  <c r="K11" i="20"/>
  <c r="S4" i="20"/>
  <c r="U12" i="15"/>
  <c r="V12" i="15" s="1"/>
  <c r="T11" i="20"/>
  <c r="C10" i="20"/>
  <c r="D10" i="20"/>
  <c r="E10" i="20"/>
  <c r="F10" i="20"/>
  <c r="G10" i="20"/>
  <c r="C38" i="36" s="1"/>
  <c r="B10" i="20"/>
  <c r="C9" i="20"/>
  <c r="D9" i="20"/>
  <c r="E9" i="20"/>
  <c r="F9" i="20"/>
  <c r="G9" i="20"/>
  <c r="C35" i="36" s="1"/>
  <c r="B9" i="20"/>
  <c r="C8" i="20"/>
  <c r="D8" i="20"/>
  <c r="E8" i="20"/>
  <c r="F8" i="20"/>
  <c r="G8" i="20"/>
  <c r="C37" i="36" s="1"/>
  <c r="B8" i="20"/>
  <c r="M8" i="20"/>
  <c r="M9" i="20"/>
  <c r="M10" i="20"/>
  <c r="M11" i="20"/>
  <c r="M7" i="20"/>
  <c r="U4" i="20"/>
  <c r="T4" i="20"/>
  <c r="R4" i="20"/>
  <c r="Q4" i="20"/>
  <c r="P4" i="20"/>
  <c r="O4" i="20"/>
  <c r="N4" i="20"/>
  <c r="U3" i="20"/>
  <c r="T3" i="20"/>
  <c r="R3" i="20"/>
  <c r="Q3" i="20"/>
  <c r="P3" i="20"/>
  <c r="O3" i="20"/>
  <c r="N3" i="20"/>
  <c r="E150" i="13"/>
  <c r="B150" i="13"/>
  <c r="B439" i="18"/>
  <c r="C439" i="18"/>
  <c r="O419" i="18"/>
  <c r="P419" i="18"/>
  <c r="Q419" i="18"/>
  <c r="T419" i="18" s="1"/>
  <c r="N439" i="18" s="1"/>
  <c r="G48" i="18"/>
  <c r="B43" i="17"/>
  <c r="B32" i="17"/>
  <c r="M400" i="18"/>
  <c r="C400" i="18"/>
  <c r="B400" i="18"/>
  <c r="B428" i="18"/>
  <c r="C428" i="18"/>
  <c r="B429" i="18"/>
  <c r="C429" i="18"/>
  <c r="B430" i="18"/>
  <c r="C430" i="18"/>
  <c r="B431" i="18"/>
  <c r="C431" i="18"/>
  <c r="B432" i="18"/>
  <c r="C432" i="18"/>
  <c r="B433" i="18"/>
  <c r="C433" i="18"/>
  <c r="B434" i="18"/>
  <c r="C434" i="18"/>
  <c r="B435" i="18"/>
  <c r="C435" i="18"/>
  <c r="B436" i="18"/>
  <c r="C436" i="18"/>
  <c r="B437" i="18"/>
  <c r="C437" i="18"/>
  <c r="B438" i="18"/>
  <c r="C438" i="18"/>
  <c r="B440" i="18"/>
  <c r="C440" i="18"/>
  <c r="C427" i="18"/>
  <c r="B427" i="18"/>
  <c r="O407" i="18"/>
  <c r="M66" i="18"/>
  <c r="J76" i="16"/>
  <c r="K76" i="16"/>
  <c r="I76" i="16"/>
  <c r="M76" i="16"/>
  <c r="N76" i="16"/>
  <c r="L76" i="16"/>
  <c r="O415" i="18"/>
  <c r="P415" i="18"/>
  <c r="Q415" i="18"/>
  <c r="T415" i="18" s="1"/>
  <c r="O416" i="18"/>
  <c r="P416" i="18"/>
  <c r="Q416" i="18"/>
  <c r="T416" i="18" s="1"/>
  <c r="O417" i="18"/>
  <c r="P417" i="18"/>
  <c r="Q417" i="18"/>
  <c r="T417" i="18" s="1"/>
  <c r="O420" i="18"/>
  <c r="P420" i="18"/>
  <c r="Q420" i="18"/>
  <c r="T420" i="18" s="1"/>
  <c r="N162" i="18"/>
  <c r="N163" i="18"/>
  <c r="N164" i="18"/>
  <c r="N165" i="18"/>
  <c r="N166" i="18"/>
  <c r="N161" i="18"/>
  <c r="N179" i="18"/>
  <c r="N172" i="18"/>
  <c r="N173" i="18"/>
  <c r="N174" i="18"/>
  <c r="N175" i="18"/>
  <c r="N176" i="18"/>
  <c r="N177" i="18"/>
  <c r="N178" i="18"/>
  <c r="N171" i="18"/>
  <c r="J234" i="18"/>
  <c r="K234" i="18"/>
  <c r="I234" i="18"/>
  <c r="C161" i="18"/>
  <c r="C162" i="18"/>
  <c r="C163" i="18"/>
  <c r="C164" i="18"/>
  <c r="C165" i="18"/>
  <c r="C166" i="18"/>
  <c r="C167" i="18"/>
  <c r="C168" i="18"/>
  <c r="C169" i="18"/>
  <c r="C170" i="18"/>
  <c r="C171" i="18"/>
  <c r="C172" i="18"/>
  <c r="C173" i="18"/>
  <c r="C174" i="18"/>
  <c r="C175" i="18"/>
  <c r="C176" i="18"/>
  <c r="C177" i="18"/>
  <c r="C178" i="18"/>
  <c r="C179" i="18"/>
  <c r="C160" i="18"/>
  <c r="B161" i="18"/>
  <c r="B162" i="18"/>
  <c r="B163" i="18"/>
  <c r="B164" i="18"/>
  <c r="B165" i="18"/>
  <c r="B166" i="18"/>
  <c r="B167" i="18"/>
  <c r="B168" i="18"/>
  <c r="B169" i="18"/>
  <c r="B170" i="18"/>
  <c r="B171" i="18"/>
  <c r="B172" i="18"/>
  <c r="B173" i="18"/>
  <c r="B174" i="18"/>
  <c r="B175" i="18"/>
  <c r="B176" i="18"/>
  <c r="B177" i="18"/>
  <c r="B178" i="18"/>
  <c r="B179" i="18"/>
  <c r="B160" i="18"/>
  <c r="D384" i="18"/>
  <c r="N155" i="18"/>
  <c r="M155" i="18"/>
  <c r="L155" i="18"/>
  <c r="K155" i="18"/>
  <c r="I155" i="18"/>
  <c r="Q137" i="18"/>
  <c r="T137" i="18" s="1"/>
  <c r="Q138" i="18"/>
  <c r="T138" i="18" s="1"/>
  <c r="Q139" i="18"/>
  <c r="T139" i="18" s="1"/>
  <c r="Q140" i="18"/>
  <c r="T140" i="18" s="1"/>
  <c r="Q141" i="18"/>
  <c r="T141" i="18" s="1"/>
  <c r="Q142" i="18"/>
  <c r="T142" i="18" s="1"/>
  <c r="Q143" i="18"/>
  <c r="T143" i="18" s="1"/>
  <c r="Q144" i="18"/>
  <c r="T144" i="18" s="1"/>
  <c r="Q145" i="18"/>
  <c r="T145" i="18" s="1"/>
  <c r="O170" i="18" s="1"/>
  <c r="Q146" i="18"/>
  <c r="T146" i="18" s="1"/>
  <c r="Q147" i="18"/>
  <c r="T147" i="18" s="1"/>
  <c r="Q148" i="18"/>
  <c r="T148" i="18" s="1"/>
  <c r="Q149" i="18"/>
  <c r="T149" i="18" s="1"/>
  <c r="Q150" i="18"/>
  <c r="T150" i="18" s="1"/>
  <c r="Q151" i="18"/>
  <c r="T151" i="18" s="1"/>
  <c r="Q152" i="18"/>
  <c r="T152" i="18" s="1"/>
  <c r="Q153" i="18"/>
  <c r="T153" i="18" s="1"/>
  <c r="Q154" i="18"/>
  <c r="T154" i="18" s="1"/>
  <c r="Q136" i="18"/>
  <c r="Q135" i="18"/>
  <c r="T135" i="18" s="1"/>
  <c r="P137" i="18"/>
  <c r="P138" i="18"/>
  <c r="P139" i="18"/>
  <c r="P140" i="18"/>
  <c r="P141" i="18"/>
  <c r="P142" i="18"/>
  <c r="P143" i="18"/>
  <c r="P144" i="18"/>
  <c r="P145" i="18"/>
  <c r="P146" i="18"/>
  <c r="P147" i="18"/>
  <c r="P148" i="18"/>
  <c r="P149" i="18"/>
  <c r="P150" i="18"/>
  <c r="P151" i="18"/>
  <c r="P152" i="18"/>
  <c r="P153" i="18"/>
  <c r="P154" i="18"/>
  <c r="P136" i="18"/>
  <c r="P135" i="18"/>
  <c r="O187" i="18"/>
  <c r="O137" i="18"/>
  <c r="O138" i="18"/>
  <c r="O139" i="18"/>
  <c r="O140" i="18"/>
  <c r="O141" i="18"/>
  <c r="O142" i="18"/>
  <c r="O143" i="18"/>
  <c r="O144" i="18"/>
  <c r="O145" i="18"/>
  <c r="O146" i="18"/>
  <c r="O147" i="18"/>
  <c r="O148" i="18"/>
  <c r="O149" i="18"/>
  <c r="O150" i="18"/>
  <c r="O151" i="18"/>
  <c r="O152" i="18"/>
  <c r="O153" i="18"/>
  <c r="O154" i="18"/>
  <c r="O136" i="18"/>
  <c r="O135" i="18"/>
  <c r="J155" i="18"/>
  <c r="O185" i="18"/>
  <c r="P185" i="18"/>
  <c r="Q185" i="18"/>
  <c r="T185" i="18" s="1"/>
  <c r="O186" i="18"/>
  <c r="P186" i="18"/>
  <c r="Q186" i="18"/>
  <c r="P187" i="18"/>
  <c r="Q187" i="18"/>
  <c r="T187" i="18" s="1"/>
  <c r="N205" i="18" s="1"/>
  <c r="O188" i="18"/>
  <c r="P188" i="18"/>
  <c r="Q188" i="18"/>
  <c r="T188" i="18" s="1"/>
  <c r="N206" i="18" s="1"/>
  <c r="O189" i="18"/>
  <c r="P189" i="18"/>
  <c r="Q189" i="18"/>
  <c r="T189" i="18" s="1"/>
  <c r="N207" i="18" s="1"/>
  <c r="O190" i="18"/>
  <c r="P190" i="18"/>
  <c r="Q190" i="18"/>
  <c r="T190" i="18" s="1"/>
  <c r="N208" i="18" s="1"/>
  <c r="O191" i="18"/>
  <c r="P191" i="18"/>
  <c r="Q191" i="18"/>
  <c r="T191" i="18" s="1"/>
  <c r="N209" i="18" s="1"/>
  <c r="D209" i="18" s="1"/>
  <c r="E209" i="18" s="1"/>
  <c r="F209" i="18" s="1"/>
  <c r="G209" i="18" s="1"/>
  <c r="H209" i="18" s="1"/>
  <c r="I209" i="18" s="1"/>
  <c r="J209" i="18" s="1"/>
  <c r="K209" i="18" s="1"/>
  <c r="L209" i="18" s="1"/>
  <c r="O192" i="18"/>
  <c r="P192" i="18"/>
  <c r="Q192" i="18"/>
  <c r="T192" i="18" s="1"/>
  <c r="N210" i="18" s="1"/>
  <c r="D210" i="18" s="1"/>
  <c r="E210" i="18" s="1"/>
  <c r="F210" i="18" s="1"/>
  <c r="G210" i="18" s="1"/>
  <c r="H210" i="18" s="1"/>
  <c r="I210" i="18" s="1"/>
  <c r="J210" i="18" s="1"/>
  <c r="K210" i="18" s="1"/>
  <c r="L210" i="18" s="1"/>
  <c r="O193" i="18"/>
  <c r="P193" i="18"/>
  <c r="Q193" i="18"/>
  <c r="T193" i="18" s="1"/>
  <c r="O194" i="18"/>
  <c r="P194" i="18"/>
  <c r="Q194" i="18"/>
  <c r="T194" i="18" s="1"/>
  <c r="N212" i="18" s="1"/>
  <c r="O195" i="18"/>
  <c r="P195" i="18"/>
  <c r="Q195" i="18"/>
  <c r="T195" i="18" s="1"/>
  <c r="N213" i="18" s="1"/>
  <c r="D213" i="18" s="1"/>
  <c r="E213" i="18" s="1"/>
  <c r="F213" i="18" s="1"/>
  <c r="G213" i="18" s="1"/>
  <c r="H213" i="18" s="1"/>
  <c r="I213" i="18" s="1"/>
  <c r="J213" i="18" s="1"/>
  <c r="K213" i="18" s="1"/>
  <c r="L213" i="18" s="1"/>
  <c r="O196" i="18"/>
  <c r="P196" i="18"/>
  <c r="Q196" i="18"/>
  <c r="T196" i="18" s="1"/>
  <c r="N214" i="18" s="1"/>
  <c r="D214" i="18" s="1"/>
  <c r="E214" i="18" s="1"/>
  <c r="F214" i="18" s="1"/>
  <c r="G214" i="18" s="1"/>
  <c r="H214" i="18" s="1"/>
  <c r="I214" i="18" s="1"/>
  <c r="J214" i="18" s="1"/>
  <c r="K214" i="18" s="1"/>
  <c r="L214" i="18" s="1"/>
  <c r="O220" i="18"/>
  <c r="P220" i="18"/>
  <c r="Q220" i="18"/>
  <c r="T220" i="18" s="1"/>
  <c r="O221" i="18"/>
  <c r="P221" i="18"/>
  <c r="Q221" i="18"/>
  <c r="O222" i="18"/>
  <c r="P222" i="18"/>
  <c r="Q222" i="18"/>
  <c r="T222" i="18" s="1"/>
  <c r="N241" i="18" s="1"/>
  <c r="O223" i="18"/>
  <c r="P223" i="18"/>
  <c r="Q223" i="18"/>
  <c r="T223" i="18" s="1"/>
  <c r="N242" i="18" s="1"/>
  <c r="O224" i="18"/>
  <c r="P224" i="18"/>
  <c r="Q224" i="18"/>
  <c r="T224" i="18" s="1"/>
  <c r="N243" i="18" s="1"/>
  <c r="O225" i="18"/>
  <c r="P225" i="18"/>
  <c r="Q225" i="18"/>
  <c r="T225" i="18" s="1"/>
  <c r="N244" i="18" s="1"/>
  <c r="O226" i="18"/>
  <c r="P226" i="18"/>
  <c r="Q226" i="18"/>
  <c r="T226" i="18" s="1"/>
  <c r="N245" i="18" s="1"/>
  <c r="O227" i="18"/>
  <c r="P227" i="18"/>
  <c r="Q227" i="18"/>
  <c r="T227" i="18" s="1"/>
  <c r="N246" i="18" s="1"/>
  <c r="O228" i="18"/>
  <c r="P228" i="18"/>
  <c r="Q228" i="18"/>
  <c r="T228" i="18" s="1"/>
  <c r="N247" i="18" s="1"/>
  <c r="O229" i="18"/>
  <c r="P229" i="18"/>
  <c r="Q229" i="18"/>
  <c r="T229" i="18" s="1"/>
  <c r="N248" i="18" s="1"/>
  <c r="O230" i="18"/>
  <c r="P230" i="18"/>
  <c r="Q230" i="18"/>
  <c r="T230" i="18" s="1"/>
  <c r="N249" i="18" s="1"/>
  <c r="O231" i="18"/>
  <c r="P231" i="18"/>
  <c r="Q231" i="18"/>
  <c r="T231" i="18" s="1"/>
  <c r="N250" i="18" s="1"/>
  <c r="D250" i="18" s="1"/>
  <c r="E250" i="18" s="1"/>
  <c r="F250" i="18" s="1"/>
  <c r="G250" i="18" s="1"/>
  <c r="H250" i="18" s="1"/>
  <c r="I250" i="18" s="1"/>
  <c r="J250" i="18" s="1"/>
  <c r="K250" i="18" s="1"/>
  <c r="L250" i="18" s="1"/>
  <c r="O232" i="18"/>
  <c r="P232" i="18"/>
  <c r="Q232" i="18"/>
  <c r="T232" i="18" s="1"/>
  <c r="N251" i="18" s="1"/>
  <c r="O233" i="18"/>
  <c r="P233" i="18"/>
  <c r="Q233" i="18"/>
  <c r="T233" i="18" s="1"/>
  <c r="N252" i="18" s="1"/>
  <c r="G145" i="18"/>
  <c r="G136" i="18"/>
  <c r="G137" i="18"/>
  <c r="G138" i="18"/>
  <c r="G139" i="18"/>
  <c r="G140" i="18"/>
  <c r="G141" i="18"/>
  <c r="G142" i="18"/>
  <c r="G143" i="18"/>
  <c r="G144" i="18"/>
  <c r="C356" i="18"/>
  <c r="C45" i="19" s="1"/>
  <c r="B356" i="18"/>
  <c r="B45" i="19" s="1"/>
  <c r="C81" i="16"/>
  <c r="B81" i="16"/>
  <c r="D80" i="16"/>
  <c r="D79" i="16"/>
  <c r="C328" i="18"/>
  <c r="B328" i="18"/>
  <c r="B350" i="18"/>
  <c r="C350" i="18"/>
  <c r="B351" i="18"/>
  <c r="C351" i="18"/>
  <c r="B352" i="18"/>
  <c r="C352" i="18"/>
  <c r="C349" i="18"/>
  <c r="B349" i="18"/>
  <c r="J322" i="18"/>
  <c r="K322" i="18"/>
  <c r="I322" i="18"/>
  <c r="M322" i="18"/>
  <c r="N322" i="18"/>
  <c r="L322" i="18"/>
  <c r="O297" i="18"/>
  <c r="P297" i="18"/>
  <c r="Q297" i="18"/>
  <c r="T297" i="18" s="1"/>
  <c r="O298" i="18"/>
  <c r="P298" i="18"/>
  <c r="Q298" i="18"/>
  <c r="O299" i="18"/>
  <c r="P299" i="18"/>
  <c r="Q299" i="18"/>
  <c r="T299" i="18" s="1"/>
  <c r="O300" i="18"/>
  <c r="P300" i="18"/>
  <c r="Q300" i="18"/>
  <c r="T300" i="18" s="1"/>
  <c r="O301" i="18"/>
  <c r="P301" i="18"/>
  <c r="Q301" i="18"/>
  <c r="T301" i="18" s="1"/>
  <c r="O302" i="18"/>
  <c r="P302" i="18"/>
  <c r="Q302" i="18"/>
  <c r="O303" i="18"/>
  <c r="P303" i="18"/>
  <c r="Q303" i="18"/>
  <c r="T303" i="18" s="1"/>
  <c r="O304" i="18"/>
  <c r="P304" i="18"/>
  <c r="Q304" i="18"/>
  <c r="T304" i="18" s="1"/>
  <c r="O305" i="18"/>
  <c r="P305" i="18"/>
  <c r="Q305" i="18"/>
  <c r="T305" i="18" s="1"/>
  <c r="O306" i="18"/>
  <c r="P306" i="18"/>
  <c r="Q306" i="18"/>
  <c r="T306" i="18" s="1"/>
  <c r="O307" i="18"/>
  <c r="P307" i="18"/>
  <c r="Q307" i="18"/>
  <c r="T307" i="18" s="1"/>
  <c r="O308" i="18"/>
  <c r="P308" i="18"/>
  <c r="Q308" i="18"/>
  <c r="T308" i="18" s="1"/>
  <c r="O309" i="18"/>
  <c r="P309" i="18"/>
  <c r="Q309" i="18"/>
  <c r="T309" i="18" s="1"/>
  <c r="O310" i="18"/>
  <c r="P310" i="18"/>
  <c r="Q310" i="18"/>
  <c r="T310" i="18" s="1"/>
  <c r="O311" i="18"/>
  <c r="P311" i="18"/>
  <c r="Q311" i="18"/>
  <c r="T311" i="18" s="1"/>
  <c r="O312" i="18"/>
  <c r="P312" i="18"/>
  <c r="Q312" i="18"/>
  <c r="T312" i="18" s="1"/>
  <c r="O313" i="18"/>
  <c r="P313" i="18"/>
  <c r="Q313" i="18"/>
  <c r="O314" i="18"/>
  <c r="P314" i="18"/>
  <c r="Q314" i="18"/>
  <c r="T314" i="18" s="1"/>
  <c r="O315" i="18"/>
  <c r="P315" i="18"/>
  <c r="Q315" i="18"/>
  <c r="T315" i="18" s="1"/>
  <c r="O316" i="18"/>
  <c r="P316" i="18"/>
  <c r="Q316" i="18"/>
  <c r="T316" i="18" s="1"/>
  <c r="O317" i="18"/>
  <c r="P317" i="18"/>
  <c r="Q317" i="18"/>
  <c r="T317" i="18" s="1"/>
  <c r="O318" i="18"/>
  <c r="P318" i="18"/>
  <c r="Q318" i="18"/>
  <c r="T318" i="18" s="1"/>
  <c r="O319" i="18"/>
  <c r="P319" i="18"/>
  <c r="Q319" i="18"/>
  <c r="T319" i="18" s="1"/>
  <c r="O320" i="18"/>
  <c r="P320" i="18"/>
  <c r="Q320" i="18"/>
  <c r="T320" i="18" s="1"/>
  <c r="O321" i="18"/>
  <c r="P321" i="18"/>
  <c r="Q321" i="18"/>
  <c r="T321" i="18" s="1"/>
  <c r="Q77" i="16"/>
  <c r="P77" i="16"/>
  <c r="O77" i="16"/>
  <c r="N77" i="16"/>
  <c r="L77" i="16"/>
  <c r="K77" i="16"/>
  <c r="J77" i="16"/>
  <c r="I77" i="16"/>
  <c r="D108" i="16"/>
  <c r="E108" i="16" s="1"/>
  <c r="C63" i="16"/>
  <c r="B27" i="16"/>
  <c r="C27" i="16"/>
  <c r="M378" i="18"/>
  <c r="N378" i="18"/>
  <c r="L378" i="18"/>
  <c r="Q377" i="18"/>
  <c r="T377" i="18" s="1"/>
  <c r="P377" i="18"/>
  <c r="O377" i="18"/>
  <c r="J378" i="18"/>
  <c r="K378" i="18"/>
  <c r="I378" i="18"/>
  <c r="J13" i="16"/>
  <c r="K13" i="16"/>
  <c r="I13" i="16"/>
  <c r="L13" i="16"/>
  <c r="O83" i="18"/>
  <c r="C55" i="19"/>
  <c r="B55" i="19"/>
  <c r="C57" i="19"/>
  <c r="B57" i="19"/>
  <c r="C50" i="19"/>
  <c r="B50" i="19"/>
  <c r="C52" i="19"/>
  <c r="B52" i="19"/>
  <c r="C40" i="19"/>
  <c r="B40" i="19"/>
  <c r="C42" i="19"/>
  <c r="B42" i="19"/>
  <c r="C20" i="19"/>
  <c r="B20" i="19"/>
  <c r="C22" i="19"/>
  <c r="B22" i="19"/>
  <c r="C15" i="19"/>
  <c r="B15" i="19"/>
  <c r="C17" i="19"/>
  <c r="B17" i="19"/>
  <c r="D381" i="18"/>
  <c r="C444" i="18"/>
  <c r="C60" i="19" s="1"/>
  <c r="B444" i="18"/>
  <c r="B60" i="19" s="1"/>
  <c r="C443" i="18"/>
  <c r="C65" i="19" s="1"/>
  <c r="B443" i="18"/>
  <c r="B65" i="19" s="1"/>
  <c r="B62" i="19"/>
  <c r="C62" i="19"/>
  <c r="D425" i="18"/>
  <c r="J422" i="18"/>
  <c r="K422" i="18"/>
  <c r="L422" i="18"/>
  <c r="M422" i="18"/>
  <c r="N422" i="18"/>
  <c r="I422" i="18"/>
  <c r="O408" i="18"/>
  <c r="P408" i="18"/>
  <c r="Q408" i="18"/>
  <c r="O409" i="18"/>
  <c r="P409" i="18"/>
  <c r="Q409" i="18"/>
  <c r="O410" i="18"/>
  <c r="P410" i="18"/>
  <c r="Q410" i="18"/>
  <c r="T410" i="18" s="1"/>
  <c r="O411" i="18"/>
  <c r="P411" i="18"/>
  <c r="Q411" i="18"/>
  <c r="T411" i="18" s="1"/>
  <c r="O412" i="18"/>
  <c r="P412" i="18"/>
  <c r="Q412" i="18"/>
  <c r="T412" i="18" s="1"/>
  <c r="O413" i="18"/>
  <c r="P413" i="18"/>
  <c r="Q413" i="18"/>
  <c r="T413" i="18" s="1"/>
  <c r="O414" i="18"/>
  <c r="P414" i="18"/>
  <c r="Q414" i="18"/>
  <c r="T414" i="18" s="1"/>
  <c r="O418" i="18"/>
  <c r="P418" i="18"/>
  <c r="Q418" i="18"/>
  <c r="T418" i="18" s="1"/>
  <c r="P407" i="18"/>
  <c r="Q407" i="18"/>
  <c r="T407" i="18" s="1"/>
  <c r="Q361" i="18"/>
  <c r="Q376" i="18"/>
  <c r="T376" i="18" s="1"/>
  <c r="P376" i="18"/>
  <c r="O376" i="18"/>
  <c r="Q375" i="18"/>
  <c r="T375" i="18" s="1"/>
  <c r="N399" i="18" s="1"/>
  <c r="P375" i="18"/>
  <c r="O375" i="18"/>
  <c r="Q374" i="18"/>
  <c r="T374" i="18" s="1"/>
  <c r="N398" i="18" s="1"/>
  <c r="D398" i="18" s="1"/>
  <c r="E398" i="18" s="1"/>
  <c r="F398" i="18" s="1"/>
  <c r="G398" i="18" s="1"/>
  <c r="H398" i="18" s="1"/>
  <c r="I398" i="18" s="1"/>
  <c r="J398" i="18" s="1"/>
  <c r="K398" i="18" s="1"/>
  <c r="L398" i="18" s="1"/>
  <c r="P374" i="18"/>
  <c r="O374" i="18"/>
  <c r="Q373" i="18"/>
  <c r="T373" i="18" s="1"/>
  <c r="N397" i="18" s="1"/>
  <c r="D397" i="18" s="1"/>
  <c r="E397" i="18" s="1"/>
  <c r="F397" i="18" s="1"/>
  <c r="G397" i="18" s="1"/>
  <c r="H397" i="18" s="1"/>
  <c r="I397" i="18" s="1"/>
  <c r="J397" i="18" s="1"/>
  <c r="K397" i="18" s="1"/>
  <c r="L397" i="18" s="1"/>
  <c r="P373" i="18"/>
  <c r="O373" i="18"/>
  <c r="Q372" i="18"/>
  <c r="T372" i="18" s="1"/>
  <c r="N396" i="18" s="1"/>
  <c r="D396" i="18" s="1"/>
  <c r="E396" i="18" s="1"/>
  <c r="F396" i="18" s="1"/>
  <c r="G396" i="18" s="1"/>
  <c r="H396" i="18" s="1"/>
  <c r="I396" i="18" s="1"/>
  <c r="J396" i="18" s="1"/>
  <c r="K396" i="18" s="1"/>
  <c r="L396" i="18" s="1"/>
  <c r="P372" i="18"/>
  <c r="O372" i="18"/>
  <c r="Q371" i="18"/>
  <c r="T371" i="18" s="1"/>
  <c r="N395" i="18" s="1"/>
  <c r="D395" i="18" s="1"/>
  <c r="E395" i="18" s="1"/>
  <c r="F395" i="18" s="1"/>
  <c r="G395" i="18" s="1"/>
  <c r="H395" i="18" s="1"/>
  <c r="I395" i="18" s="1"/>
  <c r="J395" i="18" s="1"/>
  <c r="K395" i="18" s="1"/>
  <c r="L395" i="18" s="1"/>
  <c r="P371" i="18"/>
  <c r="O371" i="18"/>
  <c r="Q370" i="18"/>
  <c r="T370" i="18" s="1"/>
  <c r="N394" i="18" s="1"/>
  <c r="D394" i="18" s="1"/>
  <c r="E394" i="18" s="1"/>
  <c r="F394" i="18" s="1"/>
  <c r="G394" i="18" s="1"/>
  <c r="H394" i="18" s="1"/>
  <c r="I394" i="18" s="1"/>
  <c r="J394" i="18" s="1"/>
  <c r="K394" i="18" s="1"/>
  <c r="L394" i="18" s="1"/>
  <c r="P370" i="18"/>
  <c r="O370" i="18"/>
  <c r="G375" i="18"/>
  <c r="G374" i="18"/>
  <c r="G373" i="18"/>
  <c r="G371" i="18"/>
  <c r="Q369" i="18"/>
  <c r="T369" i="18" s="1"/>
  <c r="N393" i="18" s="1"/>
  <c r="D393" i="18" s="1"/>
  <c r="E393" i="18" s="1"/>
  <c r="F393" i="18" s="1"/>
  <c r="G393" i="18" s="1"/>
  <c r="H393" i="18" s="1"/>
  <c r="I393" i="18" s="1"/>
  <c r="J393" i="18" s="1"/>
  <c r="K393" i="18" s="1"/>
  <c r="L393" i="18" s="1"/>
  <c r="P369" i="18"/>
  <c r="O369" i="18"/>
  <c r="Q368" i="18"/>
  <c r="T368" i="18" s="1"/>
  <c r="N392" i="18" s="1"/>
  <c r="D392" i="18" s="1"/>
  <c r="E392" i="18" s="1"/>
  <c r="F392" i="18" s="1"/>
  <c r="G392" i="18" s="1"/>
  <c r="H392" i="18" s="1"/>
  <c r="I392" i="18" s="1"/>
  <c r="J392" i="18" s="1"/>
  <c r="K392" i="18" s="1"/>
  <c r="L392" i="18" s="1"/>
  <c r="P368" i="18"/>
  <c r="O368" i="18"/>
  <c r="Q367" i="18"/>
  <c r="T367" i="18" s="1"/>
  <c r="N391" i="18" s="1"/>
  <c r="D391" i="18" s="1"/>
  <c r="E391" i="18" s="1"/>
  <c r="F391" i="18" s="1"/>
  <c r="G391" i="18" s="1"/>
  <c r="H391" i="18" s="1"/>
  <c r="I391" i="18" s="1"/>
  <c r="J391" i="18" s="1"/>
  <c r="K391" i="18" s="1"/>
  <c r="L391" i="18" s="1"/>
  <c r="P367" i="18"/>
  <c r="O367" i="18"/>
  <c r="Q366" i="18"/>
  <c r="T366" i="18" s="1"/>
  <c r="N390" i="18" s="1"/>
  <c r="D390" i="18" s="1"/>
  <c r="E390" i="18" s="1"/>
  <c r="F390" i="18" s="1"/>
  <c r="G390" i="18" s="1"/>
  <c r="H390" i="18" s="1"/>
  <c r="I390" i="18" s="1"/>
  <c r="J390" i="18" s="1"/>
  <c r="K390" i="18" s="1"/>
  <c r="L390" i="18" s="1"/>
  <c r="P366" i="18"/>
  <c r="O366" i="18"/>
  <c r="Q365" i="18"/>
  <c r="T365" i="18" s="1"/>
  <c r="N389" i="18" s="1"/>
  <c r="D389" i="18" s="1"/>
  <c r="E389" i="18" s="1"/>
  <c r="F389" i="18" s="1"/>
  <c r="G389" i="18" s="1"/>
  <c r="H389" i="18" s="1"/>
  <c r="I389" i="18" s="1"/>
  <c r="J389" i="18" s="1"/>
  <c r="K389" i="18" s="1"/>
  <c r="L389" i="18" s="1"/>
  <c r="P365" i="18"/>
  <c r="O365" i="18"/>
  <c r="Q364" i="18"/>
  <c r="T364" i="18" s="1"/>
  <c r="N388" i="18" s="1"/>
  <c r="D388" i="18" s="1"/>
  <c r="E388" i="18" s="1"/>
  <c r="F388" i="18" s="1"/>
  <c r="G388" i="18" s="1"/>
  <c r="H388" i="18" s="1"/>
  <c r="I388" i="18" s="1"/>
  <c r="J388" i="18" s="1"/>
  <c r="K388" i="18" s="1"/>
  <c r="L388" i="18" s="1"/>
  <c r="P364" i="18"/>
  <c r="O364" i="18"/>
  <c r="Q363" i="18"/>
  <c r="T363" i="18" s="1"/>
  <c r="N387" i="18" s="1"/>
  <c r="D387" i="18" s="1"/>
  <c r="E387" i="18" s="1"/>
  <c r="F387" i="18" s="1"/>
  <c r="G387" i="18" s="1"/>
  <c r="H387" i="18" s="1"/>
  <c r="I387" i="18" s="1"/>
  <c r="J387" i="18" s="1"/>
  <c r="K387" i="18" s="1"/>
  <c r="L387" i="18" s="1"/>
  <c r="P363" i="18"/>
  <c r="O363" i="18"/>
  <c r="Q362" i="18"/>
  <c r="P362" i="18"/>
  <c r="O362" i="18"/>
  <c r="P361" i="18"/>
  <c r="O361" i="18"/>
  <c r="Q360" i="18"/>
  <c r="P360" i="18"/>
  <c r="O360" i="18"/>
  <c r="G364" i="18"/>
  <c r="G363" i="18"/>
  <c r="C79" i="18"/>
  <c r="C10" i="19" s="1"/>
  <c r="B79" i="18"/>
  <c r="B10" i="19" s="1"/>
  <c r="B67" i="18"/>
  <c r="C67" i="18"/>
  <c r="B68" i="18"/>
  <c r="C68" i="18"/>
  <c r="B69" i="18"/>
  <c r="C69" i="18"/>
  <c r="B70" i="18"/>
  <c r="C70" i="18"/>
  <c r="B71" i="18"/>
  <c r="C71" i="18"/>
  <c r="B72" i="18"/>
  <c r="C72" i="18"/>
  <c r="B73" i="18"/>
  <c r="C73" i="18"/>
  <c r="B74" i="18"/>
  <c r="C74" i="18"/>
  <c r="B75" i="18"/>
  <c r="C75" i="18"/>
  <c r="B76" i="18"/>
  <c r="C76" i="18"/>
  <c r="B77" i="18"/>
  <c r="C77" i="18"/>
  <c r="C65" i="18"/>
  <c r="C12" i="19" s="1"/>
  <c r="B65" i="18"/>
  <c r="B12" i="19" s="1"/>
  <c r="L60" i="18"/>
  <c r="G47" i="18"/>
  <c r="M60" i="18"/>
  <c r="N60" i="18"/>
  <c r="J60" i="18"/>
  <c r="K60" i="18"/>
  <c r="I60" i="18"/>
  <c r="D63" i="18"/>
  <c r="E63" i="18" s="1"/>
  <c r="O49" i="18"/>
  <c r="P49" i="18"/>
  <c r="Q49" i="18"/>
  <c r="O50" i="18"/>
  <c r="P50" i="18"/>
  <c r="Q50" i="18"/>
  <c r="T50" i="18" s="1"/>
  <c r="N68" i="18" s="1"/>
  <c r="O51" i="18"/>
  <c r="P51" i="18"/>
  <c r="Q51" i="18"/>
  <c r="T51" i="18" s="1"/>
  <c r="N69" i="18" s="1"/>
  <c r="O52" i="18"/>
  <c r="P52" i="18"/>
  <c r="Q52" i="18"/>
  <c r="T52" i="18" s="1"/>
  <c r="N70" i="18" s="1"/>
  <c r="O53" i="18"/>
  <c r="P53" i="18"/>
  <c r="Q53" i="18"/>
  <c r="T53" i="18" s="1"/>
  <c r="N71" i="18" s="1"/>
  <c r="O54" i="18"/>
  <c r="P54" i="18"/>
  <c r="Q54" i="18"/>
  <c r="T54" i="18" s="1"/>
  <c r="N72" i="18" s="1"/>
  <c r="O55" i="18"/>
  <c r="P55" i="18"/>
  <c r="Q55" i="18"/>
  <c r="T55" i="18" s="1"/>
  <c r="N73" i="18" s="1"/>
  <c r="O47" i="18"/>
  <c r="P47" i="18"/>
  <c r="Q47" i="18"/>
  <c r="O56" i="18"/>
  <c r="P56" i="18"/>
  <c r="Q56" i="18"/>
  <c r="T56" i="18" s="1"/>
  <c r="N74" i="18" s="1"/>
  <c r="O57" i="18"/>
  <c r="P57" i="18"/>
  <c r="Q57" i="18"/>
  <c r="T57" i="18" s="1"/>
  <c r="N75" i="18" s="1"/>
  <c r="O58" i="18"/>
  <c r="P58" i="18"/>
  <c r="Q58" i="18"/>
  <c r="T58" i="18" s="1"/>
  <c r="N76" i="18" s="1"/>
  <c r="O59" i="18"/>
  <c r="P59" i="18"/>
  <c r="Q59" i="18"/>
  <c r="T59" i="18" s="1"/>
  <c r="N77" i="18" s="1"/>
  <c r="O48" i="18"/>
  <c r="P48" i="18"/>
  <c r="Q48" i="18"/>
  <c r="C292" i="18"/>
  <c r="C35" i="19" s="1"/>
  <c r="B278" i="18"/>
  <c r="C278" i="18"/>
  <c r="B279" i="18"/>
  <c r="C279" i="18"/>
  <c r="B280" i="18"/>
  <c r="C280" i="18"/>
  <c r="B281" i="18"/>
  <c r="C281" i="18"/>
  <c r="B282" i="18"/>
  <c r="C282" i="18"/>
  <c r="B283" i="18"/>
  <c r="C283" i="18"/>
  <c r="B284" i="18"/>
  <c r="C284" i="18"/>
  <c r="B285" i="18"/>
  <c r="C285" i="18"/>
  <c r="B286" i="18"/>
  <c r="C286" i="18"/>
  <c r="B287" i="18"/>
  <c r="C287" i="18"/>
  <c r="B288" i="18"/>
  <c r="C288" i="18"/>
  <c r="B289" i="18"/>
  <c r="C289" i="18"/>
  <c r="B290" i="18"/>
  <c r="C290" i="18"/>
  <c r="C277" i="18"/>
  <c r="C37" i="19" s="1"/>
  <c r="B277" i="18"/>
  <c r="B37" i="19" s="1"/>
  <c r="D275" i="18"/>
  <c r="M272" i="18"/>
  <c r="N272" i="18"/>
  <c r="L272" i="18"/>
  <c r="J272" i="18"/>
  <c r="K272" i="18"/>
  <c r="O259" i="18"/>
  <c r="P259" i="18"/>
  <c r="Q259" i="18"/>
  <c r="O260" i="18"/>
  <c r="P260" i="18"/>
  <c r="Q260" i="18"/>
  <c r="T260" i="18" s="1"/>
  <c r="N279" i="18" s="1"/>
  <c r="O261" i="18"/>
  <c r="P261" i="18"/>
  <c r="Q261" i="18"/>
  <c r="T261" i="18" s="1"/>
  <c r="N280" i="18" s="1"/>
  <c r="O262" i="18"/>
  <c r="P262" i="18"/>
  <c r="Q262" i="18"/>
  <c r="T262" i="18" s="1"/>
  <c r="N281" i="18" s="1"/>
  <c r="O263" i="18"/>
  <c r="P263" i="18"/>
  <c r="Q263" i="18"/>
  <c r="T263" i="18" s="1"/>
  <c r="N282" i="18" s="1"/>
  <c r="O264" i="18"/>
  <c r="P264" i="18"/>
  <c r="Q264" i="18"/>
  <c r="T264" i="18" s="1"/>
  <c r="N283" i="18" s="1"/>
  <c r="O265" i="18"/>
  <c r="P265" i="18"/>
  <c r="Q265" i="18"/>
  <c r="T265" i="18" s="1"/>
  <c r="N284" i="18" s="1"/>
  <c r="D284" i="18" s="1"/>
  <c r="E284" i="18" s="1"/>
  <c r="F284" i="18" s="1"/>
  <c r="G284" i="18" s="1"/>
  <c r="H284" i="18" s="1"/>
  <c r="I284" i="18" s="1"/>
  <c r="J284" i="18" s="1"/>
  <c r="K284" i="18" s="1"/>
  <c r="L284" i="18" s="1"/>
  <c r="O266" i="18"/>
  <c r="P266" i="18"/>
  <c r="Q266" i="18"/>
  <c r="T266" i="18" s="1"/>
  <c r="N285" i="18" s="1"/>
  <c r="O267" i="18"/>
  <c r="P267" i="18"/>
  <c r="Q267" i="18"/>
  <c r="T267" i="18" s="1"/>
  <c r="N286" i="18" s="1"/>
  <c r="O268" i="18"/>
  <c r="P268" i="18"/>
  <c r="Q268" i="18"/>
  <c r="T268" i="18" s="1"/>
  <c r="N287" i="18" s="1"/>
  <c r="O269" i="18"/>
  <c r="P269" i="18"/>
  <c r="Q269" i="18"/>
  <c r="T269" i="18" s="1"/>
  <c r="N288" i="18" s="1"/>
  <c r="O270" i="18"/>
  <c r="P270" i="18"/>
  <c r="Q270" i="18"/>
  <c r="T270" i="18" s="1"/>
  <c r="N289" i="18" s="1"/>
  <c r="O271" i="18"/>
  <c r="P271" i="18"/>
  <c r="Q271" i="18"/>
  <c r="T271" i="18" s="1"/>
  <c r="N290" i="18" s="1"/>
  <c r="O258" i="18"/>
  <c r="P258" i="18"/>
  <c r="Q258" i="18"/>
  <c r="I258" i="18"/>
  <c r="D325" i="18"/>
  <c r="C254" i="18"/>
  <c r="C30" i="19" s="1"/>
  <c r="B254" i="18"/>
  <c r="B30" i="19" s="1"/>
  <c r="T313" i="18"/>
  <c r="T302" i="18"/>
  <c r="Q296" i="18"/>
  <c r="T296" i="18" s="1"/>
  <c r="P296" i="18"/>
  <c r="O296" i="18"/>
  <c r="B240" i="18"/>
  <c r="C240" i="18"/>
  <c r="B241" i="18"/>
  <c r="C241" i="18"/>
  <c r="B242" i="18"/>
  <c r="C242" i="18"/>
  <c r="B243" i="18"/>
  <c r="C243" i="18"/>
  <c r="B244" i="18"/>
  <c r="C244" i="18"/>
  <c r="B245" i="18"/>
  <c r="C245" i="18"/>
  <c r="B246" i="18"/>
  <c r="C246" i="18"/>
  <c r="B247" i="18"/>
  <c r="C247" i="18"/>
  <c r="B248" i="18"/>
  <c r="C248" i="18"/>
  <c r="B249" i="18"/>
  <c r="C249" i="18"/>
  <c r="B250" i="18"/>
  <c r="C250" i="18"/>
  <c r="B251" i="18"/>
  <c r="C251" i="18"/>
  <c r="B252" i="18"/>
  <c r="C252" i="18"/>
  <c r="C239" i="18"/>
  <c r="C32" i="19" s="1"/>
  <c r="B239" i="18"/>
  <c r="B32" i="19" s="1"/>
  <c r="G315" i="18"/>
  <c r="G314" i="18"/>
  <c r="G313" i="18"/>
  <c r="D158" i="18"/>
  <c r="D237" i="18"/>
  <c r="M234" i="18"/>
  <c r="N234" i="18"/>
  <c r="L234" i="18"/>
  <c r="C216" i="18"/>
  <c r="C25" i="19" s="1"/>
  <c r="B216" i="18"/>
  <c r="B25" i="19" s="1"/>
  <c r="C27" i="19"/>
  <c r="B27" i="19"/>
  <c r="D201" i="18"/>
  <c r="D107" i="18"/>
  <c r="M104" i="18"/>
  <c r="N104" i="18"/>
  <c r="L104" i="18"/>
  <c r="J104" i="18"/>
  <c r="K104" i="18"/>
  <c r="I104" i="18"/>
  <c r="G185" i="18"/>
  <c r="Q103" i="18"/>
  <c r="T103" i="18" s="1"/>
  <c r="N129" i="18" s="1"/>
  <c r="D129" i="18" s="1"/>
  <c r="E129" i="18" s="1"/>
  <c r="F129" i="18" s="1"/>
  <c r="G129" i="18" s="1"/>
  <c r="H129" i="18" s="1"/>
  <c r="I129" i="18" s="1"/>
  <c r="J129" i="18" s="1"/>
  <c r="K129" i="18" s="1"/>
  <c r="L129" i="18" s="1"/>
  <c r="P103" i="18"/>
  <c r="O103" i="18"/>
  <c r="Q102" i="18"/>
  <c r="T102" i="18" s="1"/>
  <c r="N128" i="18" s="1"/>
  <c r="D128" i="18" s="1"/>
  <c r="E128" i="18" s="1"/>
  <c r="F128" i="18" s="1"/>
  <c r="G128" i="18" s="1"/>
  <c r="H128" i="18" s="1"/>
  <c r="I128" i="18" s="1"/>
  <c r="J128" i="18" s="1"/>
  <c r="K128" i="18" s="1"/>
  <c r="L128" i="18" s="1"/>
  <c r="P102" i="18"/>
  <c r="O102" i="18"/>
  <c r="Q101" i="18"/>
  <c r="T101" i="18" s="1"/>
  <c r="N127" i="18" s="1"/>
  <c r="D127" i="18" s="1"/>
  <c r="E127" i="18" s="1"/>
  <c r="F127" i="18" s="1"/>
  <c r="G127" i="18" s="1"/>
  <c r="H127" i="18" s="1"/>
  <c r="I127" i="18" s="1"/>
  <c r="J127" i="18" s="1"/>
  <c r="K127" i="18" s="1"/>
  <c r="L127" i="18" s="1"/>
  <c r="P101" i="18"/>
  <c r="O101" i="18"/>
  <c r="Q100" i="18"/>
  <c r="T100" i="18" s="1"/>
  <c r="N126" i="18" s="1"/>
  <c r="D126" i="18" s="1"/>
  <c r="E126" i="18" s="1"/>
  <c r="F126" i="18" s="1"/>
  <c r="G126" i="18" s="1"/>
  <c r="H126" i="18" s="1"/>
  <c r="I126" i="18" s="1"/>
  <c r="J126" i="18" s="1"/>
  <c r="K126" i="18" s="1"/>
  <c r="L126" i="18" s="1"/>
  <c r="P100" i="18"/>
  <c r="O100" i="18"/>
  <c r="Q99" i="18"/>
  <c r="T99" i="18" s="1"/>
  <c r="N125" i="18" s="1"/>
  <c r="D125" i="18" s="1"/>
  <c r="E125" i="18" s="1"/>
  <c r="F125" i="18" s="1"/>
  <c r="G125" i="18" s="1"/>
  <c r="H125" i="18" s="1"/>
  <c r="I125" i="18" s="1"/>
  <c r="J125" i="18" s="1"/>
  <c r="K125" i="18" s="1"/>
  <c r="L125" i="18" s="1"/>
  <c r="P99" i="18"/>
  <c r="O99" i="18"/>
  <c r="Q98" i="18"/>
  <c r="T98" i="18" s="1"/>
  <c r="N124" i="18" s="1"/>
  <c r="D124" i="18" s="1"/>
  <c r="E124" i="18" s="1"/>
  <c r="F124" i="18" s="1"/>
  <c r="G124" i="18" s="1"/>
  <c r="H124" i="18" s="1"/>
  <c r="I124" i="18" s="1"/>
  <c r="J124" i="18" s="1"/>
  <c r="K124" i="18" s="1"/>
  <c r="L124" i="18" s="1"/>
  <c r="P98" i="18"/>
  <c r="O98" i="18"/>
  <c r="Q97" i="18"/>
  <c r="T97" i="18" s="1"/>
  <c r="N123" i="18" s="1"/>
  <c r="P97" i="18"/>
  <c r="O97" i="18"/>
  <c r="Q96" i="18"/>
  <c r="T96" i="18" s="1"/>
  <c r="N122" i="18" s="1"/>
  <c r="D122" i="18" s="1"/>
  <c r="E122" i="18" s="1"/>
  <c r="F122" i="18" s="1"/>
  <c r="G122" i="18" s="1"/>
  <c r="H122" i="18" s="1"/>
  <c r="I122" i="18" s="1"/>
  <c r="J122" i="18" s="1"/>
  <c r="K122" i="18" s="1"/>
  <c r="L122" i="18" s="1"/>
  <c r="P96" i="18"/>
  <c r="O96" i="18"/>
  <c r="Q95" i="18"/>
  <c r="T95" i="18" s="1"/>
  <c r="N121" i="18" s="1"/>
  <c r="P95" i="18"/>
  <c r="O95" i="18"/>
  <c r="Q94" i="18"/>
  <c r="T94" i="18" s="1"/>
  <c r="N120" i="18" s="1"/>
  <c r="D120" i="18" s="1"/>
  <c r="E120" i="18" s="1"/>
  <c r="F120" i="18" s="1"/>
  <c r="G120" i="18" s="1"/>
  <c r="H120" i="18" s="1"/>
  <c r="I120" i="18" s="1"/>
  <c r="J120" i="18" s="1"/>
  <c r="K120" i="18" s="1"/>
  <c r="L120" i="18" s="1"/>
  <c r="P94" i="18"/>
  <c r="O94" i="18"/>
  <c r="Q93" i="18"/>
  <c r="T93" i="18" s="1"/>
  <c r="N119" i="18" s="1"/>
  <c r="D119" i="18" s="1"/>
  <c r="E119" i="18" s="1"/>
  <c r="F119" i="18" s="1"/>
  <c r="G119" i="18" s="1"/>
  <c r="H119" i="18" s="1"/>
  <c r="I119" i="18" s="1"/>
  <c r="J119" i="18" s="1"/>
  <c r="K119" i="18" s="1"/>
  <c r="L119" i="18" s="1"/>
  <c r="P93" i="18"/>
  <c r="O93" i="18"/>
  <c r="Q92" i="18"/>
  <c r="T92" i="18" s="1"/>
  <c r="N118" i="18" s="1"/>
  <c r="D118" i="18" s="1"/>
  <c r="E118" i="18" s="1"/>
  <c r="F118" i="18" s="1"/>
  <c r="G118" i="18" s="1"/>
  <c r="H118" i="18" s="1"/>
  <c r="I118" i="18" s="1"/>
  <c r="J118" i="18" s="1"/>
  <c r="K118" i="18" s="1"/>
  <c r="L118" i="18" s="1"/>
  <c r="P92" i="18"/>
  <c r="O92" i="18"/>
  <c r="Q91" i="18"/>
  <c r="T91" i="18" s="1"/>
  <c r="N117" i="18" s="1"/>
  <c r="D117" i="18" s="1"/>
  <c r="E117" i="18" s="1"/>
  <c r="F117" i="18" s="1"/>
  <c r="G117" i="18" s="1"/>
  <c r="H117" i="18" s="1"/>
  <c r="I117" i="18" s="1"/>
  <c r="J117" i="18" s="1"/>
  <c r="K117" i="18" s="1"/>
  <c r="L117" i="18" s="1"/>
  <c r="P91" i="18"/>
  <c r="O91" i="18"/>
  <c r="Q90" i="18"/>
  <c r="T90" i="18" s="1"/>
  <c r="N116" i="18" s="1"/>
  <c r="D116" i="18" s="1"/>
  <c r="E116" i="18" s="1"/>
  <c r="F116" i="18" s="1"/>
  <c r="G116" i="18" s="1"/>
  <c r="H116" i="18" s="1"/>
  <c r="I116" i="18" s="1"/>
  <c r="J116" i="18" s="1"/>
  <c r="K116" i="18" s="1"/>
  <c r="L116" i="18" s="1"/>
  <c r="P90" i="18"/>
  <c r="O90" i="18"/>
  <c r="Q89" i="18"/>
  <c r="T89" i="18" s="1"/>
  <c r="N115" i="18" s="1"/>
  <c r="D115" i="18" s="1"/>
  <c r="E115" i="18" s="1"/>
  <c r="F115" i="18" s="1"/>
  <c r="G115" i="18" s="1"/>
  <c r="H115" i="18" s="1"/>
  <c r="I115" i="18" s="1"/>
  <c r="J115" i="18" s="1"/>
  <c r="K115" i="18" s="1"/>
  <c r="L115" i="18" s="1"/>
  <c r="P89" i="18"/>
  <c r="O89" i="18"/>
  <c r="Q88" i="18"/>
  <c r="T88" i="18" s="1"/>
  <c r="N114" i="18" s="1"/>
  <c r="D114" i="18" s="1"/>
  <c r="E114" i="18" s="1"/>
  <c r="F114" i="18" s="1"/>
  <c r="G114" i="18" s="1"/>
  <c r="H114" i="18" s="1"/>
  <c r="I114" i="18" s="1"/>
  <c r="J114" i="18" s="1"/>
  <c r="K114" i="18" s="1"/>
  <c r="L114" i="18" s="1"/>
  <c r="P88" i="18"/>
  <c r="O88" i="18"/>
  <c r="Q87" i="18"/>
  <c r="T87" i="18" s="1"/>
  <c r="N113" i="18" s="1"/>
  <c r="D113" i="18" s="1"/>
  <c r="E113" i="18" s="1"/>
  <c r="F113" i="18" s="1"/>
  <c r="G113" i="18" s="1"/>
  <c r="H113" i="18" s="1"/>
  <c r="I113" i="18" s="1"/>
  <c r="J113" i="18" s="1"/>
  <c r="K113" i="18" s="1"/>
  <c r="L113" i="18" s="1"/>
  <c r="P87" i="18"/>
  <c r="O87" i="18"/>
  <c r="Q86" i="18"/>
  <c r="T86" i="18" s="1"/>
  <c r="N112" i="18" s="1"/>
  <c r="D112" i="18" s="1"/>
  <c r="E112" i="18" s="1"/>
  <c r="F112" i="18" s="1"/>
  <c r="G112" i="18" s="1"/>
  <c r="H112" i="18" s="1"/>
  <c r="I112" i="18" s="1"/>
  <c r="J112" i="18" s="1"/>
  <c r="K112" i="18" s="1"/>
  <c r="L112" i="18" s="1"/>
  <c r="P86" i="18"/>
  <c r="O86" i="18"/>
  <c r="Q85" i="18"/>
  <c r="T85" i="18" s="1"/>
  <c r="N111" i="18" s="1"/>
  <c r="P85" i="18"/>
  <c r="O85" i="18"/>
  <c r="Q84" i="18"/>
  <c r="P84" i="18"/>
  <c r="O84" i="18"/>
  <c r="Q83" i="18"/>
  <c r="T83" i="18" s="1"/>
  <c r="P83" i="18"/>
  <c r="G103" i="18"/>
  <c r="G102" i="18"/>
  <c r="G101" i="18"/>
  <c r="G100" i="18"/>
  <c r="G99" i="18"/>
  <c r="G98" i="18"/>
  <c r="G97" i="18"/>
  <c r="G96" i="18"/>
  <c r="G95" i="18"/>
  <c r="G94" i="18"/>
  <c r="G93" i="18"/>
  <c r="G92" i="18"/>
  <c r="G91" i="18"/>
  <c r="G90" i="18"/>
  <c r="G89" i="18"/>
  <c r="G88" i="18"/>
  <c r="G87" i="18"/>
  <c r="G86" i="18"/>
  <c r="G85" i="18"/>
  <c r="G84" i="18"/>
  <c r="G83" i="18"/>
  <c r="C43" i="18"/>
  <c r="C5" i="19" s="1"/>
  <c r="B43" i="18"/>
  <c r="B5" i="19" s="1"/>
  <c r="B27" i="18"/>
  <c r="C27" i="18"/>
  <c r="B28" i="18"/>
  <c r="C28" i="18"/>
  <c r="B29" i="18"/>
  <c r="C29" i="18"/>
  <c r="B30" i="18"/>
  <c r="C30" i="18"/>
  <c r="B31" i="18"/>
  <c r="C31" i="18"/>
  <c r="B32" i="18"/>
  <c r="C32" i="18"/>
  <c r="B33" i="18"/>
  <c r="C33" i="18"/>
  <c r="B34" i="18"/>
  <c r="C34" i="18"/>
  <c r="B35" i="18"/>
  <c r="C35" i="18"/>
  <c r="B36" i="18"/>
  <c r="B66" i="18" s="1"/>
  <c r="C36" i="18"/>
  <c r="C66" i="18" s="1"/>
  <c r="B37" i="18"/>
  <c r="C37" i="18"/>
  <c r="B38" i="18"/>
  <c r="C38" i="18"/>
  <c r="B39" i="18"/>
  <c r="C39" i="18"/>
  <c r="B40" i="18"/>
  <c r="C40" i="18"/>
  <c r="B41" i="18"/>
  <c r="C41" i="18"/>
  <c r="C26" i="18"/>
  <c r="C7" i="19" s="1"/>
  <c r="B26" i="18"/>
  <c r="B7" i="19" s="1"/>
  <c r="D24" i="18"/>
  <c r="D16" i="16"/>
  <c r="E16" i="16" s="1"/>
  <c r="J21" i="18"/>
  <c r="K21" i="18"/>
  <c r="I21" i="18"/>
  <c r="M21" i="18"/>
  <c r="N21" i="18"/>
  <c r="L21" i="18"/>
  <c r="R5" i="16"/>
  <c r="O6" i="18"/>
  <c r="P6" i="18"/>
  <c r="Q6" i="18"/>
  <c r="O7" i="18"/>
  <c r="P7" i="18"/>
  <c r="Q7" i="18"/>
  <c r="T7" i="18" s="1"/>
  <c r="O28" i="18" s="1"/>
  <c r="O8" i="18"/>
  <c r="P8" i="18"/>
  <c r="Q8" i="18"/>
  <c r="T8" i="18" s="1"/>
  <c r="O29" i="18" s="1"/>
  <c r="O9" i="18"/>
  <c r="P9" i="18"/>
  <c r="Q9" i="18"/>
  <c r="T9" i="18" s="1"/>
  <c r="O30" i="18" s="1"/>
  <c r="O10" i="18"/>
  <c r="P10" i="18"/>
  <c r="Q10" i="18"/>
  <c r="T10" i="18" s="1"/>
  <c r="O31" i="18" s="1"/>
  <c r="O11" i="18"/>
  <c r="P11" i="18"/>
  <c r="Q11" i="18"/>
  <c r="T11" i="18" s="1"/>
  <c r="O32" i="18" s="1"/>
  <c r="O12" i="18"/>
  <c r="P12" i="18"/>
  <c r="Q12" i="18"/>
  <c r="T12" i="18" s="1"/>
  <c r="O33" i="18" s="1"/>
  <c r="O13" i="18"/>
  <c r="P13" i="18"/>
  <c r="Q13" i="18"/>
  <c r="T13" i="18" s="1"/>
  <c r="O34" i="18" s="1"/>
  <c r="O14" i="18"/>
  <c r="P14" i="18"/>
  <c r="Q14" i="18"/>
  <c r="T14" i="18" s="1"/>
  <c r="O35" i="18" s="1"/>
  <c r="O15" i="18"/>
  <c r="P15" i="18"/>
  <c r="Q15" i="18"/>
  <c r="T15" i="18" s="1"/>
  <c r="O36" i="18" s="1"/>
  <c r="O16" i="18"/>
  <c r="P16" i="18"/>
  <c r="Q16" i="18"/>
  <c r="T16" i="18" s="1"/>
  <c r="O37" i="18" s="1"/>
  <c r="O17" i="18"/>
  <c r="P17" i="18"/>
  <c r="Q17" i="18"/>
  <c r="T17" i="18" s="1"/>
  <c r="O38" i="18" s="1"/>
  <c r="O18" i="18"/>
  <c r="P18" i="18"/>
  <c r="Q18" i="18"/>
  <c r="T18" i="18" s="1"/>
  <c r="O39" i="18" s="1"/>
  <c r="O19" i="18"/>
  <c r="P19" i="18"/>
  <c r="Q19" i="18"/>
  <c r="T19" i="18" s="1"/>
  <c r="O40" i="18" s="1"/>
  <c r="O20" i="18"/>
  <c r="P20" i="18"/>
  <c r="Q20" i="18"/>
  <c r="T20" i="18" s="1"/>
  <c r="O41" i="18" s="1"/>
  <c r="Q5" i="18"/>
  <c r="T5" i="18" s="1"/>
  <c r="P5" i="18"/>
  <c r="O5" i="18"/>
  <c r="G20" i="18"/>
  <c r="G19" i="18"/>
  <c r="G18" i="18"/>
  <c r="G17" i="18"/>
  <c r="G16" i="18"/>
  <c r="G15" i="18"/>
  <c r="R200" i="16"/>
  <c r="R126" i="16"/>
  <c r="T5" i="16"/>
  <c r="T264" i="16"/>
  <c r="N278" i="16" s="1"/>
  <c r="D278" i="16" s="1"/>
  <c r="E278" i="16" s="1"/>
  <c r="F278" i="16" s="1"/>
  <c r="G278" i="16" s="1"/>
  <c r="H278" i="16" s="1"/>
  <c r="I278" i="16" s="1"/>
  <c r="J278" i="16" s="1"/>
  <c r="K278" i="16" s="1"/>
  <c r="L278" i="16" s="1"/>
  <c r="T265" i="16"/>
  <c r="N279" i="16" s="1"/>
  <c r="D279" i="16" s="1"/>
  <c r="E279" i="16" s="1"/>
  <c r="F279" i="16" s="1"/>
  <c r="G279" i="16" s="1"/>
  <c r="H279" i="16" s="1"/>
  <c r="I279" i="16" s="1"/>
  <c r="J279" i="16" s="1"/>
  <c r="K279" i="16" s="1"/>
  <c r="L279" i="16" s="1"/>
  <c r="T266" i="16"/>
  <c r="N280" i="16" s="1"/>
  <c r="D280" i="16" s="1"/>
  <c r="E280" i="16" s="1"/>
  <c r="F280" i="16" s="1"/>
  <c r="G280" i="16" s="1"/>
  <c r="H280" i="16" s="1"/>
  <c r="I280" i="16" s="1"/>
  <c r="J280" i="16" s="1"/>
  <c r="K280" i="16" s="1"/>
  <c r="L280" i="16" s="1"/>
  <c r="T267" i="16"/>
  <c r="N281" i="16" s="1"/>
  <c r="D281" i="16" s="1"/>
  <c r="E281" i="16" s="1"/>
  <c r="F281" i="16" s="1"/>
  <c r="G281" i="16" s="1"/>
  <c r="H281" i="16" s="1"/>
  <c r="I281" i="16" s="1"/>
  <c r="J281" i="16" s="1"/>
  <c r="K281" i="16" s="1"/>
  <c r="L281" i="16" s="1"/>
  <c r="T268" i="16"/>
  <c r="N282" i="16" s="1"/>
  <c r="D282" i="16" s="1"/>
  <c r="E282" i="16" s="1"/>
  <c r="F282" i="16" s="1"/>
  <c r="G282" i="16" s="1"/>
  <c r="H282" i="16" s="1"/>
  <c r="I282" i="16" s="1"/>
  <c r="J282" i="16" s="1"/>
  <c r="K282" i="16" s="1"/>
  <c r="L282" i="16" s="1"/>
  <c r="T269" i="16"/>
  <c r="N283" i="16" s="1"/>
  <c r="D283" i="16" s="1"/>
  <c r="E283" i="16" s="1"/>
  <c r="F283" i="16" s="1"/>
  <c r="G283" i="16" s="1"/>
  <c r="H283" i="16" s="1"/>
  <c r="I283" i="16" s="1"/>
  <c r="J283" i="16" s="1"/>
  <c r="K283" i="16" s="1"/>
  <c r="L283" i="16" s="1"/>
  <c r="T270" i="16"/>
  <c r="N284" i="16" s="1"/>
  <c r="D284" i="16" s="1"/>
  <c r="E284" i="16" s="1"/>
  <c r="F284" i="16" s="1"/>
  <c r="G284" i="16" s="1"/>
  <c r="H284" i="16" s="1"/>
  <c r="I284" i="16" s="1"/>
  <c r="J284" i="16" s="1"/>
  <c r="K284" i="16" s="1"/>
  <c r="L284" i="16" s="1"/>
  <c r="T263" i="16"/>
  <c r="T262" i="16"/>
  <c r="T202" i="16"/>
  <c r="N234" i="16" s="1"/>
  <c r="D234" i="16" s="1"/>
  <c r="T203" i="16"/>
  <c r="N235" i="16" s="1"/>
  <c r="D235" i="16" s="1"/>
  <c r="T204" i="16"/>
  <c r="N236" i="16" s="1"/>
  <c r="D236" i="16" s="1"/>
  <c r="T205" i="16"/>
  <c r="N237" i="16" s="1"/>
  <c r="D237" i="16" s="1"/>
  <c r="T206" i="16"/>
  <c r="N238" i="16" s="1"/>
  <c r="D238" i="16" s="1"/>
  <c r="T207" i="16"/>
  <c r="N239" i="16" s="1"/>
  <c r="D239" i="16" s="1"/>
  <c r="E239" i="16" s="1"/>
  <c r="F239" i="16" s="1"/>
  <c r="G239" i="16" s="1"/>
  <c r="H239" i="16" s="1"/>
  <c r="I239" i="16" s="1"/>
  <c r="J239" i="16" s="1"/>
  <c r="K239" i="16" s="1"/>
  <c r="L239" i="16" s="1"/>
  <c r="T208" i="16"/>
  <c r="N240" i="16" s="1"/>
  <c r="D240" i="16" s="1"/>
  <c r="E240" i="16" s="1"/>
  <c r="F240" i="16" s="1"/>
  <c r="G240" i="16" s="1"/>
  <c r="H240" i="16" s="1"/>
  <c r="I240" i="16" s="1"/>
  <c r="J240" i="16" s="1"/>
  <c r="K240" i="16" s="1"/>
  <c r="L240" i="16" s="1"/>
  <c r="T209" i="16"/>
  <c r="N241" i="16" s="1"/>
  <c r="D241" i="16" s="1"/>
  <c r="E241" i="16" s="1"/>
  <c r="F241" i="16" s="1"/>
  <c r="G241" i="16" s="1"/>
  <c r="H241" i="16" s="1"/>
  <c r="I241" i="16" s="1"/>
  <c r="J241" i="16" s="1"/>
  <c r="K241" i="16" s="1"/>
  <c r="L241" i="16" s="1"/>
  <c r="T210" i="16"/>
  <c r="N242" i="16" s="1"/>
  <c r="D242" i="16" s="1"/>
  <c r="E242" i="16" s="1"/>
  <c r="F242" i="16" s="1"/>
  <c r="G242" i="16" s="1"/>
  <c r="H242" i="16" s="1"/>
  <c r="I242" i="16" s="1"/>
  <c r="J242" i="16" s="1"/>
  <c r="K242" i="16" s="1"/>
  <c r="L242" i="16" s="1"/>
  <c r="T211" i="16"/>
  <c r="N243" i="16" s="1"/>
  <c r="D243" i="16" s="1"/>
  <c r="E243" i="16" s="1"/>
  <c r="F243" i="16" s="1"/>
  <c r="G243" i="16" s="1"/>
  <c r="H243" i="16" s="1"/>
  <c r="I243" i="16" s="1"/>
  <c r="J243" i="16" s="1"/>
  <c r="K243" i="16" s="1"/>
  <c r="L243" i="16" s="1"/>
  <c r="T212" i="16"/>
  <c r="N244" i="16" s="1"/>
  <c r="D244" i="16" s="1"/>
  <c r="E244" i="16" s="1"/>
  <c r="F244" i="16" s="1"/>
  <c r="G244" i="16" s="1"/>
  <c r="H244" i="16" s="1"/>
  <c r="I244" i="16" s="1"/>
  <c r="J244" i="16" s="1"/>
  <c r="K244" i="16" s="1"/>
  <c r="L244" i="16" s="1"/>
  <c r="T213" i="16"/>
  <c r="N245" i="16" s="1"/>
  <c r="D245" i="16" s="1"/>
  <c r="E245" i="16" s="1"/>
  <c r="F245" i="16" s="1"/>
  <c r="G245" i="16" s="1"/>
  <c r="H245" i="16" s="1"/>
  <c r="I245" i="16" s="1"/>
  <c r="J245" i="16" s="1"/>
  <c r="K245" i="16" s="1"/>
  <c r="L245" i="16" s="1"/>
  <c r="T214" i="16"/>
  <c r="N246" i="16" s="1"/>
  <c r="D246" i="16" s="1"/>
  <c r="E246" i="16" s="1"/>
  <c r="F246" i="16" s="1"/>
  <c r="G246" i="16" s="1"/>
  <c r="T215" i="16"/>
  <c r="N247" i="16" s="1"/>
  <c r="T216" i="16"/>
  <c r="N248" i="16" s="1"/>
  <c r="D248" i="16" s="1"/>
  <c r="E248" i="16" s="1"/>
  <c r="F248" i="16" s="1"/>
  <c r="G248" i="16" s="1"/>
  <c r="H248" i="16" s="1"/>
  <c r="I248" i="16" s="1"/>
  <c r="J248" i="16" s="1"/>
  <c r="K248" i="16" s="1"/>
  <c r="L248" i="16" s="1"/>
  <c r="T217" i="16"/>
  <c r="N249" i="16" s="1"/>
  <c r="D249" i="16" s="1"/>
  <c r="E249" i="16" s="1"/>
  <c r="F249" i="16" s="1"/>
  <c r="G249" i="16" s="1"/>
  <c r="H249" i="16" s="1"/>
  <c r="I249" i="16" s="1"/>
  <c r="J249" i="16" s="1"/>
  <c r="K249" i="16" s="1"/>
  <c r="L249" i="16" s="1"/>
  <c r="T218" i="16"/>
  <c r="N250" i="16" s="1"/>
  <c r="D250" i="16" s="1"/>
  <c r="E250" i="16" s="1"/>
  <c r="F250" i="16" s="1"/>
  <c r="G250" i="16" s="1"/>
  <c r="H250" i="16" s="1"/>
  <c r="I250" i="16" s="1"/>
  <c r="J250" i="16" s="1"/>
  <c r="K250" i="16" s="1"/>
  <c r="L250" i="16" s="1"/>
  <c r="T219" i="16"/>
  <c r="N251" i="16" s="1"/>
  <c r="D251" i="16" s="1"/>
  <c r="E251" i="16" s="1"/>
  <c r="F251" i="16" s="1"/>
  <c r="G251" i="16" s="1"/>
  <c r="H251" i="16" s="1"/>
  <c r="I251" i="16" s="1"/>
  <c r="J251" i="16" s="1"/>
  <c r="K251" i="16" s="1"/>
  <c r="L251" i="16" s="1"/>
  <c r="T220" i="16"/>
  <c r="N252" i="16" s="1"/>
  <c r="D252" i="16" s="1"/>
  <c r="E252" i="16" s="1"/>
  <c r="F252" i="16" s="1"/>
  <c r="G252" i="16" s="1"/>
  <c r="H252" i="16" s="1"/>
  <c r="I252" i="16" s="1"/>
  <c r="J252" i="16" s="1"/>
  <c r="K252" i="16" s="1"/>
  <c r="L252" i="16" s="1"/>
  <c r="T221" i="16"/>
  <c r="N253" i="16" s="1"/>
  <c r="D253" i="16" s="1"/>
  <c r="E253" i="16" s="1"/>
  <c r="F253" i="16" s="1"/>
  <c r="G253" i="16" s="1"/>
  <c r="H253" i="16" s="1"/>
  <c r="I253" i="16" s="1"/>
  <c r="J253" i="16" s="1"/>
  <c r="K253" i="16" s="1"/>
  <c r="L253" i="16" s="1"/>
  <c r="T222" i="16"/>
  <c r="N254" i="16" s="1"/>
  <c r="D254" i="16" s="1"/>
  <c r="E254" i="16" s="1"/>
  <c r="F254" i="16" s="1"/>
  <c r="G254" i="16" s="1"/>
  <c r="H254" i="16" s="1"/>
  <c r="I254" i="16" s="1"/>
  <c r="J254" i="16" s="1"/>
  <c r="K254" i="16" s="1"/>
  <c r="L254" i="16" s="1"/>
  <c r="T223" i="16"/>
  <c r="N255" i="16" s="1"/>
  <c r="D255" i="16" s="1"/>
  <c r="E255" i="16" s="1"/>
  <c r="F255" i="16" s="1"/>
  <c r="G255" i="16" s="1"/>
  <c r="H255" i="16" s="1"/>
  <c r="I255" i="16" s="1"/>
  <c r="J255" i="16" s="1"/>
  <c r="K255" i="16" s="1"/>
  <c r="L255" i="16" s="1"/>
  <c r="T224" i="16"/>
  <c r="N256" i="16" s="1"/>
  <c r="D256" i="16" s="1"/>
  <c r="E256" i="16" s="1"/>
  <c r="F256" i="16" s="1"/>
  <c r="G256" i="16" s="1"/>
  <c r="H256" i="16" s="1"/>
  <c r="I256" i="16" s="1"/>
  <c r="J256" i="16" s="1"/>
  <c r="K256" i="16" s="1"/>
  <c r="L256" i="16" s="1"/>
  <c r="T201" i="16"/>
  <c r="N233" i="16" s="1"/>
  <c r="D233" i="16" s="1"/>
  <c r="T200" i="16"/>
  <c r="O157" i="16"/>
  <c r="N157" i="16"/>
  <c r="T128" i="16"/>
  <c r="N166" i="16" s="1"/>
  <c r="D166" i="16" s="1"/>
  <c r="T129" i="16"/>
  <c r="N167" i="16" s="1"/>
  <c r="D167" i="16" s="1"/>
  <c r="T130" i="16"/>
  <c r="N168" i="16" s="1"/>
  <c r="D168" i="16" s="1"/>
  <c r="T131" i="16"/>
  <c r="N169" i="16" s="1"/>
  <c r="T132" i="16"/>
  <c r="N170" i="16" s="1"/>
  <c r="T133" i="16"/>
  <c r="N171" i="16" s="1"/>
  <c r="T134" i="16"/>
  <c r="N172" i="16" s="1"/>
  <c r="T135" i="16"/>
  <c r="N173" i="16" s="1"/>
  <c r="T136" i="16"/>
  <c r="N174" i="16" s="1"/>
  <c r="T137" i="16"/>
  <c r="N175" i="16" s="1"/>
  <c r="T138" i="16"/>
  <c r="N176" i="16" s="1"/>
  <c r="T139" i="16"/>
  <c r="N177" i="16" s="1"/>
  <c r="T140" i="16"/>
  <c r="N178" i="16" s="1"/>
  <c r="D178" i="16" s="1"/>
  <c r="E178" i="16" s="1"/>
  <c r="F178" i="16" s="1"/>
  <c r="G178" i="16" s="1"/>
  <c r="H178" i="16" s="1"/>
  <c r="I178" i="16" s="1"/>
  <c r="J178" i="16" s="1"/>
  <c r="K178" i="16" s="1"/>
  <c r="L178" i="16" s="1"/>
  <c r="T141" i="16"/>
  <c r="N179" i="16" s="1"/>
  <c r="D179" i="16" s="1"/>
  <c r="E179" i="16" s="1"/>
  <c r="F179" i="16" s="1"/>
  <c r="G179" i="16" s="1"/>
  <c r="H179" i="16" s="1"/>
  <c r="I179" i="16" s="1"/>
  <c r="J179" i="16" s="1"/>
  <c r="K179" i="16" s="1"/>
  <c r="L179" i="16" s="1"/>
  <c r="T142" i="16"/>
  <c r="N180" i="16" s="1"/>
  <c r="D180" i="16" s="1"/>
  <c r="E180" i="16" s="1"/>
  <c r="F180" i="16" s="1"/>
  <c r="G180" i="16" s="1"/>
  <c r="H180" i="16" s="1"/>
  <c r="I180" i="16" s="1"/>
  <c r="J180" i="16" s="1"/>
  <c r="K180" i="16" s="1"/>
  <c r="L180" i="16" s="1"/>
  <c r="T143" i="16"/>
  <c r="N181" i="16" s="1"/>
  <c r="D181" i="16" s="1"/>
  <c r="E181" i="16" s="1"/>
  <c r="F181" i="16" s="1"/>
  <c r="G181" i="16" s="1"/>
  <c r="H181" i="16" s="1"/>
  <c r="I181" i="16" s="1"/>
  <c r="J181" i="16" s="1"/>
  <c r="K181" i="16" s="1"/>
  <c r="L181" i="16" s="1"/>
  <c r="T144" i="16"/>
  <c r="N182" i="16" s="1"/>
  <c r="D182" i="16" s="1"/>
  <c r="E182" i="16" s="1"/>
  <c r="F182" i="16" s="1"/>
  <c r="G182" i="16" s="1"/>
  <c r="H182" i="16" s="1"/>
  <c r="I182" i="16" s="1"/>
  <c r="J182" i="16" s="1"/>
  <c r="K182" i="16" s="1"/>
  <c r="L182" i="16" s="1"/>
  <c r="T145" i="16"/>
  <c r="N183" i="16" s="1"/>
  <c r="D183" i="16" s="1"/>
  <c r="E183" i="16" s="1"/>
  <c r="F183" i="16" s="1"/>
  <c r="G183" i="16" s="1"/>
  <c r="H183" i="16" s="1"/>
  <c r="I183" i="16" s="1"/>
  <c r="J183" i="16" s="1"/>
  <c r="K183" i="16" s="1"/>
  <c r="L183" i="16" s="1"/>
  <c r="T146" i="16"/>
  <c r="N184" i="16" s="1"/>
  <c r="D184" i="16" s="1"/>
  <c r="E184" i="16" s="1"/>
  <c r="F184" i="16" s="1"/>
  <c r="G184" i="16" s="1"/>
  <c r="H184" i="16" s="1"/>
  <c r="I184" i="16" s="1"/>
  <c r="J184" i="16" s="1"/>
  <c r="K184" i="16" s="1"/>
  <c r="L184" i="16" s="1"/>
  <c r="T147" i="16"/>
  <c r="N185" i="16" s="1"/>
  <c r="D185" i="16" s="1"/>
  <c r="E185" i="16" s="1"/>
  <c r="F185" i="16" s="1"/>
  <c r="G185" i="16" s="1"/>
  <c r="H185" i="16" s="1"/>
  <c r="I185" i="16" s="1"/>
  <c r="J185" i="16" s="1"/>
  <c r="K185" i="16" s="1"/>
  <c r="L185" i="16" s="1"/>
  <c r="T148" i="16"/>
  <c r="N186" i="16" s="1"/>
  <c r="D186" i="16" s="1"/>
  <c r="E186" i="16" s="1"/>
  <c r="F186" i="16" s="1"/>
  <c r="G186" i="16" s="1"/>
  <c r="H186" i="16" s="1"/>
  <c r="I186" i="16" s="1"/>
  <c r="J186" i="16" s="1"/>
  <c r="K186" i="16" s="1"/>
  <c r="L186" i="16" s="1"/>
  <c r="T149" i="16"/>
  <c r="N187" i="16" s="1"/>
  <c r="D187" i="16" s="1"/>
  <c r="E187" i="16" s="1"/>
  <c r="F187" i="16" s="1"/>
  <c r="G187" i="16" s="1"/>
  <c r="H187" i="16" s="1"/>
  <c r="I187" i="16" s="1"/>
  <c r="J187" i="16" s="1"/>
  <c r="K187" i="16" s="1"/>
  <c r="L187" i="16" s="1"/>
  <c r="T150" i="16"/>
  <c r="N188" i="16" s="1"/>
  <c r="D188" i="16" s="1"/>
  <c r="E188" i="16" s="1"/>
  <c r="F188" i="16" s="1"/>
  <c r="G188" i="16" s="1"/>
  <c r="H188" i="16" s="1"/>
  <c r="I188" i="16" s="1"/>
  <c r="J188" i="16" s="1"/>
  <c r="K188" i="16" s="1"/>
  <c r="L188" i="16" s="1"/>
  <c r="T151" i="16"/>
  <c r="N189" i="16" s="1"/>
  <c r="D189" i="16" s="1"/>
  <c r="E189" i="16" s="1"/>
  <c r="F189" i="16" s="1"/>
  <c r="G189" i="16" s="1"/>
  <c r="H189" i="16" s="1"/>
  <c r="I189" i="16" s="1"/>
  <c r="J189" i="16" s="1"/>
  <c r="K189" i="16" s="1"/>
  <c r="L189" i="16" s="1"/>
  <c r="T152" i="16"/>
  <c r="N190" i="16" s="1"/>
  <c r="D190" i="16" s="1"/>
  <c r="E190" i="16" s="1"/>
  <c r="F190" i="16" s="1"/>
  <c r="G190" i="16" s="1"/>
  <c r="H190" i="16" s="1"/>
  <c r="I190" i="16" s="1"/>
  <c r="J190" i="16" s="1"/>
  <c r="K190" i="16" s="1"/>
  <c r="L190" i="16" s="1"/>
  <c r="T153" i="16"/>
  <c r="N191" i="16" s="1"/>
  <c r="D191" i="16" s="1"/>
  <c r="E191" i="16" s="1"/>
  <c r="F191" i="16" s="1"/>
  <c r="G191" i="16" s="1"/>
  <c r="H191" i="16" s="1"/>
  <c r="I191" i="16" s="1"/>
  <c r="J191" i="16" s="1"/>
  <c r="K191" i="16" s="1"/>
  <c r="L191" i="16" s="1"/>
  <c r="T154" i="16"/>
  <c r="N192" i="16" s="1"/>
  <c r="T155" i="16"/>
  <c r="N193" i="16" s="1"/>
  <c r="D193" i="16" s="1"/>
  <c r="E193" i="16" s="1"/>
  <c r="F193" i="16" s="1"/>
  <c r="G193" i="16" s="1"/>
  <c r="H193" i="16" s="1"/>
  <c r="I193" i="16" s="1"/>
  <c r="J193" i="16" s="1"/>
  <c r="K193" i="16" s="1"/>
  <c r="L193" i="16" s="1"/>
  <c r="T156" i="16"/>
  <c r="N194" i="16" s="1"/>
  <c r="D194" i="16" s="1"/>
  <c r="E194" i="16" s="1"/>
  <c r="F194" i="16" s="1"/>
  <c r="G194" i="16" s="1"/>
  <c r="H194" i="16" s="1"/>
  <c r="I194" i="16" s="1"/>
  <c r="J194" i="16" s="1"/>
  <c r="K194" i="16" s="1"/>
  <c r="L194" i="16" s="1"/>
  <c r="T127" i="16"/>
  <c r="N165" i="16" s="1"/>
  <c r="T126" i="16"/>
  <c r="M157" i="16"/>
  <c r="K157" i="16"/>
  <c r="J157" i="16"/>
  <c r="I157" i="16"/>
  <c r="J45" i="16"/>
  <c r="I100" i="15"/>
  <c r="AQ25" i="1"/>
  <c r="AR25" i="1" s="1"/>
  <c r="BL25" i="1" s="1"/>
  <c r="CD25" i="1" s="1"/>
  <c r="AQ21" i="1"/>
  <c r="AR21" i="1" s="1"/>
  <c r="BL21" i="1" s="1"/>
  <c r="CD21" i="1" s="1"/>
  <c r="AP18" i="1"/>
  <c r="AQ18" i="1" s="1"/>
  <c r="AR18" i="1" s="1"/>
  <c r="BL18" i="1" s="1"/>
  <c r="CD18" i="1" s="1"/>
  <c r="AQ19" i="1"/>
  <c r="AR19" i="1" s="1"/>
  <c r="BL19" i="1" s="1"/>
  <c r="CD19" i="1" s="1"/>
  <c r="AP24" i="1"/>
  <c r="AQ24" i="1" s="1"/>
  <c r="AR24" i="1" s="1"/>
  <c r="BL24" i="1" s="1"/>
  <c r="CD24" i="1" s="1"/>
  <c r="AP23" i="1"/>
  <c r="AQ23" i="1" s="1"/>
  <c r="AR23" i="1" s="1"/>
  <c r="BL23" i="1" s="1"/>
  <c r="CD23" i="1" s="1"/>
  <c r="AP22" i="1"/>
  <c r="AQ22" i="1" s="1"/>
  <c r="AR22" i="1" s="1"/>
  <c r="BL22" i="1" s="1"/>
  <c r="CD22" i="1" s="1"/>
  <c r="AP20" i="1"/>
  <c r="AQ20" i="1" s="1"/>
  <c r="AR20" i="1" s="1"/>
  <c r="BL20" i="1" s="1"/>
  <c r="CD20" i="1" s="1"/>
  <c r="C397" i="16"/>
  <c r="C398" i="16"/>
  <c r="C399" i="16"/>
  <c r="C400" i="16"/>
  <c r="B384" i="16"/>
  <c r="B385" i="16"/>
  <c r="B386" i="16"/>
  <c r="B387" i="16"/>
  <c r="B388" i="16"/>
  <c r="B389" i="16"/>
  <c r="B390" i="16"/>
  <c r="B391" i="16"/>
  <c r="B392" i="16"/>
  <c r="B393" i="16"/>
  <c r="B394" i="16"/>
  <c r="B395" i="16"/>
  <c r="B396" i="16"/>
  <c r="B397" i="16"/>
  <c r="B398" i="16"/>
  <c r="B399" i="16"/>
  <c r="B400" i="16"/>
  <c r="B383" i="16"/>
  <c r="J378" i="16"/>
  <c r="K378" i="16"/>
  <c r="I378" i="16"/>
  <c r="M378" i="16"/>
  <c r="N378" i="16"/>
  <c r="L378" i="16"/>
  <c r="O360" i="16"/>
  <c r="P360" i="16"/>
  <c r="Q360" i="16"/>
  <c r="T360" i="16" s="1"/>
  <c r="O361" i="16"/>
  <c r="P361" i="16"/>
  <c r="Q361" i="16"/>
  <c r="O362" i="16"/>
  <c r="P362" i="16"/>
  <c r="Q362" i="16"/>
  <c r="T362" i="16" s="1"/>
  <c r="N385" i="16" s="1"/>
  <c r="O363" i="16"/>
  <c r="P363" i="16"/>
  <c r="Q363" i="16"/>
  <c r="T363" i="16" s="1"/>
  <c r="N386" i="16" s="1"/>
  <c r="O364" i="16"/>
  <c r="P364" i="16"/>
  <c r="Q364" i="16"/>
  <c r="T364" i="16" s="1"/>
  <c r="N387" i="16" s="1"/>
  <c r="O365" i="16"/>
  <c r="P365" i="16"/>
  <c r="Q365" i="16"/>
  <c r="T365" i="16" s="1"/>
  <c r="N388" i="16" s="1"/>
  <c r="O366" i="16"/>
  <c r="P366" i="16"/>
  <c r="Q366" i="16"/>
  <c r="T366" i="16" s="1"/>
  <c r="N389" i="16" s="1"/>
  <c r="O367" i="16"/>
  <c r="P367" i="16"/>
  <c r="Q367" i="16"/>
  <c r="T367" i="16" s="1"/>
  <c r="N390" i="16" s="1"/>
  <c r="O368" i="16"/>
  <c r="P368" i="16"/>
  <c r="Q368" i="16"/>
  <c r="T368" i="16" s="1"/>
  <c r="N391" i="16" s="1"/>
  <c r="O369" i="16"/>
  <c r="P369" i="16"/>
  <c r="Q369" i="16"/>
  <c r="T369" i="16" s="1"/>
  <c r="N392" i="16" s="1"/>
  <c r="O370" i="16"/>
  <c r="P370" i="16"/>
  <c r="Q370" i="16"/>
  <c r="T370" i="16" s="1"/>
  <c r="N393" i="16" s="1"/>
  <c r="O371" i="16"/>
  <c r="P371" i="16"/>
  <c r="Q371" i="16"/>
  <c r="T371" i="16" s="1"/>
  <c r="N394" i="16" s="1"/>
  <c r="O372" i="16"/>
  <c r="P372" i="16"/>
  <c r="Q372" i="16"/>
  <c r="T372" i="16" s="1"/>
  <c r="N395" i="16" s="1"/>
  <c r="O373" i="16"/>
  <c r="P373" i="16"/>
  <c r="Q373" i="16"/>
  <c r="T373" i="16" s="1"/>
  <c r="N396" i="16" s="1"/>
  <c r="O374" i="16"/>
  <c r="P374" i="16"/>
  <c r="Q374" i="16"/>
  <c r="T374" i="16" s="1"/>
  <c r="N397" i="16" s="1"/>
  <c r="O375" i="16"/>
  <c r="P375" i="16"/>
  <c r="Q375" i="16"/>
  <c r="T375" i="16" s="1"/>
  <c r="N398" i="16" s="1"/>
  <c r="O376" i="16"/>
  <c r="P376" i="16"/>
  <c r="Q376" i="16"/>
  <c r="T376" i="16" s="1"/>
  <c r="N399" i="16" s="1"/>
  <c r="O377" i="16"/>
  <c r="P377" i="16"/>
  <c r="Q377" i="16"/>
  <c r="T377" i="16" s="1"/>
  <c r="N400" i="16" s="1"/>
  <c r="K106" i="16"/>
  <c r="J106" i="16"/>
  <c r="C106" i="16"/>
  <c r="M105" i="16"/>
  <c r="N105" i="16"/>
  <c r="L105" i="16"/>
  <c r="K105" i="16"/>
  <c r="G104" i="16"/>
  <c r="G102" i="16"/>
  <c r="G103" i="16"/>
  <c r="J102" i="16"/>
  <c r="J105" i="16" s="1"/>
  <c r="I102" i="16"/>
  <c r="I105" i="16" s="1"/>
  <c r="O76" i="16"/>
  <c r="P76" i="16"/>
  <c r="Q76" i="16"/>
  <c r="T74" i="16"/>
  <c r="N90" i="16" s="1"/>
  <c r="D90" i="16" s="1"/>
  <c r="E90" i="16" s="1"/>
  <c r="F90" i="16" s="1"/>
  <c r="G90" i="16" s="1"/>
  <c r="H90" i="16" s="1"/>
  <c r="I90" i="16" s="1"/>
  <c r="J90" i="16" s="1"/>
  <c r="K90" i="16" s="1"/>
  <c r="L90" i="16" s="1"/>
  <c r="G74" i="16"/>
  <c r="M77" i="16"/>
  <c r="T72" i="16"/>
  <c r="T73" i="16"/>
  <c r="N89" i="16" s="1"/>
  <c r="D89" i="16" s="1"/>
  <c r="E89" i="16" s="1"/>
  <c r="F89" i="16" s="1"/>
  <c r="G89" i="16" s="1"/>
  <c r="H89" i="16" s="1"/>
  <c r="I89" i="16" s="1"/>
  <c r="J89" i="16" s="1"/>
  <c r="K89" i="16" s="1"/>
  <c r="L89" i="16" s="1"/>
  <c r="T70" i="16"/>
  <c r="N86" i="16" s="1"/>
  <c r="D86" i="16" s="1"/>
  <c r="E86" i="16" s="1"/>
  <c r="F86" i="16" s="1"/>
  <c r="G86" i="16" s="1"/>
  <c r="H86" i="16" s="1"/>
  <c r="I86" i="16" s="1"/>
  <c r="J86" i="16" s="1"/>
  <c r="K86" i="16" s="1"/>
  <c r="L86" i="16" s="1"/>
  <c r="G73" i="16"/>
  <c r="G70" i="16"/>
  <c r="G72" i="16"/>
  <c r="C59" i="17"/>
  <c r="B59" i="17"/>
  <c r="D58" i="17"/>
  <c r="C54" i="17"/>
  <c r="B54" i="17"/>
  <c r="D53" i="17"/>
  <c r="D57" i="17"/>
  <c r="D52" i="17"/>
  <c r="D56" i="17"/>
  <c r="D51" i="17"/>
  <c r="C44" i="17"/>
  <c r="B44" i="17"/>
  <c r="C33" i="17"/>
  <c r="B33" i="17"/>
  <c r="C22" i="17"/>
  <c r="B22" i="17"/>
  <c r="C11" i="17"/>
  <c r="B11" i="17"/>
  <c r="C43" i="17"/>
  <c r="C32" i="17"/>
  <c r="C39" i="17"/>
  <c r="B39" i="17"/>
  <c r="C28" i="17"/>
  <c r="B28" i="17"/>
  <c r="C17" i="17"/>
  <c r="B17" i="17"/>
  <c r="C38" i="17"/>
  <c r="B38" i="17"/>
  <c r="C27" i="17"/>
  <c r="B27" i="17"/>
  <c r="G221" i="16"/>
  <c r="G202" i="16"/>
  <c r="Q441" i="16"/>
  <c r="T441" i="16" s="1"/>
  <c r="N456" i="16" s="1"/>
  <c r="P441" i="16"/>
  <c r="O441" i="16"/>
  <c r="Q440" i="16"/>
  <c r="T440" i="16" s="1"/>
  <c r="N455" i="16" s="1"/>
  <c r="P440" i="16"/>
  <c r="O440" i="16"/>
  <c r="Q439" i="16"/>
  <c r="T439" i="16" s="1"/>
  <c r="N454" i="16" s="1"/>
  <c r="P439" i="16"/>
  <c r="O439" i="16"/>
  <c r="Q438" i="16"/>
  <c r="T438" i="16" s="1"/>
  <c r="N453" i="16" s="1"/>
  <c r="P438" i="16"/>
  <c r="O438" i="16"/>
  <c r="Q437" i="16"/>
  <c r="T437" i="16" s="1"/>
  <c r="N452" i="16" s="1"/>
  <c r="P437" i="16"/>
  <c r="O437" i="16"/>
  <c r="Q436" i="16"/>
  <c r="T436" i="16" s="1"/>
  <c r="N451" i="16" s="1"/>
  <c r="P436" i="16"/>
  <c r="O436" i="16"/>
  <c r="Q435" i="16"/>
  <c r="T435" i="16" s="1"/>
  <c r="N450" i="16" s="1"/>
  <c r="P435" i="16"/>
  <c r="O435" i="16"/>
  <c r="Q434" i="16"/>
  <c r="T434" i="16" s="1"/>
  <c r="N449" i="16" s="1"/>
  <c r="P434" i="16"/>
  <c r="O434" i="16"/>
  <c r="Q433" i="16"/>
  <c r="T433" i="16" s="1"/>
  <c r="N448" i="16" s="1"/>
  <c r="P433" i="16"/>
  <c r="O433" i="16"/>
  <c r="Q432" i="16"/>
  <c r="T432" i="16" s="1"/>
  <c r="P432" i="16"/>
  <c r="O432" i="16"/>
  <c r="O406" i="16"/>
  <c r="O315" i="16"/>
  <c r="L414" i="16"/>
  <c r="M414" i="16"/>
  <c r="N414" i="16"/>
  <c r="G216" i="16"/>
  <c r="G217" i="16"/>
  <c r="G218" i="16"/>
  <c r="G219" i="16"/>
  <c r="G220" i="16"/>
  <c r="G222" i="16"/>
  <c r="G223" i="16"/>
  <c r="G224" i="16"/>
  <c r="M13" i="16"/>
  <c r="N13" i="16"/>
  <c r="P13" i="16"/>
  <c r="Q13" i="16"/>
  <c r="O13" i="16"/>
  <c r="T12" i="16"/>
  <c r="N25" i="16" s="1"/>
  <c r="D25" i="16" s="1"/>
  <c r="C355" i="16"/>
  <c r="B355" i="16"/>
  <c r="J333" i="16"/>
  <c r="K333" i="16"/>
  <c r="I333" i="16"/>
  <c r="Q332" i="16"/>
  <c r="T332" i="16" s="1"/>
  <c r="N355" i="16" s="1"/>
  <c r="P332" i="16"/>
  <c r="O332" i="16"/>
  <c r="T11" i="16"/>
  <c r="N24" i="16" s="1"/>
  <c r="D24" i="16" s="1"/>
  <c r="E24" i="16" s="1"/>
  <c r="F24" i="16" s="1"/>
  <c r="G24" i="16" s="1"/>
  <c r="H24" i="16" s="1"/>
  <c r="I24" i="16" s="1"/>
  <c r="J24" i="16" s="1"/>
  <c r="K24" i="16" s="1"/>
  <c r="L24" i="16" s="1"/>
  <c r="Q330" i="16"/>
  <c r="T330" i="16" s="1"/>
  <c r="N353" i="16" s="1"/>
  <c r="C352" i="16"/>
  <c r="C353" i="16"/>
  <c r="C354" i="16"/>
  <c r="B352" i="16"/>
  <c r="B353" i="16"/>
  <c r="B354" i="16"/>
  <c r="Q329" i="16"/>
  <c r="T329" i="16" s="1"/>
  <c r="N352" i="16" s="1"/>
  <c r="Q331" i="16"/>
  <c r="T331" i="16" s="1"/>
  <c r="N354" i="16" s="1"/>
  <c r="P329" i="16"/>
  <c r="P330" i="16"/>
  <c r="P331" i="16"/>
  <c r="O329" i="16"/>
  <c r="O330" i="16"/>
  <c r="O331" i="16"/>
  <c r="G11" i="16"/>
  <c r="P297" i="16"/>
  <c r="Q297" i="16"/>
  <c r="O297" i="16"/>
  <c r="M297" i="16"/>
  <c r="N297" i="16"/>
  <c r="L297" i="16"/>
  <c r="K297" i="16"/>
  <c r="J297" i="16"/>
  <c r="I297" i="16"/>
  <c r="T292" i="16"/>
  <c r="N304" i="16" s="1"/>
  <c r="D304" i="16" s="1"/>
  <c r="E304" i="16" s="1"/>
  <c r="F304" i="16" s="1"/>
  <c r="G304" i="16" s="1"/>
  <c r="H304" i="16" s="1"/>
  <c r="I304" i="16" s="1"/>
  <c r="J304" i="16" s="1"/>
  <c r="K304" i="16" s="1"/>
  <c r="L304" i="16" s="1"/>
  <c r="T293" i="16"/>
  <c r="N305" i="16" s="1"/>
  <c r="T294" i="16"/>
  <c r="N306" i="16" s="1"/>
  <c r="D306" i="16" s="1"/>
  <c r="E306" i="16" s="1"/>
  <c r="F306" i="16" s="1"/>
  <c r="G306" i="16" s="1"/>
  <c r="H306" i="16" s="1"/>
  <c r="I306" i="16" s="1"/>
  <c r="J306" i="16" s="1"/>
  <c r="K306" i="16" s="1"/>
  <c r="L306" i="16" s="1"/>
  <c r="T295" i="16"/>
  <c r="N307" i="16" s="1"/>
  <c r="D307" i="16" s="1"/>
  <c r="E307" i="16" s="1"/>
  <c r="F307" i="16" s="1"/>
  <c r="G307" i="16" s="1"/>
  <c r="H307" i="16" s="1"/>
  <c r="I307" i="16" s="1"/>
  <c r="J307" i="16" s="1"/>
  <c r="K307" i="16" s="1"/>
  <c r="L307" i="16" s="1"/>
  <c r="T296" i="16"/>
  <c r="N308" i="16" s="1"/>
  <c r="D308" i="16" s="1"/>
  <c r="E308" i="16" s="1"/>
  <c r="F308" i="16" s="1"/>
  <c r="G308" i="16" s="1"/>
  <c r="H308" i="16" s="1"/>
  <c r="I308" i="16" s="1"/>
  <c r="J308" i="16" s="1"/>
  <c r="K308" i="16" s="1"/>
  <c r="L308" i="16" s="1"/>
  <c r="T290" i="16"/>
  <c r="G296" i="16"/>
  <c r="G295" i="16"/>
  <c r="G294" i="16"/>
  <c r="G293" i="16"/>
  <c r="G292" i="16"/>
  <c r="G291" i="16"/>
  <c r="G290" i="16"/>
  <c r="P157" i="16"/>
  <c r="Q157" i="16"/>
  <c r="L157" i="16"/>
  <c r="G156" i="16"/>
  <c r="D274" i="16"/>
  <c r="D286" i="16" s="1"/>
  <c r="D28" i="17" s="1"/>
  <c r="I271" i="16"/>
  <c r="P271" i="16"/>
  <c r="Q271" i="16"/>
  <c r="O271" i="16"/>
  <c r="M271" i="16"/>
  <c r="N271" i="16"/>
  <c r="L271" i="16"/>
  <c r="J271" i="16"/>
  <c r="K271" i="16"/>
  <c r="G270" i="16"/>
  <c r="N277" i="16"/>
  <c r="G269" i="16"/>
  <c r="G268" i="16"/>
  <c r="G267" i="16"/>
  <c r="G266" i="16"/>
  <c r="G265" i="16"/>
  <c r="G264" i="16"/>
  <c r="G263" i="16"/>
  <c r="G262" i="16"/>
  <c r="C230" i="16"/>
  <c r="B230" i="16"/>
  <c r="D229" i="16"/>
  <c r="O225" i="16"/>
  <c r="P225" i="16"/>
  <c r="Q225" i="16"/>
  <c r="M225" i="16"/>
  <c r="N225" i="16"/>
  <c r="L225" i="16"/>
  <c r="J225" i="16"/>
  <c r="K225" i="16"/>
  <c r="I225" i="16"/>
  <c r="G215" i="16"/>
  <c r="G214" i="16"/>
  <c r="G213" i="16"/>
  <c r="G212" i="16"/>
  <c r="G211" i="16"/>
  <c r="G210" i="16"/>
  <c r="G209" i="16"/>
  <c r="G208" i="16"/>
  <c r="G207" i="16"/>
  <c r="G206" i="16"/>
  <c r="G205" i="16"/>
  <c r="G204" i="16"/>
  <c r="G203" i="16"/>
  <c r="G201" i="16"/>
  <c r="G200" i="16"/>
  <c r="C162" i="16"/>
  <c r="B162" i="16"/>
  <c r="D161" i="16"/>
  <c r="G155" i="16"/>
  <c r="G154" i="16"/>
  <c r="G153" i="16"/>
  <c r="G152" i="16"/>
  <c r="G151" i="16"/>
  <c r="G150" i="16"/>
  <c r="G149" i="16"/>
  <c r="G148" i="16"/>
  <c r="G147" i="16"/>
  <c r="G146" i="16"/>
  <c r="G145" i="16"/>
  <c r="G144" i="16"/>
  <c r="G143" i="16"/>
  <c r="G142" i="16"/>
  <c r="G141" i="16"/>
  <c r="G140" i="16"/>
  <c r="G139" i="16"/>
  <c r="G138" i="16"/>
  <c r="G137" i="16"/>
  <c r="G136" i="16"/>
  <c r="G135" i="16"/>
  <c r="G134" i="16"/>
  <c r="G133" i="16"/>
  <c r="G132" i="16"/>
  <c r="G131" i="16"/>
  <c r="G130" i="16"/>
  <c r="G129" i="16"/>
  <c r="G128" i="16"/>
  <c r="G127" i="16"/>
  <c r="G126" i="16"/>
  <c r="O324" i="16"/>
  <c r="P324" i="16"/>
  <c r="Q324" i="16"/>
  <c r="T324" i="16" s="1"/>
  <c r="N347" i="16" s="1"/>
  <c r="B347" i="16"/>
  <c r="C347" i="16"/>
  <c r="Q325" i="16"/>
  <c r="T325" i="16" s="1"/>
  <c r="N348" i="16" s="1"/>
  <c r="Q326" i="16"/>
  <c r="T326" i="16" s="1"/>
  <c r="N349" i="16" s="1"/>
  <c r="P325" i="16"/>
  <c r="P326" i="16"/>
  <c r="O325" i="16"/>
  <c r="O326" i="16"/>
  <c r="B357" i="16"/>
  <c r="B7" i="17" s="1"/>
  <c r="B339" i="16"/>
  <c r="C339" i="16"/>
  <c r="B340" i="16"/>
  <c r="C340" i="16"/>
  <c r="B341" i="16"/>
  <c r="C341" i="16"/>
  <c r="B342" i="16"/>
  <c r="C342" i="16"/>
  <c r="B343" i="16"/>
  <c r="C343" i="16"/>
  <c r="B344" i="16"/>
  <c r="C344" i="16"/>
  <c r="B345" i="16"/>
  <c r="C345" i="16"/>
  <c r="B346" i="16"/>
  <c r="C346" i="16"/>
  <c r="B348" i="16"/>
  <c r="C348" i="16"/>
  <c r="B349" i="16"/>
  <c r="C349" i="16"/>
  <c r="C338" i="16"/>
  <c r="C12" i="17" s="1"/>
  <c r="B338" i="16"/>
  <c r="B12" i="17" s="1"/>
  <c r="Q323" i="16"/>
  <c r="T323" i="16" s="1"/>
  <c r="N346" i="16" s="1"/>
  <c r="P323" i="16"/>
  <c r="O323" i="16"/>
  <c r="Q322" i="16"/>
  <c r="T322" i="16" s="1"/>
  <c r="N345" i="16" s="1"/>
  <c r="P322" i="16"/>
  <c r="O322" i="16"/>
  <c r="Q321" i="16"/>
  <c r="T321" i="16" s="1"/>
  <c r="N344" i="16" s="1"/>
  <c r="P321" i="16"/>
  <c r="O321" i="16"/>
  <c r="Q320" i="16"/>
  <c r="T320" i="16" s="1"/>
  <c r="N343" i="16" s="1"/>
  <c r="P320" i="16"/>
  <c r="O320" i="16"/>
  <c r="Q319" i="16"/>
  <c r="T319" i="16" s="1"/>
  <c r="N342" i="16" s="1"/>
  <c r="P319" i="16"/>
  <c r="O319" i="16"/>
  <c r="Q318" i="16"/>
  <c r="T318" i="16" s="1"/>
  <c r="N341" i="16" s="1"/>
  <c r="P318" i="16"/>
  <c r="O318" i="16"/>
  <c r="Q317" i="16"/>
  <c r="T317" i="16" s="1"/>
  <c r="N340" i="16" s="1"/>
  <c r="P317" i="16"/>
  <c r="O317" i="16"/>
  <c r="Q316" i="16"/>
  <c r="T316" i="16" s="1"/>
  <c r="P316" i="16"/>
  <c r="O316" i="16"/>
  <c r="Q315" i="16"/>
  <c r="P315" i="16"/>
  <c r="C428" i="16"/>
  <c r="C29" i="17" s="1"/>
  <c r="B428" i="16"/>
  <c r="B29" i="17" s="1"/>
  <c r="B420" i="16"/>
  <c r="C420" i="16"/>
  <c r="B421" i="16"/>
  <c r="C421" i="16"/>
  <c r="B422" i="16"/>
  <c r="C422" i="16"/>
  <c r="B423" i="16"/>
  <c r="C423" i="16"/>
  <c r="B424" i="16"/>
  <c r="C424" i="16"/>
  <c r="B425" i="16"/>
  <c r="C425" i="16"/>
  <c r="B426" i="16"/>
  <c r="C426" i="16"/>
  <c r="B419" i="16"/>
  <c r="B34" i="17" s="1"/>
  <c r="Q407" i="16"/>
  <c r="T407" i="16" s="1"/>
  <c r="N420" i="16" s="1"/>
  <c r="Q408" i="16"/>
  <c r="T408" i="16" s="1"/>
  <c r="N421" i="16" s="1"/>
  <c r="Q409" i="16"/>
  <c r="T409" i="16" s="1"/>
  <c r="Q410" i="16"/>
  <c r="T410" i="16" s="1"/>
  <c r="Q411" i="16"/>
  <c r="T411" i="16" s="1"/>
  <c r="N424" i="16" s="1"/>
  <c r="Q412" i="16"/>
  <c r="T412" i="16" s="1"/>
  <c r="N425" i="16" s="1"/>
  <c r="Q413" i="16"/>
  <c r="T413" i="16" s="1"/>
  <c r="N426" i="16" s="1"/>
  <c r="P406" i="16"/>
  <c r="P407" i="16"/>
  <c r="P408" i="16"/>
  <c r="P409" i="16"/>
  <c r="P410" i="16"/>
  <c r="P411" i="16"/>
  <c r="P412" i="16"/>
  <c r="P413" i="16"/>
  <c r="O407" i="16"/>
  <c r="O408" i="16"/>
  <c r="O409" i="16"/>
  <c r="O410" i="16"/>
  <c r="O411" i="16"/>
  <c r="O412" i="16"/>
  <c r="O413" i="16"/>
  <c r="B458" i="16"/>
  <c r="B40" i="17" s="1"/>
  <c r="C448" i="16"/>
  <c r="C449" i="16"/>
  <c r="C450" i="16"/>
  <c r="C451" i="16"/>
  <c r="C452" i="16"/>
  <c r="C453" i="16"/>
  <c r="C454" i="16"/>
  <c r="C455" i="16"/>
  <c r="C456" i="16"/>
  <c r="B448" i="16"/>
  <c r="B449" i="16"/>
  <c r="B450" i="16"/>
  <c r="B451" i="16"/>
  <c r="B452" i="16"/>
  <c r="B453" i="16"/>
  <c r="B454" i="16"/>
  <c r="B455" i="16"/>
  <c r="B456" i="16"/>
  <c r="B447" i="16"/>
  <c r="B45" i="17" s="1"/>
  <c r="D445" i="16"/>
  <c r="J442" i="16"/>
  <c r="K442" i="16"/>
  <c r="L442" i="16"/>
  <c r="M442" i="16"/>
  <c r="N442" i="16"/>
  <c r="I442" i="16"/>
  <c r="J414" i="16"/>
  <c r="K414" i="16"/>
  <c r="I414" i="16"/>
  <c r="B402" i="16"/>
  <c r="B18" i="17" s="1"/>
  <c r="T97" i="16"/>
  <c r="N111" i="16" s="1"/>
  <c r="T99" i="16"/>
  <c r="N113" i="16" s="1"/>
  <c r="D113" i="16" s="1"/>
  <c r="E113" i="16" s="1"/>
  <c r="F113" i="16" s="1"/>
  <c r="G113" i="16" s="1"/>
  <c r="H113" i="16" s="1"/>
  <c r="I113" i="16" s="1"/>
  <c r="J113" i="16" s="1"/>
  <c r="K113" i="16" s="1"/>
  <c r="L113" i="16" s="1"/>
  <c r="T67" i="16"/>
  <c r="D47" i="16"/>
  <c r="E47" i="16" s="1"/>
  <c r="T68" i="16"/>
  <c r="T69" i="16"/>
  <c r="N85" i="16" s="1"/>
  <c r="D85" i="16" s="1"/>
  <c r="E85" i="16" s="1"/>
  <c r="F85" i="16" s="1"/>
  <c r="G85" i="16" s="1"/>
  <c r="H85" i="16" s="1"/>
  <c r="I85" i="16" s="1"/>
  <c r="J85" i="16" s="1"/>
  <c r="K85" i="16" s="1"/>
  <c r="L85" i="16" s="1"/>
  <c r="T71" i="16"/>
  <c r="N87" i="16" s="1"/>
  <c r="D87" i="16" s="1"/>
  <c r="E87" i="16" s="1"/>
  <c r="F87" i="16" s="1"/>
  <c r="G87" i="16" s="1"/>
  <c r="H87" i="16" s="1"/>
  <c r="I87" i="16" s="1"/>
  <c r="J87" i="16" s="1"/>
  <c r="K87" i="16" s="1"/>
  <c r="L87" i="16" s="1"/>
  <c r="T8" i="16"/>
  <c r="N21" i="16" s="1"/>
  <c r="T7" i="16"/>
  <c r="N20" i="16" s="1"/>
  <c r="T6" i="16"/>
  <c r="N19" i="16" s="1"/>
  <c r="D19" i="16" s="1"/>
  <c r="L44" i="16"/>
  <c r="D300" i="16"/>
  <c r="D310" i="16" s="1"/>
  <c r="D39" i="17" s="1"/>
  <c r="T291" i="16"/>
  <c r="D228" i="16"/>
  <c r="E228" i="16" s="1"/>
  <c r="C196" i="16"/>
  <c r="C6" i="17" s="1"/>
  <c r="B196" i="16"/>
  <c r="B6" i="17" s="1"/>
  <c r="C458" i="16"/>
  <c r="C40" i="17" s="1"/>
  <c r="C447" i="16"/>
  <c r="C45" i="17" s="1"/>
  <c r="C357" i="16"/>
  <c r="C7" i="17" s="1"/>
  <c r="C402" i="16"/>
  <c r="C18" i="17" s="1"/>
  <c r="C419" i="16"/>
  <c r="C34" i="17" s="1"/>
  <c r="D417" i="16"/>
  <c r="C384" i="16"/>
  <c r="C385" i="16"/>
  <c r="C386" i="16"/>
  <c r="C387" i="16"/>
  <c r="C388" i="16"/>
  <c r="C389" i="16"/>
  <c r="C390" i="16"/>
  <c r="C391" i="16"/>
  <c r="C392" i="16"/>
  <c r="C393" i="16"/>
  <c r="C394" i="16"/>
  <c r="C395" i="16"/>
  <c r="C396" i="16"/>
  <c r="C383" i="16"/>
  <c r="C23" i="17" s="1"/>
  <c r="B23" i="17"/>
  <c r="D381" i="16"/>
  <c r="B10" i="17"/>
  <c r="D336" i="16"/>
  <c r="D160" i="16"/>
  <c r="T9" i="16"/>
  <c r="N22" i="16" s="1"/>
  <c r="C16" i="17"/>
  <c r="B61" i="16"/>
  <c r="C61" i="16"/>
  <c r="M44" i="16"/>
  <c r="N44" i="16"/>
  <c r="J44" i="16"/>
  <c r="K44" i="16"/>
  <c r="I44" i="16"/>
  <c r="B50" i="16"/>
  <c r="C50" i="16"/>
  <c r="B51" i="16"/>
  <c r="C51" i="16"/>
  <c r="B52" i="16"/>
  <c r="C52" i="16"/>
  <c r="B53" i="16"/>
  <c r="C53" i="16"/>
  <c r="B54" i="16"/>
  <c r="C54" i="16"/>
  <c r="B55" i="16"/>
  <c r="C55" i="16"/>
  <c r="B56" i="16"/>
  <c r="C56" i="16"/>
  <c r="B57" i="16"/>
  <c r="C57" i="16"/>
  <c r="B58" i="16"/>
  <c r="C58" i="16"/>
  <c r="B59" i="16"/>
  <c r="C59" i="16"/>
  <c r="B60" i="16"/>
  <c r="C60" i="16"/>
  <c r="C49" i="16"/>
  <c r="C21" i="17" s="1"/>
  <c r="B49" i="16"/>
  <c r="T38" i="16"/>
  <c r="N56" i="16" s="1"/>
  <c r="T39" i="16"/>
  <c r="N57" i="16" s="1"/>
  <c r="T40" i="16"/>
  <c r="N58" i="16" s="1"/>
  <c r="T42" i="16"/>
  <c r="N60" i="16" s="1"/>
  <c r="T37" i="16"/>
  <c r="T36" i="16"/>
  <c r="N54" i="16" s="1"/>
  <c r="T35" i="16"/>
  <c r="N53" i="16" s="1"/>
  <c r="C5" i="17"/>
  <c r="B5" i="17"/>
  <c r="C10" i="17"/>
  <c r="T10" i="16"/>
  <c r="N23" i="16" s="1"/>
  <c r="L102" i="15"/>
  <c r="K102" i="15"/>
  <c r="G102" i="15"/>
  <c r="F102" i="15"/>
  <c r="E102" i="15"/>
  <c r="D102" i="15"/>
  <c r="C102" i="15"/>
  <c r="J100" i="15"/>
  <c r="H100" i="15"/>
  <c r="H70" i="15" s="1"/>
  <c r="G100" i="15"/>
  <c r="F100" i="15"/>
  <c r="E100" i="15"/>
  <c r="D100" i="15"/>
  <c r="C100" i="15"/>
  <c r="R99" i="15"/>
  <c r="S99" i="15" s="1"/>
  <c r="T99" i="15" s="1"/>
  <c r="U99" i="15" s="1"/>
  <c r="G99" i="15"/>
  <c r="F99" i="15"/>
  <c r="E99" i="15"/>
  <c r="D99" i="15"/>
  <c r="C99" i="15"/>
  <c r="J98" i="15"/>
  <c r="I98" i="15"/>
  <c r="H98" i="15"/>
  <c r="G98" i="15"/>
  <c r="F98" i="15"/>
  <c r="E98" i="15"/>
  <c r="D98" i="15"/>
  <c r="C98" i="15"/>
  <c r="G97" i="15"/>
  <c r="F97" i="15"/>
  <c r="E97" i="15"/>
  <c r="D97" i="15"/>
  <c r="C97" i="15"/>
  <c r="J94" i="15"/>
  <c r="I94" i="15"/>
  <c r="H94" i="15"/>
  <c r="G94" i="15"/>
  <c r="F94" i="15"/>
  <c r="E94" i="15"/>
  <c r="D94" i="15"/>
  <c r="C94" i="15"/>
  <c r="J93" i="15"/>
  <c r="I93" i="15"/>
  <c r="H93" i="15"/>
  <c r="H54" i="15" s="1"/>
  <c r="G93" i="15"/>
  <c r="F93" i="15"/>
  <c r="E93" i="15"/>
  <c r="D93" i="15"/>
  <c r="C93" i="15"/>
  <c r="G92" i="15"/>
  <c r="F92" i="15"/>
  <c r="E92" i="15"/>
  <c r="D92" i="15"/>
  <c r="C92" i="15"/>
  <c r="G91" i="15"/>
  <c r="F91" i="15"/>
  <c r="E91" i="15"/>
  <c r="D91" i="15"/>
  <c r="C91" i="15"/>
  <c r="L88" i="15"/>
  <c r="K88" i="15"/>
  <c r="J88" i="15"/>
  <c r="I88" i="15"/>
  <c r="H88" i="15"/>
  <c r="G88" i="15"/>
  <c r="F88" i="15"/>
  <c r="E88" i="15"/>
  <c r="D88" i="15"/>
  <c r="C88" i="15"/>
  <c r="G87" i="15"/>
  <c r="H87" i="15" s="1"/>
  <c r="I87" i="15" s="1"/>
  <c r="J87" i="15" s="1"/>
  <c r="K87" i="15" s="1"/>
  <c r="L87" i="15" s="1"/>
  <c r="F87" i="15"/>
  <c r="E87" i="15"/>
  <c r="D87" i="15"/>
  <c r="C87" i="15"/>
  <c r="L86" i="15"/>
  <c r="K86" i="15"/>
  <c r="J86" i="15"/>
  <c r="I86" i="15"/>
  <c r="H86" i="15"/>
  <c r="G86" i="15"/>
  <c r="F86" i="15"/>
  <c r="E86" i="15"/>
  <c r="D86" i="15"/>
  <c r="C86" i="15"/>
  <c r="G84" i="15"/>
  <c r="F84" i="15"/>
  <c r="E84" i="15"/>
  <c r="D84" i="15"/>
  <c r="C84" i="15"/>
  <c r="G83" i="15"/>
  <c r="F83" i="15"/>
  <c r="E83" i="15"/>
  <c r="D83" i="15"/>
  <c r="C83" i="15"/>
  <c r="G81" i="15"/>
  <c r="F81" i="15"/>
  <c r="E81" i="15"/>
  <c r="D81" i="15"/>
  <c r="C81" i="15"/>
  <c r="G80" i="15"/>
  <c r="F80" i="15"/>
  <c r="E80" i="15"/>
  <c r="D80" i="15"/>
  <c r="C80" i="15"/>
  <c r="G78" i="15"/>
  <c r="F78" i="15"/>
  <c r="E78" i="15"/>
  <c r="D78" i="15"/>
  <c r="C78" i="15"/>
  <c r="J77" i="15"/>
  <c r="I77" i="15"/>
  <c r="H77" i="15"/>
  <c r="G76" i="15"/>
  <c r="F76" i="15"/>
  <c r="E76" i="15"/>
  <c r="D76" i="15"/>
  <c r="C76" i="15"/>
  <c r="G66" i="15"/>
  <c r="F66" i="15"/>
  <c r="F71" i="15" s="1"/>
  <c r="E66" i="15"/>
  <c r="E71" i="15" s="1"/>
  <c r="D66" i="15"/>
  <c r="D71" i="15" s="1"/>
  <c r="C66" i="15"/>
  <c r="C71" i="15" s="1"/>
  <c r="R62" i="15"/>
  <c r="H62" i="15" s="1"/>
  <c r="S62" i="15" s="1"/>
  <c r="G62" i="15"/>
  <c r="F62" i="15"/>
  <c r="E62" i="15"/>
  <c r="D62" i="15"/>
  <c r="C62" i="15"/>
  <c r="G59" i="15"/>
  <c r="F59" i="15"/>
  <c r="E59" i="15"/>
  <c r="D59" i="15"/>
  <c r="C59" i="15"/>
  <c r="G58" i="15"/>
  <c r="F58" i="15"/>
  <c r="E58" i="15"/>
  <c r="D58" i="15"/>
  <c r="C58" i="15"/>
  <c r="G57" i="15"/>
  <c r="F57" i="15"/>
  <c r="E57" i="15"/>
  <c r="D57" i="15"/>
  <c r="C57" i="15"/>
  <c r="F54" i="15"/>
  <c r="E54" i="15"/>
  <c r="D54" i="15"/>
  <c r="C54" i="15"/>
  <c r="G53" i="15"/>
  <c r="F53" i="15"/>
  <c r="E53" i="15"/>
  <c r="D53" i="15"/>
  <c r="G52" i="15"/>
  <c r="F52" i="15"/>
  <c r="E52" i="15"/>
  <c r="D52" i="15"/>
  <c r="C52" i="15"/>
  <c r="G51" i="15"/>
  <c r="H51" i="15" s="1"/>
  <c r="I51" i="15" s="1"/>
  <c r="J51" i="15" s="1"/>
  <c r="K51" i="15" s="1"/>
  <c r="L51" i="15" s="1"/>
  <c r="F51" i="15"/>
  <c r="E51" i="15"/>
  <c r="D51" i="15"/>
  <c r="G50" i="15"/>
  <c r="F50" i="15"/>
  <c r="G48" i="15"/>
  <c r="F48" i="15"/>
  <c r="E48" i="15"/>
  <c r="D48" i="15"/>
  <c r="C48" i="15"/>
  <c r="G45" i="15"/>
  <c r="F45" i="15"/>
  <c r="F82" i="15" s="1"/>
  <c r="E45" i="15"/>
  <c r="E82" i="15" s="1"/>
  <c r="D45" i="15"/>
  <c r="D82" i="15" s="1"/>
  <c r="C45" i="15"/>
  <c r="C82" i="15" s="1"/>
  <c r="G44" i="15"/>
  <c r="F44" i="15"/>
  <c r="E44" i="15"/>
  <c r="D44" i="15"/>
  <c r="C44" i="15"/>
  <c r="G43" i="15"/>
  <c r="F43" i="15"/>
  <c r="E43" i="15"/>
  <c r="D43" i="15"/>
  <c r="C43" i="15"/>
  <c r="G42" i="15"/>
  <c r="F42" i="15"/>
  <c r="E42" i="15"/>
  <c r="D42" i="15"/>
  <c r="C42" i="15"/>
  <c r="B42" i="15"/>
  <c r="C105" i="15" s="1"/>
  <c r="N37" i="15"/>
  <c r="H37" i="15"/>
  <c r="G37" i="15"/>
  <c r="F37" i="15"/>
  <c r="E37" i="15"/>
  <c r="D37" i="15"/>
  <c r="H35" i="15"/>
  <c r="G35" i="15"/>
  <c r="F35" i="15"/>
  <c r="E35" i="15"/>
  <c r="D35" i="15"/>
  <c r="C35" i="15"/>
  <c r="N32" i="15"/>
  <c r="J32" i="15"/>
  <c r="I32" i="15"/>
  <c r="H32" i="15"/>
  <c r="G32" i="15"/>
  <c r="F32" i="15"/>
  <c r="E32" i="15"/>
  <c r="D32" i="15"/>
  <c r="N30" i="15"/>
  <c r="H30" i="15"/>
  <c r="G30" i="15"/>
  <c r="F30" i="15"/>
  <c r="E30" i="15"/>
  <c r="D30" i="15"/>
  <c r="C30" i="15"/>
  <c r="N27" i="15"/>
  <c r="J27" i="15"/>
  <c r="I27" i="15"/>
  <c r="H27" i="15"/>
  <c r="N26" i="15"/>
  <c r="H26" i="15"/>
  <c r="G26" i="15"/>
  <c r="F26" i="15"/>
  <c r="E26" i="15"/>
  <c r="D26" i="15"/>
  <c r="C26" i="15"/>
  <c r="N25" i="15"/>
  <c r="N24" i="15"/>
  <c r="H24" i="15"/>
  <c r="G24" i="15"/>
  <c r="F24" i="15"/>
  <c r="E24" i="15"/>
  <c r="D24" i="15"/>
  <c r="C24" i="15"/>
  <c r="N19" i="15"/>
  <c r="N18" i="15"/>
  <c r="N17" i="15"/>
  <c r="G17" i="15"/>
  <c r="F17" i="15"/>
  <c r="E17" i="15"/>
  <c r="D17" i="15"/>
  <c r="C17" i="15"/>
  <c r="N16" i="15"/>
  <c r="G16" i="15"/>
  <c r="F16" i="15"/>
  <c r="E16" i="15"/>
  <c r="N15" i="15"/>
  <c r="N12" i="15"/>
  <c r="T11" i="15"/>
  <c r="S11" i="15"/>
  <c r="R11" i="15"/>
  <c r="Q11" i="15"/>
  <c r="P11" i="15"/>
  <c r="O11" i="15"/>
  <c r="N11" i="15"/>
  <c r="K11" i="15"/>
  <c r="L11" i="15" s="1"/>
  <c r="N10" i="15"/>
  <c r="H10" i="15"/>
  <c r="G10" i="15"/>
  <c r="F10" i="15"/>
  <c r="E10" i="15"/>
  <c r="D10" i="15"/>
  <c r="C10" i="15"/>
  <c r="N9" i="15"/>
  <c r="H9" i="15"/>
  <c r="G9" i="15"/>
  <c r="F9" i="15"/>
  <c r="E9" i="15"/>
  <c r="D9" i="15"/>
  <c r="C9" i="15"/>
  <c r="N8" i="15"/>
  <c r="H8" i="15"/>
  <c r="V4" i="15"/>
  <c r="U4" i="15"/>
  <c r="T4" i="15"/>
  <c r="S4" i="15"/>
  <c r="R4" i="15"/>
  <c r="Q4" i="15"/>
  <c r="P4" i="15"/>
  <c r="O4" i="15"/>
  <c r="V3" i="15"/>
  <c r="U3" i="15"/>
  <c r="T3" i="15"/>
  <c r="S3" i="15"/>
  <c r="R3" i="15"/>
  <c r="Q3" i="15"/>
  <c r="P3" i="15"/>
  <c r="O3" i="15"/>
  <c r="C4" i="14"/>
  <c r="D4" i="14"/>
  <c r="E4" i="14"/>
  <c r="F4" i="14"/>
  <c r="G4" i="14"/>
  <c r="C5" i="14"/>
  <c r="C96" i="14" s="1"/>
  <c r="D5" i="14"/>
  <c r="E5" i="14"/>
  <c r="F5" i="14"/>
  <c r="G5" i="14"/>
  <c r="B5" i="14"/>
  <c r="B96" i="14" s="1"/>
  <c r="B4" i="14"/>
  <c r="A74" i="14"/>
  <c r="G8" i="6"/>
  <c r="C39" i="26" s="1"/>
  <c r="C57" i="14"/>
  <c r="D57" i="14"/>
  <c r="E57" i="14"/>
  <c r="C58" i="14"/>
  <c r="D58" i="14"/>
  <c r="E58" i="14"/>
  <c r="C59" i="14"/>
  <c r="D59" i="14"/>
  <c r="E59" i="14"/>
  <c r="C60" i="14"/>
  <c r="D60" i="14"/>
  <c r="E60" i="14"/>
  <c r="B58" i="14"/>
  <c r="B59" i="14"/>
  <c r="B60" i="14"/>
  <c r="B57" i="14"/>
  <c r="G53" i="14"/>
  <c r="AO6" i="1"/>
  <c r="D209" i="6"/>
  <c r="G15" i="6"/>
  <c r="D75" i="2"/>
  <c r="F71" i="2"/>
  <c r="F75" i="2" s="1"/>
  <c r="G71" i="2"/>
  <c r="G75" i="2" s="1"/>
  <c r="H71" i="2"/>
  <c r="H75" i="2" s="1"/>
  <c r="I71" i="2"/>
  <c r="I75" i="2" s="1"/>
  <c r="E71" i="2"/>
  <c r="G74" i="2"/>
  <c r="H74" i="2"/>
  <c r="I74" i="2"/>
  <c r="F74" i="2"/>
  <c r="N70" i="2"/>
  <c r="S46" i="2"/>
  <c r="AE76" i="2" s="1"/>
  <c r="S69" i="2"/>
  <c r="I66" i="2" s="1"/>
  <c r="D204" i="6"/>
  <c r="G204" i="6"/>
  <c r="F204" i="6"/>
  <c r="E204" i="6"/>
  <c r="I65" i="2"/>
  <c r="I64" i="2"/>
  <c r="O70" i="2"/>
  <c r="P70" i="2"/>
  <c r="Q70" i="2"/>
  <c r="R70" i="2"/>
  <c r="BC80" i="1"/>
  <c r="BC77" i="1" s="1"/>
  <c r="BD80" i="1"/>
  <c r="BD77" i="1" s="1"/>
  <c r="BE80" i="1"/>
  <c r="BE77" i="1" s="1"/>
  <c r="BF80" i="1"/>
  <c r="BF77" i="1" s="1"/>
  <c r="BN77" i="1" s="1"/>
  <c r="BG80" i="1"/>
  <c r="BG77" i="1" s="1"/>
  <c r="BH80" i="1"/>
  <c r="BH77" i="1" s="1"/>
  <c r="Y8" i="1"/>
  <c r="U66" i="1"/>
  <c r="AE66" i="1" s="1"/>
  <c r="P66" i="1"/>
  <c r="Z66" i="1" s="1"/>
  <c r="Q66" i="1"/>
  <c r="AA66" i="1" s="1"/>
  <c r="R66" i="1"/>
  <c r="AB66" i="1" s="1"/>
  <c r="S66" i="1"/>
  <c r="AC66" i="1" s="1"/>
  <c r="T66" i="1"/>
  <c r="AD66" i="1" s="1"/>
  <c r="O66" i="1"/>
  <c r="Y66" i="1" s="1"/>
  <c r="U61" i="1"/>
  <c r="AE61" i="1" s="1"/>
  <c r="P61" i="1"/>
  <c r="Z61" i="1" s="1"/>
  <c r="Q61" i="1"/>
  <c r="AA61" i="1" s="1"/>
  <c r="R61" i="1"/>
  <c r="AB61" i="1" s="1"/>
  <c r="S61" i="1"/>
  <c r="AC61" i="1" s="1"/>
  <c r="T61" i="1"/>
  <c r="AD61" i="1" s="1"/>
  <c r="V61" i="1"/>
  <c r="AF61" i="1" s="1"/>
  <c r="O61" i="1"/>
  <c r="Y61" i="1" s="1"/>
  <c r="U69" i="1"/>
  <c r="AE69" i="1" s="1"/>
  <c r="P69" i="1"/>
  <c r="Z69" i="1" s="1"/>
  <c r="Q69" i="1"/>
  <c r="AA69" i="1" s="1"/>
  <c r="R69" i="1"/>
  <c r="AB69" i="1" s="1"/>
  <c r="S69" i="1"/>
  <c r="AC69" i="1" s="1"/>
  <c r="T69" i="1"/>
  <c r="AD69" i="1" s="1"/>
  <c r="O69" i="1"/>
  <c r="Y69" i="1" s="1"/>
  <c r="P68" i="1"/>
  <c r="Z68" i="1" s="1"/>
  <c r="Q68" i="1"/>
  <c r="AA68" i="1" s="1"/>
  <c r="R68" i="1"/>
  <c r="AB68" i="1" s="1"/>
  <c r="S68" i="1"/>
  <c r="AC68" i="1" s="1"/>
  <c r="T68" i="1"/>
  <c r="AD68" i="1" s="1"/>
  <c r="U68" i="1"/>
  <c r="AE68" i="1" s="1"/>
  <c r="V68" i="1"/>
  <c r="AF68" i="1" s="1"/>
  <c r="O68" i="1"/>
  <c r="Y68" i="1" s="1"/>
  <c r="U67" i="1"/>
  <c r="AE67" i="1" s="1"/>
  <c r="P67" i="1"/>
  <c r="Z67" i="1" s="1"/>
  <c r="Q67" i="1"/>
  <c r="AA67" i="1" s="1"/>
  <c r="R67" i="1"/>
  <c r="AB67" i="1" s="1"/>
  <c r="S67" i="1"/>
  <c r="AC67" i="1" s="1"/>
  <c r="T67" i="1"/>
  <c r="AD67" i="1" s="1"/>
  <c r="O67" i="1"/>
  <c r="Y67" i="1" s="1"/>
  <c r="L67" i="1"/>
  <c r="M67" i="1" s="1"/>
  <c r="N67" i="1" s="1"/>
  <c r="V65" i="1"/>
  <c r="AF65" i="1" s="1"/>
  <c r="P65" i="1"/>
  <c r="Z65" i="1" s="1"/>
  <c r="Q65" i="1"/>
  <c r="AA65" i="1" s="1"/>
  <c r="R65" i="1"/>
  <c r="AB65" i="1" s="1"/>
  <c r="S65" i="1"/>
  <c r="AC65" i="1" s="1"/>
  <c r="T65" i="1"/>
  <c r="AD65" i="1" s="1"/>
  <c r="U65" i="1"/>
  <c r="AE65" i="1" s="1"/>
  <c r="O65" i="1"/>
  <c r="Y65" i="1" s="1"/>
  <c r="U64" i="1"/>
  <c r="AE64" i="1" s="1"/>
  <c r="P64" i="1"/>
  <c r="Z64" i="1" s="1"/>
  <c r="Q64" i="1"/>
  <c r="AA64" i="1" s="1"/>
  <c r="R64" i="1"/>
  <c r="AB64" i="1" s="1"/>
  <c r="S64" i="1"/>
  <c r="AC64" i="1" s="1"/>
  <c r="T64" i="1"/>
  <c r="AD64" i="1" s="1"/>
  <c r="O64" i="1"/>
  <c r="Y64" i="1" s="1"/>
  <c r="V63" i="1"/>
  <c r="AF63" i="1" s="1"/>
  <c r="U63" i="1"/>
  <c r="AE63" i="1" s="1"/>
  <c r="P63" i="1"/>
  <c r="Z63" i="1" s="1"/>
  <c r="Q63" i="1"/>
  <c r="AA63" i="1" s="1"/>
  <c r="R63" i="1"/>
  <c r="AB63" i="1" s="1"/>
  <c r="S63" i="1"/>
  <c r="AC63" i="1" s="1"/>
  <c r="T63" i="1"/>
  <c r="AD63" i="1" s="1"/>
  <c r="O63" i="1"/>
  <c r="Y63" i="1" s="1"/>
  <c r="U62" i="1"/>
  <c r="AE62" i="1" s="1"/>
  <c r="P62" i="1"/>
  <c r="Z62" i="1" s="1"/>
  <c r="Q62" i="1"/>
  <c r="AA62" i="1" s="1"/>
  <c r="R62" i="1"/>
  <c r="AB62" i="1" s="1"/>
  <c r="S62" i="1"/>
  <c r="AC62" i="1" s="1"/>
  <c r="T62" i="1"/>
  <c r="AD62" i="1" s="1"/>
  <c r="O62" i="1"/>
  <c r="Y62" i="1" s="1"/>
  <c r="L62" i="1"/>
  <c r="M63" i="1"/>
  <c r="N63" i="1" s="1"/>
  <c r="V60" i="1"/>
  <c r="AF60" i="1" s="1"/>
  <c r="P60" i="1"/>
  <c r="Z60" i="1" s="1"/>
  <c r="Q60" i="1"/>
  <c r="AA60" i="1" s="1"/>
  <c r="R60" i="1"/>
  <c r="AB60" i="1" s="1"/>
  <c r="S60" i="1"/>
  <c r="AC60" i="1" s="1"/>
  <c r="T60" i="1"/>
  <c r="AD60" i="1" s="1"/>
  <c r="U60" i="1"/>
  <c r="AE60" i="1" s="1"/>
  <c r="O60" i="1"/>
  <c r="Y60" i="1" s="1"/>
  <c r="U59" i="1"/>
  <c r="AE59" i="1" s="1"/>
  <c r="P59" i="1"/>
  <c r="Z59" i="1" s="1"/>
  <c r="Q59" i="1"/>
  <c r="AA59" i="1" s="1"/>
  <c r="R59" i="1"/>
  <c r="AB59" i="1" s="1"/>
  <c r="S59" i="1"/>
  <c r="AC59" i="1" s="1"/>
  <c r="T59" i="1"/>
  <c r="AD59" i="1" s="1"/>
  <c r="O59" i="1"/>
  <c r="Y59" i="1" s="1"/>
  <c r="V58" i="1"/>
  <c r="AF58" i="1" s="1"/>
  <c r="O58" i="1"/>
  <c r="Y58" i="1" s="1"/>
  <c r="P58" i="1"/>
  <c r="Z58" i="1" s="1"/>
  <c r="Q58" i="1"/>
  <c r="AA58" i="1" s="1"/>
  <c r="R58" i="1"/>
  <c r="AB58" i="1" s="1"/>
  <c r="S58" i="1"/>
  <c r="AC58" i="1" s="1"/>
  <c r="T58" i="1"/>
  <c r="AD58" i="1" s="1"/>
  <c r="U58" i="1"/>
  <c r="AE58" i="1" s="1"/>
  <c r="U57" i="1"/>
  <c r="AE57" i="1" s="1"/>
  <c r="P57" i="1"/>
  <c r="Z57" i="1" s="1"/>
  <c r="Q57" i="1"/>
  <c r="AA57" i="1" s="1"/>
  <c r="R57" i="1"/>
  <c r="AB57" i="1" s="1"/>
  <c r="S57" i="1"/>
  <c r="AC57" i="1" s="1"/>
  <c r="T57" i="1"/>
  <c r="AD57" i="1" s="1"/>
  <c r="O57" i="1"/>
  <c r="Y57" i="1" s="1"/>
  <c r="U56" i="1"/>
  <c r="AE56" i="1" s="1"/>
  <c r="P56" i="1"/>
  <c r="Z56" i="1" s="1"/>
  <c r="Q56" i="1"/>
  <c r="AA56" i="1" s="1"/>
  <c r="R56" i="1"/>
  <c r="AB56" i="1" s="1"/>
  <c r="S56" i="1"/>
  <c r="AC56" i="1" s="1"/>
  <c r="T56" i="1"/>
  <c r="AD56" i="1" s="1"/>
  <c r="O56" i="1"/>
  <c r="Y56" i="1" s="1"/>
  <c r="U55" i="1"/>
  <c r="AE55" i="1" s="1"/>
  <c r="P55" i="1"/>
  <c r="Z55" i="1" s="1"/>
  <c r="Q55" i="1"/>
  <c r="AA55" i="1" s="1"/>
  <c r="R55" i="1"/>
  <c r="AB55" i="1" s="1"/>
  <c r="S55" i="1"/>
  <c r="AC55" i="1" s="1"/>
  <c r="T55" i="1"/>
  <c r="AD55" i="1" s="1"/>
  <c r="O55" i="1"/>
  <c r="Y55" i="1" s="1"/>
  <c r="T54" i="1"/>
  <c r="AD54" i="1" s="1"/>
  <c r="P54" i="1"/>
  <c r="Z54" i="1" s="1"/>
  <c r="Q54" i="1"/>
  <c r="AA54" i="1" s="1"/>
  <c r="R54" i="1"/>
  <c r="AB54" i="1" s="1"/>
  <c r="S54" i="1"/>
  <c r="AC54" i="1" s="1"/>
  <c r="O54" i="1"/>
  <c r="Y54" i="1" s="1"/>
  <c r="U53" i="1"/>
  <c r="AE53" i="1" s="1"/>
  <c r="V53" i="1"/>
  <c r="AF53" i="1" s="1"/>
  <c r="P53" i="1"/>
  <c r="Z53" i="1" s="1"/>
  <c r="Q53" i="1"/>
  <c r="AA53" i="1" s="1"/>
  <c r="R53" i="1"/>
  <c r="AB53" i="1" s="1"/>
  <c r="S53" i="1"/>
  <c r="AC53" i="1" s="1"/>
  <c r="T53" i="1"/>
  <c r="AD53" i="1" s="1"/>
  <c r="O53" i="1"/>
  <c r="Y53" i="1" s="1"/>
  <c r="T52" i="1"/>
  <c r="P52" i="1"/>
  <c r="Z52" i="1" s="1"/>
  <c r="Q52" i="1"/>
  <c r="AA52" i="1" s="1"/>
  <c r="R52" i="1"/>
  <c r="AB52" i="1" s="1"/>
  <c r="S52" i="1"/>
  <c r="AC52" i="1" s="1"/>
  <c r="O52" i="1"/>
  <c r="Y52" i="1" s="1"/>
  <c r="P51" i="1"/>
  <c r="Z51" i="1" s="1"/>
  <c r="Q51" i="1"/>
  <c r="AA51" i="1" s="1"/>
  <c r="R51" i="1"/>
  <c r="AB51" i="1" s="1"/>
  <c r="S51" i="1"/>
  <c r="AC51" i="1" s="1"/>
  <c r="T51" i="1"/>
  <c r="AD51" i="1" s="1"/>
  <c r="U51" i="1"/>
  <c r="AE51" i="1" s="1"/>
  <c r="V51" i="1"/>
  <c r="AF51" i="1" s="1"/>
  <c r="O51" i="1"/>
  <c r="Y51" i="1" s="1"/>
  <c r="S50" i="1"/>
  <c r="AC50" i="1" s="1"/>
  <c r="T50" i="1"/>
  <c r="AD50" i="1" s="1"/>
  <c r="P50" i="1"/>
  <c r="Z50" i="1" s="1"/>
  <c r="Q50" i="1"/>
  <c r="AA50" i="1" s="1"/>
  <c r="R50" i="1"/>
  <c r="AB50" i="1" s="1"/>
  <c r="O50" i="1"/>
  <c r="Y50" i="1" s="1"/>
  <c r="U49" i="1"/>
  <c r="AE49" i="1" s="1"/>
  <c r="T49" i="1"/>
  <c r="AD49" i="1" s="1"/>
  <c r="T48" i="1"/>
  <c r="AD48" i="1" s="1"/>
  <c r="P49" i="1"/>
  <c r="Z49" i="1" s="1"/>
  <c r="Q49" i="1"/>
  <c r="AA49" i="1" s="1"/>
  <c r="R49" i="1"/>
  <c r="AB49" i="1" s="1"/>
  <c r="S49" i="1"/>
  <c r="AC49" i="1" s="1"/>
  <c r="O49" i="1"/>
  <c r="Y49" i="1" s="1"/>
  <c r="P48" i="1"/>
  <c r="Z48" i="1" s="1"/>
  <c r="Q48" i="1"/>
  <c r="AA48" i="1" s="1"/>
  <c r="R48" i="1"/>
  <c r="AB48" i="1" s="1"/>
  <c r="S48" i="1"/>
  <c r="AC48" i="1" s="1"/>
  <c r="O48" i="1"/>
  <c r="Y48" i="1" s="1"/>
  <c r="P47" i="1"/>
  <c r="Z47" i="1" s="1"/>
  <c r="Q47" i="1"/>
  <c r="AA47" i="1" s="1"/>
  <c r="R47" i="1"/>
  <c r="AB47" i="1" s="1"/>
  <c r="S47" i="1"/>
  <c r="AC47" i="1" s="1"/>
  <c r="T47" i="1"/>
  <c r="AD47" i="1" s="1"/>
  <c r="O47" i="1"/>
  <c r="Y47" i="1" s="1"/>
  <c r="U46" i="1"/>
  <c r="AE46" i="1" s="1"/>
  <c r="P46" i="1"/>
  <c r="Z46" i="1" s="1"/>
  <c r="Q46" i="1"/>
  <c r="AA46" i="1" s="1"/>
  <c r="R46" i="1"/>
  <c r="AB46" i="1" s="1"/>
  <c r="S46" i="1"/>
  <c r="AC46" i="1" s="1"/>
  <c r="T46" i="1"/>
  <c r="AD46" i="1" s="1"/>
  <c r="O46" i="1"/>
  <c r="Y46" i="1" s="1"/>
  <c r="T45" i="1"/>
  <c r="AD45" i="1" s="1"/>
  <c r="P45" i="1"/>
  <c r="Z45" i="1" s="1"/>
  <c r="Q45" i="1"/>
  <c r="AA45" i="1" s="1"/>
  <c r="R45" i="1"/>
  <c r="AB45" i="1" s="1"/>
  <c r="S45" i="1"/>
  <c r="AC45" i="1" s="1"/>
  <c r="O45" i="1"/>
  <c r="Y45" i="1" s="1"/>
  <c r="T44" i="1"/>
  <c r="AD44" i="1" s="1"/>
  <c r="S44" i="1"/>
  <c r="AC44" i="1" s="1"/>
  <c r="P44" i="1"/>
  <c r="Z44" i="1" s="1"/>
  <c r="Q44" i="1"/>
  <c r="AA44" i="1" s="1"/>
  <c r="R44" i="1"/>
  <c r="AB44" i="1" s="1"/>
  <c r="O44" i="1"/>
  <c r="Y44" i="1" s="1"/>
  <c r="S43" i="1"/>
  <c r="AC43" i="1" s="1"/>
  <c r="P43" i="1"/>
  <c r="Z43" i="1" s="1"/>
  <c r="Q43" i="1"/>
  <c r="AA43" i="1" s="1"/>
  <c r="R43" i="1"/>
  <c r="AB43" i="1" s="1"/>
  <c r="O43" i="1"/>
  <c r="Y43" i="1" s="1"/>
  <c r="S42" i="1"/>
  <c r="AC42" i="1" s="1"/>
  <c r="T42" i="1"/>
  <c r="AD42" i="1" s="1"/>
  <c r="R42" i="1"/>
  <c r="AB42" i="1" s="1"/>
  <c r="Q42" i="1"/>
  <c r="AA42" i="1" s="1"/>
  <c r="P42" i="1"/>
  <c r="Z42" i="1" s="1"/>
  <c r="O42" i="1"/>
  <c r="Y42" i="1" s="1"/>
  <c r="P41" i="1"/>
  <c r="Z41" i="1" s="1"/>
  <c r="Q41" i="1"/>
  <c r="AA41" i="1" s="1"/>
  <c r="R41" i="1"/>
  <c r="AB41" i="1" s="1"/>
  <c r="S41" i="1"/>
  <c r="AC41" i="1" s="1"/>
  <c r="T41" i="1"/>
  <c r="AD41" i="1" s="1"/>
  <c r="O41" i="1"/>
  <c r="Y41" i="1" s="1"/>
  <c r="P40" i="1"/>
  <c r="Z40" i="1" s="1"/>
  <c r="Q40" i="1"/>
  <c r="AA40" i="1" s="1"/>
  <c r="R40" i="1"/>
  <c r="AB40" i="1" s="1"/>
  <c r="S40" i="1"/>
  <c r="AC40" i="1" s="1"/>
  <c r="T40" i="1"/>
  <c r="AD40" i="1" s="1"/>
  <c r="O40" i="1"/>
  <c r="Y40" i="1" s="1"/>
  <c r="P39" i="1"/>
  <c r="Q39" i="1"/>
  <c r="R39" i="1"/>
  <c r="S39" i="1"/>
  <c r="T39" i="1"/>
  <c r="O39" i="1"/>
  <c r="F77" i="1"/>
  <c r="G77" i="1"/>
  <c r="H77" i="1"/>
  <c r="I77" i="1"/>
  <c r="J77" i="1"/>
  <c r="E77" i="1"/>
  <c r="M71" i="1"/>
  <c r="M70" i="1"/>
  <c r="L69" i="1"/>
  <c r="AF69" i="1" s="1"/>
  <c r="L66" i="1"/>
  <c r="M65" i="1"/>
  <c r="N65" i="1" s="1"/>
  <c r="L64" i="1"/>
  <c r="M61" i="1"/>
  <c r="N61" i="1" s="1"/>
  <c r="M60" i="1"/>
  <c r="N60" i="1" s="1"/>
  <c r="L59" i="1"/>
  <c r="M58" i="1"/>
  <c r="N58" i="1" s="1"/>
  <c r="L57" i="1"/>
  <c r="M57" i="1"/>
  <c r="N57" i="1" s="1"/>
  <c r="L56" i="1"/>
  <c r="L55" i="1"/>
  <c r="K54" i="1"/>
  <c r="M53" i="1"/>
  <c r="N53" i="1" s="1"/>
  <c r="K52" i="1"/>
  <c r="M51" i="1"/>
  <c r="N51" i="1" s="1"/>
  <c r="K50" i="1"/>
  <c r="L49" i="1"/>
  <c r="K48" i="1"/>
  <c r="K47" i="1"/>
  <c r="L46" i="1"/>
  <c r="K45" i="1"/>
  <c r="L45" i="1" s="1"/>
  <c r="M45" i="1" s="1"/>
  <c r="N45" i="1" s="1"/>
  <c r="K44" i="1"/>
  <c r="L44" i="1" s="1"/>
  <c r="M44" i="1" s="1"/>
  <c r="N44" i="1" s="1"/>
  <c r="K43" i="1"/>
  <c r="L43" i="1" s="1"/>
  <c r="M43" i="1" s="1"/>
  <c r="N43" i="1" s="1"/>
  <c r="K42" i="1"/>
  <c r="L42" i="1" s="1"/>
  <c r="M42" i="1" s="1"/>
  <c r="N42" i="1" s="1"/>
  <c r="K41" i="1"/>
  <c r="K40" i="1"/>
  <c r="K39" i="1"/>
  <c r="BH30" i="1"/>
  <c r="B138" i="6"/>
  <c r="B141" i="6" s="1"/>
  <c r="C138" i="6"/>
  <c r="C139" i="6" s="1"/>
  <c r="D138" i="6"/>
  <c r="E138" i="6"/>
  <c r="E141" i="6" s="1"/>
  <c r="F138" i="6"/>
  <c r="F141" i="6" s="1"/>
  <c r="G138" i="6"/>
  <c r="J78" i="2"/>
  <c r="K78" i="2" s="1"/>
  <c r="L78" i="2" s="1"/>
  <c r="J79" i="2"/>
  <c r="K79" i="2" s="1"/>
  <c r="L79" i="2" s="1"/>
  <c r="J77" i="2"/>
  <c r="K80" i="2"/>
  <c r="L80" i="2" s="1"/>
  <c r="K81" i="2"/>
  <c r="L81" i="2" s="1"/>
  <c r="K29" i="2"/>
  <c r="L29" i="2" s="1"/>
  <c r="K30" i="2"/>
  <c r="L30" i="2" s="1"/>
  <c r="K32" i="2"/>
  <c r="L32" i="2" s="1"/>
  <c r="K33" i="2"/>
  <c r="L33" i="2" s="1"/>
  <c r="K34" i="2"/>
  <c r="L34" i="2" s="1"/>
  <c r="K35" i="2"/>
  <c r="L35" i="2" s="1"/>
  <c r="K36" i="2"/>
  <c r="L36" i="2" s="1"/>
  <c r="K37" i="2"/>
  <c r="L37" i="2" s="1"/>
  <c r="K38" i="2"/>
  <c r="L38" i="2" s="1"/>
  <c r="K39" i="2"/>
  <c r="L39" i="2" s="1"/>
  <c r="K40" i="2"/>
  <c r="L40" i="2" s="1"/>
  <c r="K41" i="2"/>
  <c r="L41" i="2" s="1"/>
  <c r="K42" i="2"/>
  <c r="L42" i="2" s="1"/>
  <c r="K43" i="2"/>
  <c r="L43" i="2" s="1"/>
  <c r="K44" i="2"/>
  <c r="L44" i="2" s="1"/>
  <c r="K45" i="2"/>
  <c r="L45" i="2" s="1"/>
  <c r="K46" i="2"/>
  <c r="L46" i="2" s="1"/>
  <c r="K47" i="2"/>
  <c r="L47" i="2" s="1"/>
  <c r="K48" i="2"/>
  <c r="L48" i="2" s="1"/>
  <c r="K49" i="2"/>
  <c r="L49" i="2" s="1"/>
  <c r="K50" i="2"/>
  <c r="L50" i="2" s="1"/>
  <c r="K51" i="2"/>
  <c r="L51" i="2" s="1"/>
  <c r="K52" i="2"/>
  <c r="L52" i="2" s="1"/>
  <c r="K53" i="2"/>
  <c r="L53" i="2" s="1"/>
  <c r="K54" i="2"/>
  <c r="L54" i="2" s="1"/>
  <c r="K55" i="2"/>
  <c r="L55" i="2" s="1"/>
  <c r="K56" i="2"/>
  <c r="L56" i="2" s="1"/>
  <c r="K57" i="2"/>
  <c r="L57" i="2" s="1"/>
  <c r="K58" i="2"/>
  <c r="L58" i="2" s="1"/>
  <c r="K59" i="2"/>
  <c r="L59" i="2" s="1"/>
  <c r="K60" i="2"/>
  <c r="L60" i="2" s="1"/>
  <c r="K61" i="2"/>
  <c r="L61" i="2" s="1"/>
  <c r="K28" i="2"/>
  <c r="L28" i="2" s="1"/>
  <c r="F199" i="6"/>
  <c r="E199" i="6"/>
  <c r="D199" i="6"/>
  <c r="J67" i="2"/>
  <c r="I67" i="2"/>
  <c r="J202" i="6"/>
  <c r="J189" i="6"/>
  <c r="BZ14" i="1"/>
  <c r="CA12" i="1"/>
  <c r="CA9" i="1"/>
  <c r="BF15" i="1"/>
  <c r="U15" i="1"/>
  <c r="AE15" i="1" s="1"/>
  <c r="I87" i="2"/>
  <c r="BH15" i="1"/>
  <c r="AN27" i="1"/>
  <c r="AR28" i="1" s="1"/>
  <c r="BL12" i="1"/>
  <c r="AG28" i="1"/>
  <c r="AG27" i="1"/>
  <c r="W30" i="1"/>
  <c r="M30" i="1"/>
  <c r="AN14" i="1"/>
  <c r="AL14" i="1"/>
  <c r="BJ9" i="1"/>
  <c r="CB9" i="1" s="1"/>
  <c r="BK9" i="1"/>
  <c r="CC9" i="1" s="1"/>
  <c r="AM14" i="1"/>
  <c r="AG9" i="1"/>
  <c r="Y9" i="1"/>
  <c r="Z9" i="1"/>
  <c r="AA9" i="1"/>
  <c r="AB9" i="1"/>
  <c r="AC9" i="1"/>
  <c r="AD9" i="1"/>
  <c r="AE9" i="1"/>
  <c r="AF9" i="1"/>
  <c r="Y10" i="1"/>
  <c r="Z10" i="1"/>
  <c r="AA10" i="1"/>
  <c r="AB10" i="1"/>
  <c r="AC10" i="1"/>
  <c r="AD10" i="1"/>
  <c r="Y12" i="1"/>
  <c r="Z12" i="1"/>
  <c r="AA12" i="1"/>
  <c r="AB12" i="1"/>
  <c r="AC12" i="1"/>
  <c r="AD12" i="1"/>
  <c r="AE12" i="1"/>
  <c r="Y13" i="1"/>
  <c r="Z13" i="1"/>
  <c r="AA13" i="1"/>
  <c r="AB13" i="1"/>
  <c r="AC13" i="1"/>
  <c r="AD13" i="1"/>
  <c r="AE13" i="1"/>
  <c r="Y14" i="1"/>
  <c r="Z14" i="1"/>
  <c r="AA14" i="1"/>
  <c r="AB14" i="1"/>
  <c r="AC14" i="1"/>
  <c r="AD14" i="1"/>
  <c r="Y16" i="1"/>
  <c r="Z16" i="1"/>
  <c r="AA16" i="1"/>
  <c r="AB16" i="1"/>
  <c r="AC16" i="1"/>
  <c r="AD16" i="1"/>
  <c r="Y18" i="1"/>
  <c r="Z18" i="1"/>
  <c r="AA18" i="1"/>
  <c r="AB18" i="1"/>
  <c r="AC18" i="1"/>
  <c r="AD18" i="1"/>
  <c r="Y19" i="1"/>
  <c r="Z19" i="1"/>
  <c r="AA19" i="1"/>
  <c r="AB19" i="1"/>
  <c r="AC19" i="1"/>
  <c r="AD19" i="1"/>
  <c r="AE19" i="1"/>
  <c r="Y20" i="1"/>
  <c r="Z20" i="1"/>
  <c r="AA20" i="1"/>
  <c r="AB20" i="1"/>
  <c r="AC20" i="1"/>
  <c r="AD20" i="1"/>
  <c r="Y21" i="1"/>
  <c r="Z21" i="1"/>
  <c r="AA21" i="1"/>
  <c r="AB21" i="1"/>
  <c r="AC21" i="1"/>
  <c r="AD21" i="1"/>
  <c r="AE21" i="1"/>
  <c r="Y22" i="1"/>
  <c r="Z22" i="1"/>
  <c r="AA22" i="1"/>
  <c r="AB22" i="1"/>
  <c r="AC22" i="1"/>
  <c r="AD22" i="1"/>
  <c r="Y23" i="1"/>
  <c r="Z23" i="1"/>
  <c r="AA23" i="1"/>
  <c r="AB23" i="1"/>
  <c r="AC23" i="1"/>
  <c r="AD23" i="1"/>
  <c r="Y24" i="1"/>
  <c r="Z24" i="1"/>
  <c r="AA24" i="1"/>
  <c r="AB24" i="1"/>
  <c r="AC24" i="1"/>
  <c r="AD24" i="1"/>
  <c r="Y25" i="1"/>
  <c r="Z25" i="1"/>
  <c r="AA25" i="1"/>
  <c r="AB25" i="1"/>
  <c r="AC25" i="1"/>
  <c r="AD25" i="1"/>
  <c r="AE25" i="1"/>
  <c r="AG8" i="1"/>
  <c r="AB3" i="1"/>
  <c r="Z8" i="1"/>
  <c r="AA8" i="1"/>
  <c r="AB8" i="1"/>
  <c r="AC8" i="1"/>
  <c r="AD8" i="1"/>
  <c r="AE8" i="1"/>
  <c r="AF8" i="1"/>
  <c r="Y3" i="1"/>
  <c r="I26" i="1"/>
  <c r="J26" i="1"/>
  <c r="K26" i="1"/>
  <c r="M26" i="1"/>
  <c r="L26" i="1"/>
  <c r="W25" i="1"/>
  <c r="V25" i="1"/>
  <c r="W24" i="1"/>
  <c r="V24" i="1"/>
  <c r="U24" i="1"/>
  <c r="U23" i="1"/>
  <c r="V22" i="1"/>
  <c r="U22" i="1"/>
  <c r="U16" i="1"/>
  <c r="AE16" i="1" s="1"/>
  <c r="W21" i="1"/>
  <c r="V21" i="1"/>
  <c r="W20" i="1"/>
  <c r="V20" i="1"/>
  <c r="U20" i="1"/>
  <c r="W19" i="1"/>
  <c r="V19" i="1"/>
  <c r="V18" i="1"/>
  <c r="AF18" i="1" s="1"/>
  <c r="U18" i="1"/>
  <c r="AE18" i="1" s="1"/>
  <c r="W16" i="1"/>
  <c r="V16" i="1"/>
  <c r="P15" i="1"/>
  <c r="Z15" i="1" s="1"/>
  <c r="Q15" i="1"/>
  <c r="AA15" i="1" s="1"/>
  <c r="R15" i="1"/>
  <c r="AB15" i="1" s="1"/>
  <c r="S15" i="1"/>
  <c r="AC15" i="1" s="1"/>
  <c r="T15" i="1"/>
  <c r="AD15" i="1" s="1"/>
  <c r="V15" i="1"/>
  <c r="AF15" i="1" s="1"/>
  <c r="W15" i="1"/>
  <c r="AG15" i="1" s="1"/>
  <c r="O15" i="1"/>
  <c r="Y15" i="1" s="1"/>
  <c r="W14" i="1"/>
  <c r="AG14" i="1" s="1"/>
  <c r="V14" i="1"/>
  <c r="AF14" i="1" s="1"/>
  <c r="AE14" i="1"/>
  <c r="W13" i="1"/>
  <c r="V13" i="1"/>
  <c r="W12" i="1"/>
  <c r="U10" i="1"/>
  <c r="W10" i="1"/>
  <c r="V10" i="1"/>
  <c r="W23" i="1"/>
  <c r="V23" i="1"/>
  <c r="W22" i="1"/>
  <c r="W18" i="1"/>
  <c r="E209" i="6"/>
  <c r="F209" i="6"/>
  <c r="G209" i="6"/>
  <c r="G156" i="6"/>
  <c r="G149" i="6" s="1"/>
  <c r="G157" i="6"/>
  <c r="G158" i="6" s="1"/>
  <c r="F157" i="6"/>
  <c r="F158" i="6" s="1"/>
  <c r="F156" i="6"/>
  <c r="E181" i="6"/>
  <c r="F181" i="6"/>
  <c r="G181" i="6"/>
  <c r="D181" i="6"/>
  <c r="D173" i="6"/>
  <c r="E173" i="6"/>
  <c r="F173" i="6"/>
  <c r="I173" i="6"/>
  <c r="J173" i="6" s="1"/>
  <c r="E174" i="6"/>
  <c r="F174" i="6"/>
  <c r="G174" i="6"/>
  <c r="G175" i="6" s="1"/>
  <c r="D174" i="6"/>
  <c r="D175" i="6" s="1"/>
  <c r="C104" i="6"/>
  <c r="E165" i="6"/>
  <c r="F165" i="6"/>
  <c r="G165" i="6"/>
  <c r="G166" i="6" s="1"/>
  <c r="B96" i="6"/>
  <c r="C96" i="6"/>
  <c r="C97" i="6" s="1"/>
  <c r="C14" i="30" s="1"/>
  <c r="D96" i="6"/>
  <c r="D97" i="6" s="1"/>
  <c r="D14" i="30" s="1"/>
  <c r="E96" i="6"/>
  <c r="E97" i="6" s="1"/>
  <c r="E14" i="30" s="1"/>
  <c r="F96" i="6"/>
  <c r="G96" i="6"/>
  <c r="G97" i="6" s="1"/>
  <c r="D165" i="6"/>
  <c r="G105" i="6"/>
  <c r="G106" i="6" s="1"/>
  <c r="G15" i="30" s="1"/>
  <c r="G82" i="6"/>
  <c r="G93" i="6"/>
  <c r="G184" i="6"/>
  <c r="G50" i="6"/>
  <c r="I22" i="2"/>
  <c r="J23" i="2" s="1"/>
  <c r="G13" i="6"/>
  <c r="V5" i="1"/>
  <c r="AF5" i="1" s="1"/>
  <c r="W6" i="1"/>
  <c r="AG6" i="1" s="1"/>
  <c r="BK5" i="1"/>
  <c r="AQ6" i="1"/>
  <c r="AG3" i="1"/>
  <c r="AG5" i="1"/>
  <c r="T4" i="1"/>
  <c r="AN4" i="1" s="1"/>
  <c r="K4" i="1"/>
  <c r="L4" i="1" s="1"/>
  <c r="M4" i="1" s="1"/>
  <c r="N4" i="1" s="1"/>
  <c r="H98" i="10"/>
  <c r="H94" i="10"/>
  <c r="C63" i="10"/>
  <c r="C102" i="10"/>
  <c r="R62" i="10"/>
  <c r="H62" i="10" s="1"/>
  <c r="C88" i="10"/>
  <c r="D87" i="10"/>
  <c r="E87" i="10"/>
  <c r="F87" i="10"/>
  <c r="G87" i="10"/>
  <c r="H87" i="10" s="1"/>
  <c r="I87" i="10" s="1"/>
  <c r="C87" i="10"/>
  <c r="C24" i="10"/>
  <c r="G70" i="10"/>
  <c r="F70" i="10"/>
  <c r="G63" i="10"/>
  <c r="F63" i="10"/>
  <c r="G59" i="10"/>
  <c r="F59" i="10"/>
  <c r="F54" i="10"/>
  <c r="F50" i="10"/>
  <c r="D88" i="10"/>
  <c r="E88" i="10"/>
  <c r="F88" i="10"/>
  <c r="G88" i="10"/>
  <c r="C45" i="10"/>
  <c r="C82" i="10" s="1"/>
  <c r="B42" i="10"/>
  <c r="C105" i="10" s="1"/>
  <c r="D102" i="10"/>
  <c r="E102" i="10"/>
  <c r="F102" i="10"/>
  <c r="G102" i="10"/>
  <c r="D100" i="10"/>
  <c r="E100" i="10"/>
  <c r="F100" i="10"/>
  <c r="G100" i="10"/>
  <c r="C100" i="10"/>
  <c r="D99" i="10"/>
  <c r="E99" i="10"/>
  <c r="F99" i="10"/>
  <c r="G99" i="10"/>
  <c r="C99" i="10"/>
  <c r="D98" i="10"/>
  <c r="E98" i="10"/>
  <c r="F98" i="10"/>
  <c r="G98" i="10"/>
  <c r="C98" i="10"/>
  <c r="D97" i="10"/>
  <c r="E97" i="10"/>
  <c r="F97" i="10"/>
  <c r="G97" i="10"/>
  <c r="C97" i="10"/>
  <c r="D94" i="10"/>
  <c r="E94" i="10"/>
  <c r="F94" i="10"/>
  <c r="G94" i="10"/>
  <c r="C94" i="10"/>
  <c r="D93" i="10"/>
  <c r="E93" i="10"/>
  <c r="F93" i="10"/>
  <c r="G93" i="10"/>
  <c r="C93" i="10"/>
  <c r="D92" i="10"/>
  <c r="E92" i="10"/>
  <c r="F92" i="10"/>
  <c r="G92" i="10"/>
  <c r="C92" i="10"/>
  <c r="D91" i="10"/>
  <c r="E91" i="10"/>
  <c r="F91" i="10"/>
  <c r="G91" i="10"/>
  <c r="C91" i="10"/>
  <c r="C86" i="10"/>
  <c r="D86" i="10"/>
  <c r="E86" i="10"/>
  <c r="F86" i="10"/>
  <c r="G86" i="10"/>
  <c r="D84" i="10"/>
  <c r="E84" i="10"/>
  <c r="F84" i="10"/>
  <c r="G84" i="10"/>
  <c r="C84" i="10"/>
  <c r="D83" i="10"/>
  <c r="E83" i="10"/>
  <c r="F83" i="10"/>
  <c r="G83" i="10"/>
  <c r="C83" i="10"/>
  <c r="D81" i="10"/>
  <c r="E81" i="10"/>
  <c r="F81" i="10"/>
  <c r="G81" i="10"/>
  <c r="C81" i="10"/>
  <c r="D80" i="10"/>
  <c r="E80" i="10"/>
  <c r="F80" i="10"/>
  <c r="G80" i="10"/>
  <c r="C80" i="10"/>
  <c r="D78" i="10"/>
  <c r="E78" i="10"/>
  <c r="F78" i="10"/>
  <c r="G78" i="10"/>
  <c r="C78" i="10"/>
  <c r="D76" i="10"/>
  <c r="E76" i="10"/>
  <c r="F76" i="10"/>
  <c r="G76" i="10"/>
  <c r="C76" i="10"/>
  <c r="D70" i="10"/>
  <c r="E70" i="10"/>
  <c r="C70" i="10"/>
  <c r="D68" i="10"/>
  <c r="E68" i="10"/>
  <c r="F68" i="10"/>
  <c r="G68" i="10"/>
  <c r="C68" i="10"/>
  <c r="D66" i="10"/>
  <c r="E66" i="10"/>
  <c r="F66" i="10"/>
  <c r="G66" i="10"/>
  <c r="C66" i="10"/>
  <c r="D63" i="10"/>
  <c r="E63" i="10"/>
  <c r="D62" i="10"/>
  <c r="E62" i="10"/>
  <c r="F62" i="10"/>
  <c r="G62" i="10"/>
  <c r="C62" i="10"/>
  <c r="D59" i="10"/>
  <c r="E59" i="10"/>
  <c r="C59" i="10"/>
  <c r="D58" i="10"/>
  <c r="E58" i="10"/>
  <c r="F58" i="10"/>
  <c r="G58" i="10"/>
  <c r="C58" i="10"/>
  <c r="G53" i="10"/>
  <c r="D53" i="10"/>
  <c r="E53" i="10"/>
  <c r="F53" i="10"/>
  <c r="C53" i="10"/>
  <c r="D54" i="10"/>
  <c r="E54" i="10"/>
  <c r="C54" i="10"/>
  <c r="D57" i="10"/>
  <c r="E57" i="10"/>
  <c r="F57" i="10"/>
  <c r="G57" i="10"/>
  <c r="C57" i="10"/>
  <c r="D52" i="10"/>
  <c r="E52" i="10"/>
  <c r="F52" i="10"/>
  <c r="G52" i="10"/>
  <c r="C52" i="10"/>
  <c r="G50" i="10"/>
  <c r="D48" i="10"/>
  <c r="E48" i="10"/>
  <c r="F48" i="10"/>
  <c r="G48" i="10"/>
  <c r="C48" i="10"/>
  <c r="E51" i="10"/>
  <c r="F51" i="10"/>
  <c r="G51" i="10"/>
  <c r="H51" i="10" s="1"/>
  <c r="I51" i="10" s="1"/>
  <c r="J51" i="10" s="1"/>
  <c r="K51" i="10" s="1"/>
  <c r="L51" i="10" s="1"/>
  <c r="D51" i="10"/>
  <c r="D45" i="10"/>
  <c r="D82" i="10" s="1"/>
  <c r="E45" i="10"/>
  <c r="E82" i="10" s="1"/>
  <c r="F45" i="10"/>
  <c r="F82" i="10" s="1"/>
  <c r="G45" i="10"/>
  <c r="G82" i="10" s="1"/>
  <c r="D44" i="10"/>
  <c r="E44" i="10"/>
  <c r="F44" i="10"/>
  <c r="G44" i="10"/>
  <c r="C44" i="10"/>
  <c r="D43" i="10"/>
  <c r="E43" i="10"/>
  <c r="F43" i="10"/>
  <c r="G43" i="10"/>
  <c r="C43" i="10"/>
  <c r="D42" i="10"/>
  <c r="E42" i="10"/>
  <c r="F42" i="10"/>
  <c r="G42" i="10"/>
  <c r="C42" i="10"/>
  <c r="D37" i="10"/>
  <c r="E37" i="10"/>
  <c r="E132" i="10" s="1"/>
  <c r="F37" i="10"/>
  <c r="G37" i="10"/>
  <c r="C37" i="10"/>
  <c r="D35" i="10"/>
  <c r="E35" i="10"/>
  <c r="F35" i="10"/>
  <c r="G35" i="10"/>
  <c r="C35" i="10"/>
  <c r="E32" i="10"/>
  <c r="F32" i="10"/>
  <c r="G32" i="10"/>
  <c r="H32" i="10"/>
  <c r="I32" i="10"/>
  <c r="J32" i="10"/>
  <c r="D32" i="10"/>
  <c r="C32" i="10"/>
  <c r="C26" i="10"/>
  <c r="D26" i="10"/>
  <c r="E26" i="10"/>
  <c r="F26" i="10"/>
  <c r="G26" i="10"/>
  <c r="D24" i="10"/>
  <c r="E24" i="10"/>
  <c r="F24" i="10"/>
  <c r="G24" i="10"/>
  <c r="D17" i="10"/>
  <c r="E17" i="10"/>
  <c r="F17" i="10"/>
  <c r="G17" i="10"/>
  <c r="C17" i="10"/>
  <c r="D16" i="10"/>
  <c r="E16" i="10"/>
  <c r="F16" i="10"/>
  <c r="G16" i="10"/>
  <c r="C16" i="10"/>
  <c r="D30" i="10"/>
  <c r="E30" i="10"/>
  <c r="F30" i="10"/>
  <c r="G30" i="10"/>
  <c r="C30" i="10"/>
  <c r="B5" i="6"/>
  <c r="C8" i="10" s="1"/>
  <c r="C5" i="6"/>
  <c r="D8" i="10" s="1"/>
  <c r="D5" i="6"/>
  <c r="E8" i="10" s="1"/>
  <c r="E5" i="6"/>
  <c r="F8" i="10" s="1"/>
  <c r="F5" i="6"/>
  <c r="G8" i="10" s="1"/>
  <c r="F47" i="6"/>
  <c r="C41" i="6"/>
  <c r="D10" i="10"/>
  <c r="E10" i="10"/>
  <c r="F10" i="10"/>
  <c r="G10" i="10"/>
  <c r="D9" i="10"/>
  <c r="E9" i="10"/>
  <c r="F9" i="10"/>
  <c r="G9" i="10"/>
  <c r="C10" i="10"/>
  <c r="C9" i="10"/>
  <c r="L102" i="10"/>
  <c r="K102" i="10"/>
  <c r="L100" i="10"/>
  <c r="K100" i="10"/>
  <c r="J100" i="10"/>
  <c r="I100" i="10"/>
  <c r="H100" i="10"/>
  <c r="H67" i="10" s="1"/>
  <c r="I67" i="10" s="1"/>
  <c r="L98" i="10"/>
  <c r="K98" i="10"/>
  <c r="J98" i="10"/>
  <c r="I98" i="10"/>
  <c r="L94" i="10"/>
  <c r="K94" i="10"/>
  <c r="J94" i="10"/>
  <c r="I94" i="10"/>
  <c r="L93" i="10"/>
  <c r="K93" i="10"/>
  <c r="J93" i="10"/>
  <c r="I93" i="10"/>
  <c r="H93" i="10"/>
  <c r="H54" i="10" s="1"/>
  <c r="L88" i="10"/>
  <c r="K88" i="10"/>
  <c r="J88" i="10"/>
  <c r="I88" i="10"/>
  <c r="H88" i="10"/>
  <c r="L86" i="10"/>
  <c r="K86" i="10"/>
  <c r="J86" i="10"/>
  <c r="I86" i="10"/>
  <c r="H86" i="10"/>
  <c r="L77" i="10"/>
  <c r="K77" i="10"/>
  <c r="J77" i="10"/>
  <c r="I77" i="10"/>
  <c r="H77" i="10"/>
  <c r="N37" i="10"/>
  <c r="L37" i="10"/>
  <c r="K37" i="10"/>
  <c r="S35" i="10"/>
  <c r="T35" i="10" s="1"/>
  <c r="T32" i="10"/>
  <c r="S32" i="10"/>
  <c r="R32" i="10"/>
  <c r="N32" i="10"/>
  <c r="L32" i="10"/>
  <c r="K32" i="10"/>
  <c r="N27" i="10"/>
  <c r="L27" i="10"/>
  <c r="K27" i="10"/>
  <c r="J27" i="10"/>
  <c r="I27" i="10"/>
  <c r="H27" i="10"/>
  <c r="N30" i="10"/>
  <c r="N26" i="10"/>
  <c r="N25" i="10"/>
  <c r="N24" i="10"/>
  <c r="N19" i="10"/>
  <c r="L19" i="10"/>
  <c r="K19" i="10"/>
  <c r="J19" i="10"/>
  <c r="I19" i="10"/>
  <c r="H19" i="10"/>
  <c r="N18" i="10"/>
  <c r="N17" i="10"/>
  <c r="N16" i="10"/>
  <c r="N15" i="10"/>
  <c r="U12" i="10"/>
  <c r="V12" i="10" s="1"/>
  <c r="L12" i="10" s="1"/>
  <c r="N12" i="10"/>
  <c r="T11" i="10"/>
  <c r="S11" i="10"/>
  <c r="R11" i="10"/>
  <c r="Q11" i="10"/>
  <c r="P11" i="10"/>
  <c r="O11" i="10"/>
  <c r="N11" i="10"/>
  <c r="K11" i="10"/>
  <c r="L11" i="10" s="1"/>
  <c r="N10" i="10"/>
  <c r="N9" i="10"/>
  <c r="N8" i="10"/>
  <c r="V4" i="10"/>
  <c r="U4" i="10"/>
  <c r="T4" i="10"/>
  <c r="S4" i="10"/>
  <c r="R4" i="10"/>
  <c r="Q4" i="10"/>
  <c r="P4" i="10"/>
  <c r="O4" i="10"/>
  <c r="V3" i="10"/>
  <c r="U3" i="10"/>
  <c r="T3" i="10"/>
  <c r="S3" i="10"/>
  <c r="R3" i="10"/>
  <c r="Q3" i="10"/>
  <c r="P3" i="10"/>
  <c r="O3" i="10"/>
  <c r="I238" i="6" l="1"/>
  <c r="I236" i="6"/>
  <c r="K228" i="6"/>
  <c r="J225" i="6"/>
  <c r="J223" i="6" s="1"/>
  <c r="H13" i="39" s="1"/>
  <c r="F40" i="42" s="1"/>
  <c r="H8" i="39"/>
  <c r="K222" i="6"/>
  <c r="G35" i="42"/>
  <c r="I78" i="39"/>
  <c r="K121" i="14"/>
  <c r="K125" i="14" s="1"/>
  <c r="K124" i="14" s="1"/>
  <c r="G9" i="39"/>
  <c r="G76" i="39" s="1"/>
  <c r="I121" i="14" s="1"/>
  <c r="I13" i="39"/>
  <c r="G40" i="42" s="1"/>
  <c r="I231" i="6"/>
  <c r="I159" i="14"/>
  <c r="I219" i="6"/>
  <c r="K159" i="14"/>
  <c r="K219" i="6"/>
  <c r="I276" i="6"/>
  <c r="I285" i="6" s="1"/>
  <c r="D121" i="29"/>
  <c r="K24" i="14"/>
  <c r="K22" i="14"/>
  <c r="I14" i="14"/>
  <c r="K45" i="28"/>
  <c r="J66" i="25"/>
  <c r="I55" i="30"/>
  <c r="S99" i="30"/>
  <c r="J99" i="30" s="1"/>
  <c r="M17" i="36" s="1"/>
  <c r="U86" i="25"/>
  <c r="K86" i="25" s="1"/>
  <c r="N12" i="26" s="1"/>
  <c r="DI48" i="22"/>
  <c r="BT77" i="1" s="1"/>
  <c r="CD77" i="1" s="1"/>
  <c r="BQ76" i="1"/>
  <c r="BR76" i="1" s="1"/>
  <c r="BS76" i="1" s="1"/>
  <c r="BT76" i="1" s="1"/>
  <c r="G98" i="29"/>
  <c r="M17" i="28" s="1"/>
  <c r="G79" i="30"/>
  <c r="J68" i="30"/>
  <c r="H169" i="14"/>
  <c r="H174" i="14" s="1"/>
  <c r="H51" i="29"/>
  <c r="G14" i="28" s="1"/>
  <c r="F14" i="28"/>
  <c r="E72" i="29"/>
  <c r="D32" i="28" s="1"/>
  <c r="E137" i="29"/>
  <c r="K41" i="28"/>
  <c r="D25" i="28"/>
  <c r="D22" i="28"/>
  <c r="C17" i="28"/>
  <c r="C9" i="28"/>
  <c r="D24" i="29"/>
  <c r="C41" i="28"/>
  <c r="C38" i="28"/>
  <c r="E24" i="29"/>
  <c r="D41" i="28"/>
  <c r="D38" i="28"/>
  <c r="D17" i="28"/>
  <c r="D9" i="28"/>
  <c r="B29" i="29"/>
  <c r="B32" i="29" s="1"/>
  <c r="B132" i="29" s="1"/>
  <c r="H49" i="29"/>
  <c r="G12" i="28" s="1"/>
  <c r="F12" i="28"/>
  <c r="D72" i="29"/>
  <c r="C32" i="28" s="1"/>
  <c r="C25" i="28"/>
  <c r="C22" i="28"/>
  <c r="D137" i="29"/>
  <c r="J41" i="28"/>
  <c r="C130" i="29"/>
  <c r="C121" i="29"/>
  <c r="E121" i="29"/>
  <c r="D127" i="29"/>
  <c r="E127" i="29"/>
  <c r="C127" i="29"/>
  <c r="J50" i="25"/>
  <c r="E12" i="26" s="1"/>
  <c r="F27" i="12"/>
  <c r="D27" i="12"/>
  <c r="U85" i="25"/>
  <c r="V85" i="25" s="1"/>
  <c r="L85" i="25" s="1"/>
  <c r="O11" i="26" s="1"/>
  <c r="M11" i="26"/>
  <c r="J40" i="36"/>
  <c r="L51" i="25"/>
  <c r="K70" i="25"/>
  <c r="E29" i="26"/>
  <c r="H68" i="20"/>
  <c r="D21" i="36"/>
  <c r="D22" i="36"/>
  <c r="L69" i="25"/>
  <c r="G28" i="26" s="1"/>
  <c r="F28" i="26"/>
  <c r="D12" i="36"/>
  <c r="E21" i="36"/>
  <c r="E22" i="36"/>
  <c r="H64" i="25"/>
  <c r="C17" i="26"/>
  <c r="K93" i="25"/>
  <c r="K54" i="25" s="1"/>
  <c r="C16" i="36"/>
  <c r="C9" i="36"/>
  <c r="D82" i="14"/>
  <c r="D84" i="14" s="1"/>
  <c r="L52" i="25"/>
  <c r="G14" i="26" s="1"/>
  <c r="F14" i="26"/>
  <c r="D29" i="36"/>
  <c r="C31" i="36"/>
  <c r="C32" i="29"/>
  <c r="E27" i="12"/>
  <c r="E306" i="6"/>
  <c r="E307" i="6"/>
  <c r="E309" i="6" s="1"/>
  <c r="E312" i="6" s="1"/>
  <c r="E314" i="6" s="1"/>
  <c r="B38" i="29" s="1"/>
  <c r="B134" i="29" s="1"/>
  <c r="L30" i="29"/>
  <c r="H306" i="6"/>
  <c r="H307" i="6"/>
  <c r="H309" i="6" s="1"/>
  <c r="G306" i="6"/>
  <c r="G307" i="6"/>
  <c r="G309" i="6" s="1"/>
  <c r="C27" i="12"/>
  <c r="N8" i="20"/>
  <c r="G35" i="36"/>
  <c r="C46" i="36"/>
  <c r="C50" i="36"/>
  <c r="C47" i="36"/>
  <c r="C52" i="36"/>
  <c r="R61" i="29"/>
  <c r="H61" i="29"/>
  <c r="G23" i="28" s="1"/>
  <c r="K29" i="6"/>
  <c r="L13" i="25"/>
  <c r="I29" i="6"/>
  <c r="F39" i="6"/>
  <c r="F8" i="6"/>
  <c r="J27" i="6"/>
  <c r="K13" i="25" s="1"/>
  <c r="CT47" i="22"/>
  <c r="I17" i="14"/>
  <c r="E91" i="35"/>
  <c r="BO49" i="22"/>
  <c r="CQ49" i="22" s="1"/>
  <c r="BK49" i="22"/>
  <c r="CM49" i="22" s="1"/>
  <c r="O8" i="20"/>
  <c r="F97" i="6"/>
  <c r="F14" i="30" s="1"/>
  <c r="B97" i="6"/>
  <c r="B14" i="30" s="1"/>
  <c r="I123" i="10"/>
  <c r="J281" i="6"/>
  <c r="I91" i="14"/>
  <c r="I90" i="14" s="1"/>
  <c r="I89" i="14" s="1"/>
  <c r="I88" i="14" s="1"/>
  <c r="CB77" i="1"/>
  <c r="BM49" i="22" s="1"/>
  <c r="CO49" i="22" s="1"/>
  <c r="DH48" i="22"/>
  <c r="BS77" i="1" s="1"/>
  <c r="CC77" i="1" s="1"/>
  <c r="BN49" i="22" s="1"/>
  <c r="CP49" i="22" s="1"/>
  <c r="I9" i="27"/>
  <c r="G416" i="14"/>
  <c r="H412" i="14"/>
  <c r="H418" i="14" s="1"/>
  <c r="G79" i="10"/>
  <c r="F14" i="12" s="1"/>
  <c r="D230" i="16"/>
  <c r="J88" i="2"/>
  <c r="J67" i="10"/>
  <c r="K67" i="10" s="1"/>
  <c r="L67" i="10" s="1"/>
  <c r="D455" i="16"/>
  <c r="E455" i="16" s="1"/>
  <c r="F455" i="16" s="1"/>
  <c r="G455" i="16" s="1"/>
  <c r="H455" i="16" s="1"/>
  <c r="I455" i="16" s="1"/>
  <c r="J455" i="16" s="1"/>
  <c r="K455" i="16" s="1"/>
  <c r="L455" i="16" s="1"/>
  <c r="D162" i="16"/>
  <c r="E162" i="16" s="1"/>
  <c r="D355" i="16"/>
  <c r="E355" i="16" s="1"/>
  <c r="F355" i="16" s="1"/>
  <c r="G355" i="16" s="1"/>
  <c r="H355" i="16" s="1"/>
  <c r="I355" i="16" s="1"/>
  <c r="J355" i="16" s="1"/>
  <c r="K355" i="16" s="1"/>
  <c r="L355" i="16" s="1"/>
  <c r="H52" i="15"/>
  <c r="I52" i="15" s="1"/>
  <c r="J52" i="15" s="1"/>
  <c r="K52" i="15" s="1"/>
  <c r="L52" i="15" s="1"/>
  <c r="AN15" i="1"/>
  <c r="D251" i="18"/>
  <c r="E251" i="18" s="1"/>
  <c r="F251" i="18" s="1"/>
  <c r="G251" i="18" s="1"/>
  <c r="H251" i="18" s="1"/>
  <c r="I251" i="18" s="1"/>
  <c r="J251" i="18" s="1"/>
  <c r="K251" i="18" s="1"/>
  <c r="L251" i="18" s="1"/>
  <c r="D54" i="17"/>
  <c r="D59" i="17"/>
  <c r="D342" i="16"/>
  <c r="E342" i="16" s="1"/>
  <c r="F342" i="16" s="1"/>
  <c r="G342" i="16" s="1"/>
  <c r="H342" i="16" s="1"/>
  <c r="I342" i="16" s="1"/>
  <c r="J342" i="16" s="1"/>
  <c r="K342" i="16" s="1"/>
  <c r="L342" i="16" s="1"/>
  <c r="K77" i="2"/>
  <c r="D60" i="15"/>
  <c r="D64" i="15" s="1"/>
  <c r="D72" i="15" s="1"/>
  <c r="L71" i="19"/>
  <c r="D28" i="18"/>
  <c r="E28" i="18" s="1"/>
  <c r="F28" i="18" s="1"/>
  <c r="G28" i="18" s="1"/>
  <c r="H28" i="18" s="1"/>
  <c r="I28" i="18" s="1"/>
  <c r="J28" i="18" s="1"/>
  <c r="K28" i="18" s="1"/>
  <c r="L28" i="18" s="1"/>
  <c r="D38" i="18"/>
  <c r="E38" i="18" s="1"/>
  <c r="F38" i="18" s="1"/>
  <c r="G38" i="18" s="1"/>
  <c r="H38" i="18" s="1"/>
  <c r="I38" i="18" s="1"/>
  <c r="J38" i="18" s="1"/>
  <c r="K38" i="18" s="1"/>
  <c r="L38" i="18" s="1"/>
  <c r="D39" i="18"/>
  <c r="E39" i="18" s="1"/>
  <c r="F39" i="18" s="1"/>
  <c r="G39" i="18" s="1"/>
  <c r="H39" i="18" s="1"/>
  <c r="I39" i="18" s="1"/>
  <c r="J39" i="18" s="1"/>
  <c r="K39" i="18" s="1"/>
  <c r="L39" i="18" s="1"/>
  <c r="D29" i="18"/>
  <c r="E29" i="18" s="1"/>
  <c r="F29" i="18" s="1"/>
  <c r="G29" i="18" s="1"/>
  <c r="H29" i="18" s="1"/>
  <c r="I29" i="18" s="1"/>
  <c r="J29" i="18" s="1"/>
  <c r="K29" i="18" s="1"/>
  <c r="L29" i="18" s="1"/>
  <c r="O414" i="16"/>
  <c r="D344" i="16"/>
  <c r="E344" i="16" s="1"/>
  <c r="F344" i="16" s="1"/>
  <c r="G344" i="16" s="1"/>
  <c r="H344" i="16" s="1"/>
  <c r="I344" i="16" s="1"/>
  <c r="J344" i="16" s="1"/>
  <c r="K344" i="16" s="1"/>
  <c r="L344" i="16" s="1"/>
  <c r="D391" i="16"/>
  <c r="E391" i="16" s="1"/>
  <c r="F391" i="16" s="1"/>
  <c r="G391" i="16" s="1"/>
  <c r="H391" i="16" s="1"/>
  <c r="I391" i="16" s="1"/>
  <c r="J391" i="16" s="1"/>
  <c r="K391" i="16" s="1"/>
  <c r="L391" i="16" s="1"/>
  <c r="F60" i="15"/>
  <c r="F64" i="15" s="1"/>
  <c r="F72" i="15" s="1"/>
  <c r="E6" i="6"/>
  <c r="J170" i="14"/>
  <c r="K170" i="14" s="1"/>
  <c r="G56" i="14"/>
  <c r="G17" i="14" s="1"/>
  <c r="F17" i="14" s="1"/>
  <c r="BP4" i="1"/>
  <c r="BP3" i="1"/>
  <c r="BP5" i="1"/>
  <c r="E7" i="10"/>
  <c r="E131" i="10" s="1"/>
  <c r="E60" i="10"/>
  <c r="E64" i="10" s="1"/>
  <c r="D7" i="10"/>
  <c r="D60" i="10"/>
  <c r="D64" i="10" s="1"/>
  <c r="F71" i="10"/>
  <c r="F72" i="10" s="1"/>
  <c r="C60" i="10"/>
  <c r="C64" i="10" s="1"/>
  <c r="E46" i="10"/>
  <c r="E55" i="10" s="1"/>
  <c r="D32" i="18"/>
  <c r="E32" i="18" s="1"/>
  <c r="F32" i="18" s="1"/>
  <c r="G32" i="18" s="1"/>
  <c r="H32" i="18" s="1"/>
  <c r="I32" i="18" s="1"/>
  <c r="J32" i="18" s="1"/>
  <c r="K32" i="18" s="1"/>
  <c r="L32" i="18" s="1"/>
  <c r="D245" i="18"/>
  <c r="E245" i="18" s="1"/>
  <c r="F245" i="18" s="1"/>
  <c r="G245" i="18" s="1"/>
  <c r="H245" i="18" s="1"/>
  <c r="I245" i="18" s="1"/>
  <c r="J245" i="18" s="1"/>
  <c r="K245" i="18" s="1"/>
  <c r="L245" i="18" s="1"/>
  <c r="D31" i="18"/>
  <c r="E31" i="18" s="1"/>
  <c r="F31" i="18" s="1"/>
  <c r="G31" i="18" s="1"/>
  <c r="H31" i="18" s="1"/>
  <c r="I31" i="18" s="1"/>
  <c r="J31" i="18" s="1"/>
  <c r="K31" i="18" s="1"/>
  <c r="L31" i="18" s="1"/>
  <c r="D288" i="18"/>
  <c r="E288" i="18" s="1"/>
  <c r="F288" i="18" s="1"/>
  <c r="G288" i="18" s="1"/>
  <c r="H288" i="18" s="1"/>
  <c r="I288" i="18" s="1"/>
  <c r="J288" i="18" s="1"/>
  <c r="K288" i="18" s="1"/>
  <c r="L288" i="18" s="1"/>
  <c r="D244" i="18"/>
  <c r="E244" i="18" s="1"/>
  <c r="F244" i="18" s="1"/>
  <c r="G244" i="18" s="1"/>
  <c r="H244" i="18" s="1"/>
  <c r="I244" i="18" s="1"/>
  <c r="J244" i="18" s="1"/>
  <c r="K244" i="18" s="1"/>
  <c r="L244" i="18" s="1"/>
  <c r="P442" i="16"/>
  <c r="S5" i="16"/>
  <c r="D456" i="16"/>
  <c r="E456" i="16" s="1"/>
  <c r="F456" i="16" s="1"/>
  <c r="G456" i="16" s="1"/>
  <c r="H456" i="16" s="1"/>
  <c r="I456" i="16" s="1"/>
  <c r="J456" i="16" s="1"/>
  <c r="K456" i="16" s="1"/>
  <c r="L456" i="16" s="1"/>
  <c r="D398" i="16"/>
  <c r="E398" i="16" s="1"/>
  <c r="F398" i="16" s="1"/>
  <c r="G398" i="16" s="1"/>
  <c r="H398" i="16" s="1"/>
  <c r="I398" i="16" s="1"/>
  <c r="J398" i="16" s="1"/>
  <c r="K398" i="16" s="1"/>
  <c r="L398" i="16" s="1"/>
  <c r="D386" i="16"/>
  <c r="E386" i="16" s="1"/>
  <c r="F386" i="16" s="1"/>
  <c r="G386" i="16" s="1"/>
  <c r="H386" i="16" s="1"/>
  <c r="I386" i="16" s="1"/>
  <c r="J386" i="16" s="1"/>
  <c r="K386" i="16" s="1"/>
  <c r="L386" i="16" s="1"/>
  <c r="D53" i="16"/>
  <c r="E53" i="16" s="1"/>
  <c r="F53" i="16" s="1"/>
  <c r="G53" i="16" s="1"/>
  <c r="H53" i="16" s="1"/>
  <c r="I53" i="16" s="1"/>
  <c r="J53" i="16" s="1"/>
  <c r="K53" i="16" s="1"/>
  <c r="L53" i="16" s="1"/>
  <c r="D54" i="16"/>
  <c r="E54" i="16" s="1"/>
  <c r="F54" i="16" s="1"/>
  <c r="G54" i="16" s="1"/>
  <c r="H54" i="16" s="1"/>
  <c r="I54" i="16" s="1"/>
  <c r="J54" i="16" s="1"/>
  <c r="K54" i="16" s="1"/>
  <c r="L54" i="16" s="1"/>
  <c r="D346" i="16"/>
  <c r="E346" i="16" s="1"/>
  <c r="F346" i="16" s="1"/>
  <c r="G346" i="16" s="1"/>
  <c r="H346" i="16" s="1"/>
  <c r="I346" i="16" s="1"/>
  <c r="J346" i="16" s="1"/>
  <c r="K346" i="16" s="1"/>
  <c r="L346" i="16" s="1"/>
  <c r="J69" i="24"/>
  <c r="K69" i="24" s="1"/>
  <c r="L69" i="24" s="1"/>
  <c r="O9" i="20"/>
  <c r="C60" i="15"/>
  <c r="C64" i="15" s="1"/>
  <c r="C72" i="15" s="1"/>
  <c r="I70" i="15"/>
  <c r="J70" i="15" s="1"/>
  <c r="K70" i="15" s="1"/>
  <c r="L70" i="15" s="1"/>
  <c r="C23" i="15"/>
  <c r="D23" i="15"/>
  <c r="E23" i="15"/>
  <c r="F23" i="15"/>
  <c r="G23" i="15"/>
  <c r="H23" i="15"/>
  <c r="C46" i="15"/>
  <c r="C55" i="15" s="1"/>
  <c r="W7" i="1"/>
  <c r="AG30" i="1"/>
  <c r="H441" i="14"/>
  <c r="H436" i="14" s="1"/>
  <c r="G7" i="14"/>
  <c r="G54" i="14" s="1"/>
  <c r="E7" i="14"/>
  <c r="E54" i="14" s="1"/>
  <c r="G436" i="14"/>
  <c r="G435" i="14" s="1"/>
  <c r="G433" i="14" s="1"/>
  <c r="F7" i="14"/>
  <c r="F54" i="14" s="1"/>
  <c r="F63" i="18"/>
  <c r="G63" i="18" s="1"/>
  <c r="D248" i="18"/>
  <c r="E248" i="18" s="1"/>
  <c r="F248" i="18" s="1"/>
  <c r="G248" i="18" s="1"/>
  <c r="H248" i="18" s="1"/>
  <c r="I248" i="18" s="1"/>
  <c r="J248" i="18" s="1"/>
  <c r="K248" i="18" s="1"/>
  <c r="L248" i="18" s="1"/>
  <c r="D290" i="18"/>
  <c r="E290" i="18" s="1"/>
  <c r="F290" i="18" s="1"/>
  <c r="G290" i="18" s="1"/>
  <c r="H290" i="18" s="1"/>
  <c r="I290" i="18" s="1"/>
  <c r="J290" i="18" s="1"/>
  <c r="K290" i="18" s="1"/>
  <c r="L290" i="18" s="1"/>
  <c r="D247" i="18"/>
  <c r="E247" i="18" s="1"/>
  <c r="F247" i="18" s="1"/>
  <c r="G247" i="18" s="1"/>
  <c r="H247" i="18" s="1"/>
  <c r="I247" i="18" s="1"/>
  <c r="J247" i="18" s="1"/>
  <c r="K247" i="18" s="1"/>
  <c r="L247" i="18" s="1"/>
  <c r="D280" i="18"/>
  <c r="E280" i="18" s="1"/>
  <c r="F280" i="18" s="1"/>
  <c r="G280" i="18" s="1"/>
  <c r="H280" i="18" s="1"/>
  <c r="I280" i="18" s="1"/>
  <c r="J280" i="18" s="1"/>
  <c r="K280" i="18" s="1"/>
  <c r="L280" i="18" s="1"/>
  <c r="O104" i="18"/>
  <c r="D33" i="18"/>
  <c r="E33" i="18" s="1"/>
  <c r="F33" i="18" s="1"/>
  <c r="G33" i="18" s="1"/>
  <c r="H33" i="18" s="1"/>
  <c r="I33" i="18" s="1"/>
  <c r="J33" i="18" s="1"/>
  <c r="K33" i="18" s="1"/>
  <c r="L33" i="18" s="1"/>
  <c r="D246" i="18"/>
  <c r="E246" i="18" s="1"/>
  <c r="F246" i="18" s="1"/>
  <c r="G246" i="18" s="1"/>
  <c r="H246" i="18" s="1"/>
  <c r="I246" i="18" s="1"/>
  <c r="J246" i="18" s="1"/>
  <c r="K246" i="18" s="1"/>
  <c r="L246" i="18" s="1"/>
  <c r="O442" i="16"/>
  <c r="D424" i="16"/>
  <c r="E424" i="16" s="1"/>
  <c r="F424" i="16" s="1"/>
  <c r="G424" i="16" s="1"/>
  <c r="H424" i="16" s="1"/>
  <c r="I424" i="16" s="1"/>
  <c r="J424" i="16" s="1"/>
  <c r="K424" i="16" s="1"/>
  <c r="L424" i="16" s="1"/>
  <c r="D347" i="16"/>
  <c r="E347" i="16" s="1"/>
  <c r="F347" i="16" s="1"/>
  <c r="G347" i="16" s="1"/>
  <c r="H347" i="16" s="1"/>
  <c r="I347" i="16" s="1"/>
  <c r="J347" i="16" s="1"/>
  <c r="K347" i="16" s="1"/>
  <c r="L347" i="16" s="1"/>
  <c r="D345" i="16"/>
  <c r="E345" i="16" s="1"/>
  <c r="F345" i="16" s="1"/>
  <c r="G345" i="16" s="1"/>
  <c r="H345" i="16" s="1"/>
  <c r="I345" i="16" s="1"/>
  <c r="J345" i="16" s="1"/>
  <c r="K345" i="16" s="1"/>
  <c r="L345" i="16" s="1"/>
  <c r="D395" i="16"/>
  <c r="E395" i="16" s="1"/>
  <c r="F395" i="16" s="1"/>
  <c r="G395" i="16" s="1"/>
  <c r="H395" i="16" s="1"/>
  <c r="I395" i="16" s="1"/>
  <c r="J395" i="16" s="1"/>
  <c r="D450" i="16"/>
  <c r="E450" i="16" s="1"/>
  <c r="F450" i="16" s="1"/>
  <c r="G450" i="16" s="1"/>
  <c r="H450" i="16" s="1"/>
  <c r="I450" i="16" s="1"/>
  <c r="J450" i="16" s="1"/>
  <c r="K450" i="16" s="1"/>
  <c r="L450" i="16" s="1"/>
  <c r="D341" i="16"/>
  <c r="E341" i="16" s="1"/>
  <c r="F341" i="16" s="1"/>
  <c r="G341" i="16" s="1"/>
  <c r="H341" i="16" s="1"/>
  <c r="I341" i="16" s="1"/>
  <c r="J341" i="16" s="1"/>
  <c r="K341" i="16" s="1"/>
  <c r="L341" i="16" s="1"/>
  <c r="D353" i="16"/>
  <c r="E353" i="16" s="1"/>
  <c r="F353" i="16" s="1"/>
  <c r="G353" i="16" s="1"/>
  <c r="H353" i="16" s="1"/>
  <c r="I353" i="16" s="1"/>
  <c r="J353" i="16" s="1"/>
  <c r="K353" i="16" s="1"/>
  <c r="L353" i="16" s="1"/>
  <c r="D451" i="16"/>
  <c r="E451" i="16" s="1"/>
  <c r="F451" i="16" s="1"/>
  <c r="G451" i="16" s="1"/>
  <c r="H451" i="16" s="1"/>
  <c r="I451" i="16" s="1"/>
  <c r="J451" i="16" s="1"/>
  <c r="K451" i="16" s="1"/>
  <c r="L451" i="16" s="1"/>
  <c r="D452" i="16"/>
  <c r="E452" i="16" s="1"/>
  <c r="F452" i="16" s="1"/>
  <c r="G452" i="16" s="1"/>
  <c r="H452" i="16" s="1"/>
  <c r="I452" i="16" s="1"/>
  <c r="J452" i="16" s="1"/>
  <c r="K452" i="16" s="1"/>
  <c r="L452" i="16" s="1"/>
  <c r="G76" i="2"/>
  <c r="N9" i="20"/>
  <c r="B23" i="20"/>
  <c r="D23" i="20"/>
  <c r="H7" i="15"/>
  <c r="H131" i="15" s="1"/>
  <c r="P193" i="4"/>
  <c r="K331" i="6"/>
  <c r="K343" i="6"/>
  <c r="F107" i="14"/>
  <c r="F96" i="14" s="1"/>
  <c r="E107" i="14"/>
  <c r="E96" i="14" s="1"/>
  <c r="B6" i="14"/>
  <c r="G32" i="14"/>
  <c r="C101" i="10"/>
  <c r="D101" i="10"/>
  <c r="G60" i="10"/>
  <c r="G64" i="10" s="1"/>
  <c r="C79" i="10"/>
  <c r="B13" i="12" s="1"/>
  <c r="G95" i="10"/>
  <c r="K12" i="10"/>
  <c r="E101" i="10"/>
  <c r="F60" i="10"/>
  <c r="F64" i="10" s="1"/>
  <c r="G46" i="10"/>
  <c r="G55" i="10" s="1"/>
  <c r="G101" i="10"/>
  <c r="F101" i="10"/>
  <c r="F46" i="10"/>
  <c r="F55" i="10" s="1"/>
  <c r="C70" i="19"/>
  <c r="O378" i="18"/>
  <c r="R83" i="18"/>
  <c r="S83" i="18" s="1"/>
  <c r="O21" i="18"/>
  <c r="P155" i="18"/>
  <c r="Q155" i="18"/>
  <c r="P21" i="18"/>
  <c r="D35" i="18"/>
  <c r="E35" i="18" s="1"/>
  <c r="F35" i="18" s="1"/>
  <c r="G35" i="18" s="1"/>
  <c r="H35" i="18" s="1"/>
  <c r="I35" i="18" s="1"/>
  <c r="J35" i="18" s="1"/>
  <c r="K35" i="18" s="1"/>
  <c r="L35" i="18" s="1"/>
  <c r="P378" i="18"/>
  <c r="D37" i="18"/>
  <c r="E37" i="18" s="1"/>
  <c r="F37" i="18" s="1"/>
  <c r="G37" i="18" s="1"/>
  <c r="H37" i="18" s="1"/>
  <c r="I37" i="18" s="1"/>
  <c r="J37" i="18" s="1"/>
  <c r="K37" i="18" s="1"/>
  <c r="L37" i="18" s="1"/>
  <c r="O322" i="18"/>
  <c r="P104" i="18"/>
  <c r="D286" i="18"/>
  <c r="E286" i="18" s="1"/>
  <c r="F286" i="18" s="1"/>
  <c r="G286" i="18" s="1"/>
  <c r="H286" i="18" s="1"/>
  <c r="I286" i="18" s="1"/>
  <c r="J286" i="18" s="1"/>
  <c r="K286" i="18" s="1"/>
  <c r="L286" i="18" s="1"/>
  <c r="D282" i="18"/>
  <c r="E282" i="18" s="1"/>
  <c r="F282" i="18" s="1"/>
  <c r="G282" i="18" s="1"/>
  <c r="H282" i="18" s="1"/>
  <c r="I282" i="18" s="1"/>
  <c r="J282" i="18" s="1"/>
  <c r="K282" i="18" s="1"/>
  <c r="L282" i="18" s="1"/>
  <c r="D34" i="18"/>
  <c r="E34" i="18" s="1"/>
  <c r="F34" i="18" s="1"/>
  <c r="G34" i="18" s="1"/>
  <c r="H34" i="18" s="1"/>
  <c r="I34" i="18" s="1"/>
  <c r="J34" i="18" s="1"/>
  <c r="K34" i="18" s="1"/>
  <c r="L34" i="18" s="1"/>
  <c r="P422" i="18"/>
  <c r="Q378" i="18"/>
  <c r="O155" i="18"/>
  <c r="B8" i="17"/>
  <c r="B13" i="17" s="1"/>
  <c r="C19" i="17"/>
  <c r="C24" i="17" s="1"/>
  <c r="C8" i="17"/>
  <c r="C13" i="17" s="1"/>
  <c r="Q442" i="16"/>
  <c r="T442" i="16" s="1"/>
  <c r="D387" i="16"/>
  <c r="E387" i="16" s="1"/>
  <c r="F387" i="16" s="1"/>
  <c r="G387" i="16" s="1"/>
  <c r="H387" i="16" s="1"/>
  <c r="I387" i="16" s="1"/>
  <c r="J387" i="16" s="1"/>
  <c r="K387" i="16" s="1"/>
  <c r="L387" i="16" s="1"/>
  <c r="S126" i="16"/>
  <c r="D426" i="16"/>
  <c r="E426" i="16" s="1"/>
  <c r="F426" i="16" s="1"/>
  <c r="G426" i="16" s="1"/>
  <c r="H426" i="16" s="1"/>
  <c r="I426" i="16" s="1"/>
  <c r="J426" i="16" s="1"/>
  <c r="K426" i="16" s="1"/>
  <c r="L426" i="16" s="1"/>
  <c r="D81" i="16"/>
  <c r="D388" i="16"/>
  <c r="E388" i="16" s="1"/>
  <c r="F388" i="16" s="1"/>
  <c r="G388" i="16" s="1"/>
  <c r="H388" i="16" s="1"/>
  <c r="I388" i="16" s="1"/>
  <c r="J388" i="16" s="1"/>
  <c r="K388" i="16" s="1"/>
  <c r="L388" i="16" s="1"/>
  <c r="D352" i="16"/>
  <c r="E352" i="16" s="1"/>
  <c r="F352" i="16" s="1"/>
  <c r="G352" i="16" s="1"/>
  <c r="H352" i="16" s="1"/>
  <c r="I352" i="16" s="1"/>
  <c r="J352" i="16" s="1"/>
  <c r="K352" i="16" s="1"/>
  <c r="L352" i="16" s="1"/>
  <c r="S200" i="16"/>
  <c r="D349" i="16"/>
  <c r="E349" i="16" s="1"/>
  <c r="F349" i="16" s="1"/>
  <c r="G349" i="16" s="1"/>
  <c r="H349" i="16" s="1"/>
  <c r="I349" i="16" s="1"/>
  <c r="J349" i="16" s="1"/>
  <c r="K349" i="16" s="1"/>
  <c r="L349" i="16" s="1"/>
  <c r="N276" i="16"/>
  <c r="D276" i="16" s="1"/>
  <c r="D348" i="16"/>
  <c r="E348" i="16" s="1"/>
  <c r="F348" i="16" s="1"/>
  <c r="G348" i="16" s="1"/>
  <c r="H348" i="16" s="1"/>
  <c r="I348" i="16" s="1"/>
  <c r="J348" i="16" s="1"/>
  <c r="K348" i="16" s="1"/>
  <c r="L348" i="16" s="1"/>
  <c r="I76" i="2"/>
  <c r="H76" i="2"/>
  <c r="O10" i="20"/>
  <c r="C23" i="20"/>
  <c r="H99" i="15"/>
  <c r="H69" i="15" s="1"/>
  <c r="H67" i="15"/>
  <c r="I67" i="15" s="1"/>
  <c r="J67" i="15" s="1"/>
  <c r="K67" i="15" s="1"/>
  <c r="L67" i="15" s="1"/>
  <c r="R175" i="4"/>
  <c r="O193" i="4"/>
  <c r="K66" i="30"/>
  <c r="K68" i="30" s="1"/>
  <c r="U66" i="30"/>
  <c r="L149" i="13"/>
  <c r="G14" i="30"/>
  <c r="G75" i="6"/>
  <c r="K341" i="6"/>
  <c r="J326" i="6"/>
  <c r="J327" i="6" s="1"/>
  <c r="G16" i="6"/>
  <c r="C40" i="26" s="1"/>
  <c r="G41" i="6"/>
  <c r="G17" i="6"/>
  <c r="DH25" i="22"/>
  <c r="J16" i="14" s="1"/>
  <c r="J17" i="14" s="1"/>
  <c r="BK6" i="1"/>
  <c r="BK7" i="1" s="1"/>
  <c r="J9" i="30"/>
  <c r="I9" i="30"/>
  <c r="N70" i="1"/>
  <c r="AH70" i="1" s="1"/>
  <c r="AG70" i="1"/>
  <c r="N71" i="1"/>
  <c r="AH71" i="1" s="1"/>
  <c r="AG71" i="1"/>
  <c r="BZ76" i="1"/>
  <c r="G90" i="14"/>
  <c r="S70" i="2"/>
  <c r="T83" i="30"/>
  <c r="G15" i="27"/>
  <c r="G114" i="6"/>
  <c r="G115" i="6" s="1"/>
  <c r="G116" i="6" s="1"/>
  <c r="G117" i="6" s="1"/>
  <c r="G16" i="30"/>
  <c r="H139" i="6"/>
  <c r="G139" i="6"/>
  <c r="G141" i="6"/>
  <c r="I357" i="6"/>
  <c r="AG72" i="2"/>
  <c r="DH78" i="22"/>
  <c r="DH79" i="22" s="1"/>
  <c r="J438" i="14" s="1"/>
  <c r="J437" i="14" s="1"/>
  <c r="J454" i="14" s="1"/>
  <c r="CP79" i="22"/>
  <c r="I327" i="6"/>
  <c r="I330" i="6"/>
  <c r="I328" i="6" s="1"/>
  <c r="I335" i="6"/>
  <c r="F109" i="14"/>
  <c r="D109" i="14"/>
  <c r="G455" i="14"/>
  <c r="K440" i="14"/>
  <c r="I443" i="14"/>
  <c r="J444" i="14"/>
  <c r="CT25" i="22"/>
  <c r="CQ78" i="22"/>
  <c r="BO79" i="22"/>
  <c r="CW78" i="22"/>
  <c r="CW79" i="22" s="1"/>
  <c r="K318" i="6" s="1"/>
  <c r="F442" i="14"/>
  <c r="F436" i="14"/>
  <c r="N16" i="29"/>
  <c r="M16" i="29"/>
  <c r="L16" i="29"/>
  <c r="K16" i="29"/>
  <c r="J429" i="14"/>
  <c r="K426" i="14"/>
  <c r="K429" i="14" s="1"/>
  <c r="I431" i="14"/>
  <c r="K166" i="14"/>
  <c r="K168" i="14" s="1"/>
  <c r="E100" i="14"/>
  <c r="P8" i="20"/>
  <c r="P9" i="20"/>
  <c r="P10" i="20"/>
  <c r="I68" i="20"/>
  <c r="J58" i="20"/>
  <c r="F15" i="36" s="1"/>
  <c r="J56" i="20"/>
  <c r="F13" i="36" s="1"/>
  <c r="J67" i="20"/>
  <c r="F23" i="36" s="1"/>
  <c r="J70" i="20"/>
  <c r="F25" i="36" s="1"/>
  <c r="G8" i="24"/>
  <c r="G8" i="25"/>
  <c r="F8" i="24"/>
  <c r="F8" i="25"/>
  <c r="E8" i="24"/>
  <c r="E8" i="25"/>
  <c r="D8" i="24"/>
  <c r="D7" i="24" s="1"/>
  <c r="D110" i="24" s="1"/>
  <c r="D8" i="25"/>
  <c r="D7" i="25" s="1"/>
  <c r="C8" i="24"/>
  <c r="C7" i="24" s="1"/>
  <c r="C110" i="24" s="1"/>
  <c r="C8" i="25"/>
  <c r="C7" i="25" s="1"/>
  <c r="G14" i="20"/>
  <c r="G14" i="27"/>
  <c r="E14" i="20"/>
  <c r="E14" i="27"/>
  <c r="D14" i="20"/>
  <c r="D14" i="27"/>
  <c r="C14" i="20"/>
  <c r="C14" i="27"/>
  <c r="H16" i="25"/>
  <c r="R16" i="25" s="1"/>
  <c r="H15" i="24"/>
  <c r="R15" i="24" s="1"/>
  <c r="H15" i="25"/>
  <c r="J9" i="27"/>
  <c r="K82" i="6"/>
  <c r="S66" i="27"/>
  <c r="I66" i="27"/>
  <c r="J70" i="27"/>
  <c r="R83" i="27"/>
  <c r="T99" i="27"/>
  <c r="J99" i="27"/>
  <c r="J55" i="27" s="1"/>
  <c r="D46" i="10"/>
  <c r="D55" i="10" s="1"/>
  <c r="E71" i="10"/>
  <c r="D18" i="12" s="1"/>
  <c r="D71" i="10"/>
  <c r="C17" i="12" s="1"/>
  <c r="F79" i="10"/>
  <c r="E13" i="12" s="1"/>
  <c r="E79" i="10"/>
  <c r="D13" i="12" s="1"/>
  <c r="F95" i="10"/>
  <c r="E95" i="10"/>
  <c r="D95" i="10"/>
  <c r="C95" i="10"/>
  <c r="DI25" i="22"/>
  <c r="K16" i="14" s="1"/>
  <c r="I99" i="15"/>
  <c r="E60" i="15"/>
  <c r="E64" i="15" s="1"/>
  <c r="E72" i="15" s="1"/>
  <c r="J99" i="15"/>
  <c r="D46" i="15"/>
  <c r="D55" i="15" s="1"/>
  <c r="C95" i="15"/>
  <c r="C46" i="10"/>
  <c r="C55" i="10" s="1"/>
  <c r="E46" i="15"/>
  <c r="E55" i="15" s="1"/>
  <c r="D95" i="15"/>
  <c r="C71" i="10"/>
  <c r="B18" i="12" s="1"/>
  <c r="F46" i="15"/>
  <c r="F55" i="15" s="1"/>
  <c r="C79" i="15"/>
  <c r="C101" i="15"/>
  <c r="G46" i="15"/>
  <c r="G55" i="15" s="1"/>
  <c r="D79" i="15"/>
  <c r="D101" i="15"/>
  <c r="E79" i="15"/>
  <c r="E101" i="15"/>
  <c r="B27" i="12"/>
  <c r="D79" i="10"/>
  <c r="C14" i="12" s="1"/>
  <c r="F79" i="15"/>
  <c r="F101" i="15"/>
  <c r="G79" i="15"/>
  <c r="G101" i="15"/>
  <c r="T83" i="20"/>
  <c r="U83" i="20" s="1"/>
  <c r="I99" i="20"/>
  <c r="I55" i="20" s="1"/>
  <c r="T66" i="20"/>
  <c r="J66" i="20"/>
  <c r="AF16" i="1"/>
  <c r="BJ16" i="1"/>
  <c r="AH4" i="1"/>
  <c r="AH7" i="1" s="1"/>
  <c r="N7" i="1"/>
  <c r="BI20" i="1"/>
  <c r="CA20" i="1" s="1"/>
  <c r="X42" i="1"/>
  <c r="AH42" i="1" s="1"/>
  <c r="X43" i="1"/>
  <c r="AH43" i="1"/>
  <c r="X44" i="1"/>
  <c r="AH44" i="1" s="1"/>
  <c r="X45" i="1"/>
  <c r="AH45" i="1" s="1"/>
  <c r="X51" i="1"/>
  <c r="AH51" i="1" s="1"/>
  <c r="X53" i="1"/>
  <c r="AH53" i="1" s="1"/>
  <c r="X57" i="1"/>
  <c r="AH57" i="1" s="1"/>
  <c r="X58" i="1"/>
  <c r="AH58" i="1" s="1"/>
  <c r="X60" i="1"/>
  <c r="AH60" i="1" s="1"/>
  <c r="X61" i="1"/>
  <c r="AH61" i="1" s="1"/>
  <c r="X65" i="1"/>
  <c r="AH65" i="1" s="1"/>
  <c r="X67" i="1"/>
  <c r="AH67" i="1" s="1"/>
  <c r="X63" i="1"/>
  <c r="AH63" i="1" s="1"/>
  <c r="CD12" i="1"/>
  <c r="D107" i="14"/>
  <c r="D96" i="14" s="1"/>
  <c r="AO14" i="1"/>
  <c r="I62" i="15"/>
  <c r="T62" i="15" s="1"/>
  <c r="U62" i="15" s="1"/>
  <c r="V99" i="15"/>
  <c r="L99" i="15" s="1"/>
  <c r="K99" i="15"/>
  <c r="I60" i="25"/>
  <c r="I101" i="25"/>
  <c r="L22" i="26" s="1"/>
  <c r="H16" i="15"/>
  <c r="H16" i="24"/>
  <c r="R16" i="24" s="1"/>
  <c r="K54" i="24"/>
  <c r="J66" i="24"/>
  <c r="I59" i="24"/>
  <c r="H84" i="24"/>
  <c r="I58" i="24"/>
  <c r="H97" i="24"/>
  <c r="H101" i="24" s="1"/>
  <c r="I57" i="24"/>
  <c r="H60" i="24"/>
  <c r="H83" i="24"/>
  <c r="I45" i="24"/>
  <c r="H82" i="24"/>
  <c r="H95" i="24"/>
  <c r="L77" i="2"/>
  <c r="L88" i="2" s="1"/>
  <c r="K88" i="2"/>
  <c r="CU21" i="22"/>
  <c r="CV22" i="22"/>
  <c r="CV21" i="22" s="1"/>
  <c r="H56" i="14"/>
  <c r="H17" i="14" s="1"/>
  <c r="F56" i="14"/>
  <c r="H15" i="15"/>
  <c r="G10" i="14"/>
  <c r="H15" i="14"/>
  <c r="G15" i="14"/>
  <c r="H27" i="14"/>
  <c r="H26" i="14" s="1"/>
  <c r="I28" i="14"/>
  <c r="J28" i="14" s="1"/>
  <c r="K28" i="14" s="1"/>
  <c r="F53" i="14"/>
  <c r="G8" i="15"/>
  <c r="G7" i="15" s="1"/>
  <c r="G131" i="15" s="1"/>
  <c r="E53" i="14"/>
  <c r="F8" i="15"/>
  <c r="E8" i="6"/>
  <c r="D53" i="14"/>
  <c r="E8" i="15"/>
  <c r="D8" i="6"/>
  <c r="C53" i="14"/>
  <c r="C6" i="6"/>
  <c r="D8" i="15"/>
  <c r="D7" i="15" s="1"/>
  <c r="C8" i="6"/>
  <c r="C8" i="15"/>
  <c r="C7" i="15" s="1"/>
  <c r="B8" i="6"/>
  <c r="G107" i="6"/>
  <c r="G108" i="6" s="1"/>
  <c r="G15" i="20"/>
  <c r="M217" i="4"/>
  <c r="AE214" i="4"/>
  <c r="AE217" i="4" s="1"/>
  <c r="BS217" i="4"/>
  <c r="AM217" i="4"/>
  <c r="AN217" i="4"/>
  <c r="CT17" i="22"/>
  <c r="BU19" i="22"/>
  <c r="BV19" i="22" s="1"/>
  <c r="D7" i="14"/>
  <c r="D54" i="14" s="1"/>
  <c r="D12" i="14" s="1"/>
  <c r="J81" i="14"/>
  <c r="K81" i="14" s="1"/>
  <c r="K82" i="14" s="1"/>
  <c r="CU17" i="22"/>
  <c r="I75" i="14" s="1"/>
  <c r="CV17" i="22"/>
  <c r="J75" i="14" s="1"/>
  <c r="I72" i="2"/>
  <c r="H72" i="2"/>
  <c r="G72" i="2"/>
  <c r="F100" i="14"/>
  <c r="B90" i="14"/>
  <c r="B89" i="14" s="1"/>
  <c r="B88" i="14" s="1"/>
  <c r="B86" i="14" s="1"/>
  <c r="C90" i="14"/>
  <c r="C89" i="14" s="1"/>
  <c r="C88" i="14" s="1"/>
  <c r="C86" i="14" s="1"/>
  <c r="C84" i="14"/>
  <c r="F84" i="14"/>
  <c r="C7" i="14"/>
  <c r="L150" i="13"/>
  <c r="Q193" i="4"/>
  <c r="R185" i="4"/>
  <c r="S185" i="4" s="1"/>
  <c r="T175" i="4"/>
  <c r="G23" i="20"/>
  <c r="F23" i="20"/>
  <c r="E23" i="20"/>
  <c r="U11" i="20"/>
  <c r="N88" i="16"/>
  <c r="D88" i="16" s="1"/>
  <c r="E88" i="16" s="1"/>
  <c r="F88" i="16" s="1"/>
  <c r="G88" i="16" s="1"/>
  <c r="H88" i="16" s="1"/>
  <c r="I88" i="16" s="1"/>
  <c r="J88" i="16" s="1"/>
  <c r="K88" i="16" s="1"/>
  <c r="L88" i="16" s="1"/>
  <c r="T361" i="18"/>
  <c r="N385" i="18" s="1"/>
  <c r="D385" i="18" s="1"/>
  <c r="E385" i="18" s="1"/>
  <c r="F385" i="18" s="1"/>
  <c r="G385" i="18" s="1"/>
  <c r="H385" i="18" s="1"/>
  <c r="I385" i="18" s="1"/>
  <c r="J385" i="18" s="1"/>
  <c r="K385" i="18" s="1"/>
  <c r="L385" i="18" s="1"/>
  <c r="R360" i="18"/>
  <c r="R407" i="18"/>
  <c r="S407" i="18" s="1"/>
  <c r="D439" i="18"/>
  <c r="E439" i="18" s="1"/>
  <c r="F439" i="18" s="1"/>
  <c r="G439" i="18" s="1"/>
  <c r="H439" i="18" s="1"/>
  <c r="I439" i="18" s="1"/>
  <c r="J439" i="18" s="1"/>
  <c r="K439" i="18" s="1"/>
  <c r="L439" i="18" s="1"/>
  <c r="T409" i="18"/>
  <c r="N429" i="18" s="1"/>
  <c r="R408" i="18"/>
  <c r="T408" i="18"/>
  <c r="D36" i="18"/>
  <c r="N66" i="18"/>
  <c r="T48" i="18"/>
  <c r="B47" i="19"/>
  <c r="D328" i="18"/>
  <c r="E328" i="18" s="1"/>
  <c r="C47" i="19"/>
  <c r="R220" i="18"/>
  <c r="S220" i="18" s="1"/>
  <c r="R185" i="18"/>
  <c r="S185" i="18" s="1"/>
  <c r="O179" i="18"/>
  <c r="D179" i="18" s="1"/>
  <c r="E179" i="18" s="1"/>
  <c r="F179" i="18" s="1"/>
  <c r="G179" i="18" s="1"/>
  <c r="H179" i="18" s="1"/>
  <c r="I179" i="18" s="1"/>
  <c r="J179" i="18" s="1"/>
  <c r="K179" i="18" s="1"/>
  <c r="L179" i="18" s="1"/>
  <c r="D403" i="18"/>
  <c r="E384" i="18"/>
  <c r="F384" i="18" s="1"/>
  <c r="O330" i="18"/>
  <c r="D330" i="18" s="1"/>
  <c r="E330" i="18" s="1"/>
  <c r="F330" i="18" s="1"/>
  <c r="G330" i="18" s="1"/>
  <c r="H330" i="18" s="1"/>
  <c r="I330" i="18" s="1"/>
  <c r="J330" i="18" s="1"/>
  <c r="K330" i="18" s="1"/>
  <c r="L330" i="18" s="1"/>
  <c r="O331" i="18"/>
  <c r="D331" i="18" s="1"/>
  <c r="E331" i="18" s="1"/>
  <c r="F331" i="18" s="1"/>
  <c r="G331" i="18" s="1"/>
  <c r="H331" i="18" s="1"/>
  <c r="I331" i="18" s="1"/>
  <c r="J331" i="18" s="1"/>
  <c r="K331" i="18" s="1"/>
  <c r="L331" i="18" s="1"/>
  <c r="O332" i="18"/>
  <c r="D332" i="18" s="1"/>
  <c r="E332" i="18" s="1"/>
  <c r="F332" i="18" s="1"/>
  <c r="G332" i="18" s="1"/>
  <c r="H332" i="18" s="1"/>
  <c r="I332" i="18" s="1"/>
  <c r="J332" i="18" s="1"/>
  <c r="K332" i="18" s="1"/>
  <c r="L332" i="18" s="1"/>
  <c r="O333" i="18"/>
  <c r="D333" i="18" s="1"/>
  <c r="E333" i="18" s="1"/>
  <c r="F333" i="18" s="1"/>
  <c r="G333" i="18" s="1"/>
  <c r="H333" i="18" s="1"/>
  <c r="I333" i="18" s="1"/>
  <c r="J333" i="18" s="1"/>
  <c r="K333" i="18" s="1"/>
  <c r="L333" i="18" s="1"/>
  <c r="O334" i="18"/>
  <c r="D334" i="18" s="1"/>
  <c r="E334" i="18" s="1"/>
  <c r="F334" i="18" s="1"/>
  <c r="G334" i="18" s="1"/>
  <c r="H334" i="18" s="1"/>
  <c r="I334" i="18" s="1"/>
  <c r="J334" i="18" s="1"/>
  <c r="K334" i="18" s="1"/>
  <c r="L334" i="18" s="1"/>
  <c r="O335" i="18"/>
  <c r="D335" i="18" s="1"/>
  <c r="E335" i="18" s="1"/>
  <c r="F335" i="18" s="1"/>
  <c r="G335" i="18" s="1"/>
  <c r="H335" i="18" s="1"/>
  <c r="I335" i="18" s="1"/>
  <c r="J335" i="18" s="1"/>
  <c r="K335" i="18" s="1"/>
  <c r="L335" i="18" s="1"/>
  <c r="O336" i="18"/>
  <c r="D336" i="18" s="1"/>
  <c r="E336" i="18" s="1"/>
  <c r="F336" i="18" s="1"/>
  <c r="G336" i="18" s="1"/>
  <c r="H336" i="18" s="1"/>
  <c r="I336" i="18" s="1"/>
  <c r="J336" i="18" s="1"/>
  <c r="K336" i="18" s="1"/>
  <c r="L336" i="18" s="1"/>
  <c r="O337" i="18"/>
  <c r="D337" i="18" s="1"/>
  <c r="E337" i="18" s="1"/>
  <c r="F337" i="18" s="1"/>
  <c r="G337" i="18" s="1"/>
  <c r="H337" i="18" s="1"/>
  <c r="I337" i="18" s="1"/>
  <c r="J337" i="18" s="1"/>
  <c r="K337" i="18" s="1"/>
  <c r="L337" i="18" s="1"/>
  <c r="O338" i="18"/>
  <c r="D338" i="18" s="1"/>
  <c r="E338" i="18" s="1"/>
  <c r="F338" i="18" s="1"/>
  <c r="G338" i="18" s="1"/>
  <c r="H338" i="18" s="1"/>
  <c r="I338" i="18" s="1"/>
  <c r="J338" i="18" s="1"/>
  <c r="K338" i="18" s="1"/>
  <c r="L338" i="18" s="1"/>
  <c r="O339" i="18"/>
  <c r="D339" i="18" s="1"/>
  <c r="E339" i="18" s="1"/>
  <c r="F339" i="18" s="1"/>
  <c r="G339" i="18" s="1"/>
  <c r="H339" i="18" s="1"/>
  <c r="I339" i="18" s="1"/>
  <c r="J339" i="18" s="1"/>
  <c r="K339" i="18" s="1"/>
  <c r="L339" i="18" s="1"/>
  <c r="O340" i="18"/>
  <c r="D340" i="18" s="1"/>
  <c r="E340" i="18" s="1"/>
  <c r="F340" i="18" s="1"/>
  <c r="G340" i="18" s="1"/>
  <c r="H340" i="18" s="1"/>
  <c r="I340" i="18" s="1"/>
  <c r="J340" i="18" s="1"/>
  <c r="K340" i="18" s="1"/>
  <c r="L340" i="18" s="1"/>
  <c r="O341" i="18"/>
  <c r="O342" i="18"/>
  <c r="D342" i="18" s="1"/>
  <c r="E342" i="18" s="1"/>
  <c r="F342" i="18" s="1"/>
  <c r="G342" i="18" s="1"/>
  <c r="H342" i="18" s="1"/>
  <c r="I342" i="18" s="1"/>
  <c r="J342" i="18" s="1"/>
  <c r="K342" i="18" s="1"/>
  <c r="L342" i="18" s="1"/>
  <c r="O343" i="18"/>
  <c r="D343" i="18" s="1"/>
  <c r="E343" i="18" s="1"/>
  <c r="F343" i="18" s="1"/>
  <c r="G343" i="18" s="1"/>
  <c r="H343" i="18" s="1"/>
  <c r="I343" i="18" s="1"/>
  <c r="J343" i="18" s="1"/>
  <c r="K343" i="18" s="1"/>
  <c r="L343" i="18" s="1"/>
  <c r="O344" i="18"/>
  <c r="D344" i="18" s="1"/>
  <c r="E344" i="18" s="1"/>
  <c r="F344" i="18" s="1"/>
  <c r="G344" i="18" s="1"/>
  <c r="H344" i="18" s="1"/>
  <c r="I344" i="18" s="1"/>
  <c r="J344" i="18" s="1"/>
  <c r="K344" i="18" s="1"/>
  <c r="L344" i="18" s="1"/>
  <c r="O345" i="18"/>
  <c r="D345" i="18" s="1"/>
  <c r="E345" i="18" s="1"/>
  <c r="F345" i="18" s="1"/>
  <c r="G345" i="18" s="1"/>
  <c r="H345" i="18" s="1"/>
  <c r="I345" i="18" s="1"/>
  <c r="J345" i="18" s="1"/>
  <c r="K345" i="18" s="1"/>
  <c r="L345" i="18" s="1"/>
  <c r="O346" i="18"/>
  <c r="D346" i="18" s="1"/>
  <c r="E346" i="18" s="1"/>
  <c r="F346" i="18" s="1"/>
  <c r="G346" i="18" s="1"/>
  <c r="H346" i="18" s="1"/>
  <c r="I346" i="18" s="1"/>
  <c r="J346" i="18" s="1"/>
  <c r="K346" i="18" s="1"/>
  <c r="L346" i="18" s="1"/>
  <c r="O347" i="18"/>
  <c r="D347" i="18" s="1"/>
  <c r="E347" i="18" s="1"/>
  <c r="F347" i="18" s="1"/>
  <c r="G347" i="18" s="1"/>
  <c r="H347" i="18" s="1"/>
  <c r="I347" i="18" s="1"/>
  <c r="J347" i="18" s="1"/>
  <c r="K347" i="18" s="1"/>
  <c r="L347" i="18" s="1"/>
  <c r="O348" i="18"/>
  <c r="D348" i="18" s="1"/>
  <c r="E348" i="18" s="1"/>
  <c r="F348" i="18" s="1"/>
  <c r="G348" i="18" s="1"/>
  <c r="H348" i="18" s="1"/>
  <c r="I348" i="18" s="1"/>
  <c r="J348" i="18" s="1"/>
  <c r="K348" i="18" s="1"/>
  <c r="L348" i="18" s="1"/>
  <c r="O349" i="18"/>
  <c r="D349" i="18" s="1"/>
  <c r="E349" i="18" s="1"/>
  <c r="F349" i="18" s="1"/>
  <c r="G349" i="18" s="1"/>
  <c r="H349" i="18" s="1"/>
  <c r="I349" i="18" s="1"/>
  <c r="J349" i="18" s="1"/>
  <c r="K349" i="18" s="1"/>
  <c r="L349" i="18" s="1"/>
  <c r="O351" i="18"/>
  <c r="O352" i="18"/>
  <c r="D352" i="18" s="1"/>
  <c r="E352" i="18" s="1"/>
  <c r="F352" i="18" s="1"/>
  <c r="G352" i="18" s="1"/>
  <c r="H352" i="18" s="1"/>
  <c r="I352" i="18" s="1"/>
  <c r="J352" i="18" s="1"/>
  <c r="K352" i="18" s="1"/>
  <c r="L352" i="18" s="1"/>
  <c r="P322" i="18"/>
  <c r="E80" i="16"/>
  <c r="F80" i="16" s="1"/>
  <c r="R297" i="18"/>
  <c r="S297" i="18" s="1"/>
  <c r="R296" i="18"/>
  <c r="S296" i="18" s="1"/>
  <c r="T77" i="16"/>
  <c r="T103" i="16"/>
  <c r="N116" i="16" s="1"/>
  <c r="D116" i="16" s="1"/>
  <c r="E116" i="16" s="1"/>
  <c r="F116" i="16" s="1"/>
  <c r="G116" i="16" s="1"/>
  <c r="H116" i="16" s="1"/>
  <c r="I116" i="16" s="1"/>
  <c r="J116" i="16" s="1"/>
  <c r="K116" i="16" s="1"/>
  <c r="L116" i="16" s="1"/>
  <c r="T102" i="16"/>
  <c r="T101" i="16"/>
  <c r="N115" i="16" s="1"/>
  <c r="D115" i="16" s="1"/>
  <c r="E115" i="16" s="1"/>
  <c r="F115" i="16" s="1"/>
  <c r="G115" i="16" s="1"/>
  <c r="H115" i="16" s="1"/>
  <c r="I115" i="16" s="1"/>
  <c r="J115" i="16" s="1"/>
  <c r="K115" i="16" s="1"/>
  <c r="L115" i="16" s="1"/>
  <c r="T98" i="16"/>
  <c r="N112" i="16" s="1"/>
  <c r="D112" i="16" s="1"/>
  <c r="E112" i="16" s="1"/>
  <c r="F112" i="16" s="1"/>
  <c r="G112" i="16" s="1"/>
  <c r="H112" i="16" s="1"/>
  <c r="I112" i="16" s="1"/>
  <c r="J112" i="16" s="1"/>
  <c r="K112" i="16" s="1"/>
  <c r="L112" i="16" s="1"/>
  <c r="O105" i="16"/>
  <c r="T96" i="16"/>
  <c r="P105" i="16"/>
  <c r="T43" i="16"/>
  <c r="N61" i="16" s="1"/>
  <c r="D61" i="16" s="1"/>
  <c r="E61" i="16" s="1"/>
  <c r="F61" i="16" s="1"/>
  <c r="G61" i="16" s="1"/>
  <c r="H61" i="16" s="1"/>
  <c r="I61" i="16" s="1"/>
  <c r="J61" i="16" s="1"/>
  <c r="K61" i="16" s="1"/>
  <c r="L61" i="16" s="1"/>
  <c r="T41" i="16"/>
  <c r="N59" i="16" s="1"/>
  <c r="D59" i="16" s="1"/>
  <c r="E59" i="16" s="1"/>
  <c r="F59" i="16" s="1"/>
  <c r="G59" i="16" s="1"/>
  <c r="H59" i="16" s="1"/>
  <c r="I59" i="16" s="1"/>
  <c r="J59" i="16" s="1"/>
  <c r="K59" i="16" s="1"/>
  <c r="L59" i="16" s="1"/>
  <c r="T34" i="16"/>
  <c r="N52" i="16" s="1"/>
  <c r="T33" i="16"/>
  <c r="N51" i="16" s="1"/>
  <c r="O44" i="16"/>
  <c r="T31" i="16"/>
  <c r="P44" i="16"/>
  <c r="B21" i="17"/>
  <c r="B63" i="16"/>
  <c r="B16" i="17" s="1"/>
  <c r="B19" i="17" s="1"/>
  <c r="B24" i="17" s="1"/>
  <c r="Q44" i="16"/>
  <c r="T84" i="18"/>
  <c r="N110" i="18" s="1"/>
  <c r="C67" i="19"/>
  <c r="B67" i="19"/>
  <c r="D212" i="18"/>
  <c r="E212" i="18" s="1"/>
  <c r="F212" i="18" s="1"/>
  <c r="G212" i="18" s="1"/>
  <c r="H212" i="18" s="1"/>
  <c r="I212" i="18" s="1"/>
  <c r="J212" i="18" s="1"/>
  <c r="K212" i="18" s="1"/>
  <c r="L212" i="18" s="1"/>
  <c r="D399" i="18"/>
  <c r="E399" i="18" s="1"/>
  <c r="F399" i="18" s="1"/>
  <c r="G399" i="18" s="1"/>
  <c r="H399" i="18" s="1"/>
  <c r="I399" i="18" s="1"/>
  <c r="J399" i="18" s="1"/>
  <c r="K399" i="18" s="1"/>
  <c r="L399" i="18" s="1"/>
  <c r="E381" i="18"/>
  <c r="F381" i="18" s="1"/>
  <c r="N440" i="18"/>
  <c r="D440" i="18" s="1"/>
  <c r="E440" i="18" s="1"/>
  <c r="F440" i="18" s="1"/>
  <c r="G440" i="18" s="1"/>
  <c r="H440" i="18" s="1"/>
  <c r="I440" i="18" s="1"/>
  <c r="J440" i="18" s="1"/>
  <c r="K440" i="18" s="1"/>
  <c r="L440" i="18" s="1"/>
  <c r="N438" i="18"/>
  <c r="D438" i="18" s="1"/>
  <c r="E438" i="18" s="1"/>
  <c r="F438" i="18" s="1"/>
  <c r="G438" i="18" s="1"/>
  <c r="H438" i="18" s="1"/>
  <c r="I438" i="18" s="1"/>
  <c r="J438" i="18" s="1"/>
  <c r="K438" i="18" s="1"/>
  <c r="L438" i="18" s="1"/>
  <c r="N437" i="18"/>
  <c r="D437" i="18" s="1"/>
  <c r="E437" i="18" s="1"/>
  <c r="F437" i="18" s="1"/>
  <c r="G437" i="18" s="1"/>
  <c r="H437" i="18" s="1"/>
  <c r="I437" i="18" s="1"/>
  <c r="J437" i="18" s="1"/>
  <c r="K437" i="18" s="1"/>
  <c r="L437" i="18" s="1"/>
  <c r="N436" i="18"/>
  <c r="D436" i="18" s="1"/>
  <c r="E436" i="18" s="1"/>
  <c r="F436" i="18" s="1"/>
  <c r="G436" i="18" s="1"/>
  <c r="H436" i="18" s="1"/>
  <c r="I436" i="18" s="1"/>
  <c r="J436" i="18" s="1"/>
  <c r="K436" i="18" s="1"/>
  <c r="L436" i="18" s="1"/>
  <c r="N435" i="18"/>
  <c r="D435" i="18" s="1"/>
  <c r="E435" i="18" s="1"/>
  <c r="F435" i="18" s="1"/>
  <c r="G435" i="18" s="1"/>
  <c r="H435" i="18" s="1"/>
  <c r="I435" i="18" s="1"/>
  <c r="J435" i="18" s="1"/>
  <c r="K435" i="18" s="1"/>
  <c r="L435" i="18" s="1"/>
  <c r="N434" i="18"/>
  <c r="D434" i="18" s="1"/>
  <c r="E434" i="18" s="1"/>
  <c r="F434" i="18" s="1"/>
  <c r="G434" i="18" s="1"/>
  <c r="H434" i="18" s="1"/>
  <c r="I434" i="18" s="1"/>
  <c r="J434" i="18" s="1"/>
  <c r="K434" i="18" s="1"/>
  <c r="L434" i="18" s="1"/>
  <c r="N433" i="18"/>
  <c r="D433" i="18" s="1"/>
  <c r="E433" i="18" s="1"/>
  <c r="F433" i="18" s="1"/>
  <c r="G433" i="18" s="1"/>
  <c r="H433" i="18" s="1"/>
  <c r="I433" i="18" s="1"/>
  <c r="J433" i="18" s="1"/>
  <c r="K433" i="18" s="1"/>
  <c r="L433" i="18" s="1"/>
  <c r="N432" i="18"/>
  <c r="D432" i="18" s="1"/>
  <c r="E432" i="18" s="1"/>
  <c r="F432" i="18" s="1"/>
  <c r="G432" i="18" s="1"/>
  <c r="H432" i="18" s="1"/>
  <c r="I432" i="18" s="1"/>
  <c r="J432" i="18" s="1"/>
  <c r="K432" i="18" s="1"/>
  <c r="L432" i="18" s="1"/>
  <c r="N431" i="18"/>
  <c r="D431" i="18" s="1"/>
  <c r="E431" i="18" s="1"/>
  <c r="F431" i="18" s="1"/>
  <c r="G431" i="18" s="1"/>
  <c r="H431" i="18" s="1"/>
  <c r="I431" i="18" s="1"/>
  <c r="J431" i="18" s="1"/>
  <c r="K431" i="18" s="1"/>
  <c r="L431" i="18" s="1"/>
  <c r="N430" i="18"/>
  <c r="D430" i="18" s="1"/>
  <c r="E430" i="18" s="1"/>
  <c r="F430" i="18" s="1"/>
  <c r="G430" i="18" s="1"/>
  <c r="H430" i="18" s="1"/>
  <c r="I430" i="18" s="1"/>
  <c r="J430" i="18" s="1"/>
  <c r="K430" i="18" s="1"/>
  <c r="L430" i="18" s="1"/>
  <c r="E425" i="18"/>
  <c r="F425" i="18" s="1"/>
  <c r="T360" i="18"/>
  <c r="R370" i="18"/>
  <c r="S370" i="18" s="1"/>
  <c r="T362" i="18"/>
  <c r="N386" i="18" s="1"/>
  <c r="Q422" i="18"/>
  <c r="O422" i="18"/>
  <c r="Q322" i="18"/>
  <c r="D77" i="18"/>
  <c r="E77" i="18" s="1"/>
  <c r="F77" i="18" s="1"/>
  <c r="G77" i="18" s="1"/>
  <c r="H77" i="18" s="1"/>
  <c r="I77" i="18" s="1"/>
  <c r="J77" i="18" s="1"/>
  <c r="K77" i="18" s="1"/>
  <c r="L77" i="18" s="1"/>
  <c r="D76" i="18"/>
  <c r="E76" i="18" s="1"/>
  <c r="F76" i="18" s="1"/>
  <c r="G76" i="18" s="1"/>
  <c r="H76" i="18" s="1"/>
  <c r="I76" i="18" s="1"/>
  <c r="J76" i="18" s="1"/>
  <c r="K76" i="18" s="1"/>
  <c r="L76" i="18" s="1"/>
  <c r="D75" i="18"/>
  <c r="E75" i="18" s="1"/>
  <c r="F75" i="18" s="1"/>
  <c r="G75" i="18" s="1"/>
  <c r="H75" i="18" s="1"/>
  <c r="I75" i="18" s="1"/>
  <c r="J75" i="18" s="1"/>
  <c r="K75" i="18" s="1"/>
  <c r="L75" i="18" s="1"/>
  <c r="D74" i="18"/>
  <c r="E74" i="18" s="1"/>
  <c r="F74" i="18" s="1"/>
  <c r="G74" i="18" s="1"/>
  <c r="H74" i="18" s="1"/>
  <c r="I74" i="18" s="1"/>
  <c r="J74" i="18" s="1"/>
  <c r="K74" i="18" s="1"/>
  <c r="L74" i="18" s="1"/>
  <c r="D73" i="18"/>
  <c r="E73" i="18" s="1"/>
  <c r="F73" i="18" s="1"/>
  <c r="G73" i="18" s="1"/>
  <c r="H73" i="18" s="1"/>
  <c r="I73" i="18" s="1"/>
  <c r="J73" i="18" s="1"/>
  <c r="K73" i="18" s="1"/>
  <c r="L73" i="18" s="1"/>
  <c r="D72" i="18"/>
  <c r="E72" i="18" s="1"/>
  <c r="F72" i="18" s="1"/>
  <c r="G72" i="18" s="1"/>
  <c r="H72" i="18" s="1"/>
  <c r="I72" i="18" s="1"/>
  <c r="J72" i="18" s="1"/>
  <c r="K72" i="18" s="1"/>
  <c r="L72" i="18" s="1"/>
  <c r="D71" i="18"/>
  <c r="E71" i="18" s="1"/>
  <c r="F71" i="18" s="1"/>
  <c r="G71" i="18" s="1"/>
  <c r="H71" i="18" s="1"/>
  <c r="I71" i="18" s="1"/>
  <c r="J71" i="18" s="1"/>
  <c r="K71" i="18" s="1"/>
  <c r="L71" i="18" s="1"/>
  <c r="D70" i="18"/>
  <c r="E70" i="18" s="1"/>
  <c r="F70" i="18" s="1"/>
  <c r="G70" i="18" s="1"/>
  <c r="H70" i="18" s="1"/>
  <c r="I70" i="18" s="1"/>
  <c r="J70" i="18" s="1"/>
  <c r="K70" i="18" s="1"/>
  <c r="L70" i="18" s="1"/>
  <c r="D69" i="18"/>
  <c r="E69" i="18" s="1"/>
  <c r="F69" i="18" s="1"/>
  <c r="G69" i="18" s="1"/>
  <c r="H69" i="18" s="1"/>
  <c r="I69" i="18" s="1"/>
  <c r="J69" i="18" s="1"/>
  <c r="K69" i="18" s="1"/>
  <c r="L69" i="18" s="1"/>
  <c r="D68" i="18"/>
  <c r="E68" i="18" s="1"/>
  <c r="F68" i="18" s="1"/>
  <c r="G68" i="18" s="1"/>
  <c r="H68" i="18" s="1"/>
  <c r="I68" i="18" s="1"/>
  <c r="J68" i="18" s="1"/>
  <c r="K68" i="18" s="1"/>
  <c r="L68" i="18" s="1"/>
  <c r="Q60" i="18"/>
  <c r="R47" i="18" s="1"/>
  <c r="T47" i="18"/>
  <c r="P60" i="18"/>
  <c r="O60" i="18"/>
  <c r="T49" i="18"/>
  <c r="N67" i="18" s="1"/>
  <c r="I272" i="18"/>
  <c r="B292" i="18"/>
  <c r="B35" i="19" s="1"/>
  <c r="B70" i="19" s="1"/>
  <c r="D289" i="18"/>
  <c r="E289" i="18" s="1"/>
  <c r="F289" i="18" s="1"/>
  <c r="G289" i="18" s="1"/>
  <c r="H289" i="18" s="1"/>
  <c r="I289" i="18" s="1"/>
  <c r="J289" i="18" s="1"/>
  <c r="K289" i="18" s="1"/>
  <c r="L289" i="18" s="1"/>
  <c r="D287" i="18"/>
  <c r="E287" i="18" s="1"/>
  <c r="F287" i="18" s="1"/>
  <c r="G287" i="18" s="1"/>
  <c r="H287" i="18" s="1"/>
  <c r="I287" i="18" s="1"/>
  <c r="J287" i="18" s="1"/>
  <c r="K287" i="18" s="1"/>
  <c r="L287" i="18" s="1"/>
  <c r="D285" i="18"/>
  <c r="E285" i="18" s="1"/>
  <c r="F285" i="18" s="1"/>
  <c r="G285" i="18" s="1"/>
  <c r="H285" i="18" s="1"/>
  <c r="I285" i="18" s="1"/>
  <c r="J285" i="18" s="1"/>
  <c r="K285" i="18" s="1"/>
  <c r="L285" i="18" s="1"/>
  <c r="D283" i="18"/>
  <c r="E283" i="18" s="1"/>
  <c r="F283" i="18" s="1"/>
  <c r="G283" i="18" s="1"/>
  <c r="H283" i="18" s="1"/>
  <c r="I283" i="18" s="1"/>
  <c r="J283" i="18" s="1"/>
  <c r="K283" i="18" s="1"/>
  <c r="L283" i="18" s="1"/>
  <c r="D281" i="18"/>
  <c r="E281" i="18" s="1"/>
  <c r="F281" i="18" s="1"/>
  <c r="G281" i="18" s="1"/>
  <c r="H281" i="18" s="1"/>
  <c r="I281" i="18" s="1"/>
  <c r="J281" i="18" s="1"/>
  <c r="K281" i="18" s="1"/>
  <c r="L281" i="18" s="1"/>
  <c r="D279" i="18"/>
  <c r="E279" i="18" s="1"/>
  <c r="F279" i="18" s="1"/>
  <c r="G279" i="18" s="1"/>
  <c r="H279" i="18" s="1"/>
  <c r="I279" i="18" s="1"/>
  <c r="J279" i="18" s="1"/>
  <c r="K279" i="18" s="1"/>
  <c r="L279" i="18" s="1"/>
  <c r="T258" i="18"/>
  <c r="R258" i="18"/>
  <c r="T259" i="18"/>
  <c r="N278" i="18" s="1"/>
  <c r="N277" i="18" s="1"/>
  <c r="E275" i="18"/>
  <c r="F275" i="18"/>
  <c r="E325" i="18"/>
  <c r="F325" i="18"/>
  <c r="T298" i="18"/>
  <c r="T136" i="18"/>
  <c r="R135" i="18" s="1"/>
  <c r="S135" i="18" s="1"/>
  <c r="O162" i="18"/>
  <c r="O163" i="18"/>
  <c r="D163" i="18" s="1"/>
  <c r="E163" i="18" s="1"/>
  <c r="F163" i="18" s="1"/>
  <c r="G163" i="18" s="1"/>
  <c r="H163" i="18" s="1"/>
  <c r="I163" i="18" s="1"/>
  <c r="J163" i="18" s="1"/>
  <c r="K163" i="18" s="1"/>
  <c r="L163" i="18" s="1"/>
  <c r="O164" i="18"/>
  <c r="D164" i="18" s="1"/>
  <c r="E164" i="18" s="1"/>
  <c r="F164" i="18" s="1"/>
  <c r="G164" i="18" s="1"/>
  <c r="H164" i="18" s="1"/>
  <c r="I164" i="18" s="1"/>
  <c r="J164" i="18" s="1"/>
  <c r="K164" i="18" s="1"/>
  <c r="L164" i="18" s="1"/>
  <c r="O165" i="18"/>
  <c r="D165" i="18" s="1"/>
  <c r="E165" i="18" s="1"/>
  <c r="F165" i="18" s="1"/>
  <c r="G165" i="18" s="1"/>
  <c r="H165" i="18" s="1"/>
  <c r="I165" i="18" s="1"/>
  <c r="J165" i="18" s="1"/>
  <c r="K165" i="18" s="1"/>
  <c r="L165" i="18" s="1"/>
  <c r="O166" i="18"/>
  <c r="D166" i="18" s="1"/>
  <c r="E166" i="18" s="1"/>
  <c r="F166" i="18" s="1"/>
  <c r="G166" i="18" s="1"/>
  <c r="H166" i="18" s="1"/>
  <c r="I166" i="18" s="1"/>
  <c r="J166" i="18" s="1"/>
  <c r="K166" i="18" s="1"/>
  <c r="L166" i="18" s="1"/>
  <c r="O167" i="18"/>
  <c r="D167" i="18" s="1"/>
  <c r="E167" i="18" s="1"/>
  <c r="F167" i="18" s="1"/>
  <c r="G167" i="18" s="1"/>
  <c r="H167" i="18" s="1"/>
  <c r="I167" i="18" s="1"/>
  <c r="J167" i="18" s="1"/>
  <c r="K167" i="18" s="1"/>
  <c r="L167" i="18" s="1"/>
  <c r="O168" i="18"/>
  <c r="D168" i="18" s="1"/>
  <c r="E168" i="18" s="1"/>
  <c r="F168" i="18" s="1"/>
  <c r="G168" i="18" s="1"/>
  <c r="H168" i="18" s="1"/>
  <c r="I168" i="18" s="1"/>
  <c r="J168" i="18" s="1"/>
  <c r="K168" i="18" s="1"/>
  <c r="L168" i="18" s="1"/>
  <c r="O169" i="18"/>
  <c r="D170" i="18"/>
  <c r="E170" i="18" s="1"/>
  <c r="F170" i="18" s="1"/>
  <c r="G170" i="18" s="1"/>
  <c r="H170" i="18" s="1"/>
  <c r="I170" i="18" s="1"/>
  <c r="J170" i="18" s="1"/>
  <c r="K170" i="18" s="1"/>
  <c r="L170" i="18" s="1"/>
  <c r="O171" i="18"/>
  <c r="D171" i="18" s="1"/>
  <c r="E171" i="18" s="1"/>
  <c r="F171" i="18" s="1"/>
  <c r="G171" i="18" s="1"/>
  <c r="H171" i="18" s="1"/>
  <c r="I171" i="18" s="1"/>
  <c r="J171" i="18" s="1"/>
  <c r="K171" i="18" s="1"/>
  <c r="L171" i="18" s="1"/>
  <c r="O172" i="18"/>
  <c r="D172" i="18" s="1"/>
  <c r="E172" i="18" s="1"/>
  <c r="F172" i="18" s="1"/>
  <c r="G172" i="18" s="1"/>
  <c r="H172" i="18" s="1"/>
  <c r="I172" i="18" s="1"/>
  <c r="J172" i="18" s="1"/>
  <c r="K172" i="18" s="1"/>
  <c r="L172" i="18" s="1"/>
  <c r="O173" i="18"/>
  <c r="D173" i="18" s="1"/>
  <c r="E173" i="18" s="1"/>
  <c r="F173" i="18" s="1"/>
  <c r="G173" i="18" s="1"/>
  <c r="H173" i="18" s="1"/>
  <c r="I173" i="18" s="1"/>
  <c r="J173" i="18" s="1"/>
  <c r="K173" i="18" s="1"/>
  <c r="L173" i="18" s="1"/>
  <c r="O174" i="18"/>
  <c r="D174" i="18" s="1"/>
  <c r="E174" i="18" s="1"/>
  <c r="F174" i="18" s="1"/>
  <c r="G174" i="18" s="1"/>
  <c r="H174" i="18" s="1"/>
  <c r="I174" i="18" s="1"/>
  <c r="J174" i="18" s="1"/>
  <c r="K174" i="18" s="1"/>
  <c r="L174" i="18" s="1"/>
  <c r="O175" i="18"/>
  <c r="D175" i="18" s="1"/>
  <c r="E175" i="18" s="1"/>
  <c r="F175" i="18" s="1"/>
  <c r="G175" i="18" s="1"/>
  <c r="H175" i="18" s="1"/>
  <c r="I175" i="18" s="1"/>
  <c r="J175" i="18" s="1"/>
  <c r="K175" i="18" s="1"/>
  <c r="L175" i="18" s="1"/>
  <c r="O176" i="18"/>
  <c r="D176" i="18" s="1"/>
  <c r="E176" i="18" s="1"/>
  <c r="F176" i="18" s="1"/>
  <c r="G176" i="18" s="1"/>
  <c r="H176" i="18" s="1"/>
  <c r="I176" i="18" s="1"/>
  <c r="J176" i="18" s="1"/>
  <c r="K176" i="18" s="1"/>
  <c r="L176" i="18" s="1"/>
  <c r="O177" i="18"/>
  <c r="D177" i="18" s="1"/>
  <c r="E177" i="18" s="1"/>
  <c r="F177" i="18" s="1"/>
  <c r="G177" i="18" s="1"/>
  <c r="H177" i="18" s="1"/>
  <c r="I177" i="18" s="1"/>
  <c r="J177" i="18" s="1"/>
  <c r="K177" i="18" s="1"/>
  <c r="L177" i="18" s="1"/>
  <c r="O178" i="18"/>
  <c r="D178" i="18" s="1"/>
  <c r="E178" i="18" s="1"/>
  <c r="F178" i="18" s="1"/>
  <c r="G178" i="18" s="1"/>
  <c r="H178" i="18" s="1"/>
  <c r="I178" i="18" s="1"/>
  <c r="J178" i="18" s="1"/>
  <c r="K178" i="18" s="1"/>
  <c r="L178" i="18" s="1"/>
  <c r="D252" i="18"/>
  <c r="E252" i="18" s="1"/>
  <c r="F252" i="18" s="1"/>
  <c r="G252" i="18" s="1"/>
  <c r="H252" i="18" s="1"/>
  <c r="I252" i="18" s="1"/>
  <c r="J252" i="18" s="1"/>
  <c r="K252" i="18" s="1"/>
  <c r="L252" i="18" s="1"/>
  <c r="D249" i="18"/>
  <c r="E249" i="18" s="1"/>
  <c r="F249" i="18" s="1"/>
  <c r="G249" i="18" s="1"/>
  <c r="H249" i="18" s="1"/>
  <c r="I249" i="18" s="1"/>
  <c r="J249" i="18" s="1"/>
  <c r="K249" i="18" s="1"/>
  <c r="L249" i="18" s="1"/>
  <c r="D242" i="18"/>
  <c r="E242" i="18" s="1"/>
  <c r="F242" i="18" s="1"/>
  <c r="G242" i="18" s="1"/>
  <c r="H242" i="18" s="1"/>
  <c r="I242" i="18" s="1"/>
  <c r="J242" i="18" s="1"/>
  <c r="K242" i="18" s="1"/>
  <c r="L242" i="18" s="1"/>
  <c r="D241" i="18"/>
  <c r="E241" i="18" s="1"/>
  <c r="F241" i="18" s="1"/>
  <c r="G241" i="18" s="1"/>
  <c r="H241" i="18" s="1"/>
  <c r="I241" i="18" s="1"/>
  <c r="J241" i="18" s="1"/>
  <c r="K241" i="18" s="1"/>
  <c r="L241" i="18" s="1"/>
  <c r="D243" i="18"/>
  <c r="E243" i="18" s="1"/>
  <c r="F243" i="18" s="1"/>
  <c r="G243" i="18" s="1"/>
  <c r="H243" i="18" s="1"/>
  <c r="I243" i="18" s="1"/>
  <c r="J243" i="18" s="1"/>
  <c r="K243" i="18" s="1"/>
  <c r="L243" i="18" s="1"/>
  <c r="E237" i="18"/>
  <c r="F237" i="18"/>
  <c r="E158" i="18"/>
  <c r="F158" i="18" s="1"/>
  <c r="D207" i="18"/>
  <c r="E207" i="18" s="1"/>
  <c r="F207" i="18" s="1"/>
  <c r="G207" i="18" s="1"/>
  <c r="H207" i="18" s="1"/>
  <c r="I207" i="18" s="1"/>
  <c r="J207" i="18" s="1"/>
  <c r="K207" i="18" s="1"/>
  <c r="L207" i="18" s="1"/>
  <c r="D206" i="18"/>
  <c r="E206" i="18" s="1"/>
  <c r="F206" i="18" s="1"/>
  <c r="G206" i="18" s="1"/>
  <c r="H206" i="18" s="1"/>
  <c r="I206" i="18" s="1"/>
  <c r="J206" i="18" s="1"/>
  <c r="K206" i="18" s="1"/>
  <c r="L206" i="18" s="1"/>
  <c r="D205" i="18"/>
  <c r="E205" i="18" s="1"/>
  <c r="F205" i="18" s="1"/>
  <c r="G205" i="18" s="1"/>
  <c r="H205" i="18" s="1"/>
  <c r="I205" i="18" s="1"/>
  <c r="J205" i="18" s="1"/>
  <c r="K205" i="18" s="1"/>
  <c r="L205" i="18" s="1"/>
  <c r="E107" i="18"/>
  <c r="F107" i="18"/>
  <c r="E201" i="18"/>
  <c r="F201" i="18" s="1"/>
  <c r="D208" i="18"/>
  <c r="E208" i="18" s="1"/>
  <c r="F208" i="18" s="1"/>
  <c r="G208" i="18" s="1"/>
  <c r="H208" i="18" s="1"/>
  <c r="I208" i="18" s="1"/>
  <c r="J208" i="18" s="1"/>
  <c r="K208" i="18" s="1"/>
  <c r="L208" i="18" s="1"/>
  <c r="T221" i="18"/>
  <c r="N240" i="18" s="1"/>
  <c r="N239" i="18" s="1"/>
  <c r="D239" i="18" s="1"/>
  <c r="D111" i="18"/>
  <c r="E111" i="18" s="1"/>
  <c r="F111" i="18" s="1"/>
  <c r="G111" i="18" s="1"/>
  <c r="H111" i="18" s="1"/>
  <c r="I111" i="18" s="1"/>
  <c r="J111" i="18" s="1"/>
  <c r="K111" i="18" s="1"/>
  <c r="L111" i="18" s="1"/>
  <c r="Q104" i="18"/>
  <c r="T186" i="18"/>
  <c r="N204" i="18" s="1"/>
  <c r="R5" i="18"/>
  <c r="S5" i="18" s="1"/>
  <c r="D41" i="18"/>
  <c r="E41" i="18" s="1"/>
  <c r="F41" i="18" s="1"/>
  <c r="G41" i="18" s="1"/>
  <c r="H41" i="18" s="1"/>
  <c r="I41" i="18" s="1"/>
  <c r="J41" i="18" s="1"/>
  <c r="K41" i="18" s="1"/>
  <c r="L41" i="18" s="1"/>
  <c r="D30" i="18"/>
  <c r="E30" i="18" s="1"/>
  <c r="F30" i="18" s="1"/>
  <c r="G30" i="18" s="1"/>
  <c r="H30" i="18" s="1"/>
  <c r="I30" i="18" s="1"/>
  <c r="J30" i="18" s="1"/>
  <c r="K30" i="18" s="1"/>
  <c r="L30" i="18" s="1"/>
  <c r="D40" i="18"/>
  <c r="E40" i="18" s="1"/>
  <c r="F40" i="18" s="1"/>
  <c r="G40" i="18" s="1"/>
  <c r="H40" i="18" s="1"/>
  <c r="I40" i="18" s="1"/>
  <c r="J40" i="18" s="1"/>
  <c r="K40" i="18" s="1"/>
  <c r="L40" i="18" s="1"/>
  <c r="Q21" i="18"/>
  <c r="T21" i="18" s="1"/>
  <c r="T6" i="18"/>
  <c r="O27" i="18" s="1"/>
  <c r="E24" i="18"/>
  <c r="F24" i="18" s="1"/>
  <c r="T361" i="16"/>
  <c r="N384" i="16" s="1"/>
  <c r="D384" i="16" s="1"/>
  <c r="E384" i="16" s="1"/>
  <c r="F384" i="16" s="1"/>
  <c r="G384" i="16" s="1"/>
  <c r="H384" i="16" s="1"/>
  <c r="I384" i="16" s="1"/>
  <c r="J384" i="16" s="1"/>
  <c r="K384" i="16" s="1"/>
  <c r="L384" i="16" s="1"/>
  <c r="R360" i="16"/>
  <c r="S360" i="16" s="1"/>
  <c r="E52" i="17"/>
  <c r="F52" i="17"/>
  <c r="E57" i="17"/>
  <c r="F57" i="17" s="1"/>
  <c r="E53" i="17"/>
  <c r="F53" i="17" s="1"/>
  <c r="E58" i="17"/>
  <c r="F58" i="17" s="1"/>
  <c r="D400" i="16"/>
  <c r="E400" i="16" s="1"/>
  <c r="F400" i="16" s="1"/>
  <c r="G400" i="16" s="1"/>
  <c r="H400" i="16" s="1"/>
  <c r="I400" i="16" s="1"/>
  <c r="J400" i="16" s="1"/>
  <c r="K400" i="16" s="1"/>
  <c r="L400" i="16" s="1"/>
  <c r="D399" i="16"/>
  <c r="E399" i="16" s="1"/>
  <c r="F399" i="16" s="1"/>
  <c r="G399" i="16" s="1"/>
  <c r="H399" i="16" s="1"/>
  <c r="I399" i="16" s="1"/>
  <c r="J399" i="16" s="1"/>
  <c r="K399" i="16" s="1"/>
  <c r="L399" i="16" s="1"/>
  <c r="D397" i="16"/>
  <c r="E397" i="16" s="1"/>
  <c r="F397" i="16" s="1"/>
  <c r="G397" i="16" s="1"/>
  <c r="H397" i="16" s="1"/>
  <c r="I397" i="16" s="1"/>
  <c r="J397" i="16" s="1"/>
  <c r="K397" i="16" s="1"/>
  <c r="L397" i="16" s="1"/>
  <c r="Q378" i="16"/>
  <c r="P378" i="16"/>
  <c r="O378" i="16"/>
  <c r="Q105" i="16"/>
  <c r="T104" i="16"/>
  <c r="N117" i="16" s="1"/>
  <c r="D117" i="16" s="1"/>
  <c r="E117" i="16" s="1"/>
  <c r="F117" i="16" s="1"/>
  <c r="G117" i="16" s="1"/>
  <c r="H117" i="16" s="1"/>
  <c r="I117" i="16" s="1"/>
  <c r="J117" i="16" s="1"/>
  <c r="K117" i="16" s="1"/>
  <c r="L117" i="16" s="1"/>
  <c r="E79" i="16"/>
  <c r="T76" i="16"/>
  <c r="B30" i="17"/>
  <c r="B35" i="17" s="1"/>
  <c r="C30" i="17"/>
  <c r="C35" i="17" s="1"/>
  <c r="B41" i="17"/>
  <c r="C41" i="17"/>
  <c r="E51" i="17"/>
  <c r="E56" i="17"/>
  <c r="F56" i="17"/>
  <c r="D393" i="16"/>
  <c r="E393" i="16" s="1"/>
  <c r="F393" i="16" s="1"/>
  <c r="G393" i="16" s="1"/>
  <c r="H393" i="16" s="1"/>
  <c r="I393" i="16" s="1"/>
  <c r="J393" i="16" s="1"/>
  <c r="K393" i="16" s="1"/>
  <c r="L393" i="16" s="1"/>
  <c r="N18" i="16"/>
  <c r="D18" i="16" s="1"/>
  <c r="D27" i="16" s="1"/>
  <c r="E25" i="16"/>
  <c r="F25" i="16" s="1"/>
  <c r="G25" i="16" s="1"/>
  <c r="H25" i="16" s="1"/>
  <c r="I25" i="16" s="1"/>
  <c r="J25" i="16" s="1"/>
  <c r="K25" i="16" s="1"/>
  <c r="L25" i="16" s="1"/>
  <c r="D354" i="16"/>
  <c r="E354" i="16" s="1"/>
  <c r="F354" i="16" s="1"/>
  <c r="G354" i="16" s="1"/>
  <c r="H354" i="16" s="1"/>
  <c r="I354" i="16" s="1"/>
  <c r="J354" i="16" s="1"/>
  <c r="K354" i="16" s="1"/>
  <c r="L354" i="16" s="1"/>
  <c r="N303" i="16"/>
  <c r="D165" i="16"/>
  <c r="E165" i="16" s="1"/>
  <c r="F165" i="16" s="1"/>
  <c r="G165" i="16" s="1"/>
  <c r="H165" i="16" s="1"/>
  <c r="I165" i="16" s="1"/>
  <c r="J165" i="16" s="1"/>
  <c r="K165" i="16" s="1"/>
  <c r="L165" i="16" s="1"/>
  <c r="N164" i="16"/>
  <c r="D164" i="16" s="1"/>
  <c r="D247" i="16"/>
  <c r="E247" i="16" s="1"/>
  <c r="F247" i="16" s="1"/>
  <c r="G247" i="16" s="1"/>
  <c r="H247" i="16" s="1"/>
  <c r="N232" i="16"/>
  <c r="E229" i="16"/>
  <c r="E230" i="16"/>
  <c r="D192" i="16"/>
  <c r="E192" i="16" s="1"/>
  <c r="F192" i="16" s="1"/>
  <c r="G192" i="16" s="1"/>
  <c r="H192" i="16" s="1"/>
  <c r="I192" i="16" s="1"/>
  <c r="J192" i="16" s="1"/>
  <c r="K192" i="16" s="1"/>
  <c r="L192" i="16" s="1"/>
  <c r="E161" i="16"/>
  <c r="F161" i="16" s="1"/>
  <c r="E166" i="16"/>
  <c r="F166" i="16" s="1"/>
  <c r="G166" i="16" s="1"/>
  <c r="H166" i="16" s="1"/>
  <c r="I166" i="16" s="1"/>
  <c r="E167" i="16"/>
  <c r="F167" i="16" s="1"/>
  <c r="G167" i="16" s="1"/>
  <c r="H167" i="16" s="1"/>
  <c r="I167" i="16" s="1"/>
  <c r="J167" i="16" s="1"/>
  <c r="K167" i="16" s="1"/>
  <c r="L167" i="16" s="1"/>
  <c r="E168" i="16"/>
  <c r="F168" i="16" s="1"/>
  <c r="G168" i="16" s="1"/>
  <c r="H168" i="16" s="1"/>
  <c r="I168" i="16" s="1"/>
  <c r="J168" i="16" s="1"/>
  <c r="K168" i="16" s="1"/>
  <c r="L168" i="16" s="1"/>
  <c r="D169" i="16"/>
  <c r="E169" i="16" s="1"/>
  <c r="F169" i="16" s="1"/>
  <c r="G169" i="16" s="1"/>
  <c r="H169" i="16" s="1"/>
  <c r="I169" i="16" s="1"/>
  <c r="J169" i="16" s="1"/>
  <c r="K169" i="16" s="1"/>
  <c r="L169" i="16" s="1"/>
  <c r="D170" i="16"/>
  <c r="E170" i="16" s="1"/>
  <c r="F170" i="16" s="1"/>
  <c r="G170" i="16" s="1"/>
  <c r="H170" i="16" s="1"/>
  <c r="I170" i="16" s="1"/>
  <c r="J170" i="16" s="1"/>
  <c r="K170" i="16" s="1"/>
  <c r="L170" i="16" s="1"/>
  <c r="D171" i="16"/>
  <c r="E171" i="16" s="1"/>
  <c r="F171" i="16" s="1"/>
  <c r="G171" i="16" s="1"/>
  <c r="H171" i="16" s="1"/>
  <c r="I171" i="16" s="1"/>
  <c r="J171" i="16" s="1"/>
  <c r="K171" i="16" s="1"/>
  <c r="L171" i="16" s="1"/>
  <c r="D172" i="16"/>
  <c r="E172" i="16" s="1"/>
  <c r="F172" i="16" s="1"/>
  <c r="G172" i="16" s="1"/>
  <c r="H172" i="16" s="1"/>
  <c r="I172" i="16" s="1"/>
  <c r="J172" i="16" s="1"/>
  <c r="K172" i="16" s="1"/>
  <c r="L172" i="16" s="1"/>
  <c r="D173" i="16"/>
  <c r="E173" i="16" s="1"/>
  <c r="F173" i="16" s="1"/>
  <c r="G173" i="16" s="1"/>
  <c r="H173" i="16" s="1"/>
  <c r="I173" i="16" s="1"/>
  <c r="J173" i="16" s="1"/>
  <c r="K173" i="16" s="1"/>
  <c r="L173" i="16" s="1"/>
  <c r="D174" i="16"/>
  <c r="E174" i="16" s="1"/>
  <c r="F174" i="16" s="1"/>
  <c r="G174" i="16" s="1"/>
  <c r="H174" i="16" s="1"/>
  <c r="I174" i="16" s="1"/>
  <c r="J174" i="16" s="1"/>
  <c r="K174" i="16" s="1"/>
  <c r="L174" i="16" s="1"/>
  <c r="D175" i="16"/>
  <c r="E175" i="16" s="1"/>
  <c r="F175" i="16" s="1"/>
  <c r="G175" i="16" s="1"/>
  <c r="H175" i="16" s="1"/>
  <c r="I175" i="16" s="1"/>
  <c r="J175" i="16" s="1"/>
  <c r="K175" i="16" s="1"/>
  <c r="L175" i="16" s="1"/>
  <c r="D176" i="16"/>
  <c r="E176" i="16" s="1"/>
  <c r="F176" i="16" s="1"/>
  <c r="G176" i="16" s="1"/>
  <c r="H176" i="16" s="1"/>
  <c r="I176" i="16" s="1"/>
  <c r="J176" i="16" s="1"/>
  <c r="K176" i="16" s="1"/>
  <c r="L176" i="16" s="1"/>
  <c r="D177" i="16"/>
  <c r="E177" i="16" s="1"/>
  <c r="F177" i="16" s="1"/>
  <c r="G177" i="16" s="1"/>
  <c r="H177" i="16" s="1"/>
  <c r="I177" i="16" s="1"/>
  <c r="J177" i="16" s="1"/>
  <c r="K177" i="16" s="1"/>
  <c r="L177" i="16" s="1"/>
  <c r="C351" i="16"/>
  <c r="B351" i="16"/>
  <c r="C350" i="16"/>
  <c r="B350" i="16"/>
  <c r="P414" i="16"/>
  <c r="D343" i="16"/>
  <c r="E343" i="16" s="1"/>
  <c r="F343" i="16" s="1"/>
  <c r="G343" i="16" s="1"/>
  <c r="H343" i="16" s="1"/>
  <c r="I343" i="16" s="1"/>
  <c r="J343" i="16" s="1"/>
  <c r="K343" i="16" s="1"/>
  <c r="L343" i="16" s="1"/>
  <c r="D453" i="16"/>
  <c r="E453" i="16" s="1"/>
  <c r="F453" i="16" s="1"/>
  <c r="G453" i="16" s="1"/>
  <c r="H453" i="16" s="1"/>
  <c r="I453" i="16" s="1"/>
  <c r="J453" i="16" s="1"/>
  <c r="K453" i="16" s="1"/>
  <c r="L453" i="16" s="1"/>
  <c r="N447" i="16"/>
  <c r="D454" i="16"/>
  <c r="E454" i="16" s="1"/>
  <c r="F454" i="16" s="1"/>
  <c r="G454" i="16" s="1"/>
  <c r="H454" i="16" s="1"/>
  <c r="I454" i="16" s="1"/>
  <c r="J454" i="16" s="1"/>
  <c r="K454" i="16" s="1"/>
  <c r="L454" i="16" s="1"/>
  <c r="D425" i="16"/>
  <c r="E425" i="16" s="1"/>
  <c r="F425" i="16" s="1"/>
  <c r="G425" i="16" s="1"/>
  <c r="H425" i="16" s="1"/>
  <c r="I425" i="16" s="1"/>
  <c r="J425" i="16" s="1"/>
  <c r="K425" i="16" s="1"/>
  <c r="L425" i="16" s="1"/>
  <c r="N84" i="16"/>
  <c r="D111" i="16"/>
  <c r="E111" i="16" s="1"/>
  <c r="F111" i="16" s="1"/>
  <c r="G111" i="16" s="1"/>
  <c r="H111" i="16" s="1"/>
  <c r="I111" i="16" s="1"/>
  <c r="J111" i="16" s="1"/>
  <c r="K111" i="16" s="1"/>
  <c r="L111" i="16" s="1"/>
  <c r="D305" i="16"/>
  <c r="E305" i="16" s="1"/>
  <c r="F305" i="16" s="1"/>
  <c r="G305" i="16" s="1"/>
  <c r="H305" i="16" s="1"/>
  <c r="I305" i="16" s="1"/>
  <c r="J305" i="16" s="1"/>
  <c r="K305" i="16" s="1"/>
  <c r="L305" i="16" s="1"/>
  <c r="E300" i="16"/>
  <c r="E310" i="16" s="1"/>
  <c r="E39" i="17" s="1"/>
  <c r="D277" i="16"/>
  <c r="E277" i="16" s="1"/>
  <c r="F277" i="16" s="1"/>
  <c r="G277" i="16" s="1"/>
  <c r="H277" i="16" s="1"/>
  <c r="I277" i="16" s="1"/>
  <c r="J277" i="16" s="1"/>
  <c r="K277" i="16" s="1"/>
  <c r="L277" i="16" s="1"/>
  <c r="E233" i="16"/>
  <c r="F233" i="16" s="1"/>
  <c r="G233" i="16" s="1"/>
  <c r="H233" i="16" s="1"/>
  <c r="I233" i="16" s="1"/>
  <c r="J233" i="16" s="1"/>
  <c r="K233" i="16" s="1"/>
  <c r="L233" i="16" s="1"/>
  <c r="E234" i="16"/>
  <c r="F234" i="16" s="1"/>
  <c r="G234" i="16" s="1"/>
  <c r="H234" i="16" s="1"/>
  <c r="I234" i="16" s="1"/>
  <c r="J234" i="16" s="1"/>
  <c r="K234" i="16" s="1"/>
  <c r="L234" i="16" s="1"/>
  <c r="E236" i="16"/>
  <c r="F236" i="16" s="1"/>
  <c r="G236" i="16" s="1"/>
  <c r="H236" i="16" s="1"/>
  <c r="I236" i="16" s="1"/>
  <c r="J236" i="16" s="1"/>
  <c r="K236" i="16" s="1"/>
  <c r="L236" i="16" s="1"/>
  <c r="E237" i="16"/>
  <c r="F237" i="16" s="1"/>
  <c r="G237" i="16" s="1"/>
  <c r="H237" i="16" s="1"/>
  <c r="I237" i="16" s="1"/>
  <c r="J237" i="16" s="1"/>
  <c r="K237" i="16" s="1"/>
  <c r="L237" i="16" s="1"/>
  <c r="E238" i="16"/>
  <c r="F238" i="16" s="1"/>
  <c r="G238" i="16" s="1"/>
  <c r="H238" i="16" s="1"/>
  <c r="I238" i="16" s="1"/>
  <c r="J238" i="16" s="1"/>
  <c r="K238" i="16" s="1"/>
  <c r="L238" i="16" s="1"/>
  <c r="E274" i="16"/>
  <c r="E286" i="16" s="1"/>
  <c r="E28" i="17" s="1"/>
  <c r="F274" i="16"/>
  <c r="F286" i="16" s="1"/>
  <c r="F28" i="17" s="1"/>
  <c r="F228" i="16"/>
  <c r="D449" i="16"/>
  <c r="E449" i="16" s="1"/>
  <c r="F449" i="16" s="1"/>
  <c r="G449" i="16" s="1"/>
  <c r="H449" i="16" s="1"/>
  <c r="I449" i="16" s="1"/>
  <c r="J449" i="16" s="1"/>
  <c r="K449" i="16" s="1"/>
  <c r="L449" i="16" s="1"/>
  <c r="D448" i="16"/>
  <c r="E448" i="16" s="1"/>
  <c r="F448" i="16" s="1"/>
  <c r="G448" i="16" s="1"/>
  <c r="H448" i="16" s="1"/>
  <c r="I448" i="16" s="1"/>
  <c r="J448" i="16" s="1"/>
  <c r="K448" i="16" s="1"/>
  <c r="L448" i="16" s="1"/>
  <c r="E445" i="16"/>
  <c r="N339" i="16"/>
  <c r="E417" i="16"/>
  <c r="Q406" i="16"/>
  <c r="D421" i="16"/>
  <c r="E421" i="16" s="1"/>
  <c r="F421" i="16" s="1"/>
  <c r="G421" i="16" s="1"/>
  <c r="H421" i="16" s="1"/>
  <c r="I421" i="16" s="1"/>
  <c r="J421" i="16" s="1"/>
  <c r="K421" i="16" s="1"/>
  <c r="L421" i="16" s="1"/>
  <c r="N422" i="16"/>
  <c r="D422" i="16" s="1"/>
  <c r="E422" i="16" s="1"/>
  <c r="F422" i="16" s="1"/>
  <c r="G422" i="16" s="1"/>
  <c r="H422" i="16" s="1"/>
  <c r="I422" i="16" s="1"/>
  <c r="J422" i="16" s="1"/>
  <c r="K422" i="16" s="1"/>
  <c r="L422" i="16" s="1"/>
  <c r="D396" i="16"/>
  <c r="E396" i="16" s="1"/>
  <c r="F396" i="16" s="1"/>
  <c r="G396" i="16" s="1"/>
  <c r="H396" i="16" s="1"/>
  <c r="I396" i="16" s="1"/>
  <c r="D394" i="16"/>
  <c r="E394" i="16" s="1"/>
  <c r="F394" i="16" s="1"/>
  <c r="G394" i="16" s="1"/>
  <c r="H394" i="16" s="1"/>
  <c r="I394" i="16" s="1"/>
  <c r="J394" i="16" s="1"/>
  <c r="K394" i="16" s="1"/>
  <c r="L394" i="16" s="1"/>
  <c r="D392" i="16"/>
  <c r="E392" i="16" s="1"/>
  <c r="F392" i="16" s="1"/>
  <c r="G392" i="16" s="1"/>
  <c r="H392" i="16" s="1"/>
  <c r="I392" i="16" s="1"/>
  <c r="J392" i="16" s="1"/>
  <c r="K392" i="16" s="1"/>
  <c r="L392" i="16" s="1"/>
  <c r="D390" i="16"/>
  <c r="E390" i="16" s="1"/>
  <c r="F390" i="16" s="1"/>
  <c r="G390" i="16" s="1"/>
  <c r="H390" i="16" s="1"/>
  <c r="I390" i="16" s="1"/>
  <c r="J390" i="16" s="1"/>
  <c r="K390" i="16" s="1"/>
  <c r="L390" i="16" s="1"/>
  <c r="D389" i="16"/>
  <c r="E389" i="16" s="1"/>
  <c r="F389" i="16" s="1"/>
  <c r="G389" i="16" s="1"/>
  <c r="H389" i="16" s="1"/>
  <c r="I389" i="16" s="1"/>
  <c r="J389" i="16" s="1"/>
  <c r="K389" i="16" s="1"/>
  <c r="L389" i="16" s="1"/>
  <c r="D385" i="16"/>
  <c r="E385" i="16" s="1"/>
  <c r="F385" i="16" s="1"/>
  <c r="G385" i="16" s="1"/>
  <c r="H385" i="16" s="1"/>
  <c r="I385" i="16" s="1"/>
  <c r="J385" i="16" s="1"/>
  <c r="K385" i="16" s="1"/>
  <c r="L385" i="16" s="1"/>
  <c r="T315" i="16"/>
  <c r="E381" i="16"/>
  <c r="D340" i="16"/>
  <c r="E340" i="16" s="1"/>
  <c r="F340" i="16" s="1"/>
  <c r="G340" i="16" s="1"/>
  <c r="H340" i="16" s="1"/>
  <c r="I340" i="16" s="1"/>
  <c r="J340" i="16" s="1"/>
  <c r="K340" i="16" s="1"/>
  <c r="L340" i="16" s="1"/>
  <c r="E336" i="16"/>
  <c r="E160" i="16"/>
  <c r="F160" i="16" s="1"/>
  <c r="D5" i="17"/>
  <c r="E19" i="16"/>
  <c r="F19" i="16" s="1"/>
  <c r="N55" i="16"/>
  <c r="D55" i="16" s="1"/>
  <c r="E55" i="16" s="1"/>
  <c r="F55" i="16" s="1"/>
  <c r="G55" i="16" s="1"/>
  <c r="H55" i="16" s="1"/>
  <c r="I55" i="16" s="1"/>
  <c r="J55" i="16" s="1"/>
  <c r="K55" i="16" s="1"/>
  <c r="L55" i="16" s="1"/>
  <c r="D58" i="16"/>
  <c r="E58" i="16" s="1"/>
  <c r="F58" i="16" s="1"/>
  <c r="G58" i="16" s="1"/>
  <c r="H58" i="16" s="1"/>
  <c r="I58" i="16" s="1"/>
  <c r="J58" i="16" s="1"/>
  <c r="K58" i="16" s="1"/>
  <c r="L58" i="16" s="1"/>
  <c r="D22" i="16"/>
  <c r="E22" i="16" s="1"/>
  <c r="F22" i="16" s="1"/>
  <c r="G22" i="16" s="1"/>
  <c r="H22" i="16" s="1"/>
  <c r="I22" i="16" s="1"/>
  <c r="J22" i="16" s="1"/>
  <c r="K22" i="16" s="1"/>
  <c r="L22" i="16" s="1"/>
  <c r="D21" i="16"/>
  <c r="E21" i="16" s="1"/>
  <c r="F21" i="16" s="1"/>
  <c r="G21" i="16" s="1"/>
  <c r="H21" i="16" s="1"/>
  <c r="I21" i="16" s="1"/>
  <c r="J21" i="16" s="1"/>
  <c r="K21" i="16" s="1"/>
  <c r="L21" i="16" s="1"/>
  <c r="D20" i="16"/>
  <c r="E20" i="16" s="1"/>
  <c r="F20" i="16" s="1"/>
  <c r="G20" i="16" s="1"/>
  <c r="H20" i="16" s="1"/>
  <c r="I20" i="16" s="1"/>
  <c r="J20" i="16" s="1"/>
  <c r="K20" i="16" s="1"/>
  <c r="L20" i="16" s="1"/>
  <c r="D60" i="16"/>
  <c r="E60" i="16" s="1"/>
  <c r="F60" i="16" s="1"/>
  <c r="G60" i="16" s="1"/>
  <c r="H60" i="16" s="1"/>
  <c r="I60" i="16" s="1"/>
  <c r="J60" i="16" s="1"/>
  <c r="K60" i="16" s="1"/>
  <c r="L60" i="16" s="1"/>
  <c r="D57" i="16"/>
  <c r="E57" i="16" s="1"/>
  <c r="F57" i="16" s="1"/>
  <c r="G57" i="16" s="1"/>
  <c r="H57" i="16" s="1"/>
  <c r="I57" i="16" s="1"/>
  <c r="J57" i="16" s="1"/>
  <c r="K57" i="16" s="1"/>
  <c r="L57" i="16" s="1"/>
  <c r="D56" i="16"/>
  <c r="E56" i="16" s="1"/>
  <c r="F56" i="16" s="1"/>
  <c r="G56" i="16" s="1"/>
  <c r="H56" i="16" s="1"/>
  <c r="I56" i="16" s="1"/>
  <c r="J56" i="16" s="1"/>
  <c r="K56" i="16" s="1"/>
  <c r="L56" i="16" s="1"/>
  <c r="F47" i="16"/>
  <c r="D23" i="16"/>
  <c r="E23" i="16" s="1"/>
  <c r="F23" i="16" s="1"/>
  <c r="G23" i="16" s="1"/>
  <c r="H23" i="16" s="1"/>
  <c r="I23" i="16" s="1"/>
  <c r="J23" i="16" s="1"/>
  <c r="K23" i="16" s="1"/>
  <c r="L23" i="16" s="1"/>
  <c r="F16" i="16"/>
  <c r="O9" i="15"/>
  <c r="P9" i="15"/>
  <c r="Q9" i="15"/>
  <c r="R9" i="15"/>
  <c r="O10" i="15"/>
  <c r="P10" i="15"/>
  <c r="Q10" i="15"/>
  <c r="R10" i="15"/>
  <c r="E123" i="15"/>
  <c r="F123" i="15"/>
  <c r="G123" i="15"/>
  <c r="H123" i="15"/>
  <c r="I123" i="15"/>
  <c r="J123" i="15"/>
  <c r="E125" i="15"/>
  <c r="F125" i="15"/>
  <c r="G125" i="15"/>
  <c r="H125" i="15"/>
  <c r="E132" i="15"/>
  <c r="E126" i="15"/>
  <c r="F126" i="15"/>
  <c r="G126" i="15"/>
  <c r="H126" i="15"/>
  <c r="G82" i="15"/>
  <c r="I54" i="15"/>
  <c r="G60" i="15"/>
  <c r="G64" i="15" s="1"/>
  <c r="G71" i="15"/>
  <c r="H66" i="15"/>
  <c r="I66" i="15" s="1"/>
  <c r="E95" i="15"/>
  <c r="F95" i="15"/>
  <c r="G95" i="15"/>
  <c r="G6" i="14"/>
  <c r="F6" i="14"/>
  <c r="E6" i="14"/>
  <c r="D6" i="14"/>
  <c r="C6" i="14"/>
  <c r="AE70" i="2"/>
  <c r="AE73" i="2"/>
  <c r="AD70" i="2"/>
  <c r="AD72" i="2" s="1"/>
  <c r="AD73" i="2"/>
  <c r="AC70" i="2"/>
  <c r="AC72" i="2" s="1"/>
  <c r="AC73" i="2"/>
  <c r="AB70" i="2"/>
  <c r="AB72" i="2" s="1"/>
  <c r="AB73" i="2"/>
  <c r="AA70" i="2"/>
  <c r="AA72" i="2" s="1"/>
  <c r="AA73" i="2"/>
  <c r="Z70" i="2"/>
  <c r="Z72" i="2" s="1"/>
  <c r="Z73" i="2"/>
  <c r="B53" i="14"/>
  <c r="E72" i="2"/>
  <c r="E75" i="2"/>
  <c r="E76" i="2" s="1"/>
  <c r="F72" i="2"/>
  <c r="X69" i="2"/>
  <c r="X63" i="2" s="1"/>
  <c r="W42" i="1"/>
  <c r="AG42" i="1" s="1"/>
  <c r="V42" i="1"/>
  <c r="AF42" i="1" s="1"/>
  <c r="U42" i="1"/>
  <c r="AE42" i="1" s="1"/>
  <c r="W43" i="1"/>
  <c r="AG43" i="1" s="1"/>
  <c r="V43" i="1"/>
  <c r="AF43" i="1"/>
  <c r="W44" i="1"/>
  <c r="AG44" i="1" s="1"/>
  <c r="V44" i="1"/>
  <c r="AF44" i="1" s="1"/>
  <c r="U44" i="1"/>
  <c r="AE44" i="1" s="1"/>
  <c r="AG45" i="1"/>
  <c r="V45" i="1"/>
  <c r="AF45" i="1" s="1"/>
  <c r="U45" i="1"/>
  <c r="AE45" i="1" s="1"/>
  <c r="W51" i="1"/>
  <c r="AG51" i="1" s="1"/>
  <c r="W53" i="1"/>
  <c r="AG53" i="1"/>
  <c r="W57" i="1"/>
  <c r="AG57" i="1" s="1"/>
  <c r="V57" i="1"/>
  <c r="AF57" i="1" s="1"/>
  <c r="W60" i="1"/>
  <c r="AG60" i="1" s="1"/>
  <c r="W61" i="1"/>
  <c r="AG61" i="1" s="1"/>
  <c r="W65" i="1"/>
  <c r="AG65" i="1" s="1"/>
  <c r="M66" i="1"/>
  <c r="N66" i="1" s="1"/>
  <c r="V66" i="1"/>
  <c r="AF66" i="1" s="1"/>
  <c r="W67" i="1"/>
  <c r="AG67" i="1" s="1"/>
  <c r="Y39" i="1"/>
  <c r="Y77" i="1" s="1"/>
  <c r="O77" i="1"/>
  <c r="AI77" i="1" s="1"/>
  <c r="AD39" i="1"/>
  <c r="AC39" i="1"/>
  <c r="AC77" i="1" s="1"/>
  <c r="S77" i="1"/>
  <c r="AB39" i="1"/>
  <c r="AB77" i="1" s="1"/>
  <c r="R77" i="1"/>
  <c r="AL77" i="1" s="1"/>
  <c r="AA39" i="1"/>
  <c r="AA77" i="1" s="1"/>
  <c r="Q77" i="1"/>
  <c r="AK77" i="1" s="1"/>
  <c r="Z39" i="1"/>
  <c r="Z77" i="1" s="1"/>
  <c r="P77" i="1"/>
  <c r="AJ77" i="1" s="1"/>
  <c r="W63" i="1"/>
  <c r="AG63" i="1" s="1"/>
  <c r="V67" i="1"/>
  <c r="AF67" i="1" s="1"/>
  <c r="M69" i="1"/>
  <c r="M68" i="1"/>
  <c r="M64" i="1"/>
  <c r="N64" i="1" s="1"/>
  <c r="V64" i="1"/>
  <c r="AF64" i="1" s="1"/>
  <c r="V62" i="1"/>
  <c r="AF62" i="1" s="1"/>
  <c r="M62" i="1"/>
  <c r="N62" i="1" s="1"/>
  <c r="L39" i="1"/>
  <c r="M39" i="1" s="1"/>
  <c r="U39" i="1"/>
  <c r="K77" i="1"/>
  <c r="L40" i="1"/>
  <c r="U40" i="1"/>
  <c r="AE40" i="1" s="1"/>
  <c r="L41" i="1"/>
  <c r="U41" i="1"/>
  <c r="AE41" i="1" s="1"/>
  <c r="U43" i="1"/>
  <c r="AE43" i="1" s="1"/>
  <c r="T43" i="1"/>
  <c r="M46" i="1"/>
  <c r="N46" i="1" s="1"/>
  <c r="V46" i="1"/>
  <c r="AF46" i="1" s="1"/>
  <c r="L47" i="1"/>
  <c r="U47" i="1"/>
  <c r="L48" i="1"/>
  <c r="U48" i="1"/>
  <c r="AE48" i="1" s="1"/>
  <c r="M49" i="1"/>
  <c r="N49" i="1" s="1"/>
  <c r="V49" i="1"/>
  <c r="AF49" i="1" s="1"/>
  <c r="L50" i="1"/>
  <c r="U50" i="1"/>
  <c r="AE50" i="1" s="1"/>
  <c r="L52" i="1"/>
  <c r="U52" i="1"/>
  <c r="AE52" i="1" s="1"/>
  <c r="L54" i="1"/>
  <c r="U54" i="1"/>
  <c r="AE54" i="1" s="1"/>
  <c r="M55" i="1"/>
  <c r="N55" i="1" s="1"/>
  <c r="V55" i="1"/>
  <c r="AF55" i="1" s="1"/>
  <c r="M56" i="1"/>
  <c r="N56" i="1" s="1"/>
  <c r="V56" i="1"/>
  <c r="AF56" i="1" s="1"/>
  <c r="M59" i="1"/>
  <c r="N59" i="1" s="1"/>
  <c r="V59" i="1"/>
  <c r="AF59" i="1" s="1"/>
  <c r="AG18" i="1"/>
  <c r="BK18" i="1"/>
  <c r="CC18" i="1" s="1"/>
  <c r="AG22" i="1"/>
  <c r="BK22" i="1"/>
  <c r="CC22" i="1" s="1"/>
  <c r="AF23" i="1"/>
  <c r="BJ23" i="1"/>
  <c r="CB23" i="1" s="1"/>
  <c r="AG23" i="1"/>
  <c r="BK23" i="1"/>
  <c r="CC23" i="1" s="1"/>
  <c r="AF13" i="1"/>
  <c r="BJ13" i="1"/>
  <c r="CB13" i="1" s="1"/>
  <c r="AG13" i="1"/>
  <c r="BK13" i="1"/>
  <c r="CC13" i="1" s="1"/>
  <c r="AF19" i="1"/>
  <c r="BJ19" i="1"/>
  <c r="CB19" i="1" s="1"/>
  <c r="AG19" i="1"/>
  <c r="BK19" i="1"/>
  <c r="CC19" i="1" s="1"/>
  <c r="AF20" i="1"/>
  <c r="BJ20" i="1"/>
  <c r="CB20" i="1" s="1"/>
  <c r="AG20" i="1"/>
  <c r="BK20" i="1"/>
  <c r="CC20" i="1" s="1"/>
  <c r="AF21" i="1"/>
  <c r="BJ21" i="1"/>
  <c r="CB21" i="1" s="1"/>
  <c r="AG21" i="1"/>
  <c r="BK21" i="1"/>
  <c r="CC21" i="1" s="1"/>
  <c r="AE22" i="1"/>
  <c r="BI22" i="1"/>
  <c r="CA22" i="1" s="1"/>
  <c r="AF22" i="1"/>
  <c r="BJ22" i="1"/>
  <c r="CB22" i="1" s="1"/>
  <c r="AE23" i="1"/>
  <c r="BI23" i="1"/>
  <c r="CA23" i="1" s="1"/>
  <c r="AE24" i="1"/>
  <c r="BI24" i="1"/>
  <c r="CA24" i="1" s="1"/>
  <c r="AF24" i="1"/>
  <c r="BJ24" i="1"/>
  <c r="CB24" i="1" s="1"/>
  <c r="AG24" i="1"/>
  <c r="BK24" i="1"/>
  <c r="CC24" i="1" s="1"/>
  <c r="AF25" i="1"/>
  <c r="BJ25" i="1"/>
  <c r="CB25" i="1" s="1"/>
  <c r="AG25" i="1"/>
  <c r="BK25" i="1"/>
  <c r="CC25" i="1" s="1"/>
  <c r="AP15" i="1"/>
  <c r="AQ15" i="1" s="1"/>
  <c r="AR15" i="1" s="1"/>
  <c r="BL15" i="1" s="1"/>
  <c r="CD15" i="1" s="1"/>
  <c r="BZ15" i="1"/>
  <c r="F139" i="6"/>
  <c r="E139" i="6"/>
  <c r="S83" i="2"/>
  <c r="S84" i="2"/>
  <c r="BJ10" i="1"/>
  <c r="CB10" i="1" s="1"/>
  <c r="AF10" i="1"/>
  <c r="V26" i="1"/>
  <c r="BK10" i="1"/>
  <c r="CC10" i="1" s="1"/>
  <c r="AG10" i="1"/>
  <c r="W26" i="1"/>
  <c r="BI10" i="1"/>
  <c r="CA10" i="1" s="1"/>
  <c r="AE10" i="1"/>
  <c r="U26" i="1"/>
  <c r="BJ12" i="1"/>
  <c r="CB12" i="1" s="1"/>
  <c r="AF12" i="1"/>
  <c r="BK12" i="1"/>
  <c r="CC12" i="1" s="1"/>
  <c r="AG12" i="1"/>
  <c r="BK16" i="1"/>
  <c r="CC16" i="1" s="1"/>
  <c r="AG16" i="1"/>
  <c r="AE20" i="1"/>
  <c r="AD26" i="1"/>
  <c r="M7" i="1"/>
  <c r="AG4" i="1"/>
  <c r="AG7" i="1" s="1"/>
  <c r="G15" i="10"/>
  <c r="G14" i="10" s="1"/>
  <c r="F26" i="12" s="1"/>
  <c r="F15" i="10"/>
  <c r="F14" i="10" s="1"/>
  <c r="E26" i="12" s="1"/>
  <c r="E15" i="10"/>
  <c r="E14" i="10" s="1"/>
  <c r="D26" i="12" s="1"/>
  <c r="D15" i="10"/>
  <c r="D14" i="10" s="1"/>
  <c r="C26" i="12" s="1"/>
  <c r="C15" i="10"/>
  <c r="C14" i="10" s="1"/>
  <c r="B26" i="12" s="1"/>
  <c r="C7" i="10"/>
  <c r="B9" i="12" s="1"/>
  <c r="G23" i="10"/>
  <c r="F23" i="10"/>
  <c r="E23" i="10"/>
  <c r="D9" i="12"/>
  <c r="D23" i="10"/>
  <c r="H52" i="10"/>
  <c r="I52" i="10" s="1"/>
  <c r="J52" i="10" s="1"/>
  <c r="K52" i="10" s="1"/>
  <c r="L52" i="10" s="1"/>
  <c r="B19" i="12"/>
  <c r="F19" i="12"/>
  <c r="E19" i="12"/>
  <c r="D19" i="12"/>
  <c r="C19" i="12"/>
  <c r="H70" i="10"/>
  <c r="I70" i="10" s="1"/>
  <c r="J70" i="10" s="1"/>
  <c r="K70" i="10" s="1"/>
  <c r="L70" i="10" s="1"/>
  <c r="C23" i="10"/>
  <c r="B30" i="12" s="1"/>
  <c r="S62" i="10"/>
  <c r="I62" i="10" s="1"/>
  <c r="O8" i="10"/>
  <c r="P8" i="10"/>
  <c r="Q8" i="10"/>
  <c r="O9" i="10"/>
  <c r="P9" i="10"/>
  <c r="Q9" i="10"/>
  <c r="P10" i="10"/>
  <c r="O10" i="10"/>
  <c r="Q10" i="10"/>
  <c r="E123" i="10"/>
  <c r="F123" i="10"/>
  <c r="G123" i="10"/>
  <c r="J123" i="10"/>
  <c r="H123" i="10"/>
  <c r="E126" i="10"/>
  <c r="F126" i="10"/>
  <c r="G126" i="10"/>
  <c r="G71" i="10"/>
  <c r="H66" i="10"/>
  <c r="B17" i="13" s="1"/>
  <c r="J87" i="10"/>
  <c r="K87" i="10" s="1"/>
  <c r="L87" i="10" s="1"/>
  <c r="I54" i="10"/>
  <c r="R99" i="10"/>
  <c r="F125" i="10"/>
  <c r="F7" i="10"/>
  <c r="P91" i="10" s="1"/>
  <c r="G125" i="10"/>
  <c r="G7" i="10"/>
  <c r="E125" i="10"/>
  <c r="I237" i="6" l="1"/>
  <c r="J237" i="6" s="1"/>
  <c r="K237" i="6" s="1"/>
  <c r="K236" i="6" s="1"/>
  <c r="I241" i="6"/>
  <c r="J228" i="6"/>
  <c r="J236" i="6"/>
  <c r="I280" i="6"/>
  <c r="I278" i="6" s="1"/>
  <c r="K231" i="6"/>
  <c r="J231" i="6"/>
  <c r="J159" i="14"/>
  <c r="J219" i="6"/>
  <c r="F37" i="42"/>
  <c r="H9" i="39"/>
  <c r="G39" i="39"/>
  <c r="G78" i="39"/>
  <c r="E35" i="42"/>
  <c r="G19" i="39"/>
  <c r="E44" i="42" s="1"/>
  <c r="N5" i="42"/>
  <c r="I77" i="39"/>
  <c r="I290" i="6"/>
  <c r="I292" i="6"/>
  <c r="L31" i="28"/>
  <c r="I30" i="6"/>
  <c r="K30" i="6"/>
  <c r="V86" i="25"/>
  <c r="L86" i="25" s="1"/>
  <c r="O12" i="26" s="1"/>
  <c r="J40" i="28"/>
  <c r="J55" i="30"/>
  <c r="G312" i="6"/>
  <c r="J36" i="28"/>
  <c r="H312" i="6"/>
  <c r="K36" i="28"/>
  <c r="T99" i="30"/>
  <c r="K99" i="30" s="1"/>
  <c r="E73" i="29"/>
  <c r="K85" i="25"/>
  <c r="N11" i="26" s="1"/>
  <c r="B129" i="29"/>
  <c r="B130" i="29" s="1"/>
  <c r="K30" i="29"/>
  <c r="K40" i="28"/>
  <c r="E29" i="29"/>
  <c r="D45" i="28"/>
  <c r="K32" i="28"/>
  <c r="D29" i="29"/>
  <c r="C45" i="28"/>
  <c r="J32" i="28"/>
  <c r="D73" i="29"/>
  <c r="C76" i="29"/>
  <c r="C92" i="29" s="1"/>
  <c r="C94" i="29" s="1"/>
  <c r="C140" i="29" s="1"/>
  <c r="C132" i="29"/>
  <c r="F13" i="12"/>
  <c r="C25" i="12"/>
  <c r="E14" i="12"/>
  <c r="D20" i="12"/>
  <c r="C20" i="12"/>
  <c r="C36" i="29"/>
  <c r="B36" i="29"/>
  <c r="B76" i="29"/>
  <c r="B92" i="29" s="1"/>
  <c r="K169" i="14"/>
  <c r="K174" i="14" s="1"/>
  <c r="N17" i="36"/>
  <c r="K66" i="25"/>
  <c r="F25" i="26" s="1"/>
  <c r="E25" i="26"/>
  <c r="I64" i="25"/>
  <c r="D17" i="26"/>
  <c r="C18" i="12"/>
  <c r="F21" i="36"/>
  <c r="F22" i="36"/>
  <c r="L70" i="25"/>
  <c r="G29" i="26" s="1"/>
  <c r="F29" i="26"/>
  <c r="C24" i="26"/>
  <c r="C21" i="26" s="1"/>
  <c r="D17" i="12"/>
  <c r="E18" i="12"/>
  <c r="E20" i="12"/>
  <c r="L93" i="25"/>
  <c r="L54" i="25" s="1"/>
  <c r="G13" i="26"/>
  <c r="E17" i="12"/>
  <c r="E12" i="36"/>
  <c r="D25" i="12"/>
  <c r="F121" i="15"/>
  <c r="H58" i="15"/>
  <c r="H97" i="15" s="1"/>
  <c r="H101" i="15" s="1"/>
  <c r="C9" i="12"/>
  <c r="F14" i="27"/>
  <c r="F14" i="20"/>
  <c r="F306" i="6"/>
  <c r="F307" i="6"/>
  <c r="F309" i="6" s="1"/>
  <c r="F312" i="6" s="1"/>
  <c r="F314" i="6" s="1"/>
  <c r="C38" i="29" s="1"/>
  <c r="C134" i="29" s="1"/>
  <c r="B14" i="20"/>
  <c r="B14" i="27"/>
  <c r="G10" i="6"/>
  <c r="C42" i="26"/>
  <c r="C42" i="36"/>
  <c r="C41" i="36"/>
  <c r="J29" i="6"/>
  <c r="K281" i="6"/>
  <c r="I139" i="6"/>
  <c r="I138" i="6" s="1"/>
  <c r="J91" i="14"/>
  <c r="J90" i="14" s="1"/>
  <c r="J89" i="14" s="1"/>
  <c r="K91" i="14"/>
  <c r="S9" i="27"/>
  <c r="H413" i="14"/>
  <c r="D196" i="16"/>
  <c r="E121" i="15"/>
  <c r="C113" i="24"/>
  <c r="G121" i="15"/>
  <c r="D72" i="10"/>
  <c r="D73" i="10" s="1"/>
  <c r="AA74" i="2"/>
  <c r="AC74" i="2"/>
  <c r="E94" i="6" s="1"/>
  <c r="E90" i="6" s="1"/>
  <c r="E72" i="6" s="1"/>
  <c r="P8" i="24"/>
  <c r="R15" i="15"/>
  <c r="E21" i="10"/>
  <c r="D6" i="12" s="1"/>
  <c r="F73" i="10"/>
  <c r="E110" i="10"/>
  <c r="D113" i="10"/>
  <c r="O26" i="18"/>
  <c r="D26" i="18" s="1"/>
  <c r="E26" i="18" s="1"/>
  <c r="E7" i="19" s="1"/>
  <c r="F7" i="24"/>
  <c r="P17" i="24" s="1"/>
  <c r="R26" i="15"/>
  <c r="R24" i="15"/>
  <c r="C113" i="15"/>
  <c r="H121" i="15"/>
  <c r="H113" i="15"/>
  <c r="H45" i="15"/>
  <c r="H82" i="15" s="1"/>
  <c r="H110" i="15"/>
  <c r="R16" i="15"/>
  <c r="R30" i="15"/>
  <c r="H59" i="15"/>
  <c r="H84" i="15" s="1"/>
  <c r="R23" i="15"/>
  <c r="S175" i="4"/>
  <c r="O92" i="10"/>
  <c r="D21" i="10"/>
  <c r="D112" i="10" s="1"/>
  <c r="O23" i="10"/>
  <c r="O15" i="10"/>
  <c r="O91" i="10"/>
  <c r="E113" i="10"/>
  <c r="D110" i="10"/>
  <c r="O25" i="10"/>
  <c r="O16" i="10"/>
  <c r="E118" i="10"/>
  <c r="O76" i="10"/>
  <c r="O30" i="10"/>
  <c r="O24" i="10"/>
  <c r="O18" i="10"/>
  <c r="O7" i="10"/>
  <c r="O17" i="10"/>
  <c r="O26" i="10"/>
  <c r="AD74" i="2"/>
  <c r="F94" i="6" s="1"/>
  <c r="F90" i="6" s="1"/>
  <c r="F72" i="6" s="1"/>
  <c r="X62" i="2"/>
  <c r="X61" i="2"/>
  <c r="R25" i="15"/>
  <c r="I69" i="15"/>
  <c r="J69" i="15" s="1"/>
  <c r="K69" i="15" s="1"/>
  <c r="L69" i="15" s="1"/>
  <c r="H57" i="15"/>
  <c r="D113" i="15"/>
  <c r="H92" i="15"/>
  <c r="H50" i="15" s="1"/>
  <c r="H91" i="15"/>
  <c r="H442" i="14"/>
  <c r="I442" i="14" s="1"/>
  <c r="I441" i="14" s="1"/>
  <c r="I436" i="14" s="1"/>
  <c r="I435" i="14" s="1"/>
  <c r="J169" i="14"/>
  <c r="J174" i="14" s="1"/>
  <c r="E8" i="14"/>
  <c r="G8" i="14"/>
  <c r="E119" i="10"/>
  <c r="D111" i="10"/>
  <c r="O14" i="10"/>
  <c r="E111" i="10"/>
  <c r="E121" i="10"/>
  <c r="F121" i="10"/>
  <c r="G121" i="10"/>
  <c r="C111" i="10"/>
  <c r="O161" i="18"/>
  <c r="O160" i="18" s="1"/>
  <c r="D160" i="18" s="1"/>
  <c r="E160" i="18" s="1"/>
  <c r="E22" i="19" s="1"/>
  <c r="S360" i="18"/>
  <c r="J76" i="2"/>
  <c r="J75" i="2" s="1"/>
  <c r="O8" i="24"/>
  <c r="Q24" i="15"/>
  <c r="H118" i="15"/>
  <c r="AF26" i="1"/>
  <c r="H75" i="14"/>
  <c r="F8" i="14"/>
  <c r="J82" i="14"/>
  <c r="H32" i="14"/>
  <c r="D14" i="12"/>
  <c r="E72" i="10"/>
  <c r="E73" i="10" s="1"/>
  <c r="F20" i="12"/>
  <c r="B14" i="12"/>
  <c r="C21" i="10"/>
  <c r="C29" i="10" s="1"/>
  <c r="C34" i="10" s="1"/>
  <c r="C113" i="10"/>
  <c r="H63" i="18"/>
  <c r="E54" i="17"/>
  <c r="E81" i="16"/>
  <c r="X30" i="2"/>
  <c r="X32" i="2"/>
  <c r="X49" i="2"/>
  <c r="X60" i="2"/>
  <c r="Q8" i="24"/>
  <c r="D113" i="24"/>
  <c r="E7" i="24"/>
  <c r="E118" i="24" s="1"/>
  <c r="Q23" i="15"/>
  <c r="Q91" i="15"/>
  <c r="H53" i="15"/>
  <c r="H63" i="15" s="1"/>
  <c r="Q16" i="15"/>
  <c r="H43" i="15"/>
  <c r="H80" i="15" s="1"/>
  <c r="Q17" i="15"/>
  <c r="C73" i="15"/>
  <c r="J62" i="15"/>
  <c r="R8" i="15"/>
  <c r="Q30" i="15"/>
  <c r="G110" i="15"/>
  <c r="G113" i="15"/>
  <c r="Q8" i="15"/>
  <c r="Q92" i="15"/>
  <c r="R7" i="15"/>
  <c r="Q26" i="15"/>
  <c r="Q76" i="15"/>
  <c r="R76" i="15" s="1"/>
  <c r="S76" i="15" s="1"/>
  <c r="J335" i="6"/>
  <c r="J324" i="6" s="1"/>
  <c r="J330" i="6"/>
  <c r="J328" i="6" s="1"/>
  <c r="AG26" i="1"/>
  <c r="AE26" i="1"/>
  <c r="G119" i="10"/>
  <c r="P14" i="10"/>
  <c r="F119" i="10"/>
  <c r="S47" i="18"/>
  <c r="F59" i="17"/>
  <c r="E59" i="17"/>
  <c r="F51" i="17"/>
  <c r="F54" i="17" s="1"/>
  <c r="F300" i="16"/>
  <c r="F310" i="16" s="1"/>
  <c r="F39" i="17" s="1"/>
  <c r="D447" i="16"/>
  <c r="D458" i="16" s="1"/>
  <c r="Z74" i="2"/>
  <c r="B94" i="6" s="1"/>
  <c r="B90" i="6" s="1"/>
  <c r="B72" i="6" s="1"/>
  <c r="F76" i="2"/>
  <c r="G7" i="24"/>
  <c r="H118" i="24" s="1"/>
  <c r="R8" i="24"/>
  <c r="F73" i="15"/>
  <c r="D110" i="15"/>
  <c r="C110" i="15"/>
  <c r="L77" i="1"/>
  <c r="S9" i="30"/>
  <c r="G17" i="27"/>
  <c r="G17" i="30"/>
  <c r="G13" i="30" s="1"/>
  <c r="U83" i="30"/>
  <c r="J357" i="6"/>
  <c r="K357" i="6" s="1"/>
  <c r="G85" i="14"/>
  <c r="G85" i="6"/>
  <c r="G86" i="6" s="1"/>
  <c r="K326" i="6"/>
  <c r="K319" i="6"/>
  <c r="K456" i="14"/>
  <c r="DI78" i="22"/>
  <c r="DI79" i="22" s="1"/>
  <c r="K438" i="14" s="1"/>
  <c r="K437" i="14" s="1"/>
  <c r="K454" i="14" s="1"/>
  <c r="CQ79" i="22"/>
  <c r="I342" i="6"/>
  <c r="I340" i="6"/>
  <c r="I336" i="6"/>
  <c r="I324" i="6"/>
  <c r="I333" i="6"/>
  <c r="F435" i="14"/>
  <c r="F433" i="14" s="1"/>
  <c r="F455" i="14"/>
  <c r="H435" i="14"/>
  <c r="H433" i="14" s="1"/>
  <c r="H455" i="14"/>
  <c r="J443" i="14"/>
  <c r="K444" i="14"/>
  <c r="K443" i="14" s="1"/>
  <c r="K24" i="29"/>
  <c r="L24" i="29"/>
  <c r="M24" i="29"/>
  <c r="N24" i="29"/>
  <c r="J431" i="14"/>
  <c r="K431" i="14" s="1"/>
  <c r="K430" i="14" s="1"/>
  <c r="K434" i="14" s="1"/>
  <c r="I430" i="14"/>
  <c r="I434" i="14" s="1"/>
  <c r="G16" i="27"/>
  <c r="J68" i="20"/>
  <c r="K70" i="20"/>
  <c r="K67" i="20"/>
  <c r="K56" i="20"/>
  <c r="K58" i="20"/>
  <c r="C15" i="24"/>
  <c r="C14" i="24" s="1"/>
  <c r="C111" i="24" s="1"/>
  <c r="C15" i="25"/>
  <c r="C14" i="25" s="1"/>
  <c r="C21" i="25" s="1"/>
  <c r="D15" i="24"/>
  <c r="D14" i="24" s="1"/>
  <c r="D111" i="24" s="1"/>
  <c r="D15" i="25"/>
  <c r="D14" i="25" s="1"/>
  <c r="D21" i="25" s="1"/>
  <c r="E15" i="24"/>
  <c r="E14" i="24" s="1"/>
  <c r="E15" i="25"/>
  <c r="F15" i="24"/>
  <c r="F15" i="25"/>
  <c r="G15" i="24"/>
  <c r="G15" i="25"/>
  <c r="R15" i="25"/>
  <c r="C131" i="25"/>
  <c r="C118" i="25"/>
  <c r="C110" i="25"/>
  <c r="C113" i="25"/>
  <c r="D131" i="25"/>
  <c r="D118" i="25"/>
  <c r="D110" i="25"/>
  <c r="D113" i="25"/>
  <c r="O92" i="25"/>
  <c r="E7" i="25"/>
  <c r="O8" i="25"/>
  <c r="F7" i="25"/>
  <c r="P92" i="25"/>
  <c r="P8" i="25"/>
  <c r="G7" i="25"/>
  <c r="Q92" i="25"/>
  <c r="Q8" i="25"/>
  <c r="R8" i="25"/>
  <c r="U99" i="27"/>
  <c r="K99" i="27"/>
  <c r="K55" i="27" s="1"/>
  <c r="S83" i="27"/>
  <c r="K70" i="27"/>
  <c r="I68" i="27"/>
  <c r="T66" i="27"/>
  <c r="J66" i="27"/>
  <c r="J68" i="27" s="1"/>
  <c r="AH72" i="2"/>
  <c r="CC76" i="1"/>
  <c r="CD76" i="1"/>
  <c r="AI72" i="2"/>
  <c r="E73" i="15"/>
  <c r="D73" i="15"/>
  <c r="C13" i="12"/>
  <c r="G72" i="15"/>
  <c r="G73" i="15" s="1"/>
  <c r="D8" i="14"/>
  <c r="B17" i="12"/>
  <c r="I66" i="10"/>
  <c r="C17" i="13" s="1"/>
  <c r="U66" i="20"/>
  <c r="K66" i="20"/>
  <c r="J99" i="20"/>
  <c r="J55" i="20" s="1"/>
  <c r="X59" i="1"/>
  <c r="AH59" i="1" s="1"/>
  <c r="X56" i="1"/>
  <c r="AH56" i="1" s="1"/>
  <c r="X55" i="1"/>
  <c r="AH55" i="1" s="1"/>
  <c r="X49" i="1"/>
  <c r="AH49" i="1" s="1"/>
  <c r="X46" i="1"/>
  <c r="AH46" i="1"/>
  <c r="N39" i="1"/>
  <c r="X62" i="1"/>
  <c r="AH62" i="1" s="1"/>
  <c r="X64" i="1"/>
  <c r="AH64" i="1" s="1"/>
  <c r="AG69" i="1"/>
  <c r="N68" i="1"/>
  <c r="N69" i="1"/>
  <c r="AH69" i="1" s="1"/>
  <c r="X66" i="1"/>
  <c r="AH66" i="1" s="1"/>
  <c r="AP14" i="1"/>
  <c r="AQ14" i="1" s="1"/>
  <c r="AR14" i="1" s="1"/>
  <c r="BL14" i="1" s="1"/>
  <c r="CD14" i="1" s="1"/>
  <c r="BI14" i="1"/>
  <c r="BS6" i="1"/>
  <c r="CC6" i="1" s="1"/>
  <c r="BS5" i="1"/>
  <c r="CC5" i="1" s="1"/>
  <c r="BS4" i="1"/>
  <c r="CC4" i="1" s="1"/>
  <c r="BS3" i="1"/>
  <c r="CC3" i="1" s="1"/>
  <c r="I82" i="24"/>
  <c r="I60" i="24"/>
  <c r="I83" i="24"/>
  <c r="I97" i="24"/>
  <c r="I101" i="24" s="1"/>
  <c r="I84" i="24"/>
  <c r="K66" i="24"/>
  <c r="L54" i="24"/>
  <c r="CW22" i="22"/>
  <c r="CW21" i="22" s="1"/>
  <c r="C15" i="15"/>
  <c r="C14" i="15" s="1"/>
  <c r="C21" i="15" s="1"/>
  <c r="B10" i="14"/>
  <c r="D15" i="15"/>
  <c r="D14" i="15" s="1"/>
  <c r="C10" i="14"/>
  <c r="E15" i="15"/>
  <c r="E14" i="15" s="1"/>
  <c r="D10" i="14"/>
  <c r="F15" i="15"/>
  <c r="F14" i="15" s="1"/>
  <c r="E10" i="14"/>
  <c r="G15" i="15"/>
  <c r="Q15" i="15" s="1"/>
  <c r="F10" i="14"/>
  <c r="E17" i="14"/>
  <c r="I27" i="14"/>
  <c r="B55" i="14"/>
  <c r="D55" i="14"/>
  <c r="E55" i="14"/>
  <c r="E12" i="14"/>
  <c r="F55" i="14"/>
  <c r="F12" i="14"/>
  <c r="G55" i="14"/>
  <c r="G17" i="20"/>
  <c r="G16" i="20"/>
  <c r="C40" i="36" s="1"/>
  <c r="O8" i="15"/>
  <c r="E7" i="15"/>
  <c r="P8" i="15"/>
  <c r="F7" i="15"/>
  <c r="Q25" i="15"/>
  <c r="Q18" i="15"/>
  <c r="AB74" i="2"/>
  <c r="D94" i="6" s="1"/>
  <c r="D90" i="6" s="1"/>
  <c r="D72" i="6" s="1"/>
  <c r="X34" i="2"/>
  <c r="X37" i="2"/>
  <c r="X53" i="2"/>
  <c r="X52" i="2"/>
  <c r="X56" i="2"/>
  <c r="X42" i="2"/>
  <c r="I88" i="2"/>
  <c r="X44" i="2"/>
  <c r="X46" i="2"/>
  <c r="X65" i="2"/>
  <c r="X64" i="2"/>
  <c r="X50" i="2"/>
  <c r="X28" i="2"/>
  <c r="C54" i="14"/>
  <c r="C12" i="14" s="1"/>
  <c r="C8" i="14"/>
  <c r="B46" i="17"/>
  <c r="B48" i="17"/>
  <c r="D341" i="18"/>
  <c r="N400" i="18"/>
  <c r="N427" i="18"/>
  <c r="D427" i="18" s="1"/>
  <c r="E36" i="18"/>
  <c r="D66" i="18"/>
  <c r="S258" i="18"/>
  <c r="E47" i="19"/>
  <c r="E356" i="18"/>
  <c r="E45" i="19" s="1"/>
  <c r="D47" i="19"/>
  <c r="D356" i="18"/>
  <c r="D45" i="19" s="1"/>
  <c r="F328" i="18"/>
  <c r="N65" i="18"/>
  <c r="D65" i="18" s="1"/>
  <c r="D12" i="19" s="1"/>
  <c r="D169" i="18"/>
  <c r="E169" i="18" s="1"/>
  <c r="F169" i="18" s="1"/>
  <c r="G169" i="18" s="1"/>
  <c r="H169" i="18" s="1"/>
  <c r="I169" i="18" s="1"/>
  <c r="J169" i="18" s="1"/>
  <c r="K169" i="18" s="1"/>
  <c r="L169" i="18" s="1"/>
  <c r="G384" i="18"/>
  <c r="O329" i="18"/>
  <c r="D329" i="18" s="1"/>
  <c r="E329" i="18" s="1"/>
  <c r="F329" i="18" s="1"/>
  <c r="G329" i="18" s="1"/>
  <c r="H329" i="18" s="1"/>
  <c r="I329" i="18" s="1"/>
  <c r="J329" i="18" s="1"/>
  <c r="K329" i="18" s="1"/>
  <c r="L329" i="18" s="1"/>
  <c r="N83" i="16"/>
  <c r="D84" i="16"/>
  <c r="E84" i="16" s="1"/>
  <c r="F84" i="16" s="1"/>
  <c r="G84" i="16" s="1"/>
  <c r="H84" i="16" s="1"/>
  <c r="I84" i="16" s="1"/>
  <c r="J84" i="16" s="1"/>
  <c r="K84" i="16" s="1"/>
  <c r="L84" i="16" s="1"/>
  <c r="R31" i="16"/>
  <c r="S31" i="16" s="1"/>
  <c r="T32" i="16"/>
  <c r="N50" i="16" s="1"/>
  <c r="D50" i="16" s="1"/>
  <c r="E50" i="16" s="1"/>
  <c r="F50" i="16" s="1"/>
  <c r="G50" i="16" s="1"/>
  <c r="H50" i="16" s="1"/>
  <c r="I50" i="16" s="1"/>
  <c r="J50" i="16" s="1"/>
  <c r="K50" i="16" s="1"/>
  <c r="L50" i="16" s="1"/>
  <c r="N383" i="16"/>
  <c r="D383" i="16" s="1"/>
  <c r="E383" i="16" s="1"/>
  <c r="D162" i="18"/>
  <c r="E162" i="18" s="1"/>
  <c r="F162" i="18" s="1"/>
  <c r="G162" i="18" s="1"/>
  <c r="H162" i="18" s="1"/>
  <c r="I162" i="18" s="1"/>
  <c r="J162" i="18" s="1"/>
  <c r="K162" i="18" s="1"/>
  <c r="L162" i="18" s="1"/>
  <c r="D386" i="18"/>
  <c r="E386" i="18" s="1"/>
  <c r="F386" i="18" s="1"/>
  <c r="G386" i="18" s="1"/>
  <c r="H386" i="18" s="1"/>
  <c r="I386" i="18" s="1"/>
  <c r="J386" i="18" s="1"/>
  <c r="K386" i="18" s="1"/>
  <c r="L386" i="18" s="1"/>
  <c r="D57" i="19"/>
  <c r="G381" i="18"/>
  <c r="S408" i="18"/>
  <c r="N428" i="18" s="1"/>
  <c r="D428" i="18" s="1"/>
  <c r="G425" i="18"/>
  <c r="D67" i="18"/>
  <c r="E67" i="18" s="1"/>
  <c r="F67" i="18" s="1"/>
  <c r="G67" i="18" s="1"/>
  <c r="H67" i="18" s="1"/>
  <c r="I67" i="18" s="1"/>
  <c r="J67" i="18" s="1"/>
  <c r="K67" i="18" s="1"/>
  <c r="L67" i="18" s="1"/>
  <c r="D277" i="18"/>
  <c r="D37" i="19" s="1"/>
  <c r="D278" i="18"/>
  <c r="E278" i="18" s="1"/>
  <c r="F278" i="18" s="1"/>
  <c r="G278" i="18" s="1"/>
  <c r="H278" i="18" s="1"/>
  <c r="I278" i="18" s="1"/>
  <c r="J278" i="18" s="1"/>
  <c r="K278" i="18" s="1"/>
  <c r="L278" i="18" s="1"/>
  <c r="G275" i="18"/>
  <c r="G325" i="18"/>
  <c r="D240" i="18"/>
  <c r="E240" i="18" s="1"/>
  <c r="F240" i="18" s="1"/>
  <c r="G240" i="18" s="1"/>
  <c r="H240" i="18" s="1"/>
  <c r="I240" i="18" s="1"/>
  <c r="J240" i="18" s="1"/>
  <c r="K240" i="18" s="1"/>
  <c r="L240" i="18" s="1"/>
  <c r="D32" i="19"/>
  <c r="G158" i="18"/>
  <c r="G237" i="18"/>
  <c r="D110" i="18"/>
  <c r="E110" i="18" s="1"/>
  <c r="F110" i="18" s="1"/>
  <c r="G110" i="18" s="1"/>
  <c r="H110" i="18" s="1"/>
  <c r="I110" i="18" s="1"/>
  <c r="J110" i="18" s="1"/>
  <c r="K110" i="18" s="1"/>
  <c r="L110" i="18" s="1"/>
  <c r="N109" i="18"/>
  <c r="D204" i="18"/>
  <c r="E204" i="18" s="1"/>
  <c r="F204" i="18" s="1"/>
  <c r="G204" i="18" s="1"/>
  <c r="H204" i="18" s="1"/>
  <c r="I204" i="18" s="1"/>
  <c r="J204" i="18" s="1"/>
  <c r="K204" i="18" s="1"/>
  <c r="L204" i="18" s="1"/>
  <c r="G201" i="18"/>
  <c r="G107" i="18"/>
  <c r="D27" i="18"/>
  <c r="E27" i="18" s="1"/>
  <c r="F27" i="18" s="1"/>
  <c r="G27" i="18" s="1"/>
  <c r="H27" i="18" s="1"/>
  <c r="I27" i="18" s="1"/>
  <c r="J27" i="18" s="1"/>
  <c r="K27" i="18" s="1"/>
  <c r="L27" i="18" s="1"/>
  <c r="G24" i="18"/>
  <c r="C46" i="17"/>
  <c r="C48" i="17"/>
  <c r="G58" i="17"/>
  <c r="G53" i="17"/>
  <c r="G57" i="17"/>
  <c r="G52" i="17"/>
  <c r="T100" i="16"/>
  <c r="T105" i="16" s="1"/>
  <c r="N118" i="16" s="1"/>
  <c r="D83" i="16"/>
  <c r="D92" i="16" s="1"/>
  <c r="F79" i="16"/>
  <c r="F81" i="16" s="1"/>
  <c r="G79" i="16"/>
  <c r="E18" i="16"/>
  <c r="E10" i="17" s="1"/>
  <c r="D10" i="17"/>
  <c r="D23" i="17"/>
  <c r="E276" i="16"/>
  <c r="D33" i="17"/>
  <c r="D40" i="17"/>
  <c r="D45" i="17"/>
  <c r="D6" i="17"/>
  <c r="D11" i="17"/>
  <c r="G56" i="17"/>
  <c r="L333" i="16"/>
  <c r="M333" i="16"/>
  <c r="N333" i="16"/>
  <c r="J166" i="16"/>
  <c r="K166" i="16" s="1"/>
  <c r="L166" i="16" s="1"/>
  <c r="N302" i="16"/>
  <c r="D302" i="16" s="1"/>
  <c r="D303" i="16"/>
  <c r="E303" i="16" s="1"/>
  <c r="F303" i="16" s="1"/>
  <c r="G303" i="16" s="1"/>
  <c r="H303" i="16" s="1"/>
  <c r="I303" i="16" s="1"/>
  <c r="J303" i="16" s="1"/>
  <c r="K303" i="16" s="1"/>
  <c r="L303" i="16" s="1"/>
  <c r="F230" i="16"/>
  <c r="F229" i="16"/>
  <c r="E164" i="16"/>
  <c r="E11" i="17" s="1"/>
  <c r="E196" i="16"/>
  <c r="E6" i="17" s="1"/>
  <c r="F162" i="16"/>
  <c r="G161" i="16"/>
  <c r="O328" i="16"/>
  <c r="O327" i="16"/>
  <c r="Q328" i="16"/>
  <c r="T328" i="16" s="1"/>
  <c r="N351" i="16" s="1"/>
  <c r="P328" i="16"/>
  <c r="Q327" i="16"/>
  <c r="P327" i="16"/>
  <c r="T406" i="16"/>
  <c r="Q414" i="16"/>
  <c r="D339" i="16"/>
  <c r="E339" i="16" s="1"/>
  <c r="F339" i="16" s="1"/>
  <c r="G339" i="16" s="1"/>
  <c r="H339" i="16" s="1"/>
  <c r="I339" i="16" s="1"/>
  <c r="J339" i="16" s="1"/>
  <c r="K339" i="16" s="1"/>
  <c r="L339" i="16" s="1"/>
  <c r="J396" i="16"/>
  <c r="K396" i="16" s="1"/>
  <c r="L396" i="16" s="1"/>
  <c r="K395" i="16"/>
  <c r="N423" i="16"/>
  <c r="F108" i="16"/>
  <c r="G108" i="16" s="1"/>
  <c r="G274" i="16"/>
  <c r="G286" i="16" s="1"/>
  <c r="G28" i="17" s="1"/>
  <c r="G228" i="16"/>
  <c r="F445" i="16"/>
  <c r="D420" i="16"/>
  <c r="E420" i="16" s="1"/>
  <c r="F420" i="16" s="1"/>
  <c r="G420" i="16" s="1"/>
  <c r="H420" i="16" s="1"/>
  <c r="I420" i="16" s="1"/>
  <c r="J420" i="16" s="1"/>
  <c r="K420" i="16" s="1"/>
  <c r="L420" i="16" s="1"/>
  <c r="F417" i="16"/>
  <c r="D52" i="16"/>
  <c r="E52" i="16" s="1"/>
  <c r="F52" i="16" s="1"/>
  <c r="G52" i="16" s="1"/>
  <c r="H52" i="16" s="1"/>
  <c r="I52" i="16" s="1"/>
  <c r="J52" i="16" s="1"/>
  <c r="K52" i="16" s="1"/>
  <c r="L52" i="16" s="1"/>
  <c r="D16" i="17"/>
  <c r="F381" i="16"/>
  <c r="F336" i="16"/>
  <c r="D51" i="16"/>
  <c r="E51" i="16" s="1"/>
  <c r="F51" i="16" s="1"/>
  <c r="G51" i="16" s="1"/>
  <c r="H51" i="16" s="1"/>
  <c r="I51" i="16" s="1"/>
  <c r="J51" i="16" s="1"/>
  <c r="K51" i="16" s="1"/>
  <c r="L51" i="16" s="1"/>
  <c r="G160" i="16"/>
  <c r="G16" i="16"/>
  <c r="V62" i="15"/>
  <c r="L62" i="15" s="1"/>
  <c r="K62" i="15"/>
  <c r="J54" i="15"/>
  <c r="AQ7" i="1"/>
  <c r="AF70" i="2"/>
  <c r="AE72" i="2"/>
  <c r="AE74" i="2" s="1"/>
  <c r="G94" i="6" s="1"/>
  <c r="G90" i="6" s="1"/>
  <c r="C94" i="6"/>
  <c r="C90" i="6" s="1"/>
  <c r="C72" i="10"/>
  <c r="C73" i="10" s="1"/>
  <c r="B20" i="12"/>
  <c r="AG58" i="1"/>
  <c r="W59" i="1"/>
  <c r="AG59" i="1"/>
  <c r="W56" i="1"/>
  <c r="AG56" i="1" s="1"/>
  <c r="W55" i="1"/>
  <c r="AG55" i="1" s="1"/>
  <c r="W49" i="1"/>
  <c r="AG49" i="1" s="1"/>
  <c r="W46" i="1"/>
  <c r="AG46" i="1" s="1"/>
  <c r="AD43" i="1"/>
  <c r="T77" i="1"/>
  <c r="U77" i="1"/>
  <c r="AE39" i="1"/>
  <c r="W62" i="1"/>
  <c r="AG62" i="1"/>
  <c r="W64" i="1"/>
  <c r="AG64" i="1" s="1"/>
  <c r="W68" i="1"/>
  <c r="AG68" i="1" s="1"/>
  <c r="W66" i="1"/>
  <c r="AG66" i="1" s="1"/>
  <c r="V54" i="1"/>
  <c r="AF54" i="1" s="1"/>
  <c r="M54" i="1"/>
  <c r="N54" i="1" s="1"/>
  <c r="M52" i="1"/>
  <c r="N52" i="1" s="1"/>
  <c r="V52" i="1"/>
  <c r="AF52" i="1" s="1"/>
  <c r="M50" i="1"/>
  <c r="N50" i="1" s="1"/>
  <c r="V50" i="1"/>
  <c r="AF50" i="1" s="1"/>
  <c r="M48" i="1"/>
  <c r="N48" i="1" s="1"/>
  <c r="V48" i="1"/>
  <c r="AF48" i="1" s="1"/>
  <c r="M47" i="1"/>
  <c r="N47" i="1" s="1"/>
  <c r="V47" i="1"/>
  <c r="AF47" i="1" s="1"/>
  <c r="M41" i="1"/>
  <c r="N41" i="1" s="1"/>
  <c r="V41" i="1"/>
  <c r="AF41" i="1" s="1"/>
  <c r="M40" i="1"/>
  <c r="N40" i="1" s="1"/>
  <c r="V40" i="1"/>
  <c r="AF40" i="1" s="1"/>
  <c r="V39" i="1"/>
  <c r="F25" i="12"/>
  <c r="F9" i="12"/>
  <c r="E25" i="12"/>
  <c r="E9" i="12"/>
  <c r="F18" i="12"/>
  <c r="F17" i="12"/>
  <c r="C30" i="12"/>
  <c r="D30" i="12"/>
  <c r="E30" i="12"/>
  <c r="F30" i="12"/>
  <c r="B25" i="12"/>
  <c r="C110" i="10"/>
  <c r="T62" i="10"/>
  <c r="G72" i="10"/>
  <c r="G73" i="10" s="1"/>
  <c r="P25" i="10"/>
  <c r="P16" i="10"/>
  <c r="P24" i="10"/>
  <c r="P30" i="10"/>
  <c r="Q26" i="10"/>
  <c r="R26" i="10" s="1"/>
  <c r="S26" i="10" s="1"/>
  <c r="G118" i="10"/>
  <c r="G131" i="10"/>
  <c r="Q30" i="10"/>
  <c r="G110" i="10"/>
  <c r="Q23" i="10"/>
  <c r="G21" i="10"/>
  <c r="F6" i="12" s="1"/>
  <c r="Q15" i="10"/>
  <c r="R15" i="10" s="1"/>
  <c r="S15" i="10" s="1"/>
  <c r="Q92" i="10"/>
  <c r="Q18" i="10"/>
  <c r="R18" i="10" s="1"/>
  <c r="S18" i="10" s="1"/>
  <c r="Q17" i="10"/>
  <c r="R17" i="10" s="1"/>
  <c r="S17" i="10" s="1"/>
  <c r="Q7" i="10"/>
  <c r="J54" i="10"/>
  <c r="G111" i="10"/>
  <c r="G113" i="10"/>
  <c r="Q76" i="10"/>
  <c r="R76" i="10" s="1"/>
  <c r="S76" i="10" s="1"/>
  <c r="T76" i="10" s="1"/>
  <c r="Q24" i="10"/>
  <c r="S24" i="10" s="1"/>
  <c r="Q25" i="10"/>
  <c r="R25" i="10" s="1"/>
  <c r="S25" i="10" s="1"/>
  <c r="Q14" i="10"/>
  <c r="Q16" i="10"/>
  <c r="P92" i="10"/>
  <c r="P18" i="10"/>
  <c r="P7" i="10"/>
  <c r="P23" i="10"/>
  <c r="P26" i="10"/>
  <c r="F118" i="10"/>
  <c r="F131" i="10"/>
  <c r="F21" i="10"/>
  <c r="E6" i="12" s="1"/>
  <c r="F110" i="10"/>
  <c r="P15" i="10"/>
  <c r="F111" i="10"/>
  <c r="P76" i="10"/>
  <c r="P17" i="10"/>
  <c r="Q91" i="10"/>
  <c r="F113" i="10"/>
  <c r="H99" i="10"/>
  <c r="H69" i="10" s="1"/>
  <c r="S99" i="10"/>
  <c r="K126" i="14" l="1"/>
  <c r="K152" i="14"/>
  <c r="K154" i="14" s="1"/>
  <c r="I294" i="6"/>
  <c r="K129" i="14"/>
  <c r="K215" i="6"/>
  <c r="F35" i="42"/>
  <c r="H78" i="39"/>
  <c r="H76" i="39"/>
  <c r="J121" i="14" s="1"/>
  <c r="J125" i="14" s="1"/>
  <c r="J124" i="14" s="1"/>
  <c r="E16" i="42"/>
  <c r="E6" i="42"/>
  <c r="H39" i="39"/>
  <c r="G79" i="39"/>
  <c r="L6" i="42" s="1"/>
  <c r="I19" i="39"/>
  <c r="G44" i="42" s="1"/>
  <c r="H19" i="39"/>
  <c r="F44" i="42" s="1"/>
  <c r="L5" i="42"/>
  <c r="G77" i="39"/>
  <c r="G50" i="39" s="1"/>
  <c r="G91" i="39"/>
  <c r="J30" i="6"/>
  <c r="I26" i="14"/>
  <c r="I13" i="14" s="1"/>
  <c r="J27" i="14"/>
  <c r="K55" i="30"/>
  <c r="H95" i="15"/>
  <c r="U99" i="30"/>
  <c r="K33" i="28"/>
  <c r="H314" i="6"/>
  <c r="G314" i="6"/>
  <c r="J33" i="28"/>
  <c r="K50" i="25"/>
  <c r="D129" i="29"/>
  <c r="D130" i="29" s="1"/>
  <c r="J55" i="28"/>
  <c r="C48" i="28"/>
  <c r="J56" i="28"/>
  <c r="D32" i="29"/>
  <c r="M30" i="29"/>
  <c r="E129" i="29"/>
  <c r="E130" i="29" s="1"/>
  <c r="K55" i="28"/>
  <c r="D48" i="28"/>
  <c r="K56" i="28"/>
  <c r="N30" i="29"/>
  <c r="E32" i="29"/>
  <c r="C111" i="29"/>
  <c r="C114" i="29" s="1"/>
  <c r="C136" i="29" s="1"/>
  <c r="B94" i="29"/>
  <c r="L66" i="25"/>
  <c r="G25" i="26" s="1"/>
  <c r="G15" i="36"/>
  <c r="G13" i="36"/>
  <c r="G23" i="36"/>
  <c r="G21" i="36"/>
  <c r="G22" i="36"/>
  <c r="H8" i="14"/>
  <c r="I8" i="14" s="1"/>
  <c r="G25" i="36"/>
  <c r="F12" i="36"/>
  <c r="D24" i="26"/>
  <c r="D21" i="26" s="1"/>
  <c r="L50" i="25"/>
  <c r="G12" i="26" s="1"/>
  <c r="F12" i="26"/>
  <c r="C43" i="36"/>
  <c r="G94" i="14"/>
  <c r="G95" i="14" s="1"/>
  <c r="G108" i="14"/>
  <c r="G112" i="14" s="1"/>
  <c r="G113" i="14" s="1"/>
  <c r="J139" i="6"/>
  <c r="K139" i="6" s="1"/>
  <c r="B6" i="12"/>
  <c r="E7" i="30"/>
  <c r="E6" i="30" s="1"/>
  <c r="E7" i="27"/>
  <c r="E6" i="27" s="1"/>
  <c r="N14" i="27" s="1"/>
  <c r="C6" i="12"/>
  <c r="H60" i="15"/>
  <c r="H64" i="15" s="1"/>
  <c r="G73" i="6"/>
  <c r="F98" i="6"/>
  <c r="E7" i="20"/>
  <c r="E6" i="20" s="1"/>
  <c r="N97" i="20" s="1"/>
  <c r="G98" i="6"/>
  <c r="G99" i="6" s="1"/>
  <c r="CS49" i="22"/>
  <c r="X49" i="22" s="1"/>
  <c r="Y49" i="22" s="1"/>
  <c r="CT49" i="22" s="1"/>
  <c r="H92" i="6" s="1"/>
  <c r="H90" i="6" s="1"/>
  <c r="H81" i="6" s="1"/>
  <c r="E112" i="10"/>
  <c r="O21" i="10"/>
  <c r="E29" i="10"/>
  <c r="E34" i="10" s="1"/>
  <c r="D22" i="12" s="1"/>
  <c r="D22" i="19"/>
  <c r="F131" i="24"/>
  <c r="F110" i="24"/>
  <c r="P23" i="24"/>
  <c r="F113" i="24"/>
  <c r="P76" i="24"/>
  <c r="H83" i="15"/>
  <c r="E121" i="6"/>
  <c r="E98" i="6"/>
  <c r="P25" i="24"/>
  <c r="P30" i="24"/>
  <c r="P26" i="24"/>
  <c r="P92" i="24"/>
  <c r="P91" i="24"/>
  <c r="E120" i="10"/>
  <c r="D98" i="6"/>
  <c r="P18" i="24"/>
  <c r="P15" i="24"/>
  <c r="P24" i="24"/>
  <c r="P16" i="24"/>
  <c r="D29" i="10"/>
  <c r="D34" i="10" s="1"/>
  <c r="C22" i="12" s="1"/>
  <c r="D161" i="18"/>
  <c r="E161" i="18" s="1"/>
  <c r="F161" i="18" s="1"/>
  <c r="G161" i="18" s="1"/>
  <c r="H161" i="18" s="1"/>
  <c r="I161" i="18" s="1"/>
  <c r="J161" i="18" s="1"/>
  <c r="K161" i="18" s="1"/>
  <c r="L161" i="18" s="1"/>
  <c r="D402" i="16"/>
  <c r="D18" i="17" s="1"/>
  <c r="F7" i="27"/>
  <c r="F6" i="27" s="1"/>
  <c r="CR49" i="22"/>
  <c r="W49" i="22" s="1"/>
  <c r="F7" i="30"/>
  <c r="F121" i="6"/>
  <c r="F7" i="20"/>
  <c r="F6" i="20" s="1"/>
  <c r="O34" i="20" s="1"/>
  <c r="H53" i="24"/>
  <c r="H63" i="24" s="1"/>
  <c r="F91" i="6"/>
  <c r="J442" i="14"/>
  <c r="K442" i="14" s="1"/>
  <c r="K441" i="14" s="1"/>
  <c r="K436" i="14" s="1"/>
  <c r="K435" i="14" s="1"/>
  <c r="K433" i="14" s="1"/>
  <c r="K76" i="2"/>
  <c r="L76" i="2" s="1"/>
  <c r="D7" i="20"/>
  <c r="D6" i="20" s="1"/>
  <c r="E110" i="24"/>
  <c r="O25" i="24"/>
  <c r="O26" i="24"/>
  <c r="O92" i="24"/>
  <c r="O24" i="24"/>
  <c r="O30" i="24"/>
  <c r="O91" i="24"/>
  <c r="G14" i="15"/>
  <c r="G21" i="15" s="1"/>
  <c r="J340" i="6"/>
  <c r="J336" i="6"/>
  <c r="J342" i="6"/>
  <c r="J333" i="6"/>
  <c r="C112" i="10"/>
  <c r="D181" i="18"/>
  <c r="D20" i="19" s="1"/>
  <c r="O17" i="24"/>
  <c r="O7" i="24"/>
  <c r="F118" i="24"/>
  <c r="Q76" i="24"/>
  <c r="R76" i="24" s="1"/>
  <c r="S76" i="24" s="1"/>
  <c r="T76" i="24" s="1"/>
  <c r="G131" i="24"/>
  <c r="O76" i="24"/>
  <c r="H43" i="24"/>
  <c r="H80" i="24" s="1"/>
  <c r="R7" i="24"/>
  <c r="O16" i="24"/>
  <c r="E21" i="24"/>
  <c r="O21" i="24" s="1"/>
  <c r="P7" i="24"/>
  <c r="E113" i="24"/>
  <c r="E131" i="24"/>
  <c r="O18" i="24"/>
  <c r="Q15" i="24"/>
  <c r="O23" i="24"/>
  <c r="G13" i="27"/>
  <c r="I32" i="14"/>
  <c r="I63" i="18"/>
  <c r="G51" i="17"/>
  <c r="G54" i="17" s="1"/>
  <c r="E447" i="16"/>
  <c r="E45" i="17" s="1"/>
  <c r="G300" i="16"/>
  <c r="G310" i="16" s="1"/>
  <c r="G39" i="17" s="1"/>
  <c r="B7" i="30"/>
  <c r="B6" i="30" s="1"/>
  <c r="B7" i="20"/>
  <c r="B6" i="20" s="1"/>
  <c r="B7" i="27"/>
  <c r="B6" i="27" s="1"/>
  <c r="F14" i="24"/>
  <c r="F21" i="24" s="1"/>
  <c r="F29" i="24" s="1"/>
  <c r="G118" i="24"/>
  <c r="G14" i="24"/>
  <c r="G21" i="24" s="1"/>
  <c r="Q21" i="24" s="1"/>
  <c r="Q24" i="24"/>
  <c r="O15" i="24"/>
  <c r="Q17" i="24"/>
  <c r="G110" i="24"/>
  <c r="Q30" i="24"/>
  <c r="Q16" i="24"/>
  <c r="D21" i="24"/>
  <c r="D29" i="24" s="1"/>
  <c r="Q91" i="24"/>
  <c r="Q25" i="24"/>
  <c r="Q7" i="24"/>
  <c r="Q18" i="24"/>
  <c r="G113" i="24"/>
  <c r="C21" i="24"/>
  <c r="C29" i="24" s="1"/>
  <c r="Q23" i="24"/>
  <c r="Q92" i="24"/>
  <c r="Q26" i="24"/>
  <c r="H76" i="15"/>
  <c r="H48" i="15" s="1"/>
  <c r="B98" i="6"/>
  <c r="B99" i="6" s="1"/>
  <c r="B121" i="6"/>
  <c r="J430" i="14"/>
  <c r="J434" i="14" s="1"/>
  <c r="G59" i="17"/>
  <c r="E23" i="17"/>
  <c r="E402" i="16"/>
  <c r="E18" i="17" s="1"/>
  <c r="F383" i="16"/>
  <c r="F23" i="17" s="1"/>
  <c r="P333" i="16"/>
  <c r="E83" i="16"/>
  <c r="E92" i="16" s="1"/>
  <c r="E27" i="16"/>
  <c r="E5" i="17" s="1"/>
  <c r="F18" i="16"/>
  <c r="F10" i="17" s="1"/>
  <c r="N49" i="16"/>
  <c r="D49" i="16" s="1"/>
  <c r="D63" i="16" s="1"/>
  <c r="E91" i="6"/>
  <c r="D121" i="6"/>
  <c r="I433" i="14"/>
  <c r="I453" i="14" s="1"/>
  <c r="CC7" i="1"/>
  <c r="C7" i="30"/>
  <c r="C6" i="30" s="1"/>
  <c r="C72" i="6"/>
  <c r="C73" i="6" s="1"/>
  <c r="E73" i="6"/>
  <c r="G7" i="30"/>
  <c r="D7" i="27"/>
  <c r="D6" i="27" s="1"/>
  <c r="D7" i="30"/>
  <c r="D6" i="30" s="1"/>
  <c r="K327" i="6"/>
  <c r="K330" i="6"/>
  <c r="K328" i="6" s="1"/>
  <c r="K335" i="6"/>
  <c r="N29" i="29"/>
  <c r="M29" i="29"/>
  <c r="L29" i="29"/>
  <c r="K29" i="29"/>
  <c r="G13" i="20"/>
  <c r="K68" i="20"/>
  <c r="C7" i="20"/>
  <c r="C6" i="20" s="1"/>
  <c r="C7" i="27"/>
  <c r="C6" i="27" s="1"/>
  <c r="G7" i="20"/>
  <c r="C36" i="36" s="1"/>
  <c r="G7" i="27"/>
  <c r="G131" i="25"/>
  <c r="G118" i="25"/>
  <c r="G110" i="25"/>
  <c r="Q25" i="25"/>
  <c r="Q18" i="25"/>
  <c r="Q7" i="25"/>
  <c r="H118" i="25"/>
  <c r="R7" i="25"/>
  <c r="K30" i="26" s="1"/>
  <c r="Q16" i="25"/>
  <c r="Q17" i="25"/>
  <c r="G113" i="25"/>
  <c r="Q23" i="25"/>
  <c r="Q24" i="25"/>
  <c r="Q26" i="25"/>
  <c r="Q30" i="25"/>
  <c r="Q91" i="25"/>
  <c r="Q76" i="25"/>
  <c r="F131" i="25"/>
  <c r="F118" i="25"/>
  <c r="F110" i="25"/>
  <c r="P25" i="25"/>
  <c r="P18" i="25"/>
  <c r="P7" i="25"/>
  <c r="P16" i="25"/>
  <c r="P17" i="25"/>
  <c r="F113" i="25"/>
  <c r="P23" i="25"/>
  <c r="P24" i="25"/>
  <c r="P26" i="25"/>
  <c r="P30" i="25"/>
  <c r="P91" i="25"/>
  <c r="P76" i="25"/>
  <c r="E131" i="25"/>
  <c r="E118" i="25"/>
  <c r="E110" i="25"/>
  <c r="O25" i="25"/>
  <c r="O18" i="25"/>
  <c r="O7" i="25"/>
  <c r="O16" i="25"/>
  <c r="O17" i="25"/>
  <c r="E113" i="25"/>
  <c r="O23" i="25"/>
  <c r="O24" i="25"/>
  <c r="O26" i="25"/>
  <c r="O30" i="25"/>
  <c r="O76" i="25"/>
  <c r="O91" i="25"/>
  <c r="D120" i="25"/>
  <c r="D112" i="25"/>
  <c r="D29" i="25"/>
  <c r="C120" i="25"/>
  <c r="C112" i="25"/>
  <c r="C29" i="25"/>
  <c r="G14" i="25"/>
  <c r="Q15" i="25"/>
  <c r="F14" i="25"/>
  <c r="P15" i="25"/>
  <c r="E14" i="25"/>
  <c r="O15" i="25"/>
  <c r="D119" i="25"/>
  <c r="D111" i="25"/>
  <c r="C119" i="25"/>
  <c r="C111" i="25"/>
  <c r="U66" i="27"/>
  <c r="K66" i="27"/>
  <c r="T83" i="27"/>
  <c r="U83" i="27" s="1"/>
  <c r="J66" i="10"/>
  <c r="D17" i="13" s="1"/>
  <c r="K99" i="20"/>
  <c r="K55" i="20" s="1"/>
  <c r="X40" i="1"/>
  <c r="AH40" i="1" s="1"/>
  <c r="X41" i="1"/>
  <c r="AH41" i="1" s="1"/>
  <c r="X47" i="1"/>
  <c r="AH47" i="1" s="1"/>
  <c r="X48" i="1"/>
  <c r="AH48" i="1" s="1"/>
  <c r="X50" i="1"/>
  <c r="AH50" i="1" s="1"/>
  <c r="X52" i="1"/>
  <c r="AH52" i="1" s="1"/>
  <c r="X54" i="1"/>
  <c r="AH54" i="1" s="1"/>
  <c r="X68" i="1"/>
  <c r="AH68" i="1" s="1"/>
  <c r="X39" i="1"/>
  <c r="AH39" i="1"/>
  <c r="N77" i="1"/>
  <c r="O14" i="24"/>
  <c r="E111" i="24"/>
  <c r="E119" i="24"/>
  <c r="L66" i="24"/>
  <c r="D21" i="15"/>
  <c r="D111" i="15"/>
  <c r="C111" i="15"/>
  <c r="C55" i="14"/>
  <c r="P25" i="15"/>
  <c r="P18" i="15"/>
  <c r="P16" i="15"/>
  <c r="P17" i="15"/>
  <c r="P24" i="15"/>
  <c r="P26" i="15"/>
  <c r="P30" i="15"/>
  <c r="F131" i="15"/>
  <c r="F118" i="15"/>
  <c r="F110" i="15"/>
  <c r="F21" i="15"/>
  <c r="P7" i="15"/>
  <c r="G118" i="15"/>
  <c r="Q7" i="15"/>
  <c r="F113" i="15"/>
  <c r="P23" i="15"/>
  <c r="P76" i="15"/>
  <c r="P91" i="15"/>
  <c r="P92" i="15"/>
  <c r="P15" i="15"/>
  <c r="F119" i="15"/>
  <c r="F111" i="15"/>
  <c r="P14" i="15"/>
  <c r="O18" i="15"/>
  <c r="O7" i="15"/>
  <c r="O24" i="15"/>
  <c r="O30" i="15"/>
  <c r="E131" i="15"/>
  <c r="E118" i="15"/>
  <c r="E110" i="15"/>
  <c r="O25" i="15"/>
  <c r="E21" i="15"/>
  <c r="O16" i="15"/>
  <c r="O17" i="15"/>
  <c r="E113" i="15"/>
  <c r="O23" i="15"/>
  <c r="O26" i="15"/>
  <c r="O76" i="15"/>
  <c r="O91" i="15"/>
  <c r="O92" i="15"/>
  <c r="O15" i="15"/>
  <c r="O14" i="15"/>
  <c r="E119" i="15"/>
  <c r="E111" i="15"/>
  <c r="I84" i="14"/>
  <c r="I83" i="14" s="1"/>
  <c r="I87" i="14" s="1"/>
  <c r="I86" i="14" s="1"/>
  <c r="R46" i="35" s="1"/>
  <c r="AE71" i="2"/>
  <c r="D109" i="18"/>
  <c r="E341" i="18"/>
  <c r="D400" i="18"/>
  <c r="F36" i="18"/>
  <c r="E66" i="18"/>
  <c r="F47" i="19"/>
  <c r="F356" i="18"/>
  <c r="F45" i="19" s="1"/>
  <c r="G328" i="18"/>
  <c r="H384" i="18"/>
  <c r="D429" i="18"/>
  <c r="E429" i="18" s="1"/>
  <c r="F429" i="18" s="1"/>
  <c r="G429" i="18" s="1"/>
  <c r="H429" i="18" s="1"/>
  <c r="I429" i="18" s="1"/>
  <c r="J429" i="18" s="1"/>
  <c r="K429" i="18" s="1"/>
  <c r="L429" i="18" s="1"/>
  <c r="E32" i="17"/>
  <c r="G80" i="16"/>
  <c r="G81" i="16" s="1"/>
  <c r="D43" i="18"/>
  <c r="D5" i="19" s="1"/>
  <c r="D7" i="19"/>
  <c r="E57" i="19"/>
  <c r="D55" i="19"/>
  <c r="H381" i="18"/>
  <c r="D67" i="19"/>
  <c r="H425" i="18"/>
  <c r="E65" i="18"/>
  <c r="E12" i="19" s="1"/>
  <c r="D79" i="18"/>
  <c r="D10" i="19" s="1"/>
  <c r="E277" i="18"/>
  <c r="E37" i="19" s="1"/>
  <c r="D292" i="18"/>
  <c r="D35" i="19" s="1"/>
  <c r="H275" i="18"/>
  <c r="H325" i="18"/>
  <c r="E239" i="18"/>
  <c r="E32" i="19" s="1"/>
  <c r="D254" i="18"/>
  <c r="D30" i="19" s="1"/>
  <c r="F160" i="18"/>
  <c r="F22" i="19" s="1"/>
  <c r="E181" i="18"/>
  <c r="E20" i="19" s="1"/>
  <c r="H237" i="18"/>
  <c r="H158" i="18"/>
  <c r="H107" i="18"/>
  <c r="H201" i="18"/>
  <c r="E43" i="18"/>
  <c r="E5" i="19" s="1"/>
  <c r="F26" i="18"/>
  <c r="F7" i="19" s="1"/>
  <c r="H24" i="18"/>
  <c r="Q333" i="16"/>
  <c r="R315" i="16"/>
  <c r="S315" i="16" s="1"/>
  <c r="H52" i="17"/>
  <c r="H57" i="17"/>
  <c r="H53" i="17"/>
  <c r="H58" i="17"/>
  <c r="O333" i="16"/>
  <c r="D118" i="16"/>
  <c r="E118" i="16" s="1"/>
  <c r="F118" i="16" s="1"/>
  <c r="G118" i="16" s="1"/>
  <c r="H118" i="16" s="1"/>
  <c r="I118" i="16" s="1"/>
  <c r="J118" i="16" s="1"/>
  <c r="K118" i="16" s="1"/>
  <c r="L118" i="16" s="1"/>
  <c r="N114" i="16"/>
  <c r="H79" i="16"/>
  <c r="D32" i="17"/>
  <c r="D27" i="17"/>
  <c r="D21" i="17"/>
  <c r="E302" i="16"/>
  <c r="D44" i="17"/>
  <c r="F276" i="16"/>
  <c r="E33" i="17"/>
  <c r="H56" i="17"/>
  <c r="D351" i="16"/>
  <c r="E351" i="16" s="1"/>
  <c r="F351" i="16" s="1"/>
  <c r="G351" i="16" s="1"/>
  <c r="H351" i="16" s="1"/>
  <c r="I351" i="16" s="1"/>
  <c r="J351" i="16" s="1"/>
  <c r="K351" i="16" s="1"/>
  <c r="L351" i="16" s="1"/>
  <c r="G229" i="16"/>
  <c r="G230" i="16"/>
  <c r="G162" i="16"/>
  <c r="H161" i="16"/>
  <c r="T327" i="16"/>
  <c r="N350" i="16" s="1"/>
  <c r="L395" i="16"/>
  <c r="D423" i="16"/>
  <c r="E423" i="16" s="1"/>
  <c r="F423" i="16" s="1"/>
  <c r="G423" i="16" s="1"/>
  <c r="H423" i="16" s="1"/>
  <c r="I423" i="16" s="1"/>
  <c r="J423" i="16" s="1"/>
  <c r="K423" i="16" s="1"/>
  <c r="L423" i="16" s="1"/>
  <c r="N419" i="16"/>
  <c r="E27" i="17"/>
  <c r="H274" i="16"/>
  <c r="H286" i="16" s="1"/>
  <c r="H28" i="17" s="1"/>
  <c r="H228" i="16"/>
  <c r="G445" i="16"/>
  <c r="G417" i="16"/>
  <c r="G381" i="16"/>
  <c r="G336" i="16"/>
  <c r="H160" i="16"/>
  <c r="G47" i="16"/>
  <c r="G18" i="16"/>
  <c r="G10" i="17" s="1"/>
  <c r="F27" i="16"/>
  <c r="F5" i="17" s="1"/>
  <c r="H16" i="16"/>
  <c r="I16" i="16" s="1"/>
  <c r="K54" i="15"/>
  <c r="J66" i="15"/>
  <c r="T76" i="15"/>
  <c r="U76" i="15" s="1"/>
  <c r="V76" i="15" s="1"/>
  <c r="G121" i="6"/>
  <c r="G91" i="6"/>
  <c r="AG70" i="2"/>
  <c r="D91" i="6"/>
  <c r="C98" i="6"/>
  <c r="C121" i="6"/>
  <c r="C91" i="6"/>
  <c r="AF39" i="1"/>
  <c r="AF77" i="1" s="1"/>
  <c r="W40" i="1"/>
  <c r="AG40" i="1"/>
  <c r="W41" i="1"/>
  <c r="AG41" i="1"/>
  <c r="W47" i="1"/>
  <c r="AG47" i="1"/>
  <c r="W48" i="1"/>
  <c r="AG48" i="1"/>
  <c r="W50" i="1"/>
  <c r="AG50" i="1"/>
  <c r="W52" i="1"/>
  <c r="AG52" i="1" s="1"/>
  <c r="W54" i="1"/>
  <c r="AG54" i="1"/>
  <c r="W39" i="1"/>
  <c r="J62" i="10"/>
  <c r="U62" i="10"/>
  <c r="B22" i="12"/>
  <c r="B7" i="12"/>
  <c r="B8" i="12"/>
  <c r="C39" i="10"/>
  <c r="C75" i="10" s="1"/>
  <c r="B5" i="12" s="1"/>
  <c r="Q21" i="10"/>
  <c r="G120" i="10"/>
  <c r="G112" i="10"/>
  <c r="G29" i="10"/>
  <c r="G34" i="10" s="1"/>
  <c r="S30" i="10"/>
  <c r="R30" i="10"/>
  <c r="K54" i="10"/>
  <c r="S16" i="10"/>
  <c r="R16" i="10"/>
  <c r="T26" i="10"/>
  <c r="P21" i="10"/>
  <c r="F120" i="10"/>
  <c r="F112" i="10"/>
  <c r="F29" i="10"/>
  <c r="F34" i="10" s="1"/>
  <c r="C114" i="10"/>
  <c r="T25" i="10"/>
  <c r="T17" i="10"/>
  <c r="T99" i="10"/>
  <c r="J99" i="10" s="1"/>
  <c r="I99" i="10"/>
  <c r="I69" i="10" s="1"/>
  <c r="T24" i="10"/>
  <c r="T18" i="10"/>
  <c r="T15" i="10"/>
  <c r="K216" i="6" l="1"/>
  <c r="K217" i="6" s="1"/>
  <c r="K232" i="6"/>
  <c r="K233" i="6" s="1"/>
  <c r="J126" i="14"/>
  <c r="J152" i="14"/>
  <c r="J154" i="14" s="1"/>
  <c r="M5" i="42"/>
  <c r="H77" i="39"/>
  <c r="I12" i="39"/>
  <c r="L20" i="42"/>
  <c r="P91" i="39"/>
  <c r="L16" i="42"/>
  <c r="F6" i="42"/>
  <c r="I39" i="39"/>
  <c r="H79" i="39"/>
  <c r="M6" i="42" s="1"/>
  <c r="F16" i="42"/>
  <c r="I51" i="39"/>
  <c r="E24" i="42"/>
  <c r="E22" i="42"/>
  <c r="K160" i="14"/>
  <c r="K161" i="14" s="1"/>
  <c r="I125" i="14"/>
  <c r="I124" i="14" s="1"/>
  <c r="I119" i="14"/>
  <c r="H50" i="39"/>
  <c r="E15" i="42"/>
  <c r="G52" i="39"/>
  <c r="E9" i="42" s="1"/>
  <c r="J215" i="6"/>
  <c r="J129" i="14"/>
  <c r="K27" i="14"/>
  <c r="K26" i="14" s="1"/>
  <c r="J26" i="14"/>
  <c r="D60" i="7"/>
  <c r="D38" i="29"/>
  <c r="D134" i="29" s="1"/>
  <c r="J49" i="28"/>
  <c r="E60" i="7"/>
  <c r="E38" i="29"/>
  <c r="E134" i="29" s="1"/>
  <c r="B111" i="29"/>
  <c r="B114" i="29" s="1"/>
  <c r="B136" i="29" s="1"/>
  <c r="B140" i="29"/>
  <c r="E132" i="29"/>
  <c r="E76" i="29"/>
  <c r="E36" i="29"/>
  <c r="D50" i="28" s="1"/>
  <c r="D76" i="29"/>
  <c r="D132" i="29"/>
  <c r="D36" i="29"/>
  <c r="C50" i="28" s="1"/>
  <c r="G12" i="36"/>
  <c r="I84" i="6"/>
  <c r="I85" i="6" s="1"/>
  <c r="I86" i="6" s="1"/>
  <c r="N6" i="20"/>
  <c r="N26" i="20"/>
  <c r="N26" i="27"/>
  <c r="O7" i="30"/>
  <c r="N24" i="27"/>
  <c r="N25" i="27"/>
  <c r="N34" i="27"/>
  <c r="L36" i="29"/>
  <c r="N6" i="27"/>
  <c r="C39" i="36"/>
  <c r="J8" i="14"/>
  <c r="K8" i="14" s="1"/>
  <c r="N24" i="20"/>
  <c r="N32" i="20"/>
  <c r="N33" i="20"/>
  <c r="N35" i="27"/>
  <c r="O29" i="10"/>
  <c r="E114" i="10"/>
  <c r="N35" i="20"/>
  <c r="N34" i="20"/>
  <c r="N36" i="27"/>
  <c r="N30" i="20"/>
  <c r="N14" i="20"/>
  <c r="N25" i="20"/>
  <c r="N36" i="20"/>
  <c r="N82" i="20"/>
  <c r="N97" i="27"/>
  <c r="N82" i="27"/>
  <c r="D114" i="10"/>
  <c r="F73" i="6"/>
  <c r="G76" i="6"/>
  <c r="G77" i="6" s="1"/>
  <c r="N33" i="27"/>
  <c r="N32" i="27"/>
  <c r="N30" i="27"/>
  <c r="E122" i="10"/>
  <c r="Z49" i="22"/>
  <c r="CU49" i="22" s="1"/>
  <c r="I92" i="6" s="1"/>
  <c r="I90" i="6" s="1"/>
  <c r="D7" i="12"/>
  <c r="D8" i="12"/>
  <c r="C7" i="12"/>
  <c r="C8" i="12"/>
  <c r="O7" i="27"/>
  <c r="O7" i="20"/>
  <c r="O97" i="20"/>
  <c r="O82" i="20"/>
  <c r="O35" i="20"/>
  <c r="F6" i="30"/>
  <c r="O25" i="30" s="1"/>
  <c r="O36" i="20"/>
  <c r="G119" i="15"/>
  <c r="Q14" i="15"/>
  <c r="G111" i="15"/>
  <c r="J441" i="14"/>
  <c r="J436" i="14" s="1"/>
  <c r="J435" i="14" s="1"/>
  <c r="J433" i="14" s="1"/>
  <c r="J453" i="14" s="1"/>
  <c r="J457" i="14" s="1"/>
  <c r="M76" i="2"/>
  <c r="K75" i="2"/>
  <c r="L75" i="2" s="1"/>
  <c r="M75" i="2" s="1"/>
  <c r="O6" i="20"/>
  <c r="O30" i="20"/>
  <c r="O24" i="20"/>
  <c r="P7" i="20"/>
  <c r="O33" i="20"/>
  <c r="O32" i="20"/>
  <c r="O25" i="20"/>
  <c r="O14" i="20"/>
  <c r="O26" i="20"/>
  <c r="N7" i="20"/>
  <c r="H79" i="15"/>
  <c r="H49" i="15" s="1"/>
  <c r="H300" i="16"/>
  <c r="H310" i="16" s="1"/>
  <c r="H39" i="17" s="1"/>
  <c r="F111" i="24"/>
  <c r="G119" i="24"/>
  <c r="P21" i="24"/>
  <c r="G120" i="24"/>
  <c r="G112" i="24"/>
  <c r="G29" i="24"/>
  <c r="G34" i="24" s="1"/>
  <c r="H76" i="24"/>
  <c r="H48" i="24" s="1"/>
  <c r="F119" i="24"/>
  <c r="P14" i="24"/>
  <c r="Q14" i="24"/>
  <c r="G111" i="24"/>
  <c r="V18" i="2"/>
  <c r="H51" i="17"/>
  <c r="I51" i="17" s="1"/>
  <c r="F447" i="16"/>
  <c r="F45" i="17" s="1"/>
  <c r="E458" i="16"/>
  <c r="E40" i="17" s="1"/>
  <c r="N338" i="16"/>
  <c r="D338" i="16" s="1"/>
  <c r="D12" i="17" s="1"/>
  <c r="E112" i="24"/>
  <c r="E120" i="24"/>
  <c r="E29" i="24"/>
  <c r="O29" i="24" s="1"/>
  <c r="F120" i="24"/>
  <c r="F112" i="24"/>
  <c r="I320" i="6"/>
  <c r="I321" i="6" s="1"/>
  <c r="J69" i="10"/>
  <c r="K69" i="10" s="1"/>
  <c r="L69" i="10" s="1"/>
  <c r="J63" i="18"/>
  <c r="G383" i="16"/>
  <c r="G23" i="17" s="1"/>
  <c r="F402" i="16"/>
  <c r="F18" i="17" s="1"/>
  <c r="F83" i="16"/>
  <c r="G83" i="16" s="1"/>
  <c r="C112" i="24"/>
  <c r="D112" i="24"/>
  <c r="N7" i="27"/>
  <c r="N7" i="30"/>
  <c r="I457" i="14"/>
  <c r="I455" i="14"/>
  <c r="AH77" i="1"/>
  <c r="K66" i="10"/>
  <c r="L66" i="10" s="1"/>
  <c r="H59" i="17"/>
  <c r="D34" i="17"/>
  <c r="D419" i="16"/>
  <c r="D428" i="16" s="1"/>
  <c r="D29" i="17" s="1"/>
  <c r="D30" i="17" s="1"/>
  <c r="D35" i="17" s="1"/>
  <c r="E49" i="16"/>
  <c r="E63" i="16" s="1"/>
  <c r="D73" i="6"/>
  <c r="AG39" i="1"/>
  <c r="AG77" i="1" s="1"/>
  <c r="G118" i="6"/>
  <c r="G78" i="6"/>
  <c r="AI73" i="2"/>
  <c r="N82" i="30"/>
  <c r="N97" i="30"/>
  <c r="N6" i="30"/>
  <c r="N24" i="30"/>
  <c r="N25" i="30"/>
  <c r="N26" i="30"/>
  <c r="N30" i="30"/>
  <c r="N32" i="30"/>
  <c r="N33" i="30"/>
  <c r="N34" i="30"/>
  <c r="N35" i="30"/>
  <c r="N36" i="30"/>
  <c r="N14" i="30"/>
  <c r="P7" i="30"/>
  <c r="G6" i="30"/>
  <c r="K342" i="6"/>
  <c r="K340" i="6"/>
  <c r="K336" i="6"/>
  <c r="K324" i="6"/>
  <c r="K333" i="6"/>
  <c r="G122" i="6"/>
  <c r="G129" i="6"/>
  <c r="G6" i="20"/>
  <c r="K453" i="14"/>
  <c r="K457" i="14" s="1"/>
  <c r="K320" i="6"/>
  <c r="K36" i="29"/>
  <c r="O25" i="27"/>
  <c r="O6" i="27"/>
  <c r="O24" i="27"/>
  <c r="O26" i="27"/>
  <c r="O30" i="27"/>
  <c r="O32" i="27"/>
  <c r="O33" i="27"/>
  <c r="O34" i="27"/>
  <c r="O35" i="27"/>
  <c r="O36" i="27"/>
  <c r="O82" i="27"/>
  <c r="O97" i="27"/>
  <c r="O14" i="27"/>
  <c r="E119" i="25"/>
  <c r="E111" i="25"/>
  <c r="O14" i="25"/>
  <c r="E21" i="25"/>
  <c r="F119" i="25"/>
  <c r="P14" i="25"/>
  <c r="F111" i="25"/>
  <c r="F21" i="25"/>
  <c r="G119" i="25"/>
  <c r="G111" i="25"/>
  <c r="Q14" i="25"/>
  <c r="G21" i="25"/>
  <c r="C122" i="25"/>
  <c r="C114" i="25"/>
  <c r="C34" i="25"/>
  <c r="D122" i="25"/>
  <c r="D114" i="25"/>
  <c r="D34" i="25"/>
  <c r="G6" i="27"/>
  <c r="P7" i="27"/>
  <c r="K68" i="27"/>
  <c r="C34" i="24"/>
  <c r="C114" i="24"/>
  <c r="D34" i="24"/>
  <c r="D114" i="24"/>
  <c r="P29" i="24"/>
  <c r="F34" i="24"/>
  <c r="F114" i="24"/>
  <c r="H64" i="24"/>
  <c r="C29" i="15"/>
  <c r="C34" i="15" s="1"/>
  <c r="C112" i="15"/>
  <c r="D112" i="15"/>
  <c r="D29" i="15"/>
  <c r="J32" i="14"/>
  <c r="O21" i="15"/>
  <c r="E120" i="15"/>
  <c r="E112" i="15"/>
  <c r="E29" i="15"/>
  <c r="F120" i="15"/>
  <c r="F112" i="15"/>
  <c r="F29" i="15"/>
  <c r="P21" i="15"/>
  <c r="G120" i="15"/>
  <c r="G112" i="15"/>
  <c r="G29" i="15"/>
  <c r="Q21" i="15"/>
  <c r="J84" i="14"/>
  <c r="J83" i="14" s="1"/>
  <c r="J87" i="14" s="1"/>
  <c r="AE75" i="2"/>
  <c r="AD71" i="2"/>
  <c r="AC71" i="2" s="1"/>
  <c r="AB71" i="2" s="1"/>
  <c r="E109" i="18"/>
  <c r="D131" i="18"/>
  <c r="D15" i="19" s="1"/>
  <c r="D17" i="19"/>
  <c r="F341" i="18"/>
  <c r="E400" i="18"/>
  <c r="G36" i="18"/>
  <c r="F66" i="18"/>
  <c r="E428" i="18"/>
  <c r="D62" i="19"/>
  <c r="D444" i="18"/>
  <c r="G47" i="19"/>
  <c r="G356" i="18"/>
  <c r="G45" i="19" s="1"/>
  <c r="H328" i="18"/>
  <c r="I384" i="18"/>
  <c r="F32" i="17"/>
  <c r="H80" i="16"/>
  <c r="H81" i="16" s="1"/>
  <c r="E21" i="17"/>
  <c r="F57" i="19"/>
  <c r="E403" i="18"/>
  <c r="E55" i="19" s="1"/>
  <c r="I381" i="18"/>
  <c r="E427" i="18"/>
  <c r="E67" i="19" s="1"/>
  <c r="D443" i="18"/>
  <c r="D65" i="19" s="1"/>
  <c r="D60" i="19"/>
  <c r="I425" i="18"/>
  <c r="F65" i="18"/>
  <c r="F12" i="19" s="1"/>
  <c r="E79" i="18"/>
  <c r="E10" i="19" s="1"/>
  <c r="F277" i="18"/>
  <c r="F37" i="19" s="1"/>
  <c r="E292" i="18"/>
  <c r="E35" i="19" s="1"/>
  <c r="I275" i="18"/>
  <c r="I325" i="18"/>
  <c r="F239" i="18"/>
  <c r="F32" i="19" s="1"/>
  <c r="E254" i="18"/>
  <c r="E30" i="19" s="1"/>
  <c r="G160" i="18"/>
  <c r="G22" i="19" s="1"/>
  <c r="F181" i="18"/>
  <c r="F20" i="19" s="1"/>
  <c r="I158" i="18"/>
  <c r="I237" i="18"/>
  <c r="I201" i="18"/>
  <c r="I107" i="18"/>
  <c r="F43" i="18"/>
  <c r="F5" i="19" s="1"/>
  <c r="G26" i="18"/>
  <c r="G7" i="19" s="1"/>
  <c r="I24" i="18"/>
  <c r="I58" i="17"/>
  <c r="I53" i="17"/>
  <c r="I57" i="17"/>
  <c r="I52" i="17"/>
  <c r="N110" i="16"/>
  <c r="D110" i="16" s="1"/>
  <c r="D114" i="16"/>
  <c r="E114" i="16" s="1"/>
  <c r="F114" i="16" s="1"/>
  <c r="G114" i="16" s="1"/>
  <c r="H114" i="16" s="1"/>
  <c r="I114" i="16" s="1"/>
  <c r="J114" i="16" s="1"/>
  <c r="K114" i="16" s="1"/>
  <c r="L114" i="16" s="1"/>
  <c r="I79" i="16"/>
  <c r="G276" i="16"/>
  <c r="F33" i="17"/>
  <c r="F302" i="16"/>
  <c r="E44" i="17"/>
  <c r="I56" i="17"/>
  <c r="H230" i="16"/>
  <c r="H229" i="16"/>
  <c r="H162" i="16"/>
  <c r="I161" i="16"/>
  <c r="D350" i="16"/>
  <c r="E350" i="16" s="1"/>
  <c r="F350" i="16" s="1"/>
  <c r="G350" i="16" s="1"/>
  <c r="H350" i="16" s="1"/>
  <c r="I350" i="16" s="1"/>
  <c r="J350" i="16" s="1"/>
  <c r="K350" i="16" s="1"/>
  <c r="L350" i="16" s="1"/>
  <c r="F27" i="17"/>
  <c r="H108" i="16"/>
  <c r="I300" i="16"/>
  <c r="I310" i="16" s="1"/>
  <c r="I39" i="17" s="1"/>
  <c r="I274" i="16"/>
  <c r="I286" i="16" s="1"/>
  <c r="I28" i="17" s="1"/>
  <c r="F164" i="16"/>
  <c r="I228" i="16"/>
  <c r="H445" i="16"/>
  <c r="H417" i="16"/>
  <c r="H381" i="16"/>
  <c r="H336" i="16"/>
  <c r="E16" i="17"/>
  <c r="I160" i="16"/>
  <c r="H47" i="16"/>
  <c r="H18" i="16"/>
  <c r="H10" i="17" s="1"/>
  <c r="G27" i="16"/>
  <c r="G5" i="17" s="1"/>
  <c r="K66" i="15"/>
  <c r="L54" i="15"/>
  <c r="AH70" i="2"/>
  <c r="AI70" i="2" s="1"/>
  <c r="G124" i="6"/>
  <c r="AG73" i="2"/>
  <c r="E22" i="12"/>
  <c r="E8" i="12"/>
  <c r="E7" i="12"/>
  <c r="F22" i="12"/>
  <c r="F8" i="12"/>
  <c r="F7" i="12"/>
  <c r="K62" i="10"/>
  <c r="V62" i="10"/>
  <c r="L62" i="10" s="1"/>
  <c r="C89" i="10"/>
  <c r="B4" i="12"/>
  <c r="T30" i="10"/>
  <c r="C115" i="10"/>
  <c r="T16" i="10"/>
  <c r="F114" i="10"/>
  <c r="F122" i="10"/>
  <c r="P29" i="10"/>
  <c r="L54" i="10"/>
  <c r="D39" i="10"/>
  <c r="D75" i="10" s="1"/>
  <c r="D115" i="10"/>
  <c r="E124" i="10"/>
  <c r="E39" i="10"/>
  <c r="E129" i="10" s="1"/>
  <c r="E115" i="10"/>
  <c r="O35" i="10"/>
  <c r="G114" i="10"/>
  <c r="G122" i="10"/>
  <c r="Q29" i="10"/>
  <c r="G39" i="10"/>
  <c r="G129" i="10" s="1"/>
  <c r="G16" i="42" l="1"/>
  <c r="I61" i="39"/>
  <c r="I62" i="39" s="1"/>
  <c r="I72" i="39" s="1"/>
  <c r="M62" i="7"/>
  <c r="D72" i="7"/>
  <c r="D71" i="7"/>
  <c r="N62" i="7"/>
  <c r="E71" i="7"/>
  <c r="E72" i="7"/>
  <c r="K218" i="6"/>
  <c r="H52" i="7" s="1"/>
  <c r="I215" i="6"/>
  <c r="I232" i="6" s="1"/>
  <c r="I233" i="6" s="1"/>
  <c r="I242" i="6" s="1"/>
  <c r="I252" i="6" s="1"/>
  <c r="I253" i="6" s="1"/>
  <c r="I255" i="6" s="1"/>
  <c r="I152" i="14"/>
  <c r="I154" i="14" s="1"/>
  <c r="J160" i="14"/>
  <c r="J161" i="14" s="1"/>
  <c r="F15" i="42"/>
  <c r="I50" i="39"/>
  <c r="G15" i="42" s="1"/>
  <c r="I126" i="14"/>
  <c r="F24" i="42"/>
  <c r="F22" i="42"/>
  <c r="I79" i="39"/>
  <c r="N6" i="42" s="1"/>
  <c r="G6" i="42"/>
  <c r="K234" i="6"/>
  <c r="N37" i="42" s="1"/>
  <c r="K227" i="6"/>
  <c r="H53" i="7" s="1"/>
  <c r="H12" i="39"/>
  <c r="J232" i="6"/>
  <c r="J233" i="6" s="1"/>
  <c r="J216" i="6"/>
  <c r="G45" i="39"/>
  <c r="J119" i="14"/>
  <c r="I120" i="14"/>
  <c r="I122" i="14" s="1"/>
  <c r="Q91" i="39"/>
  <c r="H91" i="39" s="1"/>
  <c r="I14" i="39"/>
  <c r="G39" i="42"/>
  <c r="M36" i="29"/>
  <c r="N36" i="29"/>
  <c r="D92" i="29"/>
  <c r="J37" i="28"/>
  <c r="J4" i="28"/>
  <c r="J38" i="28"/>
  <c r="E92" i="29"/>
  <c r="K4" i="28"/>
  <c r="K38" i="28"/>
  <c r="K37" i="28"/>
  <c r="O97" i="30"/>
  <c r="O82" i="30"/>
  <c r="O24" i="30"/>
  <c r="O6" i="30"/>
  <c r="J46" i="36"/>
  <c r="J45" i="36"/>
  <c r="J47" i="36"/>
  <c r="C34" i="36"/>
  <c r="J31" i="36" s="1"/>
  <c r="I72" i="6"/>
  <c r="O33" i="30"/>
  <c r="O14" i="30"/>
  <c r="O36" i="30"/>
  <c r="O34" i="30"/>
  <c r="O32" i="30"/>
  <c r="O35" i="30"/>
  <c r="O30" i="30"/>
  <c r="O26" i="30"/>
  <c r="H79" i="24"/>
  <c r="H49" i="24" s="1"/>
  <c r="G114" i="24"/>
  <c r="Q29" i="24"/>
  <c r="G122" i="24"/>
  <c r="G447" i="16"/>
  <c r="G45" i="17" s="1"/>
  <c r="I54" i="17"/>
  <c r="F92" i="16"/>
  <c r="F458" i="16"/>
  <c r="F40" i="17" s="1"/>
  <c r="H54" i="17"/>
  <c r="I59" i="17"/>
  <c r="H383" i="16"/>
  <c r="H23" i="17" s="1"/>
  <c r="G402" i="16"/>
  <c r="G18" i="17" s="1"/>
  <c r="F122" i="24"/>
  <c r="E114" i="24"/>
  <c r="E122" i="24"/>
  <c r="J320" i="6"/>
  <c r="J321" i="6" s="1"/>
  <c r="I337" i="6"/>
  <c r="E34" i="24"/>
  <c r="O35" i="24" s="1"/>
  <c r="P25" i="20"/>
  <c r="K455" i="14"/>
  <c r="K63" i="18"/>
  <c r="L63" i="18" s="1"/>
  <c r="E419" i="16"/>
  <c r="E34" i="17" s="1"/>
  <c r="F49" i="16"/>
  <c r="G49" i="16" s="1"/>
  <c r="P35" i="20"/>
  <c r="P15" i="20"/>
  <c r="P16" i="20"/>
  <c r="P14" i="20"/>
  <c r="P13" i="20"/>
  <c r="P30" i="20"/>
  <c r="G21" i="20"/>
  <c r="P36" i="20"/>
  <c r="P26" i="20"/>
  <c r="P24" i="20"/>
  <c r="J455" i="14"/>
  <c r="P34" i="20"/>
  <c r="P33" i="20"/>
  <c r="P32" i="20"/>
  <c r="P97" i="20"/>
  <c r="R97" i="20" s="1"/>
  <c r="P6" i="20"/>
  <c r="P17" i="20"/>
  <c r="P82" i="20"/>
  <c r="Q82" i="20" s="1"/>
  <c r="R82" i="20" s="1"/>
  <c r="S82" i="20" s="1"/>
  <c r="T82" i="20" s="1"/>
  <c r="U82" i="20" s="1"/>
  <c r="G130" i="6"/>
  <c r="G143" i="6" s="1"/>
  <c r="G146" i="6" s="1"/>
  <c r="G79" i="6"/>
  <c r="P82" i="30"/>
  <c r="P97" i="30"/>
  <c r="P6" i="30"/>
  <c r="P24" i="30"/>
  <c r="P25" i="30"/>
  <c r="P26" i="30"/>
  <c r="P30" i="30"/>
  <c r="P32" i="30"/>
  <c r="P33" i="30"/>
  <c r="P34" i="30"/>
  <c r="P35" i="30"/>
  <c r="P36" i="30"/>
  <c r="P15" i="30"/>
  <c r="P14" i="30"/>
  <c r="P16" i="30"/>
  <c r="P17" i="30"/>
  <c r="G21" i="30"/>
  <c r="P13" i="30"/>
  <c r="K321" i="6"/>
  <c r="K337" i="6"/>
  <c r="I322" i="6"/>
  <c r="I338" i="6"/>
  <c r="P25" i="27"/>
  <c r="G21" i="27"/>
  <c r="P6" i="27"/>
  <c r="P24" i="27"/>
  <c r="P26" i="27"/>
  <c r="P30" i="27"/>
  <c r="P32" i="27"/>
  <c r="P33" i="27"/>
  <c r="P34" i="27"/>
  <c r="P35" i="27"/>
  <c r="P36" i="27"/>
  <c r="P82" i="27"/>
  <c r="Q82" i="27" s="1"/>
  <c r="R82" i="27" s="1"/>
  <c r="S82" i="27" s="1"/>
  <c r="T82" i="27" s="1"/>
  <c r="U82" i="27" s="1"/>
  <c r="P97" i="27"/>
  <c r="R97" i="27" s="1"/>
  <c r="P15" i="27"/>
  <c r="P17" i="27"/>
  <c r="P16" i="27"/>
  <c r="P14" i="27"/>
  <c r="P13" i="27"/>
  <c r="D124" i="25"/>
  <c r="D39" i="25"/>
  <c r="D115" i="25"/>
  <c r="C124" i="25"/>
  <c r="C39" i="25"/>
  <c r="C115" i="25"/>
  <c r="G120" i="25"/>
  <c r="G112" i="25"/>
  <c r="G29" i="25"/>
  <c r="Q21" i="25"/>
  <c r="F120" i="25"/>
  <c r="F112" i="25"/>
  <c r="F29" i="25"/>
  <c r="P21" i="25"/>
  <c r="E120" i="25"/>
  <c r="E112" i="25"/>
  <c r="E29" i="25"/>
  <c r="O21" i="25"/>
  <c r="K84" i="14"/>
  <c r="K83" i="14" s="1"/>
  <c r="K87" i="14" s="1"/>
  <c r="H46" i="25"/>
  <c r="H71" i="25"/>
  <c r="Q35" i="24"/>
  <c r="G39" i="24"/>
  <c r="G115" i="24"/>
  <c r="G124" i="24"/>
  <c r="P35" i="24"/>
  <c r="F39" i="24"/>
  <c r="F115" i="24"/>
  <c r="D39" i="24"/>
  <c r="D115" i="24"/>
  <c r="C39" i="24"/>
  <c r="C115" i="24"/>
  <c r="K32" i="14"/>
  <c r="D114" i="15"/>
  <c r="D34" i="15"/>
  <c r="C39" i="15"/>
  <c r="C114" i="15"/>
  <c r="G122" i="15"/>
  <c r="G114" i="15"/>
  <c r="G34" i="15"/>
  <c r="Q29" i="15"/>
  <c r="F34" i="15"/>
  <c r="F122" i="15"/>
  <c r="F114" i="15"/>
  <c r="P29" i="15"/>
  <c r="E34" i="15"/>
  <c r="E122" i="15"/>
  <c r="E114" i="15"/>
  <c r="O29" i="15"/>
  <c r="T70" i="2"/>
  <c r="E17" i="19"/>
  <c r="F109" i="18"/>
  <c r="E131" i="18"/>
  <c r="E15" i="19" s="1"/>
  <c r="G341" i="18"/>
  <c r="F400" i="18"/>
  <c r="H36" i="18"/>
  <c r="G66" i="18"/>
  <c r="H47" i="19"/>
  <c r="H356" i="18"/>
  <c r="H45" i="19" s="1"/>
  <c r="I328" i="18"/>
  <c r="F428" i="18"/>
  <c r="E62" i="19"/>
  <c r="E444" i="18"/>
  <c r="J384" i="18"/>
  <c r="G32" i="17"/>
  <c r="G92" i="16"/>
  <c r="I80" i="16"/>
  <c r="I81" i="16" s="1"/>
  <c r="F21" i="17"/>
  <c r="G57" i="19"/>
  <c r="F403" i="18"/>
  <c r="F55" i="19" s="1"/>
  <c r="J381" i="18"/>
  <c r="E60" i="19"/>
  <c r="F427" i="18"/>
  <c r="F67" i="19" s="1"/>
  <c r="E443" i="18"/>
  <c r="E65" i="19" s="1"/>
  <c r="J425" i="18"/>
  <c r="G65" i="18"/>
  <c r="G12" i="19" s="1"/>
  <c r="F79" i="18"/>
  <c r="F10" i="19" s="1"/>
  <c r="G277" i="18"/>
  <c r="G37" i="19" s="1"/>
  <c r="F292" i="18"/>
  <c r="F35" i="19" s="1"/>
  <c r="J275" i="18"/>
  <c r="J325" i="18"/>
  <c r="G239" i="18"/>
  <c r="G32" i="19" s="1"/>
  <c r="F254" i="18"/>
  <c r="F30" i="19" s="1"/>
  <c r="H160" i="18"/>
  <c r="H22" i="19" s="1"/>
  <c r="G181" i="18"/>
  <c r="G20" i="19" s="1"/>
  <c r="J237" i="18"/>
  <c r="J158" i="18"/>
  <c r="J107" i="18"/>
  <c r="J201" i="18"/>
  <c r="G43" i="18"/>
  <c r="G5" i="19" s="1"/>
  <c r="H26" i="18"/>
  <c r="H7" i="19" s="1"/>
  <c r="J24" i="18"/>
  <c r="J52" i="17"/>
  <c r="J57" i="17"/>
  <c r="J53" i="17"/>
  <c r="J58" i="17"/>
  <c r="D43" i="17"/>
  <c r="E110" i="16"/>
  <c r="D120" i="16"/>
  <c r="D38" i="17" s="1"/>
  <c r="D41" i="17" s="1"/>
  <c r="J79" i="16"/>
  <c r="F196" i="16"/>
  <c r="F6" i="17" s="1"/>
  <c r="F11" i="17"/>
  <c r="G302" i="16"/>
  <c r="F44" i="17"/>
  <c r="H276" i="16"/>
  <c r="G33" i="17"/>
  <c r="J51" i="17"/>
  <c r="J56" i="17"/>
  <c r="I229" i="16"/>
  <c r="I230" i="16"/>
  <c r="I162" i="16"/>
  <c r="J161" i="16"/>
  <c r="D357" i="16"/>
  <c r="D7" i="17" s="1"/>
  <c r="D8" i="17" s="1"/>
  <c r="D13" i="17" s="1"/>
  <c r="E338" i="16"/>
  <c r="E12" i="17" s="1"/>
  <c r="G27" i="17"/>
  <c r="H83" i="16"/>
  <c r="I108" i="16"/>
  <c r="J300" i="16"/>
  <c r="J310" i="16" s="1"/>
  <c r="J39" i="17" s="1"/>
  <c r="J274" i="16"/>
  <c r="J286" i="16" s="1"/>
  <c r="J28" i="17" s="1"/>
  <c r="J228" i="16"/>
  <c r="G164" i="16"/>
  <c r="I445" i="16"/>
  <c r="I417" i="16"/>
  <c r="I381" i="16"/>
  <c r="J381" i="16" s="1"/>
  <c r="I336" i="16"/>
  <c r="F16" i="17"/>
  <c r="J160" i="16"/>
  <c r="I47" i="16"/>
  <c r="I18" i="16"/>
  <c r="I10" i="17" s="1"/>
  <c r="H27" i="16"/>
  <c r="H5" i="17" s="1"/>
  <c r="J16" i="16"/>
  <c r="L66" i="15"/>
  <c r="AA71" i="2"/>
  <c r="D89" i="10"/>
  <c r="D103" i="10" s="1"/>
  <c r="C5" i="12"/>
  <c r="B31" i="12"/>
  <c r="B21" i="12"/>
  <c r="B12" i="12"/>
  <c r="F4" i="12"/>
  <c r="D4" i="12"/>
  <c r="C4" i="12"/>
  <c r="G124" i="10"/>
  <c r="Q34" i="10"/>
  <c r="G115" i="10"/>
  <c r="Q35" i="10"/>
  <c r="C116" i="10"/>
  <c r="D116" i="10"/>
  <c r="F124" i="10"/>
  <c r="P34" i="10"/>
  <c r="F39" i="10"/>
  <c r="F129" i="10" s="1"/>
  <c r="F115" i="10"/>
  <c r="P35" i="10"/>
  <c r="O39" i="10"/>
  <c r="E127" i="10"/>
  <c r="E75" i="10"/>
  <c r="D5" i="12" s="1"/>
  <c r="E134" i="10"/>
  <c r="E116" i="10"/>
  <c r="K54" i="28" l="1"/>
  <c r="J54" i="28"/>
  <c r="H48" i="7"/>
  <c r="J218" i="6"/>
  <c r="G52" i="7" s="1"/>
  <c r="M20" i="42"/>
  <c r="M16" i="42"/>
  <c r="H44" i="39"/>
  <c r="G38" i="42"/>
  <c r="I15" i="39"/>
  <c r="G41" i="42" s="1"/>
  <c r="J217" i="6"/>
  <c r="I129" i="14"/>
  <c r="K119" i="14"/>
  <c r="I45" i="39" s="1"/>
  <c r="H45" i="39"/>
  <c r="G24" i="42"/>
  <c r="G22" i="42"/>
  <c r="R91" i="39"/>
  <c r="I91" i="39" s="1"/>
  <c r="J234" i="6"/>
  <c r="M37" i="42" s="1"/>
  <c r="J227" i="6"/>
  <c r="G53" i="7" s="1"/>
  <c r="H14" i="39"/>
  <c r="F39" i="42"/>
  <c r="J53" i="28"/>
  <c r="K53" i="28"/>
  <c r="E94" i="29"/>
  <c r="K14" i="28"/>
  <c r="K50" i="28" s="1"/>
  <c r="D94" i="29"/>
  <c r="J14" i="28"/>
  <c r="J50" i="28" s="1"/>
  <c r="H135" i="25"/>
  <c r="C30" i="26"/>
  <c r="K50" i="26"/>
  <c r="K40" i="26"/>
  <c r="H55" i="25"/>
  <c r="K42" i="26"/>
  <c r="C4" i="26"/>
  <c r="K41" i="26"/>
  <c r="C44" i="36"/>
  <c r="F124" i="24"/>
  <c r="C21" i="12"/>
  <c r="C31" i="12"/>
  <c r="C12" i="12"/>
  <c r="AH73" i="2"/>
  <c r="F419" i="16"/>
  <c r="F34" i="17" s="1"/>
  <c r="E428" i="16"/>
  <c r="E29" i="17" s="1"/>
  <c r="E30" i="17" s="1"/>
  <c r="E35" i="17" s="1"/>
  <c r="H447" i="16"/>
  <c r="H45" i="17" s="1"/>
  <c r="G458" i="16"/>
  <c r="G40" i="17" s="1"/>
  <c r="E115" i="24"/>
  <c r="E39" i="24"/>
  <c r="O39" i="24" s="1"/>
  <c r="E124" i="24"/>
  <c r="H402" i="16"/>
  <c r="H18" i="17" s="1"/>
  <c r="I383" i="16"/>
  <c r="I23" i="17" s="1"/>
  <c r="J337" i="6"/>
  <c r="F63" i="16"/>
  <c r="P21" i="20"/>
  <c r="G29" i="20"/>
  <c r="S97" i="20"/>
  <c r="T97" i="20" s="1"/>
  <c r="U97" i="20" s="1"/>
  <c r="J54" i="17"/>
  <c r="J59" i="17"/>
  <c r="G145" i="6"/>
  <c r="P21" i="30"/>
  <c r="G29" i="30"/>
  <c r="I345" i="6"/>
  <c r="I351" i="6" s="1"/>
  <c r="I332" i="6"/>
  <c r="I339" i="6"/>
  <c r="I323" i="6"/>
  <c r="J322" i="6"/>
  <c r="J338" i="6"/>
  <c r="K322" i="6"/>
  <c r="K338" i="6"/>
  <c r="E122" i="25"/>
  <c r="E114" i="25"/>
  <c r="E34" i="25"/>
  <c r="O29" i="25"/>
  <c r="F122" i="25"/>
  <c r="F114" i="25"/>
  <c r="F34" i="25"/>
  <c r="P29" i="25"/>
  <c r="G122" i="25"/>
  <c r="G114" i="25"/>
  <c r="G34" i="25"/>
  <c r="Q29" i="25"/>
  <c r="C127" i="25"/>
  <c r="C75" i="25"/>
  <c r="C89" i="25" s="1"/>
  <c r="C103" i="25" s="1"/>
  <c r="C129" i="25"/>
  <c r="C136" i="25"/>
  <c r="C116" i="25"/>
  <c r="D127" i="25"/>
  <c r="D75" i="25"/>
  <c r="D89" i="25" s="1"/>
  <c r="D103" i="25" s="1"/>
  <c r="D129" i="25"/>
  <c r="D136" i="25"/>
  <c r="D116" i="25"/>
  <c r="S97" i="27"/>
  <c r="G29" i="27"/>
  <c r="P21" i="27"/>
  <c r="H72" i="25"/>
  <c r="I46" i="25"/>
  <c r="C75" i="24"/>
  <c r="C89" i="24" s="1"/>
  <c r="C103" i="24" s="1"/>
  <c r="C106" i="24" s="1"/>
  <c r="D105" i="24" s="1"/>
  <c r="C116" i="24"/>
  <c r="D75" i="24"/>
  <c r="D89" i="24" s="1"/>
  <c r="D103" i="24" s="1"/>
  <c r="D116" i="24"/>
  <c r="P39" i="24"/>
  <c r="F75" i="24"/>
  <c r="F89" i="24" s="1"/>
  <c r="F103" i="24" s="1"/>
  <c r="F116" i="24"/>
  <c r="F129" i="24"/>
  <c r="F134" i="24"/>
  <c r="Q39" i="24"/>
  <c r="G75" i="24"/>
  <c r="G89" i="24" s="1"/>
  <c r="G103" i="24" s="1"/>
  <c r="G116" i="24"/>
  <c r="G127" i="24"/>
  <c r="G129" i="24"/>
  <c r="G134" i="24"/>
  <c r="C115" i="15"/>
  <c r="D39" i="15"/>
  <c r="D115" i="15"/>
  <c r="E39" i="15"/>
  <c r="O35" i="15"/>
  <c r="E124" i="15"/>
  <c r="E115" i="15"/>
  <c r="P35" i="15"/>
  <c r="F124" i="15"/>
  <c r="F39" i="15"/>
  <c r="F115" i="15"/>
  <c r="Q35" i="15"/>
  <c r="G124" i="15"/>
  <c r="G39" i="15"/>
  <c r="G115" i="15"/>
  <c r="F17" i="19"/>
  <c r="G109" i="18"/>
  <c r="F131" i="18"/>
  <c r="F15" i="19" s="1"/>
  <c r="H341" i="18"/>
  <c r="G400" i="18"/>
  <c r="I36" i="18"/>
  <c r="H66" i="18"/>
  <c r="G428" i="18"/>
  <c r="F62" i="19"/>
  <c r="F444" i="18"/>
  <c r="I47" i="19"/>
  <c r="I356" i="18"/>
  <c r="I45" i="19" s="1"/>
  <c r="J328" i="18"/>
  <c r="K384" i="18"/>
  <c r="L384" i="18" s="1"/>
  <c r="N384" i="18" s="1"/>
  <c r="N383" i="18" s="1"/>
  <c r="D383" i="18" s="1"/>
  <c r="H32" i="17"/>
  <c r="H92" i="16"/>
  <c r="J80" i="16"/>
  <c r="J81" i="16" s="1"/>
  <c r="G21" i="17"/>
  <c r="G63" i="16"/>
  <c r="H57" i="19"/>
  <c r="G403" i="18"/>
  <c r="G55" i="19" s="1"/>
  <c r="K381" i="18"/>
  <c r="L381" i="18" s="1"/>
  <c r="G427" i="18"/>
  <c r="G67" i="19" s="1"/>
  <c r="F443" i="18"/>
  <c r="F65" i="19" s="1"/>
  <c r="F60" i="19"/>
  <c r="K425" i="18"/>
  <c r="L425" i="18" s="1"/>
  <c r="H65" i="18"/>
  <c r="H12" i="19" s="1"/>
  <c r="G79" i="18"/>
  <c r="G10" i="19" s="1"/>
  <c r="H277" i="18"/>
  <c r="H37" i="19" s="1"/>
  <c r="G292" i="18"/>
  <c r="G35" i="19" s="1"/>
  <c r="K275" i="18"/>
  <c r="L275" i="18" s="1"/>
  <c r="K325" i="18"/>
  <c r="H239" i="18"/>
  <c r="H32" i="19" s="1"/>
  <c r="G254" i="18"/>
  <c r="G30" i="19" s="1"/>
  <c r="I160" i="18"/>
  <c r="I22" i="19" s="1"/>
  <c r="H181" i="18"/>
  <c r="H20" i="19" s="1"/>
  <c r="K158" i="18"/>
  <c r="L158" i="18" s="1"/>
  <c r="K237" i="18"/>
  <c r="L237" i="18" s="1"/>
  <c r="K201" i="18"/>
  <c r="L201" i="18" s="1"/>
  <c r="K107" i="18"/>
  <c r="L107" i="18" s="1"/>
  <c r="H43" i="18"/>
  <c r="H5" i="19" s="1"/>
  <c r="I26" i="18"/>
  <c r="I7" i="19" s="1"/>
  <c r="K24" i="18"/>
  <c r="D46" i="17"/>
  <c r="K58" i="17"/>
  <c r="L58" i="17" s="1"/>
  <c r="K53" i="17"/>
  <c r="L53" i="17" s="1"/>
  <c r="K57" i="17"/>
  <c r="L57" i="17" s="1"/>
  <c r="K52" i="17"/>
  <c r="L52" i="17" s="1"/>
  <c r="E43" i="17"/>
  <c r="F110" i="16"/>
  <c r="E120" i="16"/>
  <c r="E38" i="17" s="1"/>
  <c r="E41" i="17" s="1"/>
  <c r="K79" i="16"/>
  <c r="G196" i="16"/>
  <c r="G6" i="17" s="1"/>
  <c r="G11" i="17"/>
  <c r="I276" i="16"/>
  <c r="H33" i="17"/>
  <c r="H302" i="16"/>
  <c r="G44" i="17"/>
  <c r="K56" i="17"/>
  <c r="K51" i="17"/>
  <c r="J230" i="16"/>
  <c r="J229" i="16"/>
  <c r="J162" i="16"/>
  <c r="K161" i="16"/>
  <c r="L161" i="16" s="1"/>
  <c r="F338" i="16"/>
  <c r="F12" i="17" s="1"/>
  <c r="E357" i="16"/>
  <c r="E7" i="17" s="1"/>
  <c r="E8" i="17" s="1"/>
  <c r="E13" i="17" s="1"/>
  <c r="H27" i="17"/>
  <c r="I83" i="16"/>
  <c r="J108" i="16"/>
  <c r="K300" i="16"/>
  <c r="K310" i="16" s="1"/>
  <c r="K39" i="17" s="1"/>
  <c r="K274" i="16"/>
  <c r="K286" i="16" s="1"/>
  <c r="K28" i="17" s="1"/>
  <c r="H164" i="16"/>
  <c r="H11" i="17" s="1"/>
  <c r="K228" i="16"/>
  <c r="L228" i="16" s="1"/>
  <c r="H458" i="16"/>
  <c r="H40" i="17" s="1"/>
  <c r="J445" i="16"/>
  <c r="J417" i="16"/>
  <c r="J336" i="16"/>
  <c r="G16" i="17"/>
  <c r="H49" i="16"/>
  <c r="K160" i="16"/>
  <c r="J47" i="16"/>
  <c r="J18" i="16"/>
  <c r="I27" i="16"/>
  <c r="I5" i="17" s="1"/>
  <c r="K16" i="16"/>
  <c r="L16" i="16" s="1"/>
  <c r="Z71" i="2"/>
  <c r="E89" i="10"/>
  <c r="E4" i="12"/>
  <c r="C103" i="10"/>
  <c r="Q39" i="10"/>
  <c r="G75" i="10"/>
  <c r="F5" i="12" s="1"/>
  <c r="G127" i="10"/>
  <c r="G116" i="10"/>
  <c r="G134" i="10"/>
  <c r="F75" i="10"/>
  <c r="E5" i="12" s="1"/>
  <c r="F134" i="10"/>
  <c r="F127" i="10"/>
  <c r="F116" i="10"/>
  <c r="P39" i="10"/>
  <c r="G48" i="7" l="1"/>
  <c r="J118" i="14"/>
  <c r="J120" i="14" s="1"/>
  <c r="J122" i="14" s="1"/>
  <c r="I44" i="39"/>
  <c r="F10" i="42"/>
  <c r="H52" i="39"/>
  <c r="F9" i="42" s="1"/>
  <c r="F38" i="42"/>
  <c r="F41" i="42"/>
  <c r="G12" i="39"/>
  <c r="I216" i="6"/>
  <c r="N16" i="42"/>
  <c r="I160" i="14"/>
  <c r="I161" i="14" s="1"/>
  <c r="D140" i="29"/>
  <c r="D111" i="29"/>
  <c r="E140" i="29"/>
  <c r="E111" i="29"/>
  <c r="I55" i="25"/>
  <c r="D4" i="26"/>
  <c r="L42" i="26"/>
  <c r="L41" i="26"/>
  <c r="C16" i="26"/>
  <c r="C9" i="26" s="1"/>
  <c r="K44" i="26"/>
  <c r="K39" i="26"/>
  <c r="H73" i="25"/>
  <c r="C31" i="26"/>
  <c r="C48" i="36"/>
  <c r="J32" i="36" s="1"/>
  <c r="F127" i="24"/>
  <c r="G419" i="16"/>
  <c r="G34" i="17" s="1"/>
  <c r="F428" i="16"/>
  <c r="F29" i="17" s="1"/>
  <c r="F30" i="17" s="1"/>
  <c r="F35" i="17" s="1"/>
  <c r="E134" i="24"/>
  <c r="E75" i="24"/>
  <c r="E89" i="24" s="1"/>
  <c r="E103" i="24" s="1"/>
  <c r="E116" i="24"/>
  <c r="E129" i="24"/>
  <c r="F128" i="24" s="1"/>
  <c r="E127" i="24"/>
  <c r="G38" i="20"/>
  <c r="P29" i="20"/>
  <c r="I402" i="16"/>
  <c r="I18" i="17" s="1"/>
  <c r="J383" i="16"/>
  <c r="J23" i="17" s="1"/>
  <c r="I447" i="16"/>
  <c r="I45" i="17" s="1"/>
  <c r="H32" i="30"/>
  <c r="P29" i="30"/>
  <c r="G38" i="30"/>
  <c r="I352" i="6"/>
  <c r="I355" i="6" s="1"/>
  <c r="K345" i="6"/>
  <c r="K351" i="6" s="1"/>
  <c r="K332" i="6"/>
  <c r="K339" i="6"/>
  <c r="K323" i="6"/>
  <c r="J345" i="6"/>
  <c r="J351" i="6" s="1"/>
  <c r="J332" i="6"/>
  <c r="J339" i="6"/>
  <c r="J323" i="6"/>
  <c r="I72" i="29"/>
  <c r="G38" i="27"/>
  <c r="P29" i="27"/>
  <c r="T97" i="27"/>
  <c r="U97" i="27" s="1"/>
  <c r="C66" i="6"/>
  <c r="C106" i="25"/>
  <c r="B66" i="6"/>
  <c r="G124" i="25"/>
  <c r="G39" i="25"/>
  <c r="G115" i="25"/>
  <c r="Q35" i="25"/>
  <c r="F124" i="25"/>
  <c r="F39" i="25"/>
  <c r="F115" i="25"/>
  <c r="P35" i="25"/>
  <c r="E124" i="25"/>
  <c r="E39" i="25"/>
  <c r="E115" i="25"/>
  <c r="O35" i="25"/>
  <c r="G128" i="24"/>
  <c r="G132" i="24"/>
  <c r="F132" i="24"/>
  <c r="D106" i="24"/>
  <c r="E105" i="24" s="1"/>
  <c r="D116" i="15"/>
  <c r="D75" i="15"/>
  <c r="D89" i="15" s="1"/>
  <c r="D103" i="15" s="1"/>
  <c r="C116" i="15"/>
  <c r="C75" i="15"/>
  <c r="C89" i="15" s="1"/>
  <c r="C103" i="15" s="1"/>
  <c r="C106" i="15" s="1"/>
  <c r="D105" i="15" s="1"/>
  <c r="Q39" i="15"/>
  <c r="G134" i="15"/>
  <c r="G129" i="15"/>
  <c r="G127" i="15"/>
  <c r="G116" i="15"/>
  <c r="G75" i="15"/>
  <c r="G89" i="15" s="1"/>
  <c r="G103" i="15" s="1"/>
  <c r="P39" i="15"/>
  <c r="F134" i="15"/>
  <c r="F129" i="15"/>
  <c r="F127" i="15"/>
  <c r="F116" i="15"/>
  <c r="F75" i="15"/>
  <c r="F89" i="15" s="1"/>
  <c r="F103" i="15" s="1"/>
  <c r="O39" i="15"/>
  <c r="E134" i="15"/>
  <c r="E129" i="15"/>
  <c r="E127" i="15"/>
  <c r="E116" i="15"/>
  <c r="E75" i="15"/>
  <c r="E89" i="15" s="1"/>
  <c r="E103" i="15" s="1"/>
  <c r="G17" i="19"/>
  <c r="H109" i="18"/>
  <c r="G131" i="18"/>
  <c r="G15" i="19" s="1"/>
  <c r="L79" i="16"/>
  <c r="I341" i="18"/>
  <c r="H400" i="18"/>
  <c r="J36" i="18"/>
  <c r="I66" i="18"/>
  <c r="J47" i="19"/>
  <c r="J356" i="18"/>
  <c r="J45" i="19" s="1"/>
  <c r="K328" i="18"/>
  <c r="H428" i="18"/>
  <c r="G62" i="19"/>
  <c r="G444" i="18"/>
  <c r="D52" i="19"/>
  <c r="E383" i="18"/>
  <c r="D402" i="18"/>
  <c r="D50" i="19" s="1"/>
  <c r="I32" i="17"/>
  <c r="I92" i="16"/>
  <c r="K80" i="16"/>
  <c r="H21" i="17"/>
  <c r="H63" i="16"/>
  <c r="I57" i="19"/>
  <c r="H403" i="18"/>
  <c r="H55" i="19" s="1"/>
  <c r="G60" i="19"/>
  <c r="H427" i="18"/>
  <c r="H67" i="19" s="1"/>
  <c r="G443" i="18"/>
  <c r="G65" i="19" s="1"/>
  <c r="I65" i="18"/>
  <c r="I12" i="19" s="1"/>
  <c r="H79" i="18"/>
  <c r="H10" i="19" s="1"/>
  <c r="L325" i="18"/>
  <c r="I277" i="18"/>
  <c r="I37" i="19" s="1"/>
  <c r="H292" i="18"/>
  <c r="H35" i="19" s="1"/>
  <c r="I239" i="18"/>
  <c r="I32" i="19" s="1"/>
  <c r="H254" i="18"/>
  <c r="H30" i="19" s="1"/>
  <c r="J160" i="18"/>
  <c r="J22" i="19" s="1"/>
  <c r="I181" i="18"/>
  <c r="I20" i="19" s="1"/>
  <c r="I43" i="18"/>
  <c r="I5" i="19" s="1"/>
  <c r="J26" i="18"/>
  <c r="J7" i="19" s="1"/>
  <c r="L24" i="18"/>
  <c r="E46" i="17"/>
  <c r="L51" i="17"/>
  <c r="L54" i="17" s="1"/>
  <c r="K54" i="17"/>
  <c r="L56" i="17"/>
  <c r="L59" i="17" s="1"/>
  <c r="K59" i="17"/>
  <c r="F43" i="17"/>
  <c r="G110" i="16"/>
  <c r="F120" i="16"/>
  <c r="F38" i="17" s="1"/>
  <c r="F41" i="17" s="1"/>
  <c r="J27" i="16"/>
  <c r="J5" i="17" s="1"/>
  <c r="J10" i="17"/>
  <c r="I302" i="16"/>
  <c r="H44" i="17"/>
  <c r="J276" i="16"/>
  <c r="I33" i="17"/>
  <c r="K229" i="16"/>
  <c r="L229" i="16" s="1"/>
  <c r="K230" i="16"/>
  <c r="L230" i="16" s="1"/>
  <c r="I164" i="16"/>
  <c r="H196" i="16"/>
  <c r="H6" i="17" s="1"/>
  <c r="K162" i="16"/>
  <c r="G338" i="16"/>
  <c r="G12" i="17" s="1"/>
  <c r="F357" i="16"/>
  <c r="F7" i="17" s="1"/>
  <c r="F8" i="17" s="1"/>
  <c r="F13" i="17" s="1"/>
  <c r="H419" i="16"/>
  <c r="H34" i="17" s="1"/>
  <c r="G428" i="16"/>
  <c r="G29" i="17" s="1"/>
  <c r="G30" i="17" s="1"/>
  <c r="G35" i="17" s="1"/>
  <c r="I27" i="17"/>
  <c r="J83" i="16"/>
  <c r="K108" i="16"/>
  <c r="L108" i="16" s="1"/>
  <c r="L300" i="16"/>
  <c r="L310" i="16" s="1"/>
  <c r="L39" i="17" s="1"/>
  <c r="L274" i="16"/>
  <c r="L286" i="16" s="1"/>
  <c r="L28" i="17" s="1"/>
  <c r="L160" i="16"/>
  <c r="I458" i="16"/>
  <c r="I40" i="17" s="1"/>
  <c r="J447" i="16"/>
  <c r="J45" i="17" s="1"/>
  <c r="K445" i="16"/>
  <c r="L445" i="16" s="1"/>
  <c r="K417" i="16"/>
  <c r="L417" i="16" s="1"/>
  <c r="K381" i="16"/>
  <c r="L381" i="16" s="1"/>
  <c r="K336" i="16"/>
  <c r="L336" i="16" s="1"/>
  <c r="H16" i="17"/>
  <c r="I49" i="16"/>
  <c r="K47" i="16"/>
  <c r="L47" i="16" s="1"/>
  <c r="K18" i="16"/>
  <c r="K10" i="17" s="1"/>
  <c r="F89" i="10"/>
  <c r="G89" i="10"/>
  <c r="D21" i="12"/>
  <c r="D12" i="12"/>
  <c r="D31" i="12"/>
  <c r="E103" i="10"/>
  <c r="C106" i="10"/>
  <c r="D105" i="10" s="1"/>
  <c r="D106" i="10" s="1"/>
  <c r="E105" i="10" s="1"/>
  <c r="F128" i="10"/>
  <c r="F132" i="10"/>
  <c r="G128" i="10"/>
  <c r="G132" i="10"/>
  <c r="I234" i="6" l="1"/>
  <c r="L37" i="42" s="1"/>
  <c r="I227" i="6"/>
  <c r="F53" i="7" s="1"/>
  <c r="I217" i="6"/>
  <c r="I218" i="6"/>
  <c r="F52" i="7" s="1"/>
  <c r="G10" i="42"/>
  <c r="I52" i="39"/>
  <c r="G9" i="42" s="1"/>
  <c r="K118" i="14"/>
  <c r="K120" i="14" s="1"/>
  <c r="K122" i="14" s="1"/>
  <c r="E39" i="42"/>
  <c r="G14" i="39"/>
  <c r="D114" i="29"/>
  <c r="J25" i="28"/>
  <c r="E114" i="29"/>
  <c r="K25" i="28"/>
  <c r="E106" i="24"/>
  <c r="F105" i="24" s="1"/>
  <c r="F106" i="24" s="1"/>
  <c r="G105" i="24" s="1"/>
  <c r="G106" i="24" s="1"/>
  <c r="H105" i="24" s="1"/>
  <c r="D16" i="26"/>
  <c r="D9" i="26" s="1"/>
  <c r="L39" i="26"/>
  <c r="C51" i="36"/>
  <c r="D105" i="25"/>
  <c r="D106" i="25" s="1"/>
  <c r="E105" i="25" s="1"/>
  <c r="J55" i="36"/>
  <c r="J56" i="36"/>
  <c r="E106" i="10"/>
  <c r="F105" i="10" s="1"/>
  <c r="P39" i="20"/>
  <c r="P38" i="20"/>
  <c r="J402" i="16"/>
  <c r="J18" i="17" s="1"/>
  <c r="K383" i="16"/>
  <c r="D106" i="15"/>
  <c r="E105" i="15" s="1"/>
  <c r="E106" i="15" s="1"/>
  <c r="F105" i="15" s="1"/>
  <c r="F106" i="15" s="1"/>
  <c r="G105" i="15" s="1"/>
  <c r="G106" i="15" s="1"/>
  <c r="H105" i="15" s="1"/>
  <c r="P38" i="30"/>
  <c r="P39" i="30"/>
  <c r="J352" i="6"/>
  <c r="J355" i="6" s="1"/>
  <c r="K352" i="6"/>
  <c r="K355" i="6" s="1"/>
  <c r="I356" i="6"/>
  <c r="I358" i="6" s="1"/>
  <c r="I360" i="6" s="1"/>
  <c r="E136" i="25"/>
  <c r="E129" i="25"/>
  <c r="E127" i="25"/>
  <c r="E116" i="25"/>
  <c r="E75" i="25"/>
  <c r="E89" i="25" s="1"/>
  <c r="E103" i="25" s="1"/>
  <c r="O39" i="25"/>
  <c r="F136" i="25"/>
  <c r="F129" i="25"/>
  <c r="F127" i="25"/>
  <c r="F116" i="25"/>
  <c r="F75" i="25"/>
  <c r="F89" i="25" s="1"/>
  <c r="F103" i="25" s="1"/>
  <c r="P39" i="25"/>
  <c r="G136" i="25"/>
  <c r="G129" i="25"/>
  <c r="G127" i="25"/>
  <c r="G116" i="25"/>
  <c r="G75" i="25"/>
  <c r="G89" i="25" s="1"/>
  <c r="G103" i="25" s="1"/>
  <c r="Q39" i="25"/>
  <c r="P38" i="27"/>
  <c r="P39" i="27"/>
  <c r="F132" i="15"/>
  <c r="F128" i="15"/>
  <c r="G132" i="15"/>
  <c r="G128" i="15"/>
  <c r="H17" i="19"/>
  <c r="I109" i="18"/>
  <c r="H131" i="18"/>
  <c r="H15" i="19" s="1"/>
  <c r="L80" i="16"/>
  <c r="L81" i="16" s="1"/>
  <c r="K81" i="16"/>
  <c r="J341" i="18"/>
  <c r="I400" i="18"/>
  <c r="K36" i="18"/>
  <c r="J66" i="18"/>
  <c r="I428" i="18"/>
  <c r="H62" i="19"/>
  <c r="H444" i="18"/>
  <c r="H60" i="19" s="1"/>
  <c r="K47" i="19"/>
  <c r="K356" i="18"/>
  <c r="K45" i="19" s="1"/>
  <c r="L328" i="18"/>
  <c r="E52" i="19"/>
  <c r="F383" i="18"/>
  <c r="E402" i="18"/>
  <c r="E50" i="19" s="1"/>
  <c r="J32" i="17"/>
  <c r="J92" i="16"/>
  <c r="I21" i="17"/>
  <c r="I63" i="16"/>
  <c r="J57" i="19"/>
  <c r="I403" i="18"/>
  <c r="I55" i="19" s="1"/>
  <c r="I427" i="18"/>
  <c r="I67" i="19" s="1"/>
  <c r="H443" i="18"/>
  <c r="H65" i="19" s="1"/>
  <c r="J65" i="18"/>
  <c r="J12" i="19" s="1"/>
  <c r="I79" i="18"/>
  <c r="I10" i="19" s="1"/>
  <c r="J277" i="18"/>
  <c r="J37" i="19" s="1"/>
  <c r="I292" i="18"/>
  <c r="I35" i="19" s="1"/>
  <c r="J239" i="18"/>
  <c r="J32" i="19" s="1"/>
  <c r="I254" i="18"/>
  <c r="I30" i="19" s="1"/>
  <c r="K160" i="18"/>
  <c r="K22" i="19" s="1"/>
  <c r="J181" i="18"/>
  <c r="J20" i="19" s="1"/>
  <c r="J43" i="18"/>
  <c r="J5" i="19" s="1"/>
  <c r="K26" i="18"/>
  <c r="K7" i="19" s="1"/>
  <c r="F46" i="17"/>
  <c r="K23" i="17"/>
  <c r="L383" i="16"/>
  <c r="L402" i="16" s="1"/>
  <c r="G43" i="17"/>
  <c r="H110" i="16"/>
  <c r="G120" i="16"/>
  <c r="G38" i="17" s="1"/>
  <c r="G41" i="17" s="1"/>
  <c r="I196" i="16"/>
  <c r="I6" i="17" s="1"/>
  <c r="I11" i="17"/>
  <c r="K276" i="16"/>
  <c r="J33" i="17"/>
  <c r="J302" i="16"/>
  <c r="I44" i="17"/>
  <c r="L162" i="16"/>
  <c r="H338" i="16"/>
  <c r="H12" i="17" s="1"/>
  <c r="G357" i="16"/>
  <c r="G7" i="17" s="1"/>
  <c r="G8" i="17" s="1"/>
  <c r="G13" i="17" s="1"/>
  <c r="I419" i="16"/>
  <c r="I34" i="17" s="1"/>
  <c r="H428" i="16"/>
  <c r="H29" i="17" s="1"/>
  <c r="H30" i="17" s="1"/>
  <c r="H35" i="17" s="1"/>
  <c r="J27" i="17"/>
  <c r="K83" i="16"/>
  <c r="J164" i="16"/>
  <c r="J458" i="16"/>
  <c r="J40" i="17" s="1"/>
  <c r="K447" i="16"/>
  <c r="K45" i="17" s="1"/>
  <c r="K402" i="16"/>
  <c r="K18" i="17" s="1"/>
  <c r="I16" i="17"/>
  <c r="J49" i="16"/>
  <c r="L18" i="16"/>
  <c r="K27" i="16"/>
  <c r="K5" i="17" s="1"/>
  <c r="F21" i="12"/>
  <c r="F12" i="12"/>
  <c r="F31" i="12"/>
  <c r="G103" i="10"/>
  <c r="E21" i="12"/>
  <c r="E12" i="12"/>
  <c r="E31" i="12"/>
  <c r="F103" i="10"/>
  <c r="BI3" i="1"/>
  <c r="C38" i="4"/>
  <c r="B38" i="4"/>
  <c r="J193" i="6"/>
  <c r="I191" i="6"/>
  <c r="J191" i="6" s="1"/>
  <c r="I190" i="6"/>
  <c r="J190" i="6" s="1"/>
  <c r="B16" i="4"/>
  <c r="C16" i="4"/>
  <c r="D16" i="4"/>
  <c r="E16" i="4"/>
  <c r="A16" i="4"/>
  <c r="F184" i="6"/>
  <c r="I57" i="7"/>
  <c r="I175" i="6"/>
  <c r="J175" i="6" s="1"/>
  <c r="I151" i="6"/>
  <c r="J151" i="6" s="1"/>
  <c r="K151" i="6" s="1"/>
  <c r="R69" i="2"/>
  <c r="AD75" i="2" s="1"/>
  <c r="F137" i="6"/>
  <c r="E137" i="6"/>
  <c r="D137" i="6"/>
  <c r="C137" i="6"/>
  <c r="H50" i="2"/>
  <c r="H49" i="2"/>
  <c r="H48" i="2"/>
  <c r="BY27" i="1"/>
  <c r="BG27" i="1" s="1"/>
  <c r="BZ28" i="1"/>
  <c r="AL27" i="1"/>
  <c r="AP27" i="1" s="1"/>
  <c r="BE27" i="1"/>
  <c r="AK27" i="1" s="1"/>
  <c r="BC30" i="1"/>
  <c r="BD30" i="1"/>
  <c r="BF30" i="1"/>
  <c r="BV30" i="1"/>
  <c r="AM15" i="1"/>
  <c r="AL15" i="1"/>
  <c r="BZ8" i="1"/>
  <c r="C68" i="6"/>
  <c r="B68" i="6"/>
  <c r="Q88" i="2"/>
  <c r="G64" i="6"/>
  <c r="I64" i="6" s="1"/>
  <c r="J64" i="6" s="1"/>
  <c r="K64" i="6" s="1"/>
  <c r="D64" i="6"/>
  <c r="E64" i="6"/>
  <c r="F64" i="6"/>
  <c r="C64" i="6"/>
  <c r="R88" i="2"/>
  <c r="H87" i="2" s="1"/>
  <c r="P88" i="2"/>
  <c r="F25" i="6"/>
  <c r="E41" i="6"/>
  <c r="E25" i="6" s="1"/>
  <c r="D41" i="6"/>
  <c r="D25" i="6" s="1"/>
  <c r="C25" i="6"/>
  <c r="B41" i="6"/>
  <c r="F48" i="6"/>
  <c r="E39" i="6"/>
  <c r="D39" i="6"/>
  <c r="C39" i="6"/>
  <c r="C44" i="6" s="1"/>
  <c r="B39" i="6"/>
  <c r="B44" i="6" s="1"/>
  <c r="F88" i="2"/>
  <c r="H22" i="2"/>
  <c r="I23" i="2" s="1"/>
  <c r="G22" i="2"/>
  <c r="F22" i="2"/>
  <c r="R21" i="2"/>
  <c r="Q21" i="2"/>
  <c r="I12" i="2"/>
  <c r="J12" i="2" s="1"/>
  <c r="B83" i="6"/>
  <c r="B105" i="6"/>
  <c r="B106" i="6" s="1"/>
  <c r="D87" i="6"/>
  <c r="D83" i="6"/>
  <c r="C83" i="6"/>
  <c r="C105" i="6"/>
  <c r="C106" i="6" s="1"/>
  <c r="D105" i="6"/>
  <c r="D106" i="6" s="1"/>
  <c r="F13" i="6"/>
  <c r="E13" i="6"/>
  <c r="D13" i="6"/>
  <c r="C13" i="6"/>
  <c r="B13" i="6"/>
  <c r="F118" i="6"/>
  <c r="E83" i="6"/>
  <c r="E105" i="6"/>
  <c r="Q69" i="2"/>
  <c r="AC75" i="2" s="1"/>
  <c r="P69" i="2"/>
  <c r="AB75" i="2" s="1"/>
  <c r="O69" i="2"/>
  <c r="AA75" i="2" s="1"/>
  <c r="N69" i="2"/>
  <c r="Z75" i="2" s="1"/>
  <c r="F105" i="6"/>
  <c r="BY7" i="1"/>
  <c r="F83" i="6"/>
  <c r="F84" i="6" s="1"/>
  <c r="F85" i="6" s="1"/>
  <c r="E182" i="6"/>
  <c r="E176" i="6" s="1"/>
  <c r="F182" i="6"/>
  <c r="F176" i="6" s="1"/>
  <c r="D182" i="6"/>
  <c r="D188" i="6" s="1"/>
  <c r="D194" i="6" s="1"/>
  <c r="E179" i="6"/>
  <c r="F171" i="6"/>
  <c r="E171" i="6"/>
  <c r="F163" i="6"/>
  <c r="D179" i="6"/>
  <c r="E175" i="6"/>
  <c r="F175" i="6"/>
  <c r="E166" i="6"/>
  <c r="F166" i="6"/>
  <c r="D166" i="6"/>
  <c r="C157" i="6"/>
  <c r="C158" i="6" s="1"/>
  <c r="D157" i="6"/>
  <c r="D158" i="6" s="1"/>
  <c r="E157" i="6"/>
  <c r="E158" i="6" s="1"/>
  <c r="B157" i="6"/>
  <c r="B158" i="6" s="1"/>
  <c r="C156" i="6"/>
  <c r="C149" i="6" s="1"/>
  <c r="D156" i="6"/>
  <c r="D149" i="6" s="1"/>
  <c r="E156" i="6"/>
  <c r="E149" i="6" s="1"/>
  <c r="F149" i="6"/>
  <c r="B156" i="6"/>
  <c r="B149" i="6" s="1"/>
  <c r="AP6" i="1"/>
  <c r="BJ5" i="1"/>
  <c r="BI4" i="1"/>
  <c r="BJ4" i="1"/>
  <c r="BJ3" i="1"/>
  <c r="C141" i="6"/>
  <c r="D141" i="6"/>
  <c r="C93" i="6"/>
  <c r="C87" i="6"/>
  <c r="D50" i="6"/>
  <c r="E50" i="6"/>
  <c r="F50" i="6"/>
  <c r="C50" i="6"/>
  <c r="C82" i="6"/>
  <c r="F82" i="6"/>
  <c r="E82" i="6"/>
  <c r="D82" i="6"/>
  <c r="F104" i="6"/>
  <c r="E104" i="6"/>
  <c r="D104" i="6"/>
  <c r="D93" i="6"/>
  <c r="F93" i="6"/>
  <c r="E93" i="6"/>
  <c r="D21" i="6"/>
  <c r="E21" i="6"/>
  <c r="F21" i="6"/>
  <c r="C21" i="6"/>
  <c r="D14" i="6"/>
  <c r="E14" i="6"/>
  <c r="F14" i="6"/>
  <c r="C14" i="6"/>
  <c r="D6" i="6"/>
  <c r="F6" i="6"/>
  <c r="J30" i="1"/>
  <c r="G24" i="5" s="1"/>
  <c r="E24" i="5"/>
  <c r="F24" i="5"/>
  <c r="D24" i="5"/>
  <c r="H22" i="5"/>
  <c r="I22" i="5"/>
  <c r="G22" i="5"/>
  <c r="E22" i="5"/>
  <c r="D22" i="5"/>
  <c r="C17" i="5"/>
  <c r="D17" i="5"/>
  <c r="E17" i="5"/>
  <c r="F17" i="5"/>
  <c r="B17" i="5"/>
  <c r="E67" i="2"/>
  <c r="F67" i="2"/>
  <c r="G67" i="2"/>
  <c r="D67" i="2"/>
  <c r="C12" i="5"/>
  <c r="D12" i="5"/>
  <c r="E12" i="5"/>
  <c r="F12" i="5"/>
  <c r="G12" i="5"/>
  <c r="H12" i="5"/>
  <c r="I12" i="5"/>
  <c r="B12" i="5"/>
  <c r="C10" i="5"/>
  <c r="D10" i="5"/>
  <c r="E10" i="5"/>
  <c r="F10" i="5"/>
  <c r="B10" i="5"/>
  <c r="O18" i="2"/>
  <c r="O15" i="2" s="1"/>
  <c r="BW7" i="1"/>
  <c r="P18" i="2" s="1"/>
  <c r="P16" i="2" s="1"/>
  <c r="BX7" i="1"/>
  <c r="BU7" i="1"/>
  <c r="BU30" i="1"/>
  <c r="AC27" i="1"/>
  <c r="AF29" i="1"/>
  <c r="AE29" i="1"/>
  <c r="AD29" i="1"/>
  <c r="AC29" i="1"/>
  <c r="AB29" i="1"/>
  <c r="AA29" i="1"/>
  <c r="Z29" i="1"/>
  <c r="Y29" i="1"/>
  <c r="AF28" i="1"/>
  <c r="AE28" i="1"/>
  <c r="AD28" i="1"/>
  <c r="AC28" i="1"/>
  <c r="AB28" i="1"/>
  <c r="AA28" i="1"/>
  <c r="Z28" i="1"/>
  <c r="Y28" i="1"/>
  <c r="AF27" i="1"/>
  <c r="AE27" i="1"/>
  <c r="AD27" i="1"/>
  <c r="AB27" i="1"/>
  <c r="AA27" i="1"/>
  <c r="Z27" i="1"/>
  <c r="Y27" i="1"/>
  <c r="U30" i="1"/>
  <c r="H23" i="5" s="1"/>
  <c r="T30" i="1"/>
  <c r="S30" i="1"/>
  <c r="F23" i="5" s="1"/>
  <c r="R30" i="1"/>
  <c r="E23" i="5" s="1"/>
  <c r="Q30" i="1"/>
  <c r="D23" i="5" s="1"/>
  <c r="P30" i="1"/>
  <c r="O30" i="1"/>
  <c r="V6" i="1"/>
  <c r="V7" i="1" s="1"/>
  <c r="I13" i="5" s="1"/>
  <c r="AE6" i="1"/>
  <c r="AE5" i="1"/>
  <c r="AD6" i="1"/>
  <c r="AC6" i="1"/>
  <c r="AB6" i="1"/>
  <c r="AA6" i="1"/>
  <c r="Z6" i="1"/>
  <c r="Y6" i="1"/>
  <c r="AC5" i="1"/>
  <c r="AB5" i="1"/>
  <c r="AA5" i="1"/>
  <c r="Z5" i="1"/>
  <c r="Y5" i="1"/>
  <c r="AF4" i="1"/>
  <c r="AE4" i="1"/>
  <c r="AD4" i="1"/>
  <c r="AC4" i="1"/>
  <c r="AB4" i="1"/>
  <c r="AA4" i="1"/>
  <c r="Z4" i="1"/>
  <c r="Y4" i="1"/>
  <c r="AF3" i="1"/>
  <c r="AE3" i="1"/>
  <c r="AD3" i="1"/>
  <c r="AC3" i="1"/>
  <c r="AA3" i="1"/>
  <c r="Z3" i="1"/>
  <c r="V30" i="1"/>
  <c r="I23" i="5" s="1"/>
  <c r="P26" i="1"/>
  <c r="O26" i="1"/>
  <c r="AI26" i="1" s="1"/>
  <c r="S7" i="1"/>
  <c r="F13" i="5" s="1"/>
  <c r="R7" i="1"/>
  <c r="E13" i="5" s="1"/>
  <c r="Q7" i="1"/>
  <c r="D13" i="5" s="1"/>
  <c r="P7" i="1"/>
  <c r="C13" i="5" s="1"/>
  <c r="O7" i="1"/>
  <c r="B13" i="5" s="1"/>
  <c r="F26" i="1"/>
  <c r="G26" i="1"/>
  <c r="H26" i="1"/>
  <c r="E26" i="1"/>
  <c r="BD7" i="1"/>
  <c r="C56" i="14" s="1"/>
  <c r="BF7" i="1"/>
  <c r="E56" i="14" s="1"/>
  <c r="BG7" i="1"/>
  <c r="BO3" i="1" s="1"/>
  <c r="BC7" i="1"/>
  <c r="B56" i="14" s="1"/>
  <c r="BE7" i="1"/>
  <c r="D56" i="14" s="1"/>
  <c r="K30" i="1"/>
  <c r="H24" i="5" s="1"/>
  <c r="L30" i="1"/>
  <c r="I24" i="5" s="1"/>
  <c r="K7" i="1"/>
  <c r="L7" i="1"/>
  <c r="F7" i="1"/>
  <c r="G7" i="1"/>
  <c r="H7" i="1"/>
  <c r="I7" i="1"/>
  <c r="J7" i="1"/>
  <c r="E7" i="1"/>
  <c r="F106" i="10" l="1"/>
  <c r="G105" i="10" s="1"/>
  <c r="F48" i="7"/>
  <c r="G40" i="39"/>
  <c r="E38" i="42"/>
  <c r="G15" i="39"/>
  <c r="E41" i="42" s="1"/>
  <c r="K27" i="28"/>
  <c r="E136" i="29"/>
  <c r="F113" i="29"/>
  <c r="L26" i="28" s="1"/>
  <c r="D136" i="29"/>
  <c r="J27" i="28"/>
  <c r="G106" i="10"/>
  <c r="H105" i="10" s="1"/>
  <c r="K92" i="16"/>
  <c r="F16" i="30"/>
  <c r="O16" i="30" s="1"/>
  <c r="F114" i="6"/>
  <c r="D15" i="27"/>
  <c r="D15" i="30"/>
  <c r="C15" i="27"/>
  <c r="C15" i="30"/>
  <c r="B15" i="27"/>
  <c r="B15" i="30"/>
  <c r="K356" i="6"/>
  <c r="K358" i="6" s="1"/>
  <c r="K360" i="6" s="1"/>
  <c r="J356" i="6"/>
  <c r="J358" i="6" s="1"/>
  <c r="J360" i="6" s="1"/>
  <c r="H8" i="20"/>
  <c r="D37" i="36" s="1"/>
  <c r="H8" i="27"/>
  <c r="Q8" i="27" s="1"/>
  <c r="F66" i="6"/>
  <c r="F68" i="6" s="1"/>
  <c r="G132" i="25"/>
  <c r="G128" i="25"/>
  <c r="E66" i="6"/>
  <c r="E68" i="6" s="1"/>
  <c r="F132" i="25"/>
  <c r="F128" i="25"/>
  <c r="E106" i="25"/>
  <c r="F105" i="25" s="1"/>
  <c r="D66" i="6"/>
  <c r="D68" i="6" s="1"/>
  <c r="BO6" i="1"/>
  <c r="F60" i="14" s="1"/>
  <c r="BO5" i="1"/>
  <c r="F59" i="14" s="1"/>
  <c r="BO4" i="1"/>
  <c r="F58" i="14" s="1"/>
  <c r="N18" i="2"/>
  <c r="D17" i="2" s="1"/>
  <c r="K56" i="14"/>
  <c r="Q18" i="2"/>
  <c r="G17" i="2" s="1"/>
  <c r="E41" i="14"/>
  <c r="R18" i="2"/>
  <c r="H17" i="2" s="1"/>
  <c r="F41" i="14"/>
  <c r="P82" i="2"/>
  <c r="F87" i="2"/>
  <c r="G87" i="2"/>
  <c r="J87" i="2" s="1"/>
  <c r="Q82" i="2"/>
  <c r="D107" i="6"/>
  <c r="D108" i="6" s="1"/>
  <c r="D15" i="20"/>
  <c r="C107" i="6"/>
  <c r="C108" i="6" s="1"/>
  <c r="C15" i="20"/>
  <c r="B107" i="6"/>
  <c r="B108" i="6" s="1"/>
  <c r="B15" i="20"/>
  <c r="G23" i="2"/>
  <c r="G58" i="14"/>
  <c r="G59" i="14"/>
  <c r="G60" i="14"/>
  <c r="G57" i="14"/>
  <c r="F57" i="14"/>
  <c r="J60" i="14"/>
  <c r="J59" i="14"/>
  <c r="J58" i="14"/>
  <c r="J57" i="14"/>
  <c r="AO27" i="1"/>
  <c r="BI27" i="1" s="1"/>
  <c r="I17" i="19"/>
  <c r="J109" i="18"/>
  <c r="I131" i="18"/>
  <c r="I15" i="19" s="1"/>
  <c r="K341" i="18"/>
  <c r="J400" i="18"/>
  <c r="L36" i="18"/>
  <c r="L66" i="18" s="1"/>
  <c r="K66" i="18"/>
  <c r="L47" i="19"/>
  <c r="L356" i="18"/>
  <c r="L45" i="19" s="1"/>
  <c r="O328" i="18"/>
  <c r="J428" i="18"/>
  <c r="I62" i="19"/>
  <c r="I444" i="18"/>
  <c r="F52" i="19"/>
  <c r="G383" i="18"/>
  <c r="F402" i="18"/>
  <c r="F50" i="19" s="1"/>
  <c r="K32" i="17"/>
  <c r="L83" i="16"/>
  <c r="L92" i="16" s="1"/>
  <c r="J21" i="17"/>
  <c r="J63" i="16"/>
  <c r="K57" i="19"/>
  <c r="J403" i="18"/>
  <c r="J55" i="19" s="1"/>
  <c r="I60" i="19"/>
  <c r="J427" i="18"/>
  <c r="J67" i="19" s="1"/>
  <c r="I443" i="18"/>
  <c r="I65" i="19" s="1"/>
  <c r="K65" i="18"/>
  <c r="K12" i="19" s="1"/>
  <c r="J79" i="18"/>
  <c r="J10" i="19" s="1"/>
  <c r="K277" i="18"/>
  <c r="K37" i="19" s="1"/>
  <c r="J292" i="18"/>
  <c r="J35" i="19" s="1"/>
  <c r="K239" i="18"/>
  <c r="K32" i="19" s="1"/>
  <c r="J254" i="18"/>
  <c r="J30" i="19" s="1"/>
  <c r="L160" i="18"/>
  <c r="K181" i="18"/>
  <c r="K20" i="19" s="1"/>
  <c r="K43" i="18"/>
  <c r="K5" i="19" s="1"/>
  <c r="L26" i="18"/>
  <c r="G46" i="17"/>
  <c r="H43" i="17"/>
  <c r="I110" i="16"/>
  <c r="H120" i="16"/>
  <c r="H38" i="17" s="1"/>
  <c r="H41" i="17" s="1"/>
  <c r="L27" i="16"/>
  <c r="L5" i="17" s="1"/>
  <c r="L10" i="17"/>
  <c r="L18" i="17"/>
  <c r="L23" i="17"/>
  <c r="J196" i="16"/>
  <c r="J6" i="17" s="1"/>
  <c r="J11" i="17"/>
  <c r="K302" i="16"/>
  <c r="J44" i="17"/>
  <c r="L276" i="16"/>
  <c r="L33" i="17" s="1"/>
  <c r="K33" i="17"/>
  <c r="I338" i="16"/>
  <c r="I12" i="17" s="1"/>
  <c r="H357" i="16"/>
  <c r="H7" i="17" s="1"/>
  <c r="H8" i="17" s="1"/>
  <c r="H13" i="17" s="1"/>
  <c r="J419" i="16"/>
  <c r="J34" i="17" s="1"/>
  <c r="I428" i="16"/>
  <c r="I29" i="17" s="1"/>
  <c r="I30" i="17" s="1"/>
  <c r="I35" i="17" s="1"/>
  <c r="K27" i="17"/>
  <c r="K164" i="16"/>
  <c r="K458" i="16"/>
  <c r="K40" i="17" s="1"/>
  <c r="L447" i="16"/>
  <c r="J16" i="17"/>
  <c r="K49" i="16"/>
  <c r="B61" i="14"/>
  <c r="B70" i="14" s="1"/>
  <c r="D61" i="14"/>
  <c r="D70" i="14" s="1"/>
  <c r="D62" i="14"/>
  <c r="F61" i="14"/>
  <c r="F62" i="14"/>
  <c r="E61" i="14"/>
  <c r="E70" i="14" s="1"/>
  <c r="F70" i="14" s="1"/>
  <c r="E62" i="14"/>
  <c r="C61" i="14"/>
  <c r="C74" i="14" s="1"/>
  <c r="C62" i="14"/>
  <c r="D195" i="6"/>
  <c r="D198" i="6" s="1"/>
  <c r="D201" i="6" s="1"/>
  <c r="D203" i="6" s="1"/>
  <c r="H67" i="2"/>
  <c r="D66" i="2"/>
  <c r="E66" i="2"/>
  <c r="F66" i="2"/>
  <c r="G66" i="2"/>
  <c r="H66" i="2"/>
  <c r="AP28" i="1"/>
  <c r="BJ27" i="1"/>
  <c r="CB27" i="1" s="1"/>
  <c r="D177" i="6"/>
  <c r="D168" i="6"/>
  <c r="E185" i="6"/>
  <c r="E177" i="6"/>
  <c r="E168" i="6"/>
  <c r="F187" i="6"/>
  <c r="F177" i="6"/>
  <c r="F168" i="6"/>
  <c r="G23" i="5"/>
  <c r="G25" i="5" s="1"/>
  <c r="AN30" i="1"/>
  <c r="BI15" i="1"/>
  <c r="CA15" i="1" s="1"/>
  <c r="B87" i="6"/>
  <c r="B127" i="6"/>
  <c r="E87" i="6"/>
  <c r="E122" i="6"/>
  <c r="D185" i="6"/>
  <c r="F109" i="6"/>
  <c r="F87" i="6"/>
  <c r="C100" i="6"/>
  <c r="C109" i="6"/>
  <c r="B100" i="6"/>
  <c r="B109" i="6"/>
  <c r="E100" i="6"/>
  <c r="E109" i="6"/>
  <c r="D100" i="6"/>
  <c r="D109" i="6"/>
  <c r="F129" i="6"/>
  <c r="F100" i="6"/>
  <c r="F16" i="27"/>
  <c r="O16" i="27" s="1"/>
  <c r="E114" i="6"/>
  <c r="E115" i="6" s="1"/>
  <c r="C114" i="6"/>
  <c r="C115" i="6" s="1"/>
  <c r="D114" i="6"/>
  <c r="B84" i="6"/>
  <c r="B85" i="6" s="1"/>
  <c r="B86" i="6" s="1"/>
  <c r="B114" i="6"/>
  <c r="B115" i="6" s="1"/>
  <c r="D167" i="6"/>
  <c r="D176" i="6"/>
  <c r="B25" i="6"/>
  <c r="B47" i="6"/>
  <c r="B48" i="6" s="1"/>
  <c r="B10" i="6"/>
  <c r="I30" i="15"/>
  <c r="H30" i="10"/>
  <c r="AD5" i="1"/>
  <c r="AD7" i="1" s="1"/>
  <c r="H16" i="5"/>
  <c r="F188" i="6"/>
  <c r="F195" i="6" s="1"/>
  <c r="F198" i="6" s="1"/>
  <c r="F201" i="6" s="1"/>
  <c r="F167" i="6"/>
  <c r="E188" i="6"/>
  <c r="E195" i="6" s="1"/>
  <c r="E198" i="6" s="1"/>
  <c r="E201" i="6" s="1"/>
  <c r="E167" i="6"/>
  <c r="S21" i="2"/>
  <c r="BE30" i="1"/>
  <c r="AK30" i="1" s="1"/>
  <c r="BI5" i="1"/>
  <c r="BI6" i="1"/>
  <c r="B46" i="6"/>
  <c r="A10" i="4"/>
  <c r="C46" i="6"/>
  <c r="B10" i="4"/>
  <c r="D46" i="6"/>
  <c r="C10" i="4"/>
  <c r="E46" i="6"/>
  <c r="D10" i="4"/>
  <c r="F46" i="6"/>
  <c r="E10" i="4"/>
  <c r="AL30" i="1"/>
  <c r="AJ30" i="1"/>
  <c r="AI30" i="1"/>
  <c r="B14" i="5"/>
  <c r="G16" i="5"/>
  <c r="F40" i="6"/>
  <c r="E40" i="6"/>
  <c r="F44" i="6"/>
  <c r="D40" i="6"/>
  <c r="E44" i="6"/>
  <c r="D44" i="6"/>
  <c r="F185" i="6"/>
  <c r="AK7" i="1"/>
  <c r="BZ7" i="1"/>
  <c r="G41" i="14" s="1"/>
  <c r="D187" i="6"/>
  <c r="E187" i="6"/>
  <c r="AM27" i="1"/>
  <c r="AQ27" i="1" s="1"/>
  <c r="BG30" i="1"/>
  <c r="AM30" i="1" s="1"/>
  <c r="AO28" i="1"/>
  <c r="Z7" i="1"/>
  <c r="BJ6" i="1"/>
  <c r="Y7" i="1"/>
  <c r="F22" i="5"/>
  <c r="F26" i="5" s="1"/>
  <c r="CB16" i="1"/>
  <c r="BI16" i="1"/>
  <c r="CA16" i="1" s="1"/>
  <c r="BJ18" i="1"/>
  <c r="CB18" i="1" s="1"/>
  <c r="BI18" i="1"/>
  <c r="CA18" i="1" s="1"/>
  <c r="G113" i="6"/>
  <c r="I113" i="6" s="1"/>
  <c r="H33" i="30"/>
  <c r="H34" i="30"/>
  <c r="R83" i="2"/>
  <c r="R84" i="2"/>
  <c r="R82" i="2"/>
  <c r="Q83" i="2"/>
  <c r="F106" i="6"/>
  <c r="E99" i="6"/>
  <c r="E106" i="6"/>
  <c r="S18" i="2"/>
  <c r="I17" i="2" s="1"/>
  <c r="B18" i="6"/>
  <c r="C47" i="6"/>
  <c r="C18" i="6"/>
  <c r="C10" i="6"/>
  <c r="D47" i="6"/>
  <c r="D18" i="6"/>
  <c r="D10" i="6"/>
  <c r="E47" i="6"/>
  <c r="E18" i="6"/>
  <c r="E10" i="6"/>
  <c r="F56" i="6"/>
  <c r="F59" i="6" s="1"/>
  <c r="F62" i="6" s="1"/>
  <c r="F18" i="6"/>
  <c r="F10" i="6"/>
  <c r="C84" i="6"/>
  <c r="D84" i="6"/>
  <c r="H23" i="2"/>
  <c r="E84" i="6"/>
  <c r="E17" i="2"/>
  <c r="O16" i="2"/>
  <c r="F17" i="2"/>
  <c r="P15" i="2"/>
  <c r="Q15" i="2"/>
  <c r="F127" i="6"/>
  <c r="E180" i="6"/>
  <c r="F180" i="6"/>
  <c r="D183" i="6"/>
  <c r="F183" i="6"/>
  <c r="E183" i="6"/>
  <c r="E127" i="6"/>
  <c r="D127" i="6"/>
  <c r="C127" i="6"/>
  <c r="E129" i="6"/>
  <c r="D129" i="6"/>
  <c r="C129" i="6"/>
  <c r="B129" i="6"/>
  <c r="D139" i="6"/>
  <c r="F122" i="6"/>
  <c r="D122" i="6"/>
  <c r="C122" i="6"/>
  <c r="B42" i="6"/>
  <c r="F42" i="6"/>
  <c r="E42" i="6"/>
  <c r="D42" i="6"/>
  <c r="C42" i="6"/>
  <c r="B19" i="5"/>
  <c r="B20" i="5" s="1"/>
  <c r="AJ26" i="1"/>
  <c r="C19" i="5"/>
  <c r="C20" i="5" s="1"/>
  <c r="AC30" i="1"/>
  <c r="I14" i="5"/>
  <c r="F14" i="5"/>
  <c r="C14" i="5"/>
  <c r="H17" i="5"/>
  <c r="I17" i="5"/>
  <c r="G17" i="5"/>
  <c r="G21" i="5" s="1"/>
  <c r="D26" i="5"/>
  <c r="D25" i="5"/>
  <c r="E26" i="5"/>
  <c r="E25" i="5"/>
  <c r="I27" i="5"/>
  <c r="I26" i="5"/>
  <c r="I25" i="5"/>
  <c r="H27" i="5"/>
  <c r="H26" i="5"/>
  <c r="H25" i="5"/>
  <c r="G26" i="5"/>
  <c r="C40" i="6"/>
  <c r="E14" i="5"/>
  <c r="D14" i="5"/>
  <c r="Y26" i="1"/>
  <c r="U7" i="1"/>
  <c r="T7" i="1"/>
  <c r="AM7" i="1"/>
  <c r="AL7" i="1"/>
  <c r="AJ7" i="1"/>
  <c r="AA7" i="1"/>
  <c r="Z26" i="1"/>
  <c r="AC7" i="1"/>
  <c r="AI7" i="1"/>
  <c r="I16" i="5"/>
  <c r="AA30" i="1"/>
  <c r="AE7" i="1"/>
  <c r="AB30" i="1"/>
  <c r="AF6" i="1"/>
  <c r="AF7" i="1" s="1"/>
  <c r="AB7" i="1"/>
  <c r="Y30" i="1"/>
  <c r="Z30" i="1"/>
  <c r="AD30" i="1"/>
  <c r="AE30" i="1"/>
  <c r="AF30" i="1"/>
  <c r="Q26" i="1"/>
  <c r="AB26" i="1"/>
  <c r="R26" i="1"/>
  <c r="AA26" i="1"/>
  <c r="T26" i="1"/>
  <c r="AN26" i="1" s="1"/>
  <c r="E7" i="42" l="1"/>
  <c r="G80" i="39"/>
  <c r="L7" i="42" s="1"/>
  <c r="H40" i="39"/>
  <c r="G25" i="14"/>
  <c r="G43" i="14"/>
  <c r="D200" i="6"/>
  <c r="D197" i="6"/>
  <c r="F106" i="25"/>
  <c r="G105" i="25" s="1"/>
  <c r="G106" i="25" s="1"/>
  <c r="H105" i="25" s="1"/>
  <c r="K25" i="26" s="1"/>
  <c r="B74" i="14"/>
  <c r="D74" i="14"/>
  <c r="E74" i="14"/>
  <c r="C70" i="14"/>
  <c r="D65" i="14" s="1"/>
  <c r="Q16" i="2"/>
  <c r="R15" i="2"/>
  <c r="R16" i="2"/>
  <c r="E16" i="27"/>
  <c r="N16" i="27" s="1"/>
  <c r="E16" i="30"/>
  <c r="N16" i="30" s="1"/>
  <c r="B17" i="27"/>
  <c r="B17" i="30"/>
  <c r="D16" i="27"/>
  <c r="D16" i="30"/>
  <c r="C16" i="27"/>
  <c r="C16" i="30"/>
  <c r="C17" i="27"/>
  <c r="C17" i="30"/>
  <c r="E15" i="27"/>
  <c r="N15" i="27" s="1"/>
  <c r="E15" i="30"/>
  <c r="F15" i="27"/>
  <c r="O15" i="27" s="1"/>
  <c r="F15" i="30"/>
  <c r="B16" i="27"/>
  <c r="B16" i="30"/>
  <c r="Q8" i="20"/>
  <c r="H34" i="20"/>
  <c r="H34" i="27"/>
  <c r="H35" i="20"/>
  <c r="H35" i="27"/>
  <c r="H33" i="27"/>
  <c r="H32" i="27"/>
  <c r="G71" i="14"/>
  <c r="H71" i="14" s="1"/>
  <c r="I71" i="14" s="1"/>
  <c r="J71" i="14" s="1"/>
  <c r="K71" i="14" s="1"/>
  <c r="G22" i="14"/>
  <c r="G14" i="14" s="1"/>
  <c r="G42" i="14" s="1"/>
  <c r="G44" i="14" s="1"/>
  <c r="F25" i="14"/>
  <c r="F22" i="14"/>
  <c r="F16" i="14"/>
  <c r="F15" i="14" s="1"/>
  <c r="E25" i="14"/>
  <c r="E22" i="14"/>
  <c r="E16" i="14"/>
  <c r="E15" i="14" s="1"/>
  <c r="K75" i="14"/>
  <c r="K17" i="14"/>
  <c r="E56" i="6"/>
  <c r="E58" i="6" s="1"/>
  <c r="E48" i="6"/>
  <c r="D56" i="6"/>
  <c r="D58" i="6" s="1"/>
  <c r="D48" i="6"/>
  <c r="C56" i="6"/>
  <c r="C58" i="6" s="1"/>
  <c r="C48" i="6"/>
  <c r="E85" i="6"/>
  <c r="E86" i="6" s="1"/>
  <c r="E85" i="14"/>
  <c r="E108" i="14" s="1"/>
  <c r="E16" i="20"/>
  <c r="N16" i="20" s="1"/>
  <c r="B116" i="6"/>
  <c r="B124" i="6" s="1"/>
  <c r="B125" i="6" s="1"/>
  <c r="B17" i="20"/>
  <c r="D85" i="6"/>
  <c r="D86" i="6" s="1"/>
  <c r="D85" i="14"/>
  <c r="D94" i="14" s="1"/>
  <c r="D89" i="14" s="1"/>
  <c r="D16" i="20"/>
  <c r="C85" i="6"/>
  <c r="C85" i="14"/>
  <c r="C16" i="20"/>
  <c r="C116" i="6"/>
  <c r="C17" i="20"/>
  <c r="E107" i="6"/>
  <c r="E108" i="6" s="1"/>
  <c r="E15" i="20"/>
  <c r="F107" i="6"/>
  <c r="F15" i="20"/>
  <c r="H33" i="20"/>
  <c r="H32" i="20"/>
  <c r="B85" i="14"/>
  <c r="B16" i="20"/>
  <c r="F86" i="6"/>
  <c r="F85" i="14"/>
  <c r="F108" i="14" s="1"/>
  <c r="F16" i="20"/>
  <c r="O16" i="20" s="1"/>
  <c r="K87" i="2"/>
  <c r="L87" i="2" s="1"/>
  <c r="G65" i="14"/>
  <c r="H72" i="14"/>
  <c r="I72" i="14" s="1"/>
  <c r="J72" i="14" s="1"/>
  <c r="K72" i="14" s="1"/>
  <c r="H73" i="14"/>
  <c r="I73" i="14" s="1"/>
  <c r="J73" i="14" s="1"/>
  <c r="K73" i="14" s="1"/>
  <c r="F65" i="14"/>
  <c r="E65" i="14"/>
  <c r="G88" i="2"/>
  <c r="J17" i="19"/>
  <c r="K109" i="18"/>
  <c r="J131" i="18"/>
  <c r="J15" i="19" s="1"/>
  <c r="L341" i="18"/>
  <c r="L400" i="18" s="1"/>
  <c r="K400" i="18"/>
  <c r="K428" i="18"/>
  <c r="J62" i="19"/>
  <c r="J444" i="18"/>
  <c r="G52" i="19"/>
  <c r="H383" i="18"/>
  <c r="G402" i="18"/>
  <c r="G50" i="19" s="1"/>
  <c r="K21" i="17"/>
  <c r="K63" i="16"/>
  <c r="L43" i="18"/>
  <c r="L5" i="19" s="1"/>
  <c r="L7" i="19"/>
  <c r="L181" i="18"/>
  <c r="L20" i="19" s="1"/>
  <c r="L22" i="19"/>
  <c r="K403" i="18"/>
  <c r="K55" i="19" s="1"/>
  <c r="K427" i="18"/>
  <c r="L427" i="18" s="1"/>
  <c r="J443" i="18"/>
  <c r="J65" i="19" s="1"/>
  <c r="J60" i="19"/>
  <c r="L65" i="18"/>
  <c r="K79" i="18"/>
  <c r="K10" i="19" s="1"/>
  <c r="L277" i="18"/>
  <c r="K292" i="18"/>
  <c r="K35" i="19" s="1"/>
  <c r="L239" i="18"/>
  <c r="K254" i="18"/>
  <c r="K30" i="19" s="1"/>
  <c r="H46" i="17"/>
  <c r="I43" i="17"/>
  <c r="J110" i="16"/>
  <c r="I120" i="16"/>
  <c r="I38" i="17" s="1"/>
  <c r="I41" i="17" s="1"/>
  <c r="L458" i="16"/>
  <c r="L40" i="17" s="1"/>
  <c r="L45" i="17"/>
  <c r="K196" i="16"/>
  <c r="K6" i="17" s="1"/>
  <c r="K11" i="17"/>
  <c r="L27" i="17"/>
  <c r="L32" i="17"/>
  <c r="L302" i="16"/>
  <c r="L44" i="17" s="1"/>
  <c r="K44" i="17"/>
  <c r="J338" i="16"/>
  <c r="J12" i="17" s="1"/>
  <c r="I357" i="16"/>
  <c r="I7" i="17" s="1"/>
  <c r="I8" i="17" s="1"/>
  <c r="I13" i="17" s="1"/>
  <c r="K419" i="16"/>
  <c r="K34" i="17" s="1"/>
  <c r="J428" i="16"/>
  <c r="J29" i="17" s="1"/>
  <c r="J30" i="17" s="1"/>
  <c r="J35" i="17" s="1"/>
  <c r="L164" i="16"/>
  <c r="K16" i="17"/>
  <c r="L49" i="16"/>
  <c r="L63" i="16" s="1"/>
  <c r="C63" i="14"/>
  <c r="E63" i="14"/>
  <c r="F74" i="14"/>
  <c r="F63" i="14"/>
  <c r="D63" i="14"/>
  <c r="AP8" i="1"/>
  <c r="AQ8" i="1" s="1"/>
  <c r="AR8" i="1" s="1"/>
  <c r="BL8" i="1" s="1"/>
  <c r="BI8" i="1"/>
  <c r="CA8" i="1" s="1"/>
  <c r="F71" i="14"/>
  <c r="I133" i="6"/>
  <c r="I34" i="30" s="1"/>
  <c r="I134" i="6"/>
  <c r="I35" i="30" s="1"/>
  <c r="J135" i="6"/>
  <c r="I132" i="6"/>
  <c r="J132" i="6" s="1"/>
  <c r="I32" i="30"/>
  <c r="AQ28" i="1"/>
  <c r="BK27" i="1"/>
  <c r="CA14" i="1"/>
  <c r="U21" i="2"/>
  <c r="BJ14" i="1"/>
  <c r="BJ15" i="1"/>
  <c r="CB15" i="1" s="1"/>
  <c r="CC27" i="1"/>
  <c r="I8" i="30"/>
  <c r="R8" i="30" s="1"/>
  <c r="I30" i="10"/>
  <c r="S15" i="2"/>
  <c r="T15" i="2" s="1"/>
  <c r="S16" i="2"/>
  <c r="F25" i="5"/>
  <c r="G27" i="5"/>
  <c r="F197" i="6"/>
  <c r="B56" i="6"/>
  <c r="B59" i="6" s="1"/>
  <c r="B62" i="6" s="1"/>
  <c r="E197" i="6"/>
  <c r="I21" i="5"/>
  <c r="G163" i="6"/>
  <c r="BI7" i="1"/>
  <c r="BQ4" i="1" s="1"/>
  <c r="CA4" i="1" s="1"/>
  <c r="H88" i="2"/>
  <c r="F67" i="6"/>
  <c r="H15" i="5"/>
  <c r="G179" i="6"/>
  <c r="G171" i="6"/>
  <c r="F58" i="6"/>
  <c r="BI28" i="1"/>
  <c r="CA28" i="1" s="1"/>
  <c r="BJ7" i="1"/>
  <c r="CA27" i="1"/>
  <c r="I141" i="6"/>
  <c r="I140" i="6" s="1"/>
  <c r="D115" i="6"/>
  <c r="K67" i="2"/>
  <c r="L67" i="2" s="1"/>
  <c r="E203" i="6"/>
  <c r="E200" i="6"/>
  <c r="F203" i="6"/>
  <c r="F200" i="6"/>
  <c r="H13" i="2"/>
  <c r="I13" i="2" s="1"/>
  <c r="K12" i="2"/>
  <c r="L12" i="2" s="1"/>
  <c r="F65" i="6"/>
  <c r="F61" i="6"/>
  <c r="I19" i="5"/>
  <c r="I20" i="5" s="1"/>
  <c r="G19" i="5"/>
  <c r="G20" i="5" s="1"/>
  <c r="H19" i="5"/>
  <c r="H20" i="5" s="1"/>
  <c r="AL26" i="1"/>
  <c r="E19" i="5"/>
  <c r="E20" i="5" s="1"/>
  <c r="AK26" i="1"/>
  <c r="D19" i="5"/>
  <c r="D20" i="5" s="1"/>
  <c r="G13" i="5"/>
  <c r="G14" i="5" s="1"/>
  <c r="H13" i="5"/>
  <c r="H14" i="5" s="1"/>
  <c r="H21" i="5"/>
  <c r="S26" i="1"/>
  <c r="AM26" i="1" s="1"/>
  <c r="AC26" i="1"/>
  <c r="F7" i="42" l="1"/>
  <c r="H80" i="39"/>
  <c r="M7" i="42" s="1"/>
  <c r="I40" i="39"/>
  <c r="D88" i="14"/>
  <c r="D86" i="14" s="1"/>
  <c r="B58" i="6"/>
  <c r="D50" i="36"/>
  <c r="B13" i="30"/>
  <c r="B21" i="30" s="1"/>
  <c r="I33" i="30"/>
  <c r="D154" i="13"/>
  <c r="F108" i="6"/>
  <c r="B13" i="20"/>
  <c r="B21" i="20" s="1"/>
  <c r="B29" i="20" s="1"/>
  <c r="B38" i="20" s="1"/>
  <c r="B13" i="27"/>
  <c r="B21" i="27" s="1"/>
  <c r="B29" i="27" s="1"/>
  <c r="B38" i="27" s="1"/>
  <c r="J134" i="6"/>
  <c r="J35" i="30" s="1"/>
  <c r="J131" i="6"/>
  <c r="J32" i="30" s="1"/>
  <c r="E59" i="6"/>
  <c r="E62" i="6" s="1"/>
  <c r="E65" i="6" s="1"/>
  <c r="H134" i="25" s="1"/>
  <c r="C13" i="30"/>
  <c r="C21" i="30" s="1"/>
  <c r="C29" i="30" s="1"/>
  <c r="C38" i="30" s="1"/>
  <c r="C59" i="6"/>
  <c r="C62" i="6" s="1"/>
  <c r="C65" i="6" s="1"/>
  <c r="F133" i="15" s="1"/>
  <c r="D59" i="6"/>
  <c r="D61" i="6" s="1"/>
  <c r="C65" i="14"/>
  <c r="C13" i="20"/>
  <c r="C21" i="20" s="1"/>
  <c r="C29" i="20" s="1"/>
  <c r="C38" i="20" s="1"/>
  <c r="C124" i="6"/>
  <c r="C110" i="6" s="1"/>
  <c r="C86" i="6"/>
  <c r="J133" i="6"/>
  <c r="J34" i="30" s="1"/>
  <c r="B130" i="6"/>
  <c r="B143" i="6" s="1"/>
  <c r="B146" i="6" s="1"/>
  <c r="B147" i="6" s="1"/>
  <c r="B41" i="20" s="1"/>
  <c r="E17" i="27"/>
  <c r="N17" i="27" s="1"/>
  <c r="E17" i="30"/>
  <c r="N17" i="30" s="1"/>
  <c r="D17" i="27"/>
  <c r="D13" i="27" s="1"/>
  <c r="D21" i="27" s="1"/>
  <c r="D29" i="27" s="1"/>
  <c r="D38" i="27" s="1"/>
  <c r="D17" i="30"/>
  <c r="D13" i="30" s="1"/>
  <c r="D21" i="30" s="1"/>
  <c r="D29" i="30" s="1"/>
  <c r="D38" i="30" s="1"/>
  <c r="J33" i="27"/>
  <c r="J33" i="30"/>
  <c r="O15" i="30"/>
  <c r="N15" i="30"/>
  <c r="C13" i="27"/>
  <c r="C21" i="27" s="1"/>
  <c r="C29" i="27" s="1"/>
  <c r="C38" i="27" s="1"/>
  <c r="E14" i="14"/>
  <c r="E13" i="14" s="1"/>
  <c r="E11" i="14" s="1"/>
  <c r="E42" i="14" s="1"/>
  <c r="E43" i="14"/>
  <c r="F14" i="14"/>
  <c r="F13" i="14" s="1"/>
  <c r="F11" i="14" s="1"/>
  <c r="F42" i="14" s="1"/>
  <c r="F43" i="14"/>
  <c r="F94" i="14"/>
  <c r="F89" i="14" s="1"/>
  <c r="F88" i="14" s="1"/>
  <c r="F110" i="14"/>
  <c r="D108" i="14"/>
  <c r="I133" i="24"/>
  <c r="I134" i="25"/>
  <c r="J141" i="6"/>
  <c r="K141" i="6" s="1"/>
  <c r="H15" i="20"/>
  <c r="H15" i="27"/>
  <c r="I8" i="20"/>
  <c r="E37" i="36" s="1"/>
  <c r="I8" i="27"/>
  <c r="R8" i="27" s="1"/>
  <c r="J32" i="20"/>
  <c r="J32" i="27"/>
  <c r="I32" i="20"/>
  <c r="I32" i="27"/>
  <c r="K131" i="6"/>
  <c r="I33" i="27"/>
  <c r="K132" i="6"/>
  <c r="K33" i="30" s="1"/>
  <c r="K135" i="6"/>
  <c r="I35" i="20"/>
  <c r="I35" i="27"/>
  <c r="I34" i="20"/>
  <c r="I34" i="27"/>
  <c r="CD8" i="1"/>
  <c r="BL26" i="1"/>
  <c r="AI74" i="2" s="1"/>
  <c r="E112" i="14"/>
  <c r="BR3" i="1"/>
  <c r="BR4" i="1"/>
  <c r="BR5" i="1"/>
  <c r="BR6" i="1"/>
  <c r="BQ3" i="1"/>
  <c r="BQ6" i="1"/>
  <c r="CA6" i="1" s="1"/>
  <c r="BQ5" i="1"/>
  <c r="J30" i="24"/>
  <c r="K53" i="14"/>
  <c r="K61" i="14" s="1"/>
  <c r="K74" i="14" s="1"/>
  <c r="K76" i="14" s="1"/>
  <c r="E116" i="6"/>
  <c r="E124" i="6" s="1"/>
  <c r="E110" i="6" s="1"/>
  <c r="E17" i="20"/>
  <c r="N17" i="20" s="1"/>
  <c r="D116" i="6"/>
  <c r="D124" i="6" s="1"/>
  <c r="D110" i="6" s="1"/>
  <c r="D17" i="20"/>
  <c r="D13" i="20" s="1"/>
  <c r="D21" i="20" s="1"/>
  <c r="D29" i="20" s="1"/>
  <c r="D38" i="20" s="1"/>
  <c r="E154" i="13"/>
  <c r="J33" i="20"/>
  <c r="I33" i="20"/>
  <c r="O15" i="20"/>
  <c r="N15" i="20"/>
  <c r="J53" i="14"/>
  <c r="BI26" i="1"/>
  <c r="AO26" i="1" s="1"/>
  <c r="K17" i="19"/>
  <c r="L109" i="18"/>
  <c r="K131" i="18"/>
  <c r="K15" i="19" s="1"/>
  <c r="I133" i="10"/>
  <c r="I133" i="15"/>
  <c r="L428" i="18"/>
  <c r="K62" i="19"/>
  <c r="K444" i="18"/>
  <c r="H52" i="19"/>
  <c r="I383" i="18"/>
  <c r="H402" i="18"/>
  <c r="H50" i="19" s="1"/>
  <c r="K67" i="19"/>
  <c r="L79" i="18"/>
  <c r="L10" i="19" s="1"/>
  <c r="L12" i="19"/>
  <c r="L403" i="18"/>
  <c r="L55" i="19" s="1"/>
  <c r="L57" i="19"/>
  <c r="L292" i="18"/>
  <c r="L35" i="19" s="1"/>
  <c r="L37" i="19"/>
  <c r="L254" i="18"/>
  <c r="L30" i="19" s="1"/>
  <c r="L32" i="19"/>
  <c r="K60" i="19"/>
  <c r="K443" i="18"/>
  <c r="K65" i="19" s="1"/>
  <c r="I46" i="17"/>
  <c r="J43" i="17"/>
  <c r="K110" i="16"/>
  <c r="J120" i="16"/>
  <c r="J38" i="17" s="1"/>
  <c r="J41" i="17" s="1"/>
  <c r="L16" i="17"/>
  <c r="L21" i="17"/>
  <c r="L196" i="16"/>
  <c r="L6" i="17" s="1"/>
  <c r="L11" i="17"/>
  <c r="K338" i="16"/>
  <c r="K12" i="17" s="1"/>
  <c r="J357" i="16"/>
  <c r="J7" i="17" s="1"/>
  <c r="J8" i="17" s="1"/>
  <c r="J13" i="17" s="1"/>
  <c r="L419" i="16"/>
  <c r="K428" i="16"/>
  <c r="K29" i="17" s="1"/>
  <c r="K30" i="17" s="1"/>
  <c r="K35" i="17" s="1"/>
  <c r="AO7" i="1"/>
  <c r="AN7" i="1"/>
  <c r="CC8" i="1"/>
  <c r="BJ8" i="1"/>
  <c r="CB8" i="1" s="1"/>
  <c r="G177" i="6"/>
  <c r="G168" i="6"/>
  <c r="CB14" i="1"/>
  <c r="U20" i="2"/>
  <c r="V21" i="2"/>
  <c r="W21" i="2" s="1"/>
  <c r="BJ28" i="1"/>
  <c r="CB28" i="1" s="1"/>
  <c r="BK28" i="1"/>
  <c r="BK15" i="1"/>
  <c r="CC15" i="1" s="1"/>
  <c r="BK14" i="1"/>
  <c r="J103" i="6"/>
  <c r="K103" i="6" s="1"/>
  <c r="B101" i="6"/>
  <c r="B88" i="6"/>
  <c r="B110" i="6"/>
  <c r="G187" i="6"/>
  <c r="I187" i="6" s="1"/>
  <c r="J187" i="6" s="1"/>
  <c r="G185" i="6"/>
  <c r="K23" i="2"/>
  <c r="J30" i="10"/>
  <c r="J49" i="6"/>
  <c r="B61" i="6"/>
  <c r="T16" i="2"/>
  <c r="U15" i="2"/>
  <c r="V15" i="2" s="1"/>
  <c r="G15" i="5"/>
  <c r="B67" i="6"/>
  <c r="B65" i="6"/>
  <c r="G182" i="6"/>
  <c r="AP7" i="1"/>
  <c r="I15" i="5"/>
  <c r="G180" i="6"/>
  <c r="I185" i="6"/>
  <c r="J185" i="6" s="1"/>
  <c r="F19" i="5"/>
  <c r="F20" i="5" s="1"/>
  <c r="I80" i="39" l="1"/>
  <c r="N7" i="42" s="1"/>
  <c r="G7" i="42"/>
  <c r="H133" i="10"/>
  <c r="K134" i="6"/>
  <c r="K35" i="30" s="1"/>
  <c r="J35" i="20"/>
  <c r="J35" i="27"/>
  <c r="J34" i="27"/>
  <c r="J34" i="20"/>
  <c r="F50" i="36" s="1"/>
  <c r="D13" i="4"/>
  <c r="E67" i="6"/>
  <c r="E61" i="6"/>
  <c r="D67" i="6"/>
  <c r="H133" i="24"/>
  <c r="C88" i="6"/>
  <c r="H133" i="15"/>
  <c r="F134" i="25"/>
  <c r="F133" i="24"/>
  <c r="A13" i="4"/>
  <c r="F133" i="10"/>
  <c r="C101" i="6"/>
  <c r="C67" i="6"/>
  <c r="E50" i="36"/>
  <c r="D42" i="36"/>
  <c r="B29" i="30"/>
  <c r="B38" i="30" s="1"/>
  <c r="B13" i="4"/>
  <c r="C13" i="4"/>
  <c r="B41" i="30"/>
  <c r="B41" i="27"/>
  <c r="B43" i="27" s="1"/>
  <c r="B81" i="27" s="1"/>
  <c r="B95" i="27" s="1"/>
  <c r="B110" i="27" s="1"/>
  <c r="E13" i="30"/>
  <c r="N13" i="30" s="1"/>
  <c r="K133" i="6"/>
  <c r="K34" i="30" s="1"/>
  <c r="D62" i="6"/>
  <c r="D65" i="6" s="1"/>
  <c r="G134" i="25" s="1"/>
  <c r="B150" i="6"/>
  <c r="C61" i="6"/>
  <c r="H105" i="14"/>
  <c r="E13" i="27"/>
  <c r="N13" i="27" s="1"/>
  <c r="D101" i="6"/>
  <c r="F112" i="14"/>
  <c r="F113" i="14" s="1"/>
  <c r="F95" i="14"/>
  <c r="E13" i="20"/>
  <c r="N13" i="20" s="1"/>
  <c r="E101" i="6"/>
  <c r="E44" i="14"/>
  <c r="BJ30" i="1"/>
  <c r="CB30" i="1" s="1"/>
  <c r="D88" i="6"/>
  <c r="E88" i="6"/>
  <c r="J8" i="27"/>
  <c r="S8" i="27" s="1"/>
  <c r="T8" i="27" s="1"/>
  <c r="U8" i="27" s="1"/>
  <c r="J8" i="30"/>
  <c r="S8" i="30" s="1"/>
  <c r="K32" i="30"/>
  <c r="F44" i="14"/>
  <c r="D112" i="14"/>
  <c r="D110" i="14"/>
  <c r="D95" i="14"/>
  <c r="R8" i="20"/>
  <c r="E133" i="24"/>
  <c r="E134" i="25"/>
  <c r="K30" i="24"/>
  <c r="K30" i="25"/>
  <c r="F47" i="26" s="1"/>
  <c r="K34" i="20"/>
  <c r="K35" i="27"/>
  <c r="K35" i="20"/>
  <c r="K33" i="27"/>
  <c r="K33" i="20"/>
  <c r="K32" i="27"/>
  <c r="K32" i="20"/>
  <c r="J8" i="20"/>
  <c r="CD26" i="1"/>
  <c r="AR26" i="1"/>
  <c r="CA5" i="1"/>
  <c r="H59" i="14"/>
  <c r="H60" i="14"/>
  <c r="CA3" i="1"/>
  <c r="H57" i="14"/>
  <c r="H58" i="14"/>
  <c r="CB6" i="1"/>
  <c r="I60" i="14"/>
  <c r="CB5" i="1"/>
  <c r="I59" i="14"/>
  <c r="CB4" i="1"/>
  <c r="I58" i="14"/>
  <c r="CB3" i="1"/>
  <c r="I57" i="14"/>
  <c r="L23" i="2"/>
  <c r="M23" i="2" s="1"/>
  <c r="K30" i="15"/>
  <c r="K49" i="6"/>
  <c r="BJ26" i="1"/>
  <c r="C130" i="13"/>
  <c r="U88" i="2"/>
  <c r="J17" i="2"/>
  <c r="AO30" i="1"/>
  <c r="T88" i="2"/>
  <c r="L131" i="18"/>
  <c r="L15" i="19" s="1"/>
  <c r="L17" i="19"/>
  <c r="E133" i="10"/>
  <c r="E133" i="15"/>
  <c r="L62" i="19"/>
  <c r="L444" i="18"/>
  <c r="L60" i="19" s="1"/>
  <c r="I52" i="19"/>
  <c r="J383" i="18"/>
  <c r="I402" i="18"/>
  <c r="I50" i="19" s="1"/>
  <c r="L443" i="18"/>
  <c r="L65" i="19" s="1"/>
  <c r="L67" i="19"/>
  <c r="J46" i="17"/>
  <c r="K43" i="17"/>
  <c r="L110" i="16"/>
  <c r="K120" i="16"/>
  <c r="K38" i="17" s="1"/>
  <c r="K41" i="17" s="1"/>
  <c r="L428" i="16"/>
  <c r="L29" i="17" s="1"/>
  <c r="L30" i="17" s="1"/>
  <c r="L35" i="17" s="1"/>
  <c r="L34" i="17"/>
  <c r="L338" i="16"/>
  <c r="K357" i="16"/>
  <c r="K7" i="17" s="1"/>
  <c r="K8" i="17" s="1"/>
  <c r="K13" i="17" s="1"/>
  <c r="G61" i="14"/>
  <c r="G62" i="14"/>
  <c r="AG74" i="2"/>
  <c r="J61" i="14"/>
  <c r="J74" i="14" s="1"/>
  <c r="J76" i="14" s="1"/>
  <c r="G167" i="6"/>
  <c r="G176" i="6"/>
  <c r="CC14" i="1"/>
  <c r="BK26" i="1"/>
  <c r="V20" i="2"/>
  <c r="W20" i="2" s="1"/>
  <c r="CC28" i="1"/>
  <c r="BK30" i="1"/>
  <c r="V12" i="2"/>
  <c r="V13" i="2" s="1"/>
  <c r="V16" i="2"/>
  <c r="K22" i="2"/>
  <c r="H10" i="10"/>
  <c r="R10" i="10" s="1"/>
  <c r="U16" i="2"/>
  <c r="G188" i="6"/>
  <c r="G195" i="6" s="1"/>
  <c r="G198" i="6" s="1"/>
  <c r="G183" i="6"/>
  <c r="K13" i="2"/>
  <c r="E21" i="30" l="1"/>
  <c r="N21" i="30" s="1"/>
  <c r="K34" i="27"/>
  <c r="G133" i="10"/>
  <c r="E21" i="27"/>
  <c r="E29" i="27" s="1"/>
  <c r="F37" i="36"/>
  <c r="G50" i="36"/>
  <c r="B43" i="30"/>
  <c r="B81" i="30" s="1"/>
  <c r="B95" i="30" s="1"/>
  <c r="B110" i="30" s="1"/>
  <c r="G201" i="6"/>
  <c r="G203" i="6" s="1"/>
  <c r="G200" i="6"/>
  <c r="G197" i="6"/>
  <c r="G133" i="24"/>
  <c r="G133" i="15"/>
  <c r="H107" i="14"/>
  <c r="H96" i="14" s="1"/>
  <c r="I53" i="14"/>
  <c r="I61" i="14" s="1"/>
  <c r="I74" i="14" s="1"/>
  <c r="I76" i="14" s="1"/>
  <c r="L22" i="2"/>
  <c r="J20" i="6" s="1"/>
  <c r="E21" i="20"/>
  <c r="E29" i="20" s="1"/>
  <c r="AP30" i="1"/>
  <c r="I20" i="6"/>
  <c r="S8" i="20"/>
  <c r="T8" i="20" s="1"/>
  <c r="AP26" i="1"/>
  <c r="CB7" i="1"/>
  <c r="K8" i="27"/>
  <c r="K8" i="30"/>
  <c r="T8" i="30"/>
  <c r="U8" i="30" s="1"/>
  <c r="H101" i="30"/>
  <c r="L30" i="25"/>
  <c r="G47" i="26" s="1"/>
  <c r="L30" i="15"/>
  <c r="K8" i="20"/>
  <c r="CD75" i="1"/>
  <c r="K111" i="14"/>
  <c r="J111" i="14"/>
  <c r="CC75" i="1"/>
  <c r="I111" i="14"/>
  <c r="H53" i="14"/>
  <c r="H61" i="14" s="1"/>
  <c r="H74" i="14" s="1"/>
  <c r="H76" i="14" s="1"/>
  <c r="CA7" i="1"/>
  <c r="D130" i="13"/>
  <c r="AQ30" i="1"/>
  <c r="CC30" i="1"/>
  <c r="V88" i="2"/>
  <c r="E130" i="13"/>
  <c r="T85" i="2"/>
  <c r="T84" i="2"/>
  <c r="T83" i="2"/>
  <c r="T82" i="2"/>
  <c r="I162" i="6"/>
  <c r="U82" i="2"/>
  <c r="U83" i="2"/>
  <c r="U84" i="2"/>
  <c r="U85" i="2"/>
  <c r="J52" i="19"/>
  <c r="K383" i="18"/>
  <c r="J402" i="18"/>
  <c r="J50" i="19" s="1"/>
  <c r="K46" i="17"/>
  <c r="L120" i="16"/>
  <c r="L38" i="17" s="1"/>
  <c r="L41" i="17" s="1"/>
  <c r="L43" i="17"/>
  <c r="L357" i="16"/>
  <c r="L7" i="17" s="1"/>
  <c r="L8" i="17" s="1"/>
  <c r="L13" i="17" s="1"/>
  <c r="L12" i="17"/>
  <c r="G74" i="14"/>
  <c r="G63" i="14"/>
  <c r="AQ26" i="1"/>
  <c r="AH74" i="2"/>
  <c r="K17" i="2"/>
  <c r="L13" i="2"/>
  <c r="L17" i="2" s="1"/>
  <c r="H37" i="10"/>
  <c r="H126" i="10" s="1"/>
  <c r="G21" i="6"/>
  <c r="E130" i="6"/>
  <c r="E143" i="6" s="1"/>
  <c r="E29" i="30" l="1"/>
  <c r="E38" i="30" s="1"/>
  <c r="N21" i="27"/>
  <c r="K19" i="36"/>
  <c r="N21" i="20"/>
  <c r="E37" i="26"/>
  <c r="K10" i="24"/>
  <c r="L10" i="24" s="1"/>
  <c r="F37" i="26"/>
  <c r="G37" i="36"/>
  <c r="M22" i="2"/>
  <c r="K20" i="6" s="1"/>
  <c r="G37" i="26" s="1"/>
  <c r="K10" i="25"/>
  <c r="K10" i="15"/>
  <c r="D55" i="7"/>
  <c r="U18" i="2"/>
  <c r="U12" i="2" s="1"/>
  <c r="U13" i="2" s="1"/>
  <c r="J107" i="14"/>
  <c r="J96" i="14" s="1"/>
  <c r="J88" i="14" s="1"/>
  <c r="J86" i="14" s="1"/>
  <c r="N29" i="30"/>
  <c r="I165" i="6"/>
  <c r="I164" i="6" s="1"/>
  <c r="H17" i="24"/>
  <c r="R17" i="24" s="1"/>
  <c r="H17" i="25"/>
  <c r="G23" i="6"/>
  <c r="C41" i="26" s="1"/>
  <c r="C38" i="26" s="1"/>
  <c r="E38" i="27"/>
  <c r="N29" i="27"/>
  <c r="K107" i="14"/>
  <c r="K96" i="14" s="1"/>
  <c r="J10" i="25"/>
  <c r="T10" i="25" s="1"/>
  <c r="H41" i="14"/>
  <c r="T18" i="2"/>
  <c r="T12" i="2" s="1"/>
  <c r="T13" i="2" s="1"/>
  <c r="U70" i="2"/>
  <c r="V70" i="2"/>
  <c r="J10" i="24"/>
  <c r="T10" i="24" s="1"/>
  <c r="H17" i="10"/>
  <c r="H17" i="15"/>
  <c r="R17" i="15" s="1"/>
  <c r="U8" i="20"/>
  <c r="E38" i="20"/>
  <c r="N29" i="20"/>
  <c r="I170" i="6"/>
  <c r="I163" i="6"/>
  <c r="H163" i="6"/>
  <c r="J162" i="6"/>
  <c r="V82" i="2"/>
  <c r="V83" i="2"/>
  <c r="V84" i="2"/>
  <c r="V85" i="2"/>
  <c r="J21" i="6"/>
  <c r="J10" i="15"/>
  <c r="I10" i="15"/>
  <c r="S10" i="15" s="1"/>
  <c r="K52" i="19"/>
  <c r="L383" i="18"/>
  <c r="K402" i="18"/>
  <c r="K50" i="19" s="1"/>
  <c r="L46" i="17"/>
  <c r="J10" i="10"/>
  <c r="I10" i="10"/>
  <c r="S10" i="10" s="1"/>
  <c r="E146" i="6"/>
  <c r="I21" i="6"/>
  <c r="H21" i="6"/>
  <c r="E125" i="6"/>
  <c r="H43" i="14" l="1"/>
  <c r="H24" i="14"/>
  <c r="L10" i="15"/>
  <c r="K21" i="6"/>
  <c r="L10" i="25"/>
  <c r="V10" i="25" s="1"/>
  <c r="J84" i="6"/>
  <c r="J85" i="6" s="1"/>
  <c r="H14" i="24"/>
  <c r="H119" i="24" s="1"/>
  <c r="U10" i="25"/>
  <c r="N38" i="30"/>
  <c r="N39" i="30"/>
  <c r="N38" i="27"/>
  <c r="N39" i="27"/>
  <c r="R17" i="25"/>
  <c r="H14" i="25"/>
  <c r="H22" i="14"/>
  <c r="N38" i="20"/>
  <c r="N39" i="20"/>
  <c r="J170" i="6"/>
  <c r="J163" i="6"/>
  <c r="H168" i="6"/>
  <c r="H180" i="6"/>
  <c r="H177" i="6"/>
  <c r="H171" i="6"/>
  <c r="I171" i="6"/>
  <c r="I174" i="6"/>
  <c r="I172" i="6" s="1"/>
  <c r="I179" i="6"/>
  <c r="I177" i="6" s="1"/>
  <c r="T10" i="15"/>
  <c r="L402" i="18"/>
  <c r="L50" i="19" s="1"/>
  <c r="L52" i="19"/>
  <c r="K10" i="10"/>
  <c r="L10" i="10" s="1"/>
  <c r="T10" i="10"/>
  <c r="E145" i="6"/>
  <c r="H111" i="24" l="1"/>
  <c r="H44" i="24"/>
  <c r="H81" i="24" s="1"/>
  <c r="H21" i="24"/>
  <c r="H29" i="24" s="1"/>
  <c r="R14" i="24"/>
  <c r="R14" i="25"/>
  <c r="H119" i="25"/>
  <c r="H111" i="25"/>
  <c r="H21" i="25"/>
  <c r="H120" i="25" s="1"/>
  <c r="I184" i="6"/>
  <c r="I168" i="6"/>
  <c r="I180" i="6"/>
  <c r="J174" i="6"/>
  <c r="J171" i="6"/>
  <c r="J179" i="6"/>
  <c r="E147" i="6"/>
  <c r="E41" i="30" s="1"/>
  <c r="E43" i="30" s="1"/>
  <c r="D99" i="6"/>
  <c r="R21" i="24" l="1"/>
  <c r="H120" i="24"/>
  <c r="H112" i="24"/>
  <c r="N41" i="30"/>
  <c r="E41" i="20"/>
  <c r="E43" i="20" s="1"/>
  <c r="E41" i="27"/>
  <c r="H112" i="25"/>
  <c r="H29" i="25"/>
  <c r="R21" i="25"/>
  <c r="R29" i="24"/>
  <c r="H34" i="24"/>
  <c r="H114" i="24"/>
  <c r="H122" i="24"/>
  <c r="J184" i="6"/>
  <c r="J180" i="6"/>
  <c r="J168" i="6"/>
  <c r="J177" i="6"/>
  <c r="J172" i="6"/>
  <c r="E150" i="6"/>
  <c r="E152" i="6" s="1"/>
  <c r="D125" i="6"/>
  <c r="D130" i="6"/>
  <c r="D143" i="6" s="1"/>
  <c r="C99" i="6"/>
  <c r="N41" i="20" l="1"/>
  <c r="K31" i="26"/>
  <c r="C46" i="26"/>
  <c r="E81" i="30"/>
  <c r="E95" i="30" s="1"/>
  <c r="E110" i="30" s="1"/>
  <c r="N43" i="30"/>
  <c r="H34" i="25"/>
  <c r="H122" i="25"/>
  <c r="H114" i="25"/>
  <c r="R29" i="25"/>
  <c r="N41" i="27"/>
  <c r="E43" i="27"/>
  <c r="N43" i="20"/>
  <c r="E81" i="20"/>
  <c r="E95" i="20" s="1"/>
  <c r="E110" i="20" s="1"/>
  <c r="R35" i="24"/>
  <c r="H39" i="24"/>
  <c r="H115" i="24"/>
  <c r="H124" i="24"/>
  <c r="D146" i="6"/>
  <c r="D145" i="6"/>
  <c r="C130" i="6"/>
  <c r="C143" i="6" s="1"/>
  <c r="C125" i="6"/>
  <c r="K54" i="26" l="1"/>
  <c r="C49" i="26"/>
  <c r="E81" i="27"/>
  <c r="E95" i="27" s="1"/>
  <c r="E110" i="27" s="1"/>
  <c r="N43" i="27"/>
  <c r="H124" i="25"/>
  <c r="H39" i="25"/>
  <c r="H115" i="25"/>
  <c r="R35" i="25"/>
  <c r="R39" i="24"/>
  <c r="H75" i="24"/>
  <c r="H116" i="24"/>
  <c r="H127" i="24"/>
  <c r="H129" i="24"/>
  <c r="C146" i="6"/>
  <c r="C145" i="6"/>
  <c r="D147" i="6"/>
  <c r="K35" i="26" l="1"/>
  <c r="K32" i="26"/>
  <c r="D41" i="27"/>
  <c r="D43" i="27" s="1"/>
  <c r="D81" i="27" s="1"/>
  <c r="D95" i="27" s="1"/>
  <c r="D110" i="27" s="1"/>
  <c r="D41" i="30"/>
  <c r="H127" i="25"/>
  <c r="H116" i="25"/>
  <c r="H75" i="25"/>
  <c r="R39" i="25"/>
  <c r="H136" i="25"/>
  <c r="D41" i="20"/>
  <c r="D43" i="20" s="1"/>
  <c r="D81" i="20" s="1"/>
  <c r="D95" i="20" s="1"/>
  <c r="D110" i="20" s="1"/>
  <c r="H128" i="24"/>
  <c r="H132" i="24"/>
  <c r="H68" i="24"/>
  <c r="H89" i="24"/>
  <c r="H103" i="24" s="1"/>
  <c r="H106" i="24" s="1"/>
  <c r="B43" i="20"/>
  <c r="B81" i="20" s="1"/>
  <c r="B95" i="20" s="1"/>
  <c r="B110" i="20" s="1"/>
  <c r="B152" i="6"/>
  <c r="D150" i="6"/>
  <c r="D152" i="6" s="1"/>
  <c r="E148" i="6"/>
  <c r="C147" i="6"/>
  <c r="C150" i="6" s="1"/>
  <c r="C152" i="6" s="1"/>
  <c r="B145" i="6"/>
  <c r="K37" i="26" l="1"/>
  <c r="K4" i="26"/>
  <c r="K36" i="26"/>
  <c r="D43" i="30"/>
  <c r="D81" i="30" s="1"/>
  <c r="D95" i="30" s="1"/>
  <c r="D110" i="30" s="1"/>
  <c r="C41" i="27"/>
  <c r="C43" i="27" s="1"/>
  <c r="C81" i="27" s="1"/>
  <c r="C95" i="27" s="1"/>
  <c r="C110" i="27" s="1"/>
  <c r="C113" i="27" s="1"/>
  <c r="D112" i="27" s="1"/>
  <c r="D113" i="27" s="1"/>
  <c r="E112" i="27" s="1"/>
  <c r="E113" i="27" s="1"/>
  <c r="F112" i="27" s="1"/>
  <c r="C41" i="30"/>
  <c r="C43" i="30" s="1"/>
  <c r="C81" i="30" s="1"/>
  <c r="C95" i="30" s="1"/>
  <c r="C41" i="20"/>
  <c r="C43" i="20" s="1"/>
  <c r="C81" i="20" s="1"/>
  <c r="C95" i="20" s="1"/>
  <c r="C110" i="20" s="1"/>
  <c r="C113" i="20" s="1"/>
  <c r="D112" i="20" s="1"/>
  <c r="D113" i="20" s="1"/>
  <c r="E112" i="20" s="1"/>
  <c r="E113" i="20" s="1"/>
  <c r="F112" i="20" s="1"/>
  <c r="H42" i="24"/>
  <c r="H46" i="24" s="1"/>
  <c r="H55" i="24" s="1"/>
  <c r="I105" i="24"/>
  <c r="H71" i="24"/>
  <c r="C148" i="6"/>
  <c r="D148" i="6"/>
  <c r="C110" i="30" l="1"/>
  <c r="C113" i="30" s="1"/>
  <c r="D112" i="30" s="1"/>
  <c r="D113" i="30" s="1"/>
  <c r="E112" i="30" s="1"/>
  <c r="E113" i="30" s="1"/>
  <c r="F112" i="30" s="1"/>
  <c r="H72" i="24"/>
  <c r="H73" i="24" s="1"/>
  <c r="H134" i="24"/>
  <c r="J66" i="2" l="1"/>
  <c r="K66" i="2" l="1"/>
  <c r="I9" i="20" s="1"/>
  <c r="E35" i="36" l="1"/>
  <c r="L66" i="2"/>
  <c r="J9" i="20" s="1"/>
  <c r="G127" i="6"/>
  <c r="G109" i="6"/>
  <c r="G87" i="6"/>
  <c r="G100" i="6"/>
  <c r="F35" i="36" l="1"/>
  <c r="J82" i="6"/>
  <c r="S9" i="20"/>
  <c r="H24" i="30"/>
  <c r="H23" i="30" s="1"/>
  <c r="H10" i="27"/>
  <c r="Q10" i="27" l="1"/>
  <c r="H10" i="20"/>
  <c r="D38" i="36" s="1"/>
  <c r="G6" i="6"/>
  <c r="H24" i="20" l="1"/>
  <c r="H24" i="27"/>
  <c r="Q10" i="20"/>
  <c r="H15" i="10"/>
  <c r="H8" i="10"/>
  <c r="D46" i="36" l="1"/>
  <c r="H108" i="30"/>
  <c r="H64" i="30"/>
  <c r="H26" i="20"/>
  <c r="H26" i="27"/>
  <c r="J113" i="6"/>
  <c r="K113" i="6" s="1"/>
  <c r="H9" i="10"/>
  <c r="H7" i="10" s="1"/>
  <c r="H16" i="10"/>
  <c r="G14" i="6"/>
  <c r="G39" i="6"/>
  <c r="C34" i="26" s="1"/>
  <c r="R8" i="10"/>
  <c r="G18" i="6"/>
  <c r="D12" i="7" s="1"/>
  <c r="D11" i="7"/>
  <c r="H77" i="30" l="1"/>
  <c r="K23" i="36"/>
  <c r="D47" i="36"/>
  <c r="H23" i="27"/>
  <c r="H49" i="27" s="1"/>
  <c r="H23" i="20"/>
  <c r="H49" i="20" s="1"/>
  <c r="G46" i="6"/>
  <c r="G44" i="6"/>
  <c r="G42" i="6"/>
  <c r="K34" i="26" s="1"/>
  <c r="G25" i="6"/>
  <c r="D13" i="7" s="1"/>
  <c r="H53" i="10"/>
  <c r="H92" i="10"/>
  <c r="H50" i="10" s="1"/>
  <c r="H76" i="10"/>
  <c r="H91" i="10"/>
  <c r="H43" i="10"/>
  <c r="H18" i="10"/>
  <c r="H14" i="10" s="1"/>
  <c r="H110" i="10"/>
  <c r="H131" i="10"/>
  <c r="R7" i="10"/>
  <c r="H118" i="10"/>
  <c r="G40" i="6"/>
  <c r="H26" i="10"/>
  <c r="R9" i="10"/>
  <c r="D8" i="36" l="1"/>
  <c r="H88" i="20"/>
  <c r="H61" i="20"/>
  <c r="H89" i="20" s="1"/>
  <c r="H62" i="20"/>
  <c r="H103" i="20" s="1"/>
  <c r="H108" i="20" s="1"/>
  <c r="H63" i="20"/>
  <c r="H63" i="27"/>
  <c r="H90" i="27" s="1"/>
  <c r="H62" i="27"/>
  <c r="H103" i="27" s="1"/>
  <c r="H108" i="27" s="1"/>
  <c r="H61" i="27"/>
  <c r="H89" i="27" s="1"/>
  <c r="H95" i="10"/>
  <c r="H88" i="27"/>
  <c r="H24" i="10"/>
  <c r="G47" i="6"/>
  <c r="G48" i="6" s="1"/>
  <c r="H44" i="10"/>
  <c r="G26" i="12" s="1"/>
  <c r="H111" i="10"/>
  <c r="H119" i="10"/>
  <c r="R14" i="10"/>
  <c r="H21" i="10"/>
  <c r="H80" i="10"/>
  <c r="H48" i="10"/>
  <c r="H79" i="10"/>
  <c r="H63" i="10"/>
  <c r="H64" i="20" l="1"/>
  <c r="D24" i="36" s="1"/>
  <c r="H90" i="20"/>
  <c r="K10" i="36" s="1"/>
  <c r="H64" i="27"/>
  <c r="K9" i="36"/>
  <c r="D20" i="36"/>
  <c r="D19" i="36"/>
  <c r="D18" i="36"/>
  <c r="K8" i="36"/>
  <c r="G56" i="6"/>
  <c r="G58" i="6" s="1"/>
  <c r="H49" i="10"/>
  <c r="G13" i="12" s="1"/>
  <c r="G27" i="12"/>
  <c r="H112" i="10"/>
  <c r="H120" i="10"/>
  <c r="R21" i="10"/>
  <c r="G6" i="12"/>
  <c r="H81" i="10"/>
  <c r="H23" i="10"/>
  <c r="G9" i="12"/>
  <c r="D17" i="36" l="1"/>
  <c r="G14" i="12"/>
  <c r="H57" i="10"/>
  <c r="H59" i="10"/>
  <c r="H45" i="10"/>
  <c r="H58" i="10"/>
  <c r="G30" i="12"/>
  <c r="R23" i="10"/>
  <c r="H113" i="10"/>
  <c r="H121" i="10"/>
  <c r="H29" i="10"/>
  <c r="H35" i="10"/>
  <c r="G59" i="6"/>
  <c r="G61" i="6" s="1"/>
  <c r="I37" i="15" l="1"/>
  <c r="I126" i="15" s="1"/>
  <c r="G62" i="6"/>
  <c r="H125" i="10"/>
  <c r="H114" i="10"/>
  <c r="R29" i="10"/>
  <c r="H122" i="10"/>
  <c r="H34" i="10"/>
  <c r="G19" i="12"/>
  <c r="H97" i="10"/>
  <c r="H101" i="10" s="1"/>
  <c r="H82" i="10"/>
  <c r="H84" i="10"/>
  <c r="H83" i="10"/>
  <c r="H60" i="10"/>
  <c r="H64" i="10" s="1"/>
  <c r="G65" i="6" l="1"/>
  <c r="J134" i="25" s="1"/>
  <c r="C52" i="26"/>
  <c r="I37" i="10"/>
  <c r="I126" i="10" s="1"/>
  <c r="H39" i="10"/>
  <c r="R34" i="10"/>
  <c r="H124" i="10"/>
  <c r="G7" i="12"/>
  <c r="G8" i="12"/>
  <c r="G22" i="12"/>
  <c r="H115" i="10"/>
  <c r="D3" i="7" l="1"/>
  <c r="D17" i="7" s="1"/>
  <c r="J133" i="15"/>
  <c r="J133" i="10"/>
  <c r="J133" i="24"/>
  <c r="H75" i="10"/>
  <c r="H129" i="10"/>
  <c r="R39" i="10"/>
  <c r="H116" i="10"/>
  <c r="H127" i="10"/>
  <c r="D16" i="7" l="1"/>
  <c r="D4" i="7"/>
  <c r="H135" i="15" s="1"/>
  <c r="D15" i="7"/>
  <c r="H132" i="10"/>
  <c r="H128" i="10"/>
  <c r="H68" i="10"/>
  <c r="H89" i="10"/>
  <c r="H135" i="10" l="1"/>
  <c r="H135" i="24"/>
  <c r="H103" i="10"/>
  <c r="H106" i="10" s="1"/>
  <c r="G12" i="12"/>
  <c r="G31" i="12"/>
  <c r="H71" i="10"/>
  <c r="H72" i="10" l="1"/>
  <c r="B12" i="13"/>
  <c r="G17" i="12"/>
  <c r="G20" i="12"/>
  <c r="H134" i="10"/>
  <c r="G4" i="12"/>
  <c r="I105" i="10"/>
  <c r="H42" i="10"/>
  <c r="H46" i="10" l="1"/>
  <c r="H55" i="10" s="1"/>
  <c r="H73" i="10" s="1"/>
  <c r="G18" i="12"/>
  <c r="G21" i="12"/>
  <c r="G25" i="12" l="1"/>
  <c r="G5" i="12"/>
  <c r="F99" i="6" l="1"/>
  <c r="H99" i="6" l="1"/>
  <c r="I99" i="6" s="1"/>
  <c r="I98" i="6" s="1"/>
  <c r="F115" i="6"/>
  <c r="I97" i="6" l="1"/>
  <c r="I76" i="6"/>
  <c r="I77" i="6" s="1"/>
  <c r="F17" i="27"/>
  <c r="F13" i="27" s="1"/>
  <c r="F17" i="30"/>
  <c r="O17" i="27"/>
  <c r="F116" i="6"/>
  <c r="F117" i="6" s="1"/>
  <c r="F17" i="20"/>
  <c r="F124" i="6" l="1"/>
  <c r="F88" i="6" s="1"/>
  <c r="J99" i="6"/>
  <c r="K99" i="6" s="1"/>
  <c r="O17" i="30"/>
  <c r="F13" i="30"/>
  <c r="O13" i="27"/>
  <c r="F21" i="27"/>
  <c r="O17" i="20"/>
  <c r="F13" i="20"/>
  <c r="F130" i="6" l="1"/>
  <c r="F143" i="6" s="1"/>
  <c r="F119" i="6"/>
  <c r="F125" i="6"/>
  <c r="F110" i="6"/>
  <c r="F101" i="6"/>
  <c r="O13" i="30"/>
  <c r="F21" i="30"/>
  <c r="F29" i="27"/>
  <c r="O21" i="27"/>
  <c r="F21" i="20"/>
  <c r="O13" i="20"/>
  <c r="F145" i="6" l="1"/>
  <c r="F146" i="6"/>
  <c r="F147" i="6" s="1"/>
  <c r="F41" i="30" s="1"/>
  <c r="O41" i="30" s="1"/>
  <c r="O21" i="30"/>
  <c r="F29" i="30"/>
  <c r="F38" i="27"/>
  <c r="O29" i="27"/>
  <c r="F29" i="20"/>
  <c r="O21" i="20"/>
  <c r="G88" i="6"/>
  <c r="D35" i="7" s="1"/>
  <c r="G125" i="6"/>
  <c r="G119" i="6"/>
  <c r="G110" i="6"/>
  <c r="D34" i="7" s="1"/>
  <c r="G101" i="6"/>
  <c r="D33" i="7" s="1"/>
  <c r="F148" i="6" l="1"/>
  <c r="F150" i="6"/>
  <c r="F152" i="6" s="1"/>
  <c r="F41" i="27"/>
  <c r="O41" i="27" s="1"/>
  <c r="J35" i="36"/>
  <c r="F41" i="20"/>
  <c r="O41" i="20" s="1"/>
  <c r="O29" i="30"/>
  <c r="F38" i="30"/>
  <c r="O38" i="27"/>
  <c r="O39" i="27"/>
  <c r="F38" i="20"/>
  <c r="O29" i="20"/>
  <c r="F43" i="27" l="1"/>
  <c r="F81" i="27" s="1"/>
  <c r="F95" i="27" s="1"/>
  <c r="F110" i="27" s="1"/>
  <c r="F113" i="27" s="1"/>
  <c r="G112" i="27" s="1"/>
  <c r="O38" i="30"/>
  <c r="O39" i="30"/>
  <c r="F43" i="30"/>
  <c r="O38" i="20"/>
  <c r="O39" i="20"/>
  <c r="F43" i="20"/>
  <c r="G147" i="6"/>
  <c r="G41" i="30" s="1"/>
  <c r="O43" i="27" l="1"/>
  <c r="F81" i="30"/>
  <c r="F95" i="30" s="1"/>
  <c r="F110" i="30" s="1"/>
  <c r="F113" i="30" s="1"/>
  <c r="G112" i="30" s="1"/>
  <c r="O43" i="30"/>
  <c r="P41" i="30"/>
  <c r="G43" i="30"/>
  <c r="G41" i="27"/>
  <c r="P41" i="27" s="1"/>
  <c r="G150" i="6"/>
  <c r="G152" i="6" s="1"/>
  <c r="G41" i="20"/>
  <c r="O43" i="20"/>
  <c r="F81" i="20"/>
  <c r="F95" i="20" s="1"/>
  <c r="F110" i="20" s="1"/>
  <c r="F113" i="20" s="1"/>
  <c r="G112" i="20" s="1"/>
  <c r="G148" i="6"/>
  <c r="J49" i="36" l="1"/>
  <c r="C53" i="36"/>
  <c r="J36" i="36"/>
  <c r="J26" i="36"/>
  <c r="G43" i="27"/>
  <c r="G81" i="27" s="1"/>
  <c r="G95" i="27" s="1"/>
  <c r="G110" i="27" s="1"/>
  <c r="G113" i="27" s="1"/>
  <c r="G81" i="30"/>
  <c r="P43" i="30"/>
  <c r="H36" i="20"/>
  <c r="H36" i="27"/>
  <c r="D25" i="7"/>
  <c r="P41" i="20"/>
  <c r="G43" i="20"/>
  <c r="I36" i="30"/>
  <c r="J138" i="6"/>
  <c r="P43" i="27" l="1"/>
  <c r="C54" i="36"/>
  <c r="J37" i="36"/>
  <c r="J38" i="36"/>
  <c r="D26" i="7"/>
  <c r="G95" i="30"/>
  <c r="J14" i="36" s="1"/>
  <c r="J140" i="6"/>
  <c r="J36" i="30" s="1"/>
  <c r="K138" i="6"/>
  <c r="K140" i="6" s="1"/>
  <c r="K36" i="30" s="1"/>
  <c r="I36" i="20"/>
  <c r="I36" i="27"/>
  <c r="P43" i="20"/>
  <c r="G81" i="20"/>
  <c r="J4" i="36" s="1"/>
  <c r="D36" i="7"/>
  <c r="D37" i="7"/>
  <c r="D38" i="7"/>
  <c r="G19" i="16"/>
  <c r="H19" i="16" s="1"/>
  <c r="I19" i="16" s="1"/>
  <c r="J19" i="16" s="1"/>
  <c r="K19" i="16" s="1"/>
  <c r="L19" i="16" s="1"/>
  <c r="E235" i="16"/>
  <c r="F235" i="16" s="1"/>
  <c r="G235" i="16" s="1"/>
  <c r="H235" i="16" s="1"/>
  <c r="I235" i="16" s="1"/>
  <c r="J235" i="16" s="1"/>
  <c r="K235" i="16" s="1"/>
  <c r="L235" i="16" s="1"/>
  <c r="D232" i="16"/>
  <c r="E232" i="16" s="1"/>
  <c r="G110" i="30" l="1"/>
  <c r="J25" i="36" s="1"/>
  <c r="J53" i="36"/>
  <c r="G95" i="20"/>
  <c r="G110" i="20" s="1"/>
  <c r="G113" i="20" s="1"/>
  <c r="K36" i="27"/>
  <c r="K36" i="20"/>
  <c r="J36" i="20"/>
  <c r="J36" i="27"/>
  <c r="E258" i="16"/>
  <c r="E17" i="17" s="1"/>
  <c r="E19" i="17" s="1"/>
  <c r="E22" i="17"/>
  <c r="D258" i="16"/>
  <c r="D17" i="17" s="1"/>
  <c r="D19" i="17" s="1"/>
  <c r="D22" i="17"/>
  <c r="F232" i="16"/>
  <c r="G113" i="30" l="1"/>
  <c r="J27" i="36" s="1"/>
  <c r="D24" i="17"/>
  <c r="D48" i="17"/>
  <c r="E24" i="17"/>
  <c r="E48" i="17"/>
  <c r="F258" i="16"/>
  <c r="F17" i="17" s="1"/>
  <c r="F19" i="17" s="1"/>
  <c r="F22" i="17"/>
  <c r="G232" i="16"/>
  <c r="H112" i="30" l="1"/>
  <c r="F24" i="17"/>
  <c r="F48" i="17"/>
  <c r="G258" i="16"/>
  <c r="G17" i="17" s="1"/>
  <c r="G19" i="17" s="1"/>
  <c r="G22" i="17"/>
  <c r="H232" i="16"/>
  <c r="K26" i="36" l="1"/>
  <c r="G24" i="17"/>
  <c r="G48" i="17"/>
  <c r="H258" i="16"/>
  <c r="H17" i="17" s="1"/>
  <c r="H19" i="17" s="1"/>
  <c r="H22" i="17"/>
  <c r="I232" i="16"/>
  <c r="H24" i="17" l="1"/>
  <c r="H48" i="17"/>
  <c r="I258" i="16"/>
  <c r="I17" i="17" s="1"/>
  <c r="I19" i="17" s="1"/>
  <c r="I22" i="17"/>
  <c r="J232" i="16"/>
  <c r="I24" i="17" l="1"/>
  <c r="I48" i="17"/>
  <c r="J258" i="16"/>
  <c r="J17" i="17" s="1"/>
  <c r="J19" i="17" s="1"/>
  <c r="J22" i="17"/>
  <c r="K232" i="16"/>
  <c r="J24" i="17" l="1"/>
  <c r="J48" i="17"/>
  <c r="K258" i="16"/>
  <c r="K17" i="17" s="1"/>
  <c r="K19" i="17" s="1"/>
  <c r="K22" i="17"/>
  <c r="L232" i="16"/>
  <c r="K24" i="17" l="1"/>
  <c r="K48" i="17"/>
  <c r="L258" i="16"/>
  <c r="L17" i="17" s="1"/>
  <c r="L19" i="17" s="1"/>
  <c r="L22" i="17"/>
  <c r="L24" i="17" l="1"/>
  <c r="L48" i="17"/>
  <c r="N211" i="18"/>
  <c r="N203" i="18" s="1"/>
  <c r="D203" i="18" s="1"/>
  <c r="D211" i="18" l="1"/>
  <c r="E211" i="18" s="1"/>
  <c r="F211" i="18" s="1"/>
  <c r="G211" i="18" s="1"/>
  <c r="H211" i="18" s="1"/>
  <c r="I211" i="18" s="1"/>
  <c r="J211" i="18" s="1"/>
  <c r="K211" i="18" s="1"/>
  <c r="L211" i="18" s="1"/>
  <c r="D27" i="19" l="1"/>
  <c r="D216" i="18"/>
  <c r="D25" i="19" s="1"/>
  <c r="E203" i="18"/>
  <c r="E27" i="19" s="1"/>
  <c r="E216" i="18" l="1"/>
  <c r="E25" i="19" s="1"/>
  <c r="F203" i="18"/>
  <c r="F27" i="19" s="1"/>
  <c r="F216" i="18" l="1"/>
  <c r="F25" i="19" s="1"/>
  <c r="G203" i="18"/>
  <c r="G27" i="19" s="1"/>
  <c r="G216" i="18" l="1"/>
  <c r="G25" i="19" s="1"/>
  <c r="H203" i="18"/>
  <c r="H27" i="19" s="1"/>
  <c r="H216" i="18" l="1"/>
  <c r="H25" i="19" s="1"/>
  <c r="I203" i="18"/>
  <c r="I27" i="19" s="1"/>
  <c r="I216" i="18" l="1"/>
  <c r="I25" i="19" s="1"/>
  <c r="J203" i="18"/>
  <c r="J27" i="19" s="1"/>
  <c r="J216" i="18" l="1"/>
  <c r="J25" i="19" s="1"/>
  <c r="K203" i="18"/>
  <c r="K27" i="19" s="1"/>
  <c r="K216" i="18" l="1"/>
  <c r="K25" i="19" s="1"/>
  <c r="L203" i="18"/>
  <c r="L27" i="19" s="1"/>
  <c r="L216" i="18" l="1"/>
  <c r="L25" i="19" s="1"/>
  <c r="O350" i="18"/>
  <c r="O327" i="18" s="1"/>
  <c r="D350" i="18"/>
  <c r="E350" i="18" s="1"/>
  <c r="F350" i="18" s="1"/>
  <c r="G350" i="18" s="1"/>
  <c r="H350" i="18" s="1"/>
  <c r="I350" i="18" s="1"/>
  <c r="J350" i="18" s="1"/>
  <c r="K350" i="18" s="1"/>
  <c r="L350" i="18" s="1"/>
  <c r="D327" i="18" l="1"/>
  <c r="D42" i="19"/>
  <c r="E327" i="18"/>
  <c r="D355" i="18"/>
  <c r="D40" i="19" s="1"/>
  <c r="D70" i="19" s="1"/>
  <c r="E42" i="19" l="1"/>
  <c r="F327" i="18"/>
  <c r="E355" i="18"/>
  <c r="E40" i="19" s="1"/>
  <c r="E70" i="19" s="1"/>
  <c r="F42" i="19" l="1"/>
  <c r="G327" i="18"/>
  <c r="F355" i="18"/>
  <c r="F40" i="19" s="1"/>
  <c r="F70" i="19" s="1"/>
  <c r="G42" i="19" l="1"/>
  <c r="H327" i="18"/>
  <c r="G355" i="18"/>
  <c r="G40" i="19" s="1"/>
  <c r="G70" i="19" s="1"/>
  <c r="H42" i="19" l="1"/>
  <c r="I327" i="18"/>
  <c r="H355" i="18"/>
  <c r="H40" i="19" s="1"/>
  <c r="H70" i="19" s="1"/>
  <c r="I42" i="19" l="1"/>
  <c r="J327" i="18"/>
  <c r="I355" i="18"/>
  <c r="I40" i="19" s="1"/>
  <c r="I70" i="19" s="1"/>
  <c r="J42" i="19" l="1"/>
  <c r="K327" i="18"/>
  <c r="J355" i="18"/>
  <c r="J40" i="19" s="1"/>
  <c r="J70" i="19" s="1"/>
  <c r="K42" i="19" l="1"/>
  <c r="L327" i="18"/>
  <c r="K355" i="18"/>
  <c r="K40" i="19" s="1"/>
  <c r="K70" i="19" s="1"/>
  <c r="L355" i="18" l="1"/>
  <c r="L40" i="19" s="1"/>
  <c r="L70" i="19" s="1"/>
  <c r="L42" i="19"/>
  <c r="R18" i="15"/>
  <c r="H14" i="15"/>
  <c r="H44" i="15" s="1"/>
  <c r="H81" i="15" s="1"/>
  <c r="R14" i="15" l="1"/>
  <c r="H111" i="15"/>
  <c r="H119" i="15"/>
  <c r="H21" i="15"/>
  <c r="H29" i="15" l="1"/>
  <c r="H120" i="15"/>
  <c r="R21" i="15"/>
  <c r="H112" i="15"/>
  <c r="H122" i="15" l="1"/>
  <c r="R29" i="15"/>
  <c r="H114" i="15"/>
  <c r="H34" i="15"/>
  <c r="H115" i="15" l="1"/>
  <c r="H39" i="15"/>
  <c r="H124" i="15"/>
  <c r="R35" i="15"/>
  <c r="H75" i="15" l="1"/>
  <c r="H116" i="15"/>
  <c r="H129" i="15"/>
  <c r="R39" i="15"/>
  <c r="H127" i="15"/>
  <c r="H132" i="15" l="1"/>
  <c r="H128" i="15"/>
  <c r="H68" i="15"/>
  <c r="H89" i="15"/>
  <c r="H103" i="15" s="1"/>
  <c r="H106" i="15" s="1"/>
  <c r="H42" i="15" l="1"/>
  <c r="H46" i="15" s="1"/>
  <c r="H55" i="15" s="1"/>
  <c r="I105" i="15"/>
  <c r="H71" i="15"/>
  <c r="H72" i="15" l="1"/>
  <c r="H73" i="15" s="1"/>
  <c r="H134" i="15"/>
  <c r="CS17" i="22" l="1"/>
  <c r="G75" i="14" s="1"/>
  <c r="G76" i="14" s="1"/>
  <c r="CS25" i="22"/>
  <c r="G45" i="14" s="1"/>
  <c r="G46" i="14" s="1"/>
  <c r="G47" i="14" s="1"/>
  <c r="BT20" i="22"/>
  <c r="BU20" i="22" s="1"/>
  <c r="BQ20" i="22"/>
  <c r="CR17" i="22"/>
  <c r="F75" i="14" s="1"/>
  <c r="F76" i="14" s="1"/>
  <c r="CR25" i="22"/>
  <c r="F45" i="14" s="1"/>
  <c r="F46" i="14" s="1"/>
  <c r="F47" i="14" s="1"/>
  <c r="BT18" i="22" l="1"/>
  <c r="I49" i="14" s="1"/>
  <c r="I50" i="14" s="1"/>
  <c r="H5" i="6"/>
  <c r="D35" i="26" s="1"/>
  <c r="BU18" i="22"/>
  <c r="J49" i="14" s="1"/>
  <c r="J50" i="14" s="1"/>
  <c r="BV20" i="22"/>
  <c r="BV18" i="22" s="1"/>
  <c r="H45" i="14"/>
  <c r="CT23" i="22"/>
  <c r="CR24" i="22"/>
  <c r="CR23" i="22"/>
  <c r="CS24" i="22"/>
  <c r="CS23" i="22"/>
  <c r="I8" i="15"/>
  <c r="I8" i="10"/>
  <c r="CW18" i="22" l="1"/>
  <c r="CW25" i="22" s="1"/>
  <c r="CW23" i="22" s="1"/>
  <c r="K49" i="14"/>
  <c r="K50" i="14" s="1"/>
  <c r="CU18" i="22"/>
  <c r="CU25" i="22" s="1"/>
  <c r="I5" i="6" s="1"/>
  <c r="I8" i="25"/>
  <c r="I7" i="25" s="1"/>
  <c r="H13" i="6"/>
  <c r="I13" i="6" s="1"/>
  <c r="H39" i="6"/>
  <c r="H46" i="6" s="1"/>
  <c r="H6" i="6"/>
  <c r="I8" i="24"/>
  <c r="CV18" i="22"/>
  <c r="CV25" i="22" s="1"/>
  <c r="S8" i="10"/>
  <c r="S8" i="15"/>
  <c r="I9" i="15"/>
  <c r="I9" i="10"/>
  <c r="H14" i="6"/>
  <c r="H40" i="6" l="1"/>
  <c r="S8" i="25"/>
  <c r="S92" i="25"/>
  <c r="K5" i="6"/>
  <c r="G35" i="26" s="1"/>
  <c r="K45" i="14"/>
  <c r="I46" i="6"/>
  <c r="J46" i="6" s="1"/>
  <c r="K46" i="6" s="1"/>
  <c r="H44" i="6"/>
  <c r="I44" i="6" s="1"/>
  <c r="J44" i="6" s="1"/>
  <c r="K44" i="6" s="1"/>
  <c r="D34" i="26"/>
  <c r="L44" i="26"/>
  <c r="L46" i="26"/>
  <c r="L45" i="26"/>
  <c r="E35" i="26"/>
  <c r="I45" i="14"/>
  <c r="CU23" i="22"/>
  <c r="I12" i="6"/>
  <c r="I39" i="6" s="1"/>
  <c r="J8" i="10"/>
  <c r="J13" i="6"/>
  <c r="K13" i="6" s="1"/>
  <c r="J8" i="15"/>
  <c r="T8" i="15" s="1"/>
  <c r="I6" i="6"/>
  <c r="I131" i="25"/>
  <c r="I118" i="25"/>
  <c r="I110" i="25"/>
  <c r="S25" i="25"/>
  <c r="S18" i="25"/>
  <c r="S7" i="25"/>
  <c r="L30" i="26" s="1"/>
  <c r="S16" i="25"/>
  <c r="S17" i="25"/>
  <c r="I113" i="25"/>
  <c r="S23" i="25"/>
  <c r="S24" i="25"/>
  <c r="S26" i="25"/>
  <c r="S30" i="25"/>
  <c r="J8" i="24"/>
  <c r="T8" i="24" s="1"/>
  <c r="J8" i="25"/>
  <c r="S8" i="24"/>
  <c r="I7" i="24"/>
  <c r="J5" i="6"/>
  <c r="F35" i="26" s="1"/>
  <c r="J45" i="14"/>
  <c r="CV23" i="22"/>
  <c r="S9" i="10"/>
  <c r="I7" i="10"/>
  <c r="S9" i="15"/>
  <c r="I7" i="15"/>
  <c r="I26" i="10"/>
  <c r="I26" i="15"/>
  <c r="I24" i="15"/>
  <c r="I24" i="10"/>
  <c r="L8" i="15" l="1"/>
  <c r="L8" i="25"/>
  <c r="K12" i="6"/>
  <c r="L9" i="15" s="1"/>
  <c r="J9" i="15"/>
  <c r="T9" i="15" s="1"/>
  <c r="J9" i="24"/>
  <c r="T9" i="24" s="1"/>
  <c r="E36" i="26"/>
  <c r="J9" i="10"/>
  <c r="K9" i="10" s="1"/>
  <c r="T8" i="10"/>
  <c r="K8" i="10"/>
  <c r="L8" i="10" s="1"/>
  <c r="K8" i="25"/>
  <c r="J9" i="25"/>
  <c r="T9" i="25" s="1"/>
  <c r="I14" i="6"/>
  <c r="K8" i="24"/>
  <c r="L8" i="24" s="1"/>
  <c r="T8" i="25"/>
  <c r="S7" i="24"/>
  <c r="S16" i="24"/>
  <c r="S18" i="24"/>
  <c r="S24" i="24"/>
  <c r="S25" i="24"/>
  <c r="S26" i="24"/>
  <c r="S30" i="24"/>
  <c r="I76" i="24"/>
  <c r="I91" i="24"/>
  <c r="I92" i="24"/>
  <c r="I50" i="24" s="1"/>
  <c r="I110" i="24"/>
  <c r="I118" i="24"/>
  <c r="I131" i="24"/>
  <c r="S23" i="24"/>
  <c r="I113" i="24"/>
  <c r="I53" i="24"/>
  <c r="I43" i="24"/>
  <c r="K6" i="6"/>
  <c r="K8" i="15"/>
  <c r="J12" i="6"/>
  <c r="J6" i="6"/>
  <c r="S26" i="15"/>
  <c r="H9" i="12"/>
  <c r="I23" i="10"/>
  <c r="S24" i="15"/>
  <c r="I23" i="15"/>
  <c r="S30" i="15"/>
  <c r="S25" i="15"/>
  <c r="I110" i="15"/>
  <c r="I53" i="15"/>
  <c r="S7" i="15"/>
  <c r="I91" i="15"/>
  <c r="I92" i="15"/>
  <c r="I50" i="15" s="1"/>
  <c r="I118" i="15"/>
  <c r="I131" i="15"/>
  <c r="I43" i="15"/>
  <c r="I76" i="15"/>
  <c r="S18" i="15"/>
  <c r="I110" i="10"/>
  <c r="I92" i="10"/>
  <c r="I50" i="10" s="1"/>
  <c r="I91" i="10"/>
  <c r="I131" i="10"/>
  <c r="I76" i="10"/>
  <c r="I18" i="10"/>
  <c r="I118" i="10"/>
  <c r="S7" i="10"/>
  <c r="I43" i="10"/>
  <c r="I53" i="10"/>
  <c r="G36" i="26" l="1"/>
  <c r="K39" i="6"/>
  <c r="G34" i="26" s="1"/>
  <c r="J7" i="15"/>
  <c r="T7" i="15" s="1"/>
  <c r="L9" i="25"/>
  <c r="L7" i="25" s="1"/>
  <c r="L78" i="25" s="1"/>
  <c r="K45" i="6"/>
  <c r="L26" i="25" s="1"/>
  <c r="G45" i="26" s="1"/>
  <c r="K43" i="6"/>
  <c r="L24" i="25" s="1"/>
  <c r="G44" i="26" s="1"/>
  <c r="J7" i="24"/>
  <c r="J91" i="24" s="1"/>
  <c r="J7" i="10"/>
  <c r="J43" i="10" s="1"/>
  <c r="T9" i="10"/>
  <c r="J7" i="25"/>
  <c r="I45" i="6"/>
  <c r="J26" i="25" s="1"/>
  <c r="E45" i="26" s="1"/>
  <c r="E34" i="26"/>
  <c r="J39" i="6"/>
  <c r="F34" i="26" s="1"/>
  <c r="F36" i="26"/>
  <c r="K7" i="10"/>
  <c r="I40" i="6"/>
  <c r="I43" i="6"/>
  <c r="K9" i="25"/>
  <c r="K7" i="25" s="1"/>
  <c r="U8" i="25"/>
  <c r="V8" i="25"/>
  <c r="K9" i="24"/>
  <c r="I80" i="24"/>
  <c r="I63" i="24"/>
  <c r="I95" i="24"/>
  <c r="I79" i="24"/>
  <c r="I49" i="24" s="1"/>
  <c r="I48" i="24"/>
  <c r="K9" i="15"/>
  <c r="K7" i="15" s="1"/>
  <c r="J14" i="6"/>
  <c r="K14" i="6"/>
  <c r="I95" i="10"/>
  <c r="L9" i="10"/>
  <c r="L7" i="10" s="1"/>
  <c r="I63" i="10"/>
  <c r="I80" i="10"/>
  <c r="I79" i="10"/>
  <c r="I48" i="10"/>
  <c r="I79" i="15"/>
  <c r="I49" i="15" s="1"/>
  <c r="I48" i="15"/>
  <c r="I80" i="15"/>
  <c r="I95" i="15"/>
  <c r="I63" i="15"/>
  <c r="I57" i="15"/>
  <c r="I121" i="15"/>
  <c r="I113" i="15"/>
  <c r="S23" i="15"/>
  <c r="I59" i="15"/>
  <c r="I58" i="15"/>
  <c r="I45" i="15"/>
  <c r="I121" i="10"/>
  <c r="H30" i="12"/>
  <c r="I113" i="10"/>
  <c r="S23" i="10"/>
  <c r="I58" i="10"/>
  <c r="I45" i="10"/>
  <c r="I59" i="10"/>
  <c r="I57" i="10"/>
  <c r="J76" i="15" l="1"/>
  <c r="J79" i="15" s="1"/>
  <c r="J49" i="15" s="1"/>
  <c r="I5" i="14" s="1"/>
  <c r="J110" i="15"/>
  <c r="T25" i="15"/>
  <c r="J43" i="15"/>
  <c r="J80" i="15" s="1"/>
  <c r="T18" i="15"/>
  <c r="J92" i="15"/>
  <c r="J50" i="15" s="1"/>
  <c r="T30" i="15"/>
  <c r="J53" i="15"/>
  <c r="J63" i="15" s="1"/>
  <c r="J91" i="15"/>
  <c r="J118" i="15"/>
  <c r="J131" i="15"/>
  <c r="L26" i="15"/>
  <c r="L92" i="25"/>
  <c r="J92" i="10"/>
  <c r="J50" i="10" s="1"/>
  <c r="J91" i="10"/>
  <c r="J131" i="10"/>
  <c r="J53" i="10"/>
  <c r="J63" i="10" s="1"/>
  <c r="T7" i="10"/>
  <c r="J110" i="10"/>
  <c r="J18" i="10"/>
  <c r="J43" i="24"/>
  <c r="J80" i="24" s="1"/>
  <c r="J53" i="24"/>
  <c r="J63" i="24" s="1"/>
  <c r="J131" i="24"/>
  <c r="J76" i="24"/>
  <c r="J79" i="24" s="1"/>
  <c r="J49" i="24" s="1"/>
  <c r="J40" i="6"/>
  <c r="J43" i="6"/>
  <c r="K24" i="25" s="1"/>
  <c r="F44" i="26" s="1"/>
  <c r="K40" i="6"/>
  <c r="J45" i="6"/>
  <c r="K26" i="24" s="1"/>
  <c r="J92" i="24"/>
  <c r="J50" i="24" s="1"/>
  <c r="T25" i="24"/>
  <c r="J110" i="24"/>
  <c r="J118" i="24"/>
  <c r="T30" i="24"/>
  <c r="T18" i="24"/>
  <c r="T7" i="24"/>
  <c r="J43" i="25"/>
  <c r="E6" i="26" s="1"/>
  <c r="J53" i="25"/>
  <c r="J63" i="25" s="1"/>
  <c r="L24" i="15"/>
  <c r="L23" i="25"/>
  <c r="G43" i="26" s="1"/>
  <c r="J78" i="25"/>
  <c r="J26" i="15"/>
  <c r="T26" i="15" s="1"/>
  <c r="J26" i="10"/>
  <c r="J26" i="24"/>
  <c r="T26" i="24" s="1"/>
  <c r="J76" i="10"/>
  <c r="J79" i="10" s="1"/>
  <c r="J118" i="10"/>
  <c r="T18" i="25"/>
  <c r="T30" i="25"/>
  <c r="J92" i="25"/>
  <c r="J110" i="25"/>
  <c r="J131" i="25"/>
  <c r="T7" i="25"/>
  <c r="M30" i="26" s="1"/>
  <c r="T25" i="25"/>
  <c r="J118" i="25"/>
  <c r="T26" i="25"/>
  <c r="J24" i="10"/>
  <c r="J24" i="25"/>
  <c r="J24" i="24"/>
  <c r="J24" i="15"/>
  <c r="K78" i="25"/>
  <c r="K92" i="25"/>
  <c r="K76" i="15"/>
  <c r="K79" i="15" s="1"/>
  <c r="K91" i="15"/>
  <c r="K92" i="15"/>
  <c r="U25" i="25"/>
  <c r="U18" i="25"/>
  <c r="U7" i="25"/>
  <c r="N30" i="26" s="1"/>
  <c r="U30" i="25"/>
  <c r="V25" i="25"/>
  <c r="V7" i="25"/>
  <c r="O30" i="26" s="1"/>
  <c r="V26" i="25"/>
  <c r="V24" i="25"/>
  <c r="V30" i="25"/>
  <c r="U9" i="25"/>
  <c r="V9" i="25"/>
  <c r="I64" i="24"/>
  <c r="L9" i="24"/>
  <c r="L7" i="24" s="1"/>
  <c r="K7" i="24"/>
  <c r="L7" i="15"/>
  <c r="I83" i="10"/>
  <c r="I60" i="10"/>
  <c r="I64" i="10" s="1"/>
  <c r="I84" i="10"/>
  <c r="I82" i="10"/>
  <c r="I97" i="10"/>
  <c r="I101" i="10" s="1"/>
  <c r="H19" i="12"/>
  <c r="I82" i="15"/>
  <c r="I97" i="15"/>
  <c r="I101" i="15" s="1"/>
  <c r="I84" i="15"/>
  <c r="I83" i="15"/>
  <c r="I60" i="15"/>
  <c r="I64" i="15" s="1"/>
  <c r="H4" i="14"/>
  <c r="H27" i="12"/>
  <c r="I49" i="10"/>
  <c r="J80" i="10"/>
  <c r="K43" i="10"/>
  <c r="L15" i="10"/>
  <c r="L92" i="10"/>
  <c r="L76" i="10"/>
  <c r="L18" i="10"/>
  <c r="L17" i="10"/>
  <c r="L26" i="10"/>
  <c r="L25" i="10"/>
  <c r="L91" i="10"/>
  <c r="L24" i="10"/>
  <c r="L16" i="10"/>
  <c r="L78" i="10"/>
  <c r="L30" i="10"/>
  <c r="K78" i="10"/>
  <c r="K30" i="10"/>
  <c r="K15" i="10"/>
  <c r="K92" i="10"/>
  <c r="K76" i="10"/>
  <c r="K18" i="10"/>
  <c r="K17" i="10"/>
  <c r="K26" i="10"/>
  <c r="K25" i="10"/>
  <c r="K24" i="10"/>
  <c r="K16" i="10"/>
  <c r="K91" i="10"/>
  <c r="J48" i="15" l="1"/>
  <c r="L23" i="15"/>
  <c r="J95" i="15"/>
  <c r="K53" i="15"/>
  <c r="K63" i="15" s="1"/>
  <c r="K50" i="15"/>
  <c r="K43" i="15"/>
  <c r="K80" i="15" s="1"/>
  <c r="J48" i="24"/>
  <c r="J95" i="10"/>
  <c r="K49" i="15"/>
  <c r="J5" i="14" s="1"/>
  <c r="K53" i="10"/>
  <c r="L53" i="10" s="1"/>
  <c r="U24" i="25"/>
  <c r="J95" i="24"/>
  <c r="K26" i="25"/>
  <c r="F45" i="26" s="1"/>
  <c r="K24" i="24"/>
  <c r="K23" i="24" s="1"/>
  <c r="K26" i="15"/>
  <c r="K24" i="15"/>
  <c r="J80" i="25"/>
  <c r="M6" i="26" s="1"/>
  <c r="M45" i="26"/>
  <c r="J48" i="10"/>
  <c r="I27" i="12" s="1"/>
  <c r="J23" i="15"/>
  <c r="J45" i="15" s="1"/>
  <c r="J82" i="15" s="1"/>
  <c r="V23" i="25"/>
  <c r="J49" i="10"/>
  <c r="J23" i="25"/>
  <c r="E44" i="26"/>
  <c r="E23" i="26"/>
  <c r="E15" i="26"/>
  <c r="K53" i="25"/>
  <c r="K43" i="25"/>
  <c r="L43" i="25" s="1"/>
  <c r="J23" i="10"/>
  <c r="I9" i="12"/>
  <c r="H13" i="12"/>
  <c r="H14" i="12"/>
  <c r="T24" i="15"/>
  <c r="T24" i="24"/>
  <c r="J23" i="24"/>
  <c r="T24" i="25"/>
  <c r="L76" i="15"/>
  <c r="L79" i="15" s="1"/>
  <c r="L91" i="15"/>
  <c r="L92" i="15"/>
  <c r="K95" i="15"/>
  <c r="K76" i="24"/>
  <c r="K78" i="24"/>
  <c r="K91" i="24"/>
  <c r="K92" i="24"/>
  <c r="K53" i="24"/>
  <c r="L53" i="24" s="1"/>
  <c r="K43" i="24"/>
  <c r="L15" i="24"/>
  <c r="L16" i="24"/>
  <c r="L17" i="24"/>
  <c r="L18" i="24"/>
  <c r="L24" i="24"/>
  <c r="L25" i="24"/>
  <c r="L26" i="24"/>
  <c r="L30" i="24"/>
  <c r="L76" i="24"/>
  <c r="L78" i="24"/>
  <c r="L91" i="24"/>
  <c r="L92" i="24"/>
  <c r="L18" i="15"/>
  <c r="K23" i="10"/>
  <c r="K95" i="10"/>
  <c r="L95" i="10"/>
  <c r="K79" i="10"/>
  <c r="L23" i="10"/>
  <c r="K14" i="10"/>
  <c r="K21" i="10" s="1"/>
  <c r="K50" i="10"/>
  <c r="L50" i="10" s="1"/>
  <c r="L79" i="10"/>
  <c r="L14" i="10"/>
  <c r="L21" i="10" s="1"/>
  <c r="K80" i="10"/>
  <c r="L43" i="10"/>
  <c r="L80" i="10" s="1"/>
  <c r="H5" i="14"/>
  <c r="H6" i="14" s="1"/>
  <c r="H7" i="14" s="1"/>
  <c r="I4" i="14"/>
  <c r="I6" i="14" s="1"/>
  <c r="I7" i="14" s="1"/>
  <c r="I54" i="14" s="1"/>
  <c r="I12" i="14" s="1"/>
  <c r="K48" i="15"/>
  <c r="L43" i="15" l="1"/>
  <c r="L80" i="15" s="1"/>
  <c r="L53" i="15"/>
  <c r="L63" i="15" s="1"/>
  <c r="K63" i="10"/>
  <c r="L63" i="10" s="1"/>
  <c r="L50" i="15"/>
  <c r="L49" i="15"/>
  <c r="K5" i="14" s="1"/>
  <c r="I11" i="14"/>
  <c r="I8" i="6" s="1"/>
  <c r="U26" i="25"/>
  <c r="K23" i="25"/>
  <c r="F43" i="26" s="1"/>
  <c r="K23" i="15"/>
  <c r="K48" i="10"/>
  <c r="L48" i="10" s="1"/>
  <c r="E43" i="26"/>
  <c r="J57" i="25"/>
  <c r="E18" i="26" s="1"/>
  <c r="L80" i="25"/>
  <c r="O6" i="26" s="1"/>
  <c r="O45" i="26"/>
  <c r="G6" i="26"/>
  <c r="K80" i="25"/>
  <c r="N6" i="26" s="1"/>
  <c r="N45" i="26"/>
  <c r="F6" i="26"/>
  <c r="L53" i="25"/>
  <c r="G15" i="26" s="1"/>
  <c r="F15" i="26"/>
  <c r="K63" i="25"/>
  <c r="J121" i="10"/>
  <c r="J57" i="10"/>
  <c r="K57" i="10" s="1"/>
  <c r="J45" i="10"/>
  <c r="J82" i="10" s="1"/>
  <c r="I30" i="12"/>
  <c r="J113" i="10"/>
  <c r="T23" i="10"/>
  <c r="J59" i="10"/>
  <c r="J84" i="10" s="1"/>
  <c r="J58" i="10"/>
  <c r="K58" i="10" s="1"/>
  <c r="K63" i="24"/>
  <c r="L63" i="24" s="1"/>
  <c r="J45" i="25"/>
  <c r="E8" i="26" s="1"/>
  <c r="J121" i="25"/>
  <c r="T23" i="25"/>
  <c r="J58" i="25"/>
  <c r="J113" i="25"/>
  <c r="J59" i="25"/>
  <c r="E20" i="26" s="1"/>
  <c r="J59" i="24"/>
  <c r="J84" i="24" s="1"/>
  <c r="T23" i="24"/>
  <c r="J121" i="24"/>
  <c r="J57" i="24"/>
  <c r="J58" i="24"/>
  <c r="J97" i="24" s="1"/>
  <c r="J101" i="24" s="1"/>
  <c r="J113" i="24"/>
  <c r="J45" i="24"/>
  <c r="J82" i="24" s="1"/>
  <c r="J121" i="15"/>
  <c r="J58" i="15"/>
  <c r="J97" i="15" s="1"/>
  <c r="J101" i="15" s="1"/>
  <c r="J113" i="15"/>
  <c r="T23" i="15"/>
  <c r="J59" i="15"/>
  <c r="J84" i="15" s="1"/>
  <c r="J57" i="15"/>
  <c r="K29" i="10"/>
  <c r="K34" i="10" s="1"/>
  <c r="K35" i="10" s="1"/>
  <c r="K39" i="10" s="1"/>
  <c r="K75" i="10" s="1"/>
  <c r="L95" i="15"/>
  <c r="L95" i="24"/>
  <c r="L79" i="24"/>
  <c r="L23" i="24"/>
  <c r="L14" i="24"/>
  <c r="L21" i="24" s="1"/>
  <c r="L43" i="24"/>
  <c r="L80" i="24" s="1"/>
  <c r="K80" i="24"/>
  <c r="K95" i="24"/>
  <c r="K50" i="24"/>
  <c r="L50" i="24" s="1"/>
  <c r="K79" i="24"/>
  <c r="K48" i="24"/>
  <c r="L48" i="24" s="1"/>
  <c r="H54" i="14"/>
  <c r="H12" i="14" s="1"/>
  <c r="L29" i="10"/>
  <c r="L34" i="10" s="1"/>
  <c r="L35" i="10" s="1"/>
  <c r="L39" i="10" s="1"/>
  <c r="L75" i="10" s="1"/>
  <c r="I14" i="12"/>
  <c r="I13" i="12"/>
  <c r="J4" i="14"/>
  <c r="J6" i="14" s="1"/>
  <c r="J7" i="14" s="1"/>
  <c r="J54" i="14" s="1"/>
  <c r="J12" i="14" s="1"/>
  <c r="L48" i="15"/>
  <c r="U23" i="25" l="1"/>
  <c r="I42" i="14"/>
  <c r="K57" i="15"/>
  <c r="L57" i="15" s="1"/>
  <c r="L83" i="15" s="1"/>
  <c r="L63" i="25"/>
  <c r="G23" i="26" s="1"/>
  <c r="F23" i="26"/>
  <c r="J97" i="25"/>
  <c r="E19" i="26"/>
  <c r="K59" i="10"/>
  <c r="K84" i="10" s="1"/>
  <c r="L58" i="10"/>
  <c r="L97" i="10" s="1"/>
  <c r="L101" i="10" s="1"/>
  <c r="K97" i="10"/>
  <c r="K101" i="10" s="1"/>
  <c r="I19" i="12"/>
  <c r="J97" i="10"/>
  <c r="J101" i="10" s="1"/>
  <c r="J83" i="10"/>
  <c r="J60" i="10"/>
  <c r="J64" i="10" s="1"/>
  <c r="K45" i="10"/>
  <c r="K4" i="14"/>
  <c r="K6" i="14" s="1"/>
  <c r="K7" i="14" s="1"/>
  <c r="K54" i="14" s="1"/>
  <c r="K12" i="14" s="1"/>
  <c r="K58" i="25"/>
  <c r="L57" i="10"/>
  <c r="L60" i="10" s="1"/>
  <c r="L64" i="10" s="1"/>
  <c r="K83" i="10"/>
  <c r="L29" i="24"/>
  <c r="L34" i="24" s="1"/>
  <c r="L35" i="24" s="1"/>
  <c r="L39" i="24" s="1"/>
  <c r="L75" i="24" s="1"/>
  <c r="H55" i="14"/>
  <c r="H62" i="14"/>
  <c r="H63" i="14" s="1"/>
  <c r="K58" i="24"/>
  <c r="L58" i="24" s="1"/>
  <c r="L97" i="24" s="1"/>
  <c r="L101" i="24" s="1"/>
  <c r="K59" i="24"/>
  <c r="L59" i="24" s="1"/>
  <c r="L84" i="24" s="1"/>
  <c r="J60" i="25"/>
  <c r="K57" i="25"/>
  <c r="J83" i="25"/>
  <c r="M9" i="26" s="1"/>
  <c r="K45" i="15"/>
  <c r="J84" i="25"/>
  <c r="K59" i="25"/>
  <c r="F20" i="26" s="1"/>
  <c r="J60" i="24"/>
  <c r="J64" i="24" s="1"/>
  <c r="J83" i="24"/>
  <c r="K58" i="15"/>
  <c r="K45" i="24"/>
  <c r="K82" i="24" s="1"/>
  <c r="K45" i="25"/>
  <c r="F8" i="26" s="1"/>
  <c r="J82" i="25"/>
  <c r="M8" i="26" s="1"/>
  <c r="J83" i="15"/>
  <c r="J60" i="15"/>
  <c r="J64" i="15" s="1"/>
  <c r="K57" i="24"/>
  <c r="L57" i="24" s="1"/>
  <c r="K59" i="15"/>
  <c r="K83" i="15" l="1"/>
  <c r="L59" i="10"/>
  <c r="L84" i="10" s="1"/>
  <c r="K60" i="10"/>
  <c r="K64" i="10" s="1"/>
  <c r="J64" i="25"/>
  <c r="E24" i="26" s="1"/>
  <c r="E17" i="26"/>
  <c r="K97" i="25"/>
  <c r="F19" i="26"/>
  <c r="K83" i="25"/>
  <c r="N9" i="26" s="1"/>
  <c r="F18" i="26"/>
  <c r="J101" i="25"/>
  <c r="M22" i="26" s="1"/>
  <c r="M19" i="26"/>
  <c r="K82" i="10"/>
  <c r="L45" i="10"/>
  <c r="L82" i="10" s="1"/>
  <c r="K55" i="14"/>
  <c r="K62" i="14"/>
  <c r="K63" i="14" s="1"/>
  <c r="L83" i="10"/>
  <c r="L58" i="25"/>
  <c r="K84" i="24"/>
  <c r="K97" i="24"/>
  <c r="K101" i="24" s="1"/>
  <c r="J62" i="14"/>
  <c r="J63" i="14" s="1"/>
  <c r="K84" i="15"/>
  <c r="L59" i="15"/>
  <c r="L84" i="15" s="1"/>
  <c r="K60" i="24"/>
  <c r="K64" i="24" s="1"/>
  <c r="K97" i="15"/>
  <c r="K101" i="15" s="1"/>
  <c r="L58" i="15"/>
  <c r="K84" i="25"/>
  <c r="L59" i="25"/>
  <c r="L45" i="24"/>
  <c r="L82" i="24" s="1"/>
  <c r="L57" i="25"/>
  <c r="G18" i="26" s="1"/>
  <c r="K60" i="25"/>
  <c r="K82" i="15"/>
  <c r="L45" i="15"/>
  <c r="L82" i="15" s="1"/>
  <c r="K83" i="24"/>
  <c r="K60" i="15"/>
  <c r="K64" i="15" s="1"/>
  <c r="K82" i="25"/>
  <c r="L45" i="25"/>
  <c r="J55" i="14"/>
  <c r="I55" i="14"/>
  <c r="I62" i="14"/>
  <c r="I63" i="14" s="1"/>
  <c r="L60" i="24"/>
  <c r="L64" i="24" s="1"/>
  <c r="L83" i="24"/>
  <c r="E21" i="26" l="1"/>
  <c r="L84" i="25"/>
  <c r="G20" i="26"/>
  <c r="K101" i="25"/>
  <c r="N22" i="26" s="1"/>
  <c r="N19" i="26"/>
  <c r="L82" i="25"/>
  <c r="O8" i="26" s="1"/>
  <c r="G8" i="26"/>
  <c r="N8" i="26"/>
  <c r="K64" i="25"/>
  <c r="F24" i="26" s="1"/>
  <c r="F17" i="26"/>
  <c r="L97" i="25"/>
  <c r="G19" i="26"/>
  <c r="L83" i="25"/>
  <c r="O9" i="26" s="1"/>
  <c r="L60" i="25"/>
  <c r="L97" i="15"/>
  <c r="L101" i="15" s="1"/>
  <c r="L60" i="15"/>
  <c r="L64" i="15" s="1"/>
  <c r="L101" i="25" l="1"/>
  <c r="O22" i="26" s="1"/>
  <c r="O19" i="26"/>
  <c r="L64" i="25"/>
  <c r="G24" i="26" s="1"/>
  <c r="G17" i="26"/>
  <c r="F21" i="26"/>
  <c r="I35" i="15"/>
  <c r="I35" i="10"/>
  <c r="G21" i="26" l="1"/>
  <c r="I125" i="10"/>
  <c r="I125" i="15"/>
  <c r="I109" i="14" l="1"/>
  <c r="E90" i="14"/>
  <c r="H109" i="14"/>
  <c r="G109" i="14" l="1"/>
  <c r="G110" i="14" s="1"/>
  <c r="E94" i="14"/>
  <c r="E109" i="14"/>
  <c r="E110" i="14" s="1"/>
  <c r="E95" i="14" l="1"/>
  <c r="E89" i="14"/>
  <c r="E88" i="14" s="1"/>
  <c r="E86" i="14" s="1"/>
  <c r="G89" i="14"/>
  <c r="G88" i="14" s="1"/>
  <c r="G86" i="14" s="1"/>
  <c r="I43" i="14" l="1"/>
  <c r="K90" i="14"/>
  <c r="K15" i="14"/>
  <c r="J15" i="14"/>
  <c r="J43" i="14" s="1"/>
  <c r="I7" i="6" l="1"/>
  <c r="K109" i="14"/>
  <c r="K14" i="14"/>
  <c r="K13" i="14" s="1"/>
  <c r="K11" i="14" s="1"/>
  <c r="K42" i="14" s="1"/>
  <c r="K46" i="14" s="1"/>
  <c r="K47" i="14" s="1"/>
  <c r="K43" i="14"/>
  <c r="I108" i="14"/>
  <c r="J109" i="14"/>
  <c r="I71" i="25"/>
  <c r="J14" i="14"/>
  <c r="J13" i="14" s="1"/>
  <c r="J11" i="14" s="1"/>
  <c r="J42" i="14" s="1"/>
  <c r="I135" i="25" l="1"/>
  <c r="L50" i="26"/>
  <c r="D30" i="26"/>
  <c r="L40" i="26"/>
  <c r="J15" i="25"/>
  <c r="T15" i="25" s="1"/>
  <c r="E39" i="26"/>
  <c r="J15" i="15"/>
  <c r="T15" i="15" s="1"/>
  <c r="J15" i="24"/>
  <c r="T15" i="24" s="1"/>
  <c r="J8" i="6"/>
  <c r="F39" i="26" s="1"/>
  <c r="E78" i="35"/>
  <c r="E79" i="35" s="1"/>
  <c r="E90" i="35"/>
  <c r="K8" i="6"/>
  <c r="I16" i="30"/>
  <c r="I46" i="14"/>
  <c r="I47" i="14" s="1"/>
  <c r="I44" i="14"/>
  <c r="K44" i="14"/>
  <c r="I72" i="25"/>
  <c r="I73" i="25" l="1"/>
  <c r="D31" i="26"/>
  <c r="L15" i="25"/>
  <c r="G39" i="26"/>
  <c r="J46" i="14"/>
  <c r="J47" i="14" s="1"/>
  <c r="I9" i="6"/>
  <c r="J15" i="10"/>
  <c r="K15" i="25"/>
  <c r="K15" i="24"/>
  <c r="K15" i="15"/>
  <c r="J7" i="6"/>
  <c r="J9" i="6" s="1"/>
  <c r="K89" i="14"/>
  <c r="K88" i="14" s="1"/>
  <c r="K86" i="14" s="1"/>
  <c r="L15" i="15"/>
  <c r="K7" i="6"/>
  <c r="J16" i="30"/>
  <c r="J108" i="14"/>
  <c r="I112" i="14"/>
  <c r="I113" i="14" s="1"/>
  <c r="I110" i="14"/>
  <c r="I16" i="27"/>
  <c r="I16" i="20"/>
  <c r="E40" i="36" s="1"/>
  <c r="J44" i="14" l="1"/>
  <c r="U15" i="25"/>
  <c r="V15" i="25"/>
  <c r="K9" i="6"/>
  <c r="K84" i="6"/>
  <c r="K16" i="27" s="1"/>
  <c r="K108" i="14"/>
  <c r="K112" i="14" s="1"/>
  <c r="K113" i="14" s="1"/>
  <c r="J112" i="14"/>
  <c r="J113" i="14" s="1"/>
  <c r="J110" i="14"/>
  <c r="J16" i="27"/>
  <c r="J16" i="20"/>
  <c r="F40" i="36" s="1"/>
  <c r="K16" i="20" l="1"/>
  <c r="K110" i="14"/>
  <c r="K16" i="30"/>
  <c r="K85" i="6"/>
  <c r="H39" i="27"/>
  <c r="J86" i="6"/>
  <c r="H39" i="20"/>
  <c r="D52" i="36" l="1"/>
  <c r="G40" i="36"/>
  <c r="K86" i="6"/>
  <c r="U13" i="20"/>
  <c r="U21" i="20" l="1"/>
  <c r="U38" i="20" l="1"/>
  <c r="U29" i="20"/>
  <c r="U43" i="20" l="1"/>
  <c r="F86" i="14" l="1"/>
  <c r="I16" i="15"/>
  <c r="S16" i="15" s="1"/>
  <c r="I16" i="10"/>
  <c r="I17" i="6"/>
  <c r="I15" i="6" l="1"/>
  <c r="J16" i="25" s="1"/>
  <c r="J17" i="6"/>
  <c r="J16" i="24"/>
  <c r="T16" i="24" s="1"/>
  <c r="I16" i="6"/>
  <c r="E40" i="26" s="1"/>
  <c r="J16" i="15"/>
  <c r="J16" i="10"/>
  <c r="T16" i="25" l="1"/>
  <c r="J15" i="6"/>
  <c r="K17" i="6"/>
  <c r="K15" i="6" s="1"/>
  <c r="T16" i="15"/>
  <c r="I17" i="10"/>
  <c r="I17" i="15"/>
  <c r="I17" i="24"/>
  <c r="S17" i="24" l="1"/>
  <c r="K16" i="6"/>
  <c r="G40" i="26" s="1"/>
  <c r="L16" i="25"/>
  <c r="L16" i="15"/>
  <c r="K16" i="24"/>
  <c r="K16" i="15"/>
  <c r="K16" i="25"/>
  <c r="J16" i="6"/>
  <c r="F40" i="26" s="1"/>
  <c r="S17" i="15"/>
  <c r="I24" i="6"/>
  <c r="I22" i="6" s="1"/>
  <c r="I41" i="6" s="1"/>
  <c r="I47" i="6" s="1"/>
  <c r="I56" i="6" s="1"/>
  <c r="E42" i="26" l="1"/>
  <c r="I42" i="6"/>
  <c r="M34" i="26" s="1"/>
  <c r="I31" i="6"/>
  <c r="U16" i="25"/>
  <c r="V16" i="25"/>
  <c r="I23" i="6"/>
  <c r="E41" i="26" s="1"/>
  <c r="E38" i="26" s="1"/>
  <c r="J24" i="6"/>
  <c r="J17" i="25"/>
  <c r="J17" i="10"/>
  <c r="J14" i="10" s="1"/>
  <c r="J17" i="15"/>
  <c r="J17" i="24"/>
  <c r="T17" i="25" l="1"/>
  <c r="J14" i="25"/>
  <c r="J21" i="25" s="1"/>
  <c r="J29" i="25" s="1"/>
  <c r="I18" i="6"/>
  <c r="F12" i="7" s="1"/>
  <c r="I25" i="6"/>
  <c r="F13" i="7" s="1"/>
  <c r="I10" i="6"/>
  <c r="F11" i="7" s="1"/>
  <c r="J22" i="6"/>
  <c r="J41" i="6" s="1"/>
  <c r="J47" i="6" s="1"/>
  <c r="J56" i="6" s="1"/>
  <c r="K24" i="6"/>
  <c r="K22" i="6" s="1"/>
  <c r="J14" i="24"/>
  <c r="T17" i="24"/>
  <c r="J14" i="15"/>
  <c r="T17" i="15"/>
  <c r="J21" i="10"/>
  <c r="T14" i="10"/>
  <c r="J111" i="10"/>
  <c r="T14" i="25" l="1"/>
  <c r="J111" i="25"/>
  <c r="K41" i="6"/>
  <c r="K25" i="6" s="1"/>
  <c r="H13" i="7" s="1"/>
  <c r="J34" i="25"/>
  <c r="M54" i="26" s="1"/>
  <c r="E46" i="26"/>
  <c r="J21" i="15"/>
  <c r="J31" i="6"/>
  <c r="F42" i="26"/>
  <c r="I57" i="6"/>
  <c r="I59" i="6" s="1"/>
  <c r="L17" i="25"/>
  <c r="L14" i="25" s="1"/>
  <c r="L17" i="15"/>
  <c r="L14" i="15" s="1"/>
  <c r="L21" i="15" s="1"/>
  <c r="L29" i="15" s="1"/>
  <c r="L34" i="15" s="1"/>
  <c r="K17" i="15"/>
  <c r="K14" i="15" s="1"/>
  <c r="K21" i="15" s="1"/>
  <c r="K29" i="15" s="1"/>
  <c r="K34" i="15" s="1"/>
  <c r="K17" i="24"/>
  <c r="K14" i="24" s="1"/>
  <c r="K21" i="24" s="1"/>
  <c r="K29" i="24" s="1"/>
  <c r="K34" i="24" s="1"/>
  <c r="K23" i="6"/>
  <c r="G41" i="26" s="1"/>
  <c r="G38" i="26" s="1"/>
  <c r="K17" i="25"/>
  <c r="K14" i="25" s="1"/>
  <c r="J23" i="6"/>
  <c r="F41" i="26" s="1"/>
  <c r="F38" i="26" s="1"/>
  <c r="J25" i="6"/>
  <c r="G13" i="7" s="1"/>
  <c r="J112" i="25"/>
  <c r="T21" i="25"/>
  <c r="J29" i="10"/>
  <c r="J112" i="10"/>
  <c r="T21" i="10"/>
  <c r="I6" i="12"/>
  <c r="J111" i="15"/>
  <c r="T14" i="15"/>
  <c r="I48" i="6"/>
  <c r="J21" i="24"/>
  <c r="J111" i="24"/>
  <c r="T14" i="24"/>
  <c r="I32" i="6" l="1"/>
  <c r="F14" i="7" s="1"/>
  <c r="K47" i="6"/>
  <c r="K56" i="6" s="1"/>
  <c r="G42" i="26"/>
  <c r="K31" i="6"/>
  <c r="V17" i="25"/>
  <c r="L21" i="25"/>
  <c r="L29" i="25" s="1"/>
  <c r="U17" i="25"/>
  <c r="K18" i="6"/>
  <c r="H12" i="7" s="1"/>
  <c r="K42" i="6"/>
  <c r="O34" i="26" s="1"/>
  <c r="K10" i="6"/>
  <c r="H11" i="7" s="1"/>
  <c r="J42" i="6"/>
  <c r="N34" i="26" s="1"/>
  <c r="J10" i="6"/>
  <c r="G11" i="7" s="1"/>
  <c r="J18" i="6"/>
  <c r="G12" i="7" s="1"/>
  <c r="J114" i="25"/>
  <c r="E49" i="26"/>
  <c r="T29" i="25"/>
  <c r="J29" i="24"/>
  <c r="J112" i="24"/>
  <c r="T21" i="24"/>
  <c r="J29" i="15"/>
  <c r="T21" i="15"/>
  <c r="J112" i="15"/>
  <c r="J34" i="10"/>
  <c r="J114" i="10"/>
  <c r="T29" i="10"/>
  <c r="L34" i="25" l="1"/>
  <c r="G46" i="26"/>
  <c r="J35" i="25"/>
  <c r="K21" i="25"/>
  <c r="U14" i="25"/>
  <c r="K57" i="6"/>
  <c r="K48" i="6"/>
  <c r="J48" i="6"/>
  <c r="T34" i="10"/>
  <c r="I7" i="12"/>
  <c r="I8" i="12"/>
  <c r="I22" i="12"/>
  <c r="J34" i="15"/>
  <c r="J114" i="15"/>
  <c r="T29" i="15"/>
  <c r="J35" i="15"/>
  <c r="J35" i="10"/>
  <c r="J35" i="24"/>
  <c r="J34" i="24"/>
  <c r="J114" i="24"/>
  <c r="T29" i="24"/>
  <c r="J57" i="6" l="1"/>
  <c r="K35" i="15" s="1"/>
  <c r="J125" i="25"/>
  <c r="E50" i="26"/>
  <c r="O54" i="26"/>
  <c r="G49" i="26"/>
  <c r="L35" i="25"/>
  <c r="G50" i="26" s="1"/>
  <c r="K59" i="6"/>
  <c r="K32" i="6" s="1"/>
  <c r="H14" i="7" s="1"/>
  <c r="H7" i="7" s="1"/>
  <c r="T35" i="25"/>
  <c r="J115" i="25"/>
  <c r="L35" i="15"/>
  <c r="K29" i="25"/>
  <c r="U21" i="25"/>
  <c r="J115" i="24"/>
  <c r="T35" i="24"/>
  <c r="J125" i="24"/>
  <c r="J115" i="10"/>
  <c r="J125" i="10"/>
  <c r="J115" i="15"/>
  <c r="T35" i="15"/>
  <c r="J125" i="15"/>
  <c r="K35" i="24" l="1"/>
  <c r="J59" i="6"/>
  <c r="K35" i="25"/>
  <c r="F50" i="26" s="1"/>
  <c r="F46" i="26"/>
  <c r="N31" i="26"/>
  <c r="O31" i="26"/>
  <c r="K34" i="25"/>
  <c r="U29" i="25"/>
  <c r="J32" i="6" l="1"/>
  <c r="G14" i="7" s="1"/>
  <c r="U35" i="25"/>
  <c r="N54" i="26"/>
  <c r="F49" i="26"/>
  <c r="I79" i="25"/>
  <c r="S76" i="25" s="1"/>
  <c r="T76" i="25" s="1"/>
  <c r="H79" i="25"/>
  <c r="K55" i="26" s="1"/>
  <c r="H89" i="25" l="1"/>
  <c r="G66" i="6" s="1"/>
  <c r="G68" i="6" s="1"/>
  <c r="U76" i="25"/>
  <c r="K76" i="25" s="1"/>
  <c r="J76" i="25"/>
  <c r="H129" i="25"/>
  <c r="R76" i="25"/>
  <c r="K14" i="26" l="1"/>
  <c r="K49" i="26" s="1"/>
  <c r="G67" i="6"/>
  <c r="H67" i="6" s="1"/>
  <c r="I67" i="6" s="1"/>
  <c r="K79" i="25"/>
  <c r="N55" i="26" s="1"/>
  <c r="N5" i="26"/>
  <c r="J79" i="25"/>
  <c r="M5" i="26"/>
  <c r="V76" i="25"/>
  <c r="L76" i="25" s="1"/>
  <c r="H132" i="25"/>
  <c r="H128" i="25"/>
  <c r="R91" i="25"/>
  <c r="H95" i="25"/>
  <c r="H103" i="25" s="1"/>
  <c r="I95" i="25"/>
  <c r="S91" i="25"/>
  <c r="T91" i="25" s="1"/>
  <c r="J91" i="25" s="1"/>
  <c r="L18" i="26" l="1"/>
  <c r="J49" i="25"/>
  <c r="M15" i="26"/>
  <c r="J48" i="25"/>
  <c r="K18" i="26"/>
  <c r="H106" i="25"/>
  <c r="I105" i="25" s="1"/>
  <c r="K24" i="26"/>
  <c r="L79" i="25"/>
  <c r="O55" i="26" s="1"/>
  <c r="O5" i="26"/>
  <c r="M55" i="26"/>
  <c r="J67" i="6"/>
  <c r="K67" i="6" s="1"/>
  <c r="U91" i="25"/>
  <c r="K91" i="25" s="1"/>
  <c r="L25" i="26" l="1"/>
  <c r="K26" i="26"/>
  <c r="K95" i="25"/>
  <c r="N18" i="26" s="1"/>
  <c r="N15" i="26"/>
  <c r="E11" i="26"/>
  <c r="K49" i="25"/>
  <c r="J95" i="25"/>
  <c r="M18" i="26" s="1"/>
  <c r="V91" i="25"/>
  <c r="L91" i="25" s="1"/>
  <c r="L95" i="25" l="1"/>
  <c r="O18" i="26" s="1"/>
  <c r="O15" i="26"/>
  <c r="K48" i="25"/>
  <c r="F10" i="26" s="1"/>
  <c r="E10" i="26"/>
  <c r="F11" i="26"/>
  <c r="L49" i="25"/>
  <c r="G11" i="26" s="1"/>
  <c r="L48" i="25" l="1"/>
  <c r="G10" i="26" s="1"/>
  <c r="V21" i="25"/>
  <c r="V29" i="25"/>
  <c r="V35" i="25"/>
  <c r="V14" i="25"/>
  <c r="V18" i="25"/>
  <c r="I74" i="20" l="1"/>
  <c r="I71" i="20"/>
  <c r="E26" i="36" l="1"/>
  <c r="E29" i="36"/>
  <c r="J74" i="20"/>
  <c r="J71" i="20"/>
  <c r="F26" i="36" l="1"/>
  <c r="F29" i="36"/>
  <c r="K71" i="20"/>
  <c r="K74" i="20"/>
  <c r="G29" i="36" l="1"/>
  <c r="G26" i="36"/>
  <c r="J166" i="6"/>
  <c r="J165" i="6" s="1"/>
  <c r="J182" i="6" s="1"/>
  <c r="J183" i="6" s="1"/>
  <c r="I181" i="6"/>
  <c r="I182" i="6"/>
  <c r="H182" i="6"/>
  <c r="J167" i="6" l="1"/>
  <c r="J164" i="6"/>
  <c r="J181" i="6" s="1"/>
  <c r="J176" i="6"/>
  <c r="J186" i="6"/>
  <c r="J188" i="6" s="1"/>
  <c r="J195" i="6" s="1"/>
  <c r="J196" i="6" s="1"/>
  <c r="J198" i="6" s="1"/>
  <c r="H176" i="6"/>
  <c r="H183" i="6"/>
  <c r="H188" i="6"/>
  <c r="H195" i="6" s="1"/>
  <c r="H197" i="6" s="1"/>
  <c r="H167" i="6"/>
  <c r="I176" i="6"/>
  <c r="I183" i="6"/>
  <c r="I186" i="6"/>
  <c r="I188" i="6" s="1"/>
  <c r="I195" i="6" s="1"/>
  <c r="I196" i="6" s="1"/>
  <c r="I167" i="6"/>
  <c r="I198" i="6" l="1"/>
  <c r="H198" i="6"/>
  <c r="H108" i="6" l="1"/>
  <c r="I108" i="6" l="1"/>
  <c r="I107" i="6" s="1"/>
  <c r="I106" i="6" s="1"/>
  <c r="J108" i="6" l="1"/>
  <c r="K108" i="6" l="1"/>
  <c r="K107" i="6" s="1"/>
  <c r="K106" i="6" s="1"/>
  <c r="J107" i="6"/>
  <c r="J106" i="6" s="1"/>
  <c r="J15" i="20" s="1"/>
  <c r="F42" i="36" s="1"/>
  <c r="J15" i="27"/>
  <c r="J15" i="30"/>
  <c r="K15" i="20" l="1"/>
  <c r="G42" i="36" s="1"/>
  <c r="K15" i="27"/>
  <c r="K15" i="30"/>
  <c r="I15" i="20"/>
  <c r="E42" i="36" s="1"/>
  <c r="I15" i="27"/>
  <c r="I15" i="30"/>
  <c r="L13" i="36" l="1"/>
  <c r="H50" i="30"/>
  <c r="K43" i="36" l="1"/>
  <c r="K42" i="36"/>
  <c r="D4" i="36"/>
  <c r="H59" i="30"/>
  <c r="K40" i="36" l="1"/>
  <c r="H79" i="30"/>
  <c r="L77" i="30"/>
  <c r="I105" i="30"/>
  <c r="L21" i="36" s="1"/>
  <c r="CR66" i="22" l="1"/>
  <c r="CR74" i="22" s="1"/>
  <c r="CR73" i="22" s="1"/>
  <c r="CL66" i="22"/>
  <c r="DD66" i="22" s="1"/>
  <c r="BJ74" i="22"/>
  <c r="CL67" i="22" l="1"/>
  <c r="H209" i="14"/>
  <c r="H208" i="14" s="1"/>
  <c r="DD67" i="22" l="1"/>
  <c r="F180" i="14" s="1"/>
  <c r="F178" i="14" s="1"/>
  <c r="F412" i="14" s="1"/>
  <c r="F418" i="14" s="1"/>
  <c r="CL74" i="22"/>
  <c r="DD74" i="22"/>
  <c r="F179" i="14" l="1"/>
  <c r="F213" i="14" s="1"/>
  <c r="F212" i="14" s="1"/>
  <c r="F208" i="14" s="1"/>
  <c r="F183" i="14" s="1"/>
  <c r="F206" i="14" s="1"/>
  <c r="F413" i="14"/>
  <c r="F177" i="14"/>
  <c r="F216" i="14" s="1"/>
  <c r="CM66" i="22"/>
  <c r="DE66" i="22" s="1"/>
  <c r="CS66" i="22"/>
  <c r="CS74" i="22" s="1"/>
  <c r="CS73" i="22" s="1"/>
  <c r="BK74" i="22"/>
  <c r="CM67" i="22"/>
  <c r="CM74" i="22" s="1"/>
  <c r="G209" i="14" l="1"/>
  <c r="H387" i="14"/>
  <c r="H386" i="14" s="1"/>
  <c r="H325" i="14"/>
  <c r="H324" i="14" s="1"/>
  <c r="DE67" i="22" l="1"/>
  <c r="G180" i="14" l="1"/>
  <c r="G178" i="14" s="1"/>
  <c r="DE74" i="22"/>
  <c r="G179" i="14" l="1"/>
  <c r="G213" i="14" s="1"/>
  <c r="G212" i="14" s="1"/>
  <c r="G208" i="14" s="1"/>
  <c r="G183" i="14" s="1"/>
  <c r="G206" i="14" s="1"/>
  <c r="G207" i="14" s="1"/>
  <c r="G412" i="14"/>
  <c r="G177" i="14" l="1"/>
  <c r="G413" i="14"/>
  <c r="G418" i="14"/>
  <c r="H323" i="14" l="1"/>
  <c r="I323" i="14" s="1"/>
  <c r="I262" i="14" s="1"/>
  <c r="I261" i="14" s="1"/>
  <c r="H207" i="14"/>
  <c r="H183" i="14" s="1"/>
  <c r="G175" i="14"/>
  <c r="G173" i="14" s="1"/>
  <c r="G216" i="14"/>
  <c r="H177" i="14" l="1"/>
  <c r="H216" i="14" s="1"/>
  <c r="H206" i="14"/>
  <c r="H322" i="14"/>
  <c r="H289" i="14" s="1"/>
  <c r="H349" i="14" s="1"/>
  <c r="H419" i="14" s="1"/>
  <c r="I419" i="14" s="1"/>
  <c r="H283" i="14" l="1"/>
  <c r="H338" i="14" s="1"/>
  <c r="J323" i="14"/>
  <c r="K323" i="14" l="1"/>
  <c r="H343" i="14"/>
  <c r="H384" i="14"/>
  <c r="H385" i="14" s="1"/>
  <c r="J262" i="14"/>
  <c r="J419" i="14" l="1"/>
  <c r="K419" i="14" s="1"/>
  <c r="K262" i="14"/>
  <c r="H175" i="14"/>
  <c r="H173" i="14" s="1"/>
  <c r="H400" i="14"/>
  <c r="F207" i="14" l="1"/>
  <c r="F175" i="14" l="1"/>
  <c r="F173" i="14" s="1"/>
  <c r="H201" i="6" l="1"/>
  <c r="H203" i="6" s="1"/>
  <c r="I200" i="6"/>
  <c r="J200" i="6" s="1"/>
  <c r="J199" i="6" s="1"/>
  <c r="J201" i="6" s="1"/>
  <c r="J203" i="6" s="1"/>
  <c r="E55" i="7" l="1"/>
  <c r="E45" i="7"/>
  <c r="E54" i="7"/>
  <c r="I199" i="6"/>
  <c r="I201" i="6" s="1"/>
  <c r="I203" i="6" s="1"/>
  <c r="I82" i="6" l="1"/>
  <c r="H98" i="6" l="1"/>
  <c r="H97" i="6" s="1"/>
  <c r="H84" i="6" s="1"/>
  <c r="H93" i="6"/>
  <c r="AA49" i="22"/>
  <c r="I93" i="6"/>
  <c r="H121" i="6"/>
  <c r="L124" i="6" s="1"/>
  <c r="H7" i="27"/>
  <c r="H7" i="20"/>
  <c r="D36" i="36" s="1"/>
  <c r="H7" i="30"/>
  <c r="AB49" i="22" l="1"/>
  <c r="CW49" i="22" s="1"/>
  <c r="K92" i="6" s="1"/>
  <c r="CV49" i="22"/>
  <c r="J92" i="6" s="1"/>
  <c r="J90" i="6" s="1"/>
  <c r="J91" i="6" s="1"/>
  <c r="H100" i="6"/>
  <c r="H118" i="6"/>
  <c r="Q7" i="20"/>
  <c r="Q7" i="30"/>
  <c r="Q7" i="27"/>
  <c r="H109" i="6"/>
  <c r="H127" i="6"/>
  <c r="H122" i="6"/>
  <c r="H129" i="6"/>
  <c r="I129" i="6" s="1"/>
  <c r="J129" i="6" s="1"/>
  <c r="K129" i="6" s="1"/>
  <c r="H78" i="6"/>
  <c r="H87" i="6"/>
  <c r="H82" i="6"/>
  <c r="H9" i="27"/>
  <c r="H6" i="27" s="1"/>
  <c r="H9" i="20"/>
  <c r="D35" i="36" s="1"/>
  <c r="H111" i="14"/>
  <c r="H9" i="30"/>
  <c r="I7" i="30"/>
  <c r="I7" i="27"/>
  <c r="I7" i="20"/>
  <c r="E36" i="36" s="1"/>
  <c r="I91" i="6"/>
  <c r="K90" i="6" l="1"/>
  <c r="K72" i="6" s="1"/>
  <c r="J93" i="6"/>
  <c r="I118" i="6"/>
  <c r="I14" i="30"/>
  <c r="Q30" i="27"/>
  <c r="H97" i="27"/>
  <c r="H101" i="27" s="1"/>
  <c r="Q36" i="27"/>
  <c r="Q15" i="27"/>
  <c r="Q26" i="27"/>
  <c r="H85" i="27"/>
  <c r="Q24" i="27"/>
  <c r="Q34" i="27"/>
  <c r="H47" i="27"/>
  <c r="Q32" i="27"/>
  <c r="Q6" i="27"/>
  <c r="Q35" i="27"/>
  <c r="Q25" i="27"/>
  <c r="Q33" i="27"/>
  <c r="I73" i="6"/>
  <c r="R7" i="27"/>
  <c r="R7" i="20"/>
  <c r="R7" i="30"/>
  <c r="R9" i="30"/>
  <c r="T9" i="30" s="1"/>
  <c r="U9" i="30" s="1"/>
  <c r="Q9" i="30"/>
  <c r="R9" i="20"/>
  <c r="T9" i="20" s="1"/>
  <c r="U9" i="20" s="1"/>
  <c r="Q9" i="20"/>
  <c r="H14" i="30"/>
  <c r="H14" i="27"/>
  <c r="H14" i="20"/>
  <c r="D41" i="36" s="1"/>
  <c r="Q9" i="27"/>
  <c r="R9" i="27"/>
  <c r="T9" i="27" s="1"/>
  <c r="U9" i="27" s="1"/>
  <c r="I127" i="6"/>
  <c r="J127" i="6" s="1"/>
  <c r="H6" i="30"/>
  <c r="K98" i="6"/>
  <c r="K7" i="27"/>
  <c r="K7" i="20"/>
  <c r="G36" i="36" s="1"/>
  <c r="K7" i="30"/>
  <c r="H6" i="20"/>
  <c r="D34" i="36" s="1"/>
  <c r="K31" i="36" s="1"/>
  <c r="K45" i="36" l="1"/>
  <c r="K46" i="36"/>
  <c r="K47" i="36"/>
  <c r="K93" i="6"/>
  <c r="K76" i="6"/>
  <c r="K77" i="6" s="1"/>
  <c r="K97" i="6"/>
  <c r="K14" i="30" s="1"/>
  <c r="I112" i="6"/>
  <c r="I121" i="6" s="1"/>
  <c r="J7" i="20"/>
  <c r="I75" i="6"/>
  <c r="I14" i="20"/>
  <c r="I14" i="27"/>
  <c r="J98" i="6"/>
  <c r="J7" i="27"/>
  <c r="S7" i="27" s="1"/>
  <c r="T7" i="27" s="1"/>
  <c r="J118" i="6"/>
  <c r="K118" i="6" s="1"/>
  <c r="J7" i="30"/>
  <c r="S7" i="30" s="1"/>
  <c r="T7" i="30" s="1"/>
  <c r="K127" i="6"/>
  <c r="Q24" i="30"/>
  <c r="Q6" i="30"/>
  <c r="Q32" i="30"/>
  <c r="Q30" i="30"/>
  <c r="Q36" i="30"/>
  <c r="Q25" i="30"/>
  <c r="Q82" i="30"/>
  <c r="R82" i="30" s="1"/>
  <c r="Q33" i="30"/>
  <c r="Q35" i="30"/>
  <c r="Q26" i="30"/>
  <c r="Q15" i="30"/>
  <c r="Q34" i="30"/>
  <c r="Q97" i="30"/>
  <c r="Q14" i="20"/>
  <c r="H83" i="27"/>
  <c r="H57" i="27" s="1"/>
  <c r="Q14" i="27"/>
  <c r="Q14" i="30"/>
  <c r="H86" i="27"/>
  <c r="Q33" i="20"/>
  <c r="Q15" i="20"/>
  <c r="Q30" i="20"/>
  <c r="Q34" i="20"/>
  <c r="Q6" i="20"/>
  <c r="Q24" i="20"/>
  <c r="Q32" i="20"/>
  <c r="H97" i="20"/>
  <c r="H101" i="20" s="1"/>
  <c r="Q35" i="20"/>
  <c r="Q25" i="20"/>
  <c r="H85" i="20"/>
  <c r="K5" i="36" s="1"/>
  <c r="Q36" i="20"/>
  <c r="H47" i="20"/>
  <c r="D6" i="36" s="1"/>
  <c r="Q26" i="20"/>
  <c r="S82" i="30" l="1"/>
  <c r="T82" i="30" s="1"/>
  <c r="U82" i="30" s="1"/>
  <c r="S7" i="20"/>
  <c r="T7" i="20" s="1"/>
  <c r="F36" i="36"/>
  <c r="E41" i="36"/>
  <c r="K14" i="20"/>
  <c r="K14" i="27"/>
  <c r="J72" i="6"/>
  <c r="K73" i="6" s="1"/>
  <c r="K91" i="6"/>
  <c r="I10" i="30"/>
  <c r="R10" i="30" s="1"/>
  <c r="I109" i="6"/>
  <c r="I10" i="27"/>
  <c r="R10" i="27" s="1"/>
  <c r="I10" i="20"/>
  <c r="R10" i="20" s="1"/>
  <c r="J76" i="6"/>
  <c r="J97" i="6"/>
  <c r="J14" i="30" s="1"/>
  <c r="J112" i="6"/>
  <c r="J121" i="6" s="1"/>
  <c r="U7" i="30"/>
  <c r="H82" i="27"/>
  <c r="H52" i="27" s="1"/>
  <c r="H83" i="20"/>
  <c r="H57" i="20" s="1"/>
  <c r="D14" i="36" s="1"/>
  <c r="K75" i="6"/>
  <c r="H86" i="20"/>
  <c r="I100" i="6"/>
  <c r="I78" i="6"/>
  <c r="U7" i="27"/>
  <c r="U7" i="20"/>
  <c r="R97" i="30"/>
  <c r="S97" i="30" s="1"/>
  <c r="E38" i="36" l="1"/>
  <c r="K6" i="36"/>
  <c r="G41" i="36"/>
  <c r="I6" i="30"/>
  <c r="R30" i="30" s="1"/>
  <c r="I6" i="20"/>
  <c r="R35" i="20" s="1"/>
  <c r="J10" i="20"/>
  <c r="F38" i="36" s="1"/>
  <c r="J10" i="30"/>
  <c r="S10" i="30" s="1"/>
  <c r="T10" i="30" s="1"/>
  <c r="U10" i="30" s="1"/>
  <c r="K112" i="6"/>
  <c r="K121" i="6" s="1"/>
  <c r="J10" i="27"/>
  <c r="S10" i="27" s="1"/>
  <c r="T10" i="27" s="1"/>
  <c r="U10" i="27" s="1"/>
  <c r="J73" i="6"/>
  <c r="J75" i="6"/>
  <c r="I87" i="6"/>
  <c r="J77" i="6"/>
  <c r="I6" i="27"/>
  <c r="I85" i="27" s="1"/>
  <c r="I122" i="6"/>
  <c r="I126" i="6"/>
  <c r="I24" i="27" s="1"/>
  <c r="I128" i="6"/>
  <c r="I26" i="20" s="1"/>
  <c r="E47" i="36" s="1"/>
  <c r="J14" i="20"/>
  <c r="J14" i="27"/>
  <c r="H82" i="20"/>
  <c r="H52" i="20" s="1"/>
  <c r="T97" i="30"/>
  <c r="U97" i="30" s="1"/>
  <c r="I47" i="27"/>
  <c r="J126" i="6"/>
  <c r="J128" i="6"/>
  <c r="J87" i="6"/>
  <c r="J122" i="6"/>
  <c r="J109" i="6"/>
  <c r="J100" i="6"/>
  <c r="J78" i="6"/>
  <c r="J6" i="30" l="1"/>
  <c r="S25" i="30" s="1"/>
  <c r="T25" i="30" s="1"/>
  <c r="U25" i="30" s="1"/>
  <c r="R32" i="20"/>
  <c r="R25" i="20"/>
  <c r="I97" i="20"/>
  <c r="I101" i="20" s="1"/>
  <c r="R34" i="20"/>
  <c r="R36" i="20"/>
  <c r="R6" i="20"/>
  <c r="R16" i="20"/>
  <c r="R14" i="20"/>
  <c r="R15" i="20"/>
  <c r="R33" i="20"/>
  <c r="I85" i="20"/>
  <c r="L5" i="36" s="1"/>
  <c r="I97" i="30"/>
  <c r="L15" i="36" s="1"/>
  <c r="I85" i="30"/>
  <c r="I83" i="30" s="1"/>
  <c r="I82" i="30" s="1"/>
  <c r="S10" i="20"/>
  <c r="T10" i="20" s="1"/>
  <c r="U10" i="20" s="1"/>
  <c r="J6" i="20"/>
  <c r="F34" i="36" s="1"/>
  <c r="R16" i="30"/>
  <c r="R6" i="30"/>
  <c r="R34" i="30"/>
  <c r="R36" i="30"/>
  <c r="R33" i="30"/>
  <c r="R35" i="30"/>
  <c r="R32" i="30"/>
  <c r="R15" i="30"/>
  <c r="F41" i="36"/>
  <c r="I47" i="20"/>
  <c r="E34" i="36"/>
  <c r="L31" i="36" s="1"/>
  <c r="S14" i="30"/>
  <c r="D10" i="36"/>
  <c r="R14" i="30"/>
  <c r="I47" i="30"/>
  <c r="J47" i="30" s="1"/>
  <c r="R25" i="30"/>
  <c r="K10" i="27"/>
  <c r="K6" i="27" s="1"/>
  <c r="K85" i="27" s="1"/>
  <c r="K10" i="30"/>
  <c r="K6" i="30" s="1"/>
  <c r="K97" i="30" s="1"/>
  <c r="J6" i="27"/>
  <c r="J47" i="27" s="1"/>
  <c r="K10" i="20"/>
  <c r="G38" i="36" s="1"/>
  <c r="R14" i="27"/>
  <c r="R36" i="27"/>
  <c r="I26" i="30"/>
  <c r="R26" i="30" s="1"/>
  <c r="I26" i="27"/>
  <c r="I23" i="27" s="1"/>
  <c r="I24" i="20"/>
  <c r="I24" i="30"/>
  <c r="R24" i="30" s="1"/>
  <c r="R25" i="27"/>
  <c r="R34" i="27"/>
  <c r="R33" i="27"/>
  <c r="R15" i="27"/>
  <c r="R35" i="27"/>
  <c r="R6" i="27"/>
  <c r="R32" i="27"/>
  <c r="I97" i="27"/>
  <c r="I101" i="27" s="1"/>
  <c r="R16" i="27"/>
  <c r="S14" i="20"/>
  <c r="I86" i="27"/>
  <c r="K128" i="6"/>
  <c r="K109" i="6"/>
  <c r="K122" i="6"/>
  <c r="K87" i="6"/>
  <c r="K126" i="6"/>
  <c r="K100" i="6"/>
  <c r="K78" i="6"/>
  <c r="S36" i="30"/>
  <c r="T36" i="30" s="1"/>
  <c r="U36" i="30" s="1"/>
  <c r="S33" i="30"/>
  <c r="T33" i="30" s="1"/>
  <c r="U33" i="30" s="1"/>
  <c r="S6" i="30"/>
  <c r="S35" i="30"/>
  <c r="T35" i="30" s="1"/>
  <c r="U35" i="30" s="1"/>
  <c r="S16" i="30"/>
  <c r="S15" i="30"/>
  <c r="J85" i="30"/>
  <c r="S32" i="30"/>
  <c r="T32" i="30" s="1"/>
  <c r="U32" i="30" s="1"/>
  <c r="S34" i="30"/>
  <c r="T34" i="30" s="1"/>
  <c r="U34" i="30" s="1"/>
  <c r="R26" i="20"/>
  <c r="R24" i="27"/>
  <c r="I83" i="27"/>
  <c r="I57" i="27" s="1"/>
  <c r="J26" i="30"/>
  <c r="S26" i="30" s="1"/>
  <c r="T26" i="30" s="1"/>
  <c r="U26" i="30" s="1"/>
  <c r="J26" i="20"/>
  <c r="F47" i="36" s="1"/>
  <c r="J26" i="27"/>
  <c r="J24" i="30"/>
  <c r="J24" i="20"/>
  <c r="F46" i="36" s="1"/>
  <c r="J24" i="27"/>
  <c r="J97" i="30"/>
  <c r="M15" i="36" s="1"/>
  <c r="T14" i="20" l="1"/>
  <c r="U14" i="20" s="1"/>
  <c r="J47" i="20"/>
  <c r="F6" i="36" s="1"/>
  <c r="T14" i="30"/>
  <c r="U14" i="30" s="1"/>
  <c r="J97" i="20"/>
  <c r="J101" i="20" s="1"/>
  <c r="S32" i="20"/>
  <c r="T32" i="20" s="1"/>
  <c r="U32" i="20" s="1"/>
  <c r="S25" i="20"/>
  <c r="T25" i="20" s="1"/>
  <c r="U25" i="20" s="1"/>
  <c r="S35" i="20"/>
  <c r="T35" i="20" s="1"/>
  <c r="U35" i="20" s="1"/>
  <c r="S34" i="20"/>
  <c r="T34" i="20" s="1"/>
  <c r="U34" i="20" s="1"/>
  <c r="S33" i="20"/>
  <c r="T33" i="20" s="1"/>
  <c r="U33" i="20" s="1"/>
  <c r="J85" i="20"/>
  <c r="M5" i="36" s="1"/>
  <c r="S6" i="20"/>
  <c r="I83" i="20"/>
  <c r="I57" i="20" s="1"/>
  <c r="E14" i="36" s="1"/>
  <c r="S36" i="20"/>
  <c r="T36" i="20" s="1"/>
  <c r="U36" i="20" s="1"/>
  <c r="K85" i="30"/>
  <c r="K83" i="30" s="1"/>
  <c r="K82" i="30" s="1"/>
  <c r="U6" i="30"/>
  <c r="T6" i="30"/>
  <c r="S16" i="20"/>
  <c r="T16" i="20" s="1"/>
  <c r="S15" i="20"/>
  <c r="T15" i="20" s="1"/>
  <c r="U15" i="20" s="1"/>
  <c r="I101" i="30"/>
  <c r="L19" i="36" s="1"/>
  <c r="I86" i="30"/>
  <c r="I52" i="30"/>
  <c r="I57" i="30"/>
  <c r="R26" i="27"/>
  <c r="S16" i="27"/>
  <c r="T16" i="27" s="1"/>
  <c r="S35" i="27"/>
  <c r="T35" i="27" s="1"/>
  <c r="U35" i="27" s="1"/>
  <c r="S25" i="27"/>
  <c r="T25" i="27" s="1"/>
  <c r="U25" i="27" s="1"/>
  <c r="J97" i="27"/>
  <c r="J101" i="27" s="1"/>
  <c r="S32" i="27"/>
  <c r="T32" i="27" s="1"/>
  <c r="U32" i="27" s="1"/>
  <c r="J85" i="27"/>
  <c r="J83" i="27" s="1"/>
  <c r="J57" i="27" s="1"/>
  <c r="S6" i="27"/>
  <c r="S15" i="27"/>
  <c r="S33" i="27"/>
  <c r="T33" i="27" s="1"/>
  <c r="U33" i="27" s="1"/>
  <c r="S14" i="27"/>
  <c r="T14" i="27" s="1"/>
  <c r="U14" i="27" s="1"/>
  <c r="S26" i="27"/>
  <c r="T26" i="27" s="1"/>
  <c r="U26" i="27" s="1"/>
  <c r="S34" i="27"/>
  <c r="T34" i="27" s="1"/>
  <c r="U34" i="27" s="1"/>
  <c r="S36" i="27"/>
  <c r="T36" i="27" s="1"/>
  <c r="U36" i="27" s="1"/>
  <c r="U6" i="27"/>
  <c r="T6" i="27"/>
  <c r="K97" i="27"/>
  <c r="K101" i="27" s="1"/>
  <c r="E46" i="36"/>
  <c r="N15" i="36"/>
  <c r="K6" i="20"/>
  <c r="G34" i="36" s="1"/>
  <c r="N31" i="36" s="1"/>
  <c r="L46" i="36"/>
  <c r="M46" i="36"/>
  <c r="E6" i="36"/>
  <c r="I86" i="20"/>
  <c r="M31" i="36"/>
  <c r="T15" i="27"/>
  <c r="U15" i="27" s="1"/>
  <c r="R24" i="20"/>
  <c r="I23" i="20"/>
  <c r="I49" i="20" s="1"/>
  <c r="E8" i="36" s="1"/>
  <c r="K101" i="30"/>
  <c r="I23" i="30"/>
  <c r="I49" i="30" s="1"/>
  <c r="I82" i="27"/>
  <c r="I52" i="27" s="1"/>
  <c r="K24" i="20"/>
  <c r="G46" i="36" s="1"/>
  <c r="K24" i="30"/>
  <c r="K24" i="27"/>
  <c r="J23" i="20"/>
  <c r="S24" i="20"/>
  <c r="T24" i="20" s="1"/>
  <c r="U24" i="20" s="1"/>
  <c r="K83" i="27"/>
  <c r="K82" i="27" s="1"/>
  <c r="K47" i="30"/>
  <c r="K86" i="30" s="1"/>
  <c r="J86" i="30"/>
  <c r="T16" i="30"/>
  <c r="U16" i="30"/>
  <c r="J23" i="27"/>
  <c r="S24" i="27"/>
  <c r="T24" i="27" s="1"/>
  <c r="U24" i="27" s="1"/>
  <c r="I63" i="27"/>
  <c r="I49" i="27"/>
  <c r="I61" i="27"/>
  <c r="I62" i="27"/>
  <c r="J83" i="30"/>
  <c r="J82" i="30" s="1"/>
  <c r="J23" i="30"/>
  <c r="S24" i="30"/>
  <c r="T24" i="30" s="1"/>
  <c r="U24" i="30" s="1"/>
  <c r="K47" i="27"/>
  <c r="K86" i="27" s="1"/>
  <c r="J86" i="27"/>
  <c r="J101" i="30"/>
  <c r="K26" i="27"/>
  <c r="K26" i="20"/>
  <c r="K26" i="30"/>
  <c r="T15" i="30"/>
  <c r="U15" i="30" s="1"/>
  <c r="S26" i="20"/>
  <c r="T26" i="20" s="1"/>
  <c r="U26" i="20" s="1"/>
  <c r="J86" i="20" l="1"/>
  <c r="M6" i="36" s="1"/>
  <c r="K47" i="20"/>
  <c r="G6" i="36" s="1"/>
  <c r="U16" i="20"/>
  <c r="J83" i="20"/>
  <c r="J82" i="20" s="1"/>
  <c r="I82" i="20"/>
  <c r="I52" i="20" s="1"/>
  <c r="E10" i="36" s="1"/>
  <c r="T6" i="20"/>
  <c r="U6" i="20"/>
  <c r="K85" i="20"/>
  <c r="N5" i="36" s="1"/>
  <c r="K97" i="20"/>
  <c r="K101" i="20" s="1"/>
  <c r="U16" i="27"/>
  <c r="M19" i="36"/>
  <c r="I63" i="20"/>
  <c r="E20" i="36" s="1"/>
  <c r="I62" i="20"/>
  <c r="E19" i="36" s="1"/>
  <c r="G47" i="36"/>
  <c r="I62" i="30"/>
  <c r="I61" i="30"/>
  <c r="J61" i="30" s="1"/>
  <c r="N19" i="36"/>
  <c r="L6" i="36"/>
  <c r="I61" i="20"/>
  <c r="E18" i="36" s="1"/>
  <c r="I63" i="30"/>
  <c r="I90" i="30" s="1"/>
  <c r="N46" i="36"/>
  <c r="K57" i="27"/>
  <c r="J57" i="30"/>
  <c r="K57" i="30" s="1"/>
  <c r="K23" i="27"/>
  <c r="K23" i="30"/>
  <c r="J82" i="27"/>
  <c r="J52" i="27" s="1"/>
  <c r="K52" i="27" s="1"/>
  <c r="J49" i="30"/>
  <c r="J49" i="20"/>
  <c r="F8" i="36" s="1"/>
  <c r="I88" i="20"/>
  <c r="J52" i="30"/>
  <c r="K52" i="30" s="1"/>
  <c r="K23" i="20"/>
  <c r="K83" i="20"/>
  <c r="J61" i="27"/>
  <c r="I64" i="27"/>
  <c r="I89" i="27"/>
  <c r="I90" i="27"/>
  <c r="J63" i="27"/>
  <c r="I103" i="27"/>
  <c r="J62" i="27"/>
  <c r="I88" i="27"/>
  <c r="J49" i="27"/>
  <c r="K86" i="20" l="1"/>
  <c r="N6" i="36" s="1"/>
  <c r="J52" i="20"/>
  <c r="F10" i="36" s="1"/>
  <c r="J57" i="20"/>
  <c r="F14" i="36" s="1"/>
  <c r="I89" i="30"/>
  <c r="J63" i="20"/>
  <c r="F20" i="36" s="1"/>
  <c r="I103" i="30"/>
  <c r="L20" i="36" s="1"/>
  <c r="I103" i="20"/>
  <c r="J62" i="20"/>
  <c r="F19" i="36" s="1"/>
  <c r="I90" i="20"/>
  <c r="I89" i="20"/>
  <c r="L9" i="36" s="1"/>
  <c r="J61" i="20"/>
  <c r="F18" i="36" s="1"/>
  <c r="I64" i="20"/>
  <c r="E17" i="36" s="1"/>
  <c r="J63" i="30"/>
  <c r="J90" i="30" s="1"/>
  <c r="J62" i="30"/>
  <c r="K62" i="30" s="1"/>
  <c r="K103" i="30" s="1"/>
  <c r="N20" i="36" s="1"/>
  <c r="L8" i="36"/>
  <c r="I64" i="30"/>
  <c r="J88" i="20"/>
  <c r="K49" i="20"/>
  <c r="G8" i="36" s="1"/>
  <c r="K62" i="27"/>
  <c r="K103" i="27" s="1"/>
  <c r="J103" i="27"/>
  <c r="K49" i="30"/>
  <c r="K88" i="30" s="1"/>
  <c r="J88" i="30"/>
  <c r="K63" i="27"/>
  <c r="K90" i="27" s="1"/>
  <c r="J90" i="27"/>
  <c r="K61" i="27"/>
  <c r="J64" i="27"/>
  <c r="J89" i="27"/>
  <c r="K82" i="20"/>
  <c r="K61" i="30"/>
  <c r="J89" i="30"/>
  <c r="K49" i="27"/>
  <c r="K88" i="27" s="1"/>
  <c r="J88" i="27"/>
  <c r="K52" i="20" l="1"/>
  <c r="G10" i="36" s="1"/>
  <c r="K57" i="20"/>
  <c r="G14" i="36" s="1"/>
  <c r="K62" i="20"/>
  <c r="G19" i="36" s="1"/>
  <c r="J103" i="20"/>
  <c r="J90" i="20"/>
  <c r="M10" i="36" s="1"/>
  <c r="I108" i="30"/>
  <c r="L23" i="36" s="1"/>
  <c r="K63" i="20"/>
  <c r="G20" i="36" s="1"/>
  <c r="K63" i="30"/>
  <c r="K90" i="30" s="1"/>
  <c r="J64" i="20"/>
  <c r="F24" i="36" s="1"/>
  <c r="J89" i="20"/>
  <c r="M9" i="36" s="1"/>
  <c r="K61" i="20"/>
  <c r="G18" i="36" s="1"/>
  <c r="E24" i="36"/>
  <c r="L10" i="36"/>
  <c r="J64" i="30"/>
  <c r="J103" i="30"/>
  <c r="M20" i="36" s="1"/>
  <c r="M8" i="36"/>
  <c r="K88" i="20"/>
  <c r="K89" i="30"/>
  <c r="K89" i="27"/>
  <c r="K64" i="27"/>
  <c r="K64" i="30" l="1"/>
  <c r="K103" i="20"/>
  <c r="F17" i="36"/>
  <c r="K90" i="20"/>
  <c r="N10" i="36" s="1"/>
  <c r="K64" i="20"/>
  <c r="G24" i="36" s="1"/>
  <c r="K89" i="20"/>
  <c r="N9" i="36" s="1"/>
  <c r="N8" i="36"/>
  <c r="G17" i="36" l="1"/>
  <c r="H16" i="20"/>
  <c r="H85" i="6"/>
  <c r="H86" i="6" s="1"/>
  <c r="H16" i="27"/>
  <c r="Q16" i="27" s="1"/>
  <c r="H16" i="30"/>
  <c r="Q16" i="30" s="1"/>
  <c r="H85" i="14"/>
  <c r="H94" i="14" s="1"/>
  <c r="H83" i="6"/>
  <c r="H96" i="6" s="1"/>
  <c r="H114" i="6" s="1"/>
  <c r="Q16" i="20" l="1"/>
  <c r="D40" i="36"/>
  <c r="H95" i="14"/>
  <c r="H89" i="14"/>
  <c r="H88" i="14" s="1"/>
  <c r="H86" i="14" s="1"/>
  <c r="I114" i="6"/>
  <c r="J114" i="6" s="1"/>
  <c r="K114" i="6" s="1"/>
  <c r="H115" i="6"/>
  <c r="H108" i="14" l="1"/>
  <c r="P46" i="35"/>
  <c r="S46" i="35" s="1"/>
  <c r="H17" i="20"/>
  <c r="D43" i="36" s="1"/>
  <c r="H17" i="30"/>
  <c r="H17" i="27"/>
  <c r="H116" i="6"/>
  <c r="H110" i="14" l="1"/>
  <c r="D78" i="35"/>
  <c r="D90" i="35"/>
  <c r="H112" i="14"/>
  <c r="H113" i="14" s="1"/>
  <c r="H124" i="6"/>
  <c r="H119" i="6" s="1"/>
  <c r="H117" i="6"/>
  <c r="I117" i="6" s="1"/>
  <c r="I116" i="6" s="1"/>
  <c r="I124" i="6" s="1"/>
  <c r="I130" i="6" s="1"/>
  <c r="Q17" i="27"/>
  <c r="H13" i="27"/>
  <c r="Q17" i="30"/>
  <c r="H13" i="30"/>
  <c r="Q17" i="20"/>
  <c r="H13" i="20"/>
  <c r="D39" i="36" s="1"/>
  <c r="F74" i="35" l="1"/>
  <c r="K70" i="35"/>
  <c r="M70" i="35" s="1"/>
  <c r="D79" i="35"/>
  <c r="F79" i="35" s="1"/>
  <c r="K72" i="35" s="1"/>
  <c r="K75" i="35" s="1"/>
  <c r="Q13" i="20"/>
  <c r="H48" i="20"/>
  <c r="D7" i="36" s="1"/>
  <c r="H21" i="20"/>
  <c r="D44" i="36" s="1"/>
  <c r="Q13" i="30"/>
  <c r="H21" i="30"/>
  <c r="H48" i="27"/>
  <c r="H21" i="27"/>
  <c r="Q13" i="27"/>
  <c r="H125" i="6"/>
  <c r="H130" i="6"/>
  <c r="H143" i="6" s="1"/>
  <c r="H79" i="6"/>
  <c r="H110" i="6"/>
  <c r="E34" i="7" s="1"/>
  <c r="H101" i="6"/>
  <c r="E33" i="7" s="1"/>
  <c r="H88" i="6"/>
  <c r="E35" i="7" s="1"/>
  <c r="K35" i="36" l="1"/>
  <c r="F80" i="35"/>
  <c r="G73" i="35" s="1"/>
  <c r="G75" i="35"/>
  <c r="H145" i="6"/>
  <c r="H146" i="6"/>
  <c r="I115" i="6"/>
  <c r="J117" i="6"/>
  <c r="H29" i="27"/>
  <c r="Q21" i="27"/>
  <c r="H87" i="27"/>
  <c r="Q21" i="30"/>
  <c r="H29" i="30"/>
  <c r="Q21" i="20"/>
  <c r="H29" i="20"/>
  <c r="D48" i="36" s="1"/>
  <c r="K32" i="36" s="1"/>
  <c r="H87" i="20"/>
  <c r="K7" i="36" l="1"/>
  <c r="Q29" i="20"/>
  <c r="H38" i="20"/>
  <c r="D51" i="36" s="1"/>
  <c r="Q29" i="27"/>
  <c r="H38" i="27"/>
  <c r="J116" i="6"/>
  <c r="K117" i="6"/>
  <c r="K116" i="6" s="1"/>
  <c r="K124" i="6" s="1"/>
  <c r="I125" i="6"/>
  <c r="I88" i="6"/>
  <c r="F35" i="7" s="1"/>
  <c r="I79" i="6"/>
  <c r="I110" i="6"/>
  <c r="F34" i="7" s="1"/>
  <c r="I101" i="6"/>
  <c r="F33" i="7" s="1"/>
  <c r="I119" i="6"/>
  <c r="I17" i="30"/>
  <c r="I123" i="6"/>
  <c r="I96" i="6" s="1"/>
  <c r="I17" i="27"/>
  <c r="I17" i="20"/>
  <c r="E43" i="36" s="1"/>
  <c r="H147" i="6"/>
  <c r="H150" i="6" s="1"/>
  <c r="D54" i="36" s="1"/>
  <c r="I145" i="6"/>
  <c r="J145" i="6" s="1"/>
  <c r="Q29" i="30"/>
  <c r="H38" i="30"/>
  <c r="K55" i="36" l="1"/>
  <c r="K56" i="36"/>
  <c r="L35" i="36"/>
  <c r="H152" i="6"/>
  <c r="K49" i="36" s="1"/>
  <c r="K130" i="6"/>
  <c r="K125" i="6"/>
  <c r="N35" i="36" s="1"/>
  <c r="K145" i="6"/>
  <c r="Q38" i="30"/>
  <c r="Q39" i="30"/>
  <c r="H41" i="27"/>
  <c r="Q41" i="27" s="1"/>
  <c r="H148" i="6"/>
  <c r="H41" i="20"/>
  <c r="D53" i="36" s="1"/>
  <c r="H41" i="30"/>
  <c r="Q41" i="30" s="1"/>
  <c r="R17" i="20"/>
  <c r="I13" i="20"/>
  <c r="E39" i="36" s="1"/>
  <c r="R17" i="27"/>
  <c r="I13" i="27"/>
  <c r="I105" i="6"/>
  <c r="I83" i="6"/>
  <c r="I13" i="30"/>
  <c r="R17" i="30"/>
  <c r="K115" i="6"/>
  <c r="J124" i="6"/>
  <c r="J119" i="6" s="1"/>
  <c r="J115" i="6"/>
  <c r="Q38" i="27"/>
  <c r="Q39" i="27"/>
  <c r="Q38" i="20"/>
  <c r="Q39" i="20"/>
  <c r="E25" i="7" l="1"/>
  <c r="K49" i="28"/>
  <c r="H43" i="20"/>
  <c r="H81" i="20" s="1"/>
  <c r="K4" i="36" s="1"/>
  <c r="H43" i="27"/>
  <c r="H81" i="27" s="1"/>
  <c r="J17" i="20"/>
  <c r="F43" i="36" s="1"/>
  <c r="J123" i="6"/>
  <c r="J96" i="6" s="1"/>
  <c r="J17" i="27"/>
  <c r="J17" i="30"/>
  <c r="K110" i="6"/>
  <c r="H34" i="7" s="1"/>
  <c r="K79" i="6"/>
  <c r="K88" i="6"/>
  <c r="H35" i="7" s="1"/>
  <c r="K101" i="6"/>
  <c r="H33" i="7" s="1"/>
  <c r="K17" i="30"/>
  <c r="K13" i="30" s="1"/>
  <c r="K17" i="20"/>
  <c r="G43" i="36" s="1"/>
  <c r="K123" i="6"/>
  <c r="K17" i="27"/>
  <c r="K13" i="27" s="1"/>
  <c r="K119" i="6"/>
  <c r="R13" i="27"/>
  <c r="I21" i="27"/>
  <c r="I48" i="27"/>
  <c r="J130" i="6"/>
  <c r="J125" i="6"/>
  <c r="J101" i="6"/>
  <c r="G33" i="7" s="1"/>
  <c r="J110" i="6"/>
  <c r="G34" i="7" s="1"/>
  <c r="J79" i="6"/>
  <c r="J88" i="6"/>
  <c r="G35" i="7" s="1"/>
  <c r="I21" i="30"/>
  <c r="R13" i="30"/>
  <c r="I48" i="30"/>
  <c r="R13" i="20"/>
  <c r="I21" i="20"/>
  <c r="E44" i="36" s="1"/>
  <c r="I48" i="20"/>
  <c r="E7" i="36" s="1"/>
  <c r="E36" i="7"/>
  <c r="E37" i="7"/>
  <c r="E38" i="7"/>
  <c r="E26" i="7"/>
  <c r="Q41" i="20"/>
  <c r="H43" i="30"/>
  <c r="K36" i="36" s="1"/>
  <c r="Q43" i="20" l="1"/>
  <c r="K53" i="36"/>
  <c r="L47" i="36"/>
  <c r="M35" i="36"/>
  <c r="Q43" i="27"/>
  <c r="H29" i="7"/>
  <c r="H72" i="27"/>
  <c r="H95" i="27"/>
  <c r="H110" i="27" s="1"/>
  <c r="H113" i="27" s="1"/>
  <c r="H95" i="20"/>
  <c r="H110" i="20" s="1"/>
  <c r="H113" i="20" s="1"/>
  <c r="H72" i="20"/>
  <c r="D27" i="36" s="1"/>
  <c r="I87" i="27"/>
  <c r="H81" i="30"/>
  <c r="Q43" i="30"/>
  <c r="R21" i="27"/>
  <c r="I29" i="27"/>
  <c r="I87" i="20"/>
  <c r="K21" i="30"/>
  <c r="T13" i="30"/>
  <c r="S17" i="30"/>
  <c r="J13" i="30"/>
  <c r="S17" i="27"/>
  <c r="J13" i="27"/>
  <c r="S17" i="20"/>
  <c r="J13" i="20"/>
  <c r="F39" i="36" s="1"/>
  <c r="T13" i="27"/>
  <c r="K21" i="27"/>
  <c r="K83" i="6"/>
  <c r="K96" i="6"/>
  <c r="K105" i="6"/>
  <c r="K13" i="20"/>
  <c r="G39" i="36" s="1"/>
  <c r="R21" i="20"/>
  <c r="I29" i="20"/>
  <c r="E48" i="36" s="1"/>
  <c r="L32" i="36" s="1"/>
  <c r="I87" i="30"/>
  <c r="I29" i="30"/>
  <c r="R21" i="30"/>
  <c r="J105" i="6"/>
  <c r="J83" i="6"/>
  <c r="L7" i="36" l="1"/>
  <c r="K38" i="36"/>
  <c r="K37" i="36"/>
  <c r="T21" i="27"/>
  <c r="K29" i="27"/>
  <c r="S13" i="27"/>
  <c r="J21" i="27"/>
  <c r="R29" i="20"/>
  <c r="H46" i="27"/>
  <c r="I112" i="27"/>
  <c r="T13" i="20"/>
  <c r="K21" i="20"/>
  <c r="G44" i="36" s="1"/>
  <c r="J21" i="20"/>
  <c r="F44" i="36" s="1"/>
  <c r="S13" i="20"/>
  <c r="T17" i="20"/>
  <c r="U17" i="20" s="1"/>
  <c r="T17" i="27"/>
  <c r="U17" i="27" s="1"/>
  <c r="S13" i="30"/>
  <c r="J21" i="30"/>
  <c r="T17" i="30"/>
  <c r="U17" i="30" s="1"/>
  <c r="K29" i="30"/>
  <c r="T21" i="30"/>
  <c r="J48" i="20"/>
  <c r="F7" i="36" s="1"/>
  <c r="R29" i="27"/>
  <c r="I38" i="30"/>
  <c r="R29" i="30"/>
  <c r="H95" i="30"/>
  <c r="K14" i="36" s="1"/>
  <c r="J48" i="30"/>
  <c r="J48" i="27"/>
  <c r="H76" i="20"/>
  <c r="D30" i="36" s="1"/>
  <c r="H46" i="20"/>
  <c r="I112" i="20"/>
  <c r="H76" i="27"/>
  <c r="H77" i="27" s="1"/>
  <c r="M47" i="36" l="1"/>
  <c r="L55" i="36"/>
  <c r="L56" i="36"/>
  <c r="R38" i="30"/>
  <c r="T21" i="20"/>
  <c r="K29" i="20"/>
  <c r="G48" i="36" s="1"/>
  <c r="I30" i="20"/>
  <c r="H50" i="20"/>
  <c r="H77" i="20"/>
  <c r="D31" i="36" s="1"/>
  <c r="J29" i="27"/>
  <c r="S21" i="27"/>
  <c r="J87" i="20"/>
  <c r="K48" i="20"/>
  <c r="G7" i="36" s="1"/>
  <c r="T29" i="30"/>
  <c r="S21" i="30"/>
  <c r="J29" i="30"/>
  <c r="J29" i="20"/>
  <c r="F48" i="36" s="1"/>
  <c r="M32" i="36" s="1"/>
  <c r="S21" i="20"/>
  <c r="H50" i="27"/>
  <c r="H59" i="27" s="1"/>
  <c r="L77" i="27" s="1"/>
  <c r="I30" i="27"/>
  <c r="K48" i="27"/>
  <c r="K87" i="27" s="1"/>
  <c r="J87" i="27"/>
  <c r="J87" i="30"/>
  <c r="K48" i="30"/>
  <c r="K87" i="30" s="1"/>
  <c r="T29" i="27"/>
  <c r="H110" i="30"/>
  <c r="K25" i="36" s="1"/>
  <c r="M7" i="36" l="1"/>
  <c r="I136" i="6"/>
  <c r="E49" i="36"/>
  <c r="N32" i="36"/>
  <c r="N47" i="36"/>
  <c r="R30" i="27"/>
  <c r="I94" i="27"/>
  <c r="I105" i="27" s="1"/>
  <c r="I108" i="27" s="1"/>
  <c r="I38" i="27"/>
  <c r="S29" i="20"/>
  <c r="S29" i="27"/>
  <c r="H59" i="20"/>
  <c r="T29" i="20"/>
  <c r="S29" i="30"/>
  <c r="K87" i="20"/>
  <c r="I94" i="20"/>
  <c r="I105" i="20" s="1"/>
  <c r="I108" i="20" s="1"/>
  <c r="R30" i="20"/>
  <c r="I143" i="6"/>
  <c r="I38" i="20"/>
  <c r="E51" i="36" s="1"/>
  <c r="H113" i="30"/>
  <c r="I112" i="30" s="1"/>
  <c r="L26" i="36" l="1"/>
  <c r="N7" i="36"/>
  <c r="L77" i="20"/>
  <c r="D16" i="36"/>
  <c r="D9" i="36"/>
  <c r="K27" i="36"/>
  <c r="R38" i="20"/>
  <c r="I144" i="6"/>
  <c r="I146" i="6" s="1"/>
  <c r="R38" i="27"/>
  <c r="I147" i="6" l="1"/>
  <c r="I150" i="6" s="1"/>
  <c r="I39" i="27"/>
  <c r="I39" i="20"/>
  <c r="E52" i="36" s="1"/>
  <c r="I39" i="30"/>
  <c r="E54" i="36" l="1"/>
  <c r="I152" i="6"/>
  <c r="R39" i="30"/>
  <c r="R39" i="20"/>
  <c r="R39" i="27"/>
  <c r="I41" i="27"/>
  <c r="R41" i="27" s="1"/>
  <c r="I41" i="20"/>
  <c r="E53" i="36" s="1"/>
  <c r="I41" i="30"/>
  <c r="R41" i="30" s="1"/>
  <c r="I148" i="6"/>
  <c r="F25" i="7" l="1"/>
  <c r="F26" i="7" s="1"/>
  <c r="L53" i="36" s="1"/>
  <c r="L49" i="36"/>
  <c r="L49" i="28"/>
  <c r="R41" i="20"/>
  <c r="I43" i="27"/>
  <c r="I43" i="20"/>
  <c r="I43" i="30"/>
  <c r="F37" i="7" l="1"/>
  <c r="L36" i="36"/>
  <c r="I81" i="30"/>
  <c r="F36" i="7"/>
  <c r="F38" i="7"/>
  <c r="R43" i="20"/>
  <c r="I81" i="20"/>
  <c r="L4" i="36" s="1"/>
  <c r="R43" i="30"/>
  <c r="I81" i="27"/>
  <c r="R43" i="27"/>
  <c r="I95" i="27" l="1"/>
  <c r="I110" i="27" s="1"/>
  <c r="I113" i="27" s="1"/>
  <c r="I72" i="27"/>
  <c r="I95" i="30"/>
  <c r="I95" i="20"/>
  <c r="I110" i="20" s="1"/>
  <c r="I113" i="20" s="1"/>
  <c r="I72" i="20"/>
  <c r="E27" i="36" s="1"/>
  <c r="I110" i="30" l="1"/>
  <c r="I46" i="30" s="1"/>
  <c r="L14" i="36"/>
  <c r="I76" i="20"/>
  <c r="E30" i="36" s="1"/>
  <c r="I76" i="27"/>
  <c r="I77" i="27" s="1"/>
  <c r="I46" i="20"/>
  <c r="J112" i="20"/>
  <c r="I76" i="30"/>
  <c r="I46" i="27"/>
  <c r="J112" i="27"/>
  <c r="L37" i="36" l="1"/>
  <c r="L41" i="36"/>
  <c r="L51" i="36"/>
  <c r="I113" i="30"/>
  <c r="L25" i="36"/>
  <c r="I50" i="27"/>
  <c r="I59" i="27" s="1"/>
  <c r="J30" i="27"/>
  <c r="I77" i="30"/>
  <c r="I50" i="20"/>
  <c r="J30" i="20"/>
  <c r="F49" i="36" s="1"/>
  <c r="I77" i="20"/>
  <c r="E31" i="36" l="1"/>
  <c r="L27" i="36"/>
  <c r="E5" i="36"/>
  <c r="J112" i="30"/>
  <c r="M26" i="36" s="1"/>
  <c r="J94" i="20"/>
  <c r="J105" i="20" s="1"/>
  <c r="J108" i="20" s="1"/>
  <c r="S30" i="20"/>
  <c r="T30" i="20" s="1"/>
  <c r="U30" i="20" s="1"/>
  <c r="J136" i="6"/>
  <c r="J143" i="6" s="1"/>
  <c r="J38" i="20"/>
  <c r="F51" i="36" s="1"/>
  <c r="I59" i="20"/>
  <c r="S30" i="27"/>
  <c r="T30" i="27" s="1"/>
  <c r="U30" i="27" s="1"/>
  <c r="J94" i="27"/>
  <c r="J105" i="27" s="1"/>
  <c r="J108" i="27" s="1"/>
  <c r="J38" i="27"/>
  <c r="E9" i="36" l="1"/>
  <c r="E16" i="36"/>
  <c r="S38" i="20"/>
  <c r="J30" i="30"/>
  <c r="J94" i="30" s="1"/>
  <c r="I50" i="30"/>
  <c r="S38" i="27"/>
  <c r="J144" i="6"/>
  <c r="J146" i="6" s="1"/>
  <c r="L43" i="36" l="1"/>
  <c r="E4" i="36"/>
  <c r="L42" i="36"/>
  <c r="J147" i="6"/>
  <c r="I59" i="30"/>
  <c r="I79" i="30" s="1"/>
  <c r="J39" i="30"/>
  <c r="J39" i="20"/>
  <c r="F52" i="36" s="1"/>
  <c r="J39" i="27"/>
  <c r="M13" i="36"/>
  <c r="S30" i="30"/>
  <c r="T30" i="30" s="1"/>
  <c r="U30" i="30" s="1"/>
  <c r="J38" i="30"/>
  <c r="L45" i="36" l="1"/>
  <c r="L40" i="36"/>
  <c r="L38" i="36"/>
  <c r="M56" i="36"/>
  <c r="M55" i="36"/>
  <c r="S39" i="27"/>
  <c r="S39" i="20"/>
  <c r="S39" i="30"/>
  <c r="J41" i="27"/>
  <c r="S41" i="27" s="1"/>
  <c r="J148" i="6"/>
  <c r="J41" i="20"/>
  <c r="F53" i="36" s="1"/>
  <c r="J41" i="30"/>
  <c r="S41" i="30" s="1"/>
  <c r="S38" i="30"/>
  <c r="J105" i="30"/>
  <c r="M21" i="36" s="1"/>
  <c r="J150" i="6"/>
  <c r="F54" i="36" s="1"/>
  <c r="J152" i="6" l="1"/>
  <c r="M49" i="28" s="1"/>
  <c r="J43" i="30"/>
  <c r="S41" i="20"/>
  <c r="T39" i="30"/>
  <c r="U39" i="30" s="1"/>
  <c r="J43" i="20"/>
  <c r="T39" i="20"/>
  <c r="U39" i="20" s="1"/>
  <c r="J43" i="27"/>
  <c r="J108" i="30"/>
  <c r="T41" i="30"/>
  <c r="U41" i="30" s="1"/>
  <c r="T41" i="27"/>
  <c r="U41" i="27" s="1"/>
  <c r="T39" i="27"/>
  <c r="U39" i="27" s="1"/>
  <c r="G25" i="7" l="1"/>
  <c r="G36" i="7" s="1"/>
  <c r="M49" i="36"/>
  <c r="M23" i="36"/>
  <c r="S43" i="30"/>
  <c r="M36" i="36"/>
  <c r="J81" i="30"/>
  <c r="J81" i="27"/>
  <c r="S43" i="27"/>
  <c r="J81" i="20"/>
  <c r="M4" i="36" s="1"/>
  <c r="S43" i="20"/>
  <c r="T41" i="20"/>
  <c r="U41" i="20" s="1"/>
  <c r="G26" i="7" l="1"/>
  <c r="M53" i="36" s="1"/>
  <c r="G37" i="7"/>
  <c r="G38" i="7"/>
  <c r="J95" i="30"/>
  <c r="M14" i="36" s="1"/>
  <c r="J72" i="30"/>
  <c r="J76" i="30" s="1"/>
  <c r="J95" i="20"/>
  <c r="J110" i="20" s="1"/>
  <c r="J113" i="20" s="1"/>
  <c r="J72" i="20"/>
  <c r="F27" i="36" s="1"/>
  <c r="J95" i="27"/>
  <c r="J110" i="27" s="1"/>
  <c r="J113" i="27" s="1"/>
  <c r="J72" i="27"/>
  <c r="J110" i="30" l="1"/>
  <c r="M51" i="36"/>
  <c r="M41" i="36"/>
  <c r="M37" i="36"/>
  <c r="J76" i="27"/>
  <c r="J77" i="27" s="1"/>
  <c r="K112" i="27"/>
  <c r="J46" i="27"/>
  <c r="J76" i="20"/>
  <c r="F30" i="36" s="1"/>
  <c r="K112" i="20"/>
  <c r="J46" i="20"/>
  <c r="K30" i="20" s="1"/>
  <c r="G49" i="36" s="1"/>
  <c r="J77" i="30"/>
  <c r="M25" i="36" l="1"/>
  <c r="J46" i="30"/>
  <c r="J113" i="30"/>
  <c r="M27" i="36" s="1"/>
  <c r="J50" i="20"/>
  <c r="J77" i="20"/>
  <c r="J50" i="27"/>
  <c r="J59" i="27" s="1"/>
  <c r="K30" i="27"/>
  <c r="K112" i="30" l="1"/>
  <c r="N26" i="36" s="1"/>
  <c r="F5" i="36"/>
  <c r="F31" i="36"/>
  <c r="K94" i="20"/>
  <c r="K105" i="20" s="1"/>
  <c r="K108" i="20" s="1"/>
  <c r="K136" i="6"/>
  <c r="K143" i="6" s="1"/>
  <c r="K38" i="20"/>
  <c r="G51" i="36" s="1"/>
  <c r="K94" i="27"/>
  <c r="K105" i="27" s="1"/>
  <c r="K108" i="27" s="1"/>
  <c r="K38" i="27"/>
  <c r="J59" i="20"/>
  <c r="K30" i="30" l="1"/>
  <c r="K94" i="30" s="1"/>
  <c r="N13" i="36" s="1"/>
  <c r="J50" i="30"/>
  <c r="M42" i="36" s="1"/>
  <c r="F16" i="36"/>
  <c r="F9" i="36"/>
  <c r="T38" i="27"/>
  <c r="T38" i="20"/>
  <c r="K144" i="6"/>
  <c r="K146" i="6" s="1"/>
  <c r="K38" i="30" l="1"/>
  <c r="N55" i="36" s="1"/>
  <c r="J59" i="30"/>
  <c r="J79" i="30" s="1"/>
  <c r="F4" i="36"/>
  <c r="M43" i="36"/>
  <c r="K39" i="20"/>
  <c r="G52" i="36" s="1"/>
  <c r="K39" i="27"/>
  <c r="K39" i="30"/>
  <c r="K105" i="30"/>
  <c r="N21" i="36" s="1"/>
  <c r="T38" i="30" l="1"/>
  <c r="N56" i="36"/>
  <c r="M38" i="36"/>
  <c r="M45" i="36"/>
  <c r="M40" i="36"/>
  <c r="K147" i="6"/>
  <c r="K150" i="6" s="1"/>
  <c r="K108" i="30"/>
  <c r="G54" i="36" l="1"/>
  <c r="N23" i="36"/>
  <c r="K152" i="6"/>
  <c r="K41" i="20"/>
  <c r="G53" i="36" s="1"/>
  <c r="K148" i="6"/>
  <c r="K41" i="30"/>
  <c r="K43" i="30" s="1"/>
  <c r="N36" i="36" s="1"/>
  <c r="K41" i="27"/>
  <c r="K43" i="27" s="1"/>
  <c r="H25" i="7" l="1"/>
  <c r="H30" i="7" s="1"/>
  <c r="H31" i="7" s="1"/>
  <c r="G31" i="7" s="1"/>
  <c r="F31" i="7" s="1"/>
  <c r="N49" i="36"/>
  <c r="N49" i="28"/>
  <c r="K81" i="27"/>
  <c r="T43" i="27"/>
  <c r="K81" i="30"/>
  <c r="T43" i="30"/>
  <c r="K43" i="20"/>
  <c r="H38" i="7" l="1"/>
  <c r="H26" i="7"/>
  <c r="N53" i="36" s="1"/>
  <c r="G29" i="7"/>
  <c r="F29" i="7"/>
  <c r="H37" i="7"/>
  <c r="H36" i="7"/>
  <c r="G30" i="7"/>
  <c r="F30" i="7" s="1"/>
  <c r="T43" i="20"/>
  <c r="K81" i="20"/>
  <c r="N4" i="36" s="1"/>
  <c r="K95" i="30"/>
  <c r="N14" i="36" s="1"/>
  <c r="K72" i="30"/>
  <c r="K76" i="30" s="1"/>
  <c r="K95" i="27"/>
  <c r="K110" i="27" s="1"/>
  <c r="K113" i="27" s="1"/>
  <c r="K46" i="27" s="1"/>
  <c r="K50" i="27" s="1"/>
  <c r="K59" i="27" s="1"/>
  <c r="K72" i="27"/>
  <c r="K76" i="27" s="1"/>
  <c r="K77" i="27" s="1"/>
  <c r="N41" i="36" l="1"/>
  <c r="N51" i="36"/>
  <c r="N37" i="36"/>
  <c r="E30" i="7"/>
  <c r="D30" i="7" s="1"/>
  <c r="K77" i="30"/>
  <c r="K110" i="30"/>
  <c r="K95" i="20"/>
  <c r="K110" i="20" s="1"/>
  <c r="K113" i="20" s="1"/>
  <c r="K46" i="20" s="1"/>
  <c r="K72" i="20"/>
  <c r="G27" i="36" s="1"/>
  <c r="H32" i="7"/>
  <c r="N25" i="36" l="1"/>
  <c r="K46" i="30"/>
  <c r="K76" i="20"/>
  <c r="G30" i="36" s="1"/>
  <c r="G32" i="7"/>
  <c r="K50" i="20"/>
  <c r="K113" i="30"/>
  <c r="N27" i="36" s="1"/>
  <c r="K59" i="20" l="1"/>
  <c r="E31" i="7"/>
  <c r="F32" i="7"/>
  <c r="K77" i="20"/>
  <c r="G31" i="36" l="1"/>
  <c r="G16" i="36"/>
  <c r="G9" i="36"/>
  <c r="K50" i="30"/>
  <c r="K59" i="30" s="1"/>
  <c r="K79" i="30" s="1"/>
  <c r="G5" i="36"/>
  <c r="E29" i="7"/>
  <c r="D31" i="7"/>
  <c r="E32" i="7"/>
  <c r="N40" i="36" l="1"/>
  <c r="N45" i="36"/>
  <c r="N38" i="36"/>
  <c r="N43" i="36"/>
  <c r="G4" i="36"/>
  <c r="N42" i="36"/>
  <c r="H14" i="14" l="1"/>
  <c r="H13" i="14" s="1"/>
  <c r="H11" i="14" s="1"/>
  <c r="H8" i="6" l="1"/>
  <c r="D39" i="26" s="1"/>
  <c r="D38" i="26" s="1"/>
  <c r="H42" i="14"/>
  <c r="H46" i="14" l="1"/>
  <c r="H47" i="14" s="1"/>
  <c r="H44" i="14"/>
  <c r="I15" i="24"/>
  <c r="I15" i="15"/>
  <c r="I15" i="25"/>
  <c r="H7" i="6"/>
  <c r="H9" i="6" l="1"/>
  <c r="I15" i="10"/>
  <c r="I14" i="10" s="1"/>
  <c r="H41" i="6"/>
  <c r="I14" i="25"/>
  <c r="S15" i="25"/>
  <c r="I14" i="15"/>
  <c r="S15" i="15"/>
  <c r="I14" i="24"/>
  <c r="S15" i="24"/>
  <c r="H10" i="6" l="1"/>
  <c r="E11" i="7" s="1"/>
  <c r="D42" i="26"/>
  <c r="I21" i="25"/>
  <c r="I111" i="25"/>
  <c r="I119" i="25"/>
  <c r="J119" i="25"/>
  <c r="S14" i="25"/>
  <c r="J44" i="25"/>
  <c r="J119" i="24"/>
  <c r="I111" i="24"/>
  <c r="S14" i="24"/>
  <c r="I119" i="24"/>
  <c r="I44" i="24"/>
  <c r="I21" i="24"/>
  <c r="I111" i="15"/>
  <c r="J119" i="15"/>
  <c r="I21" i="15"/>
  <c r="I44" i="15"/>
  <c r="J44" i="15" s="1"/>
  <c r="I119" i="15"/>
  <c r="S14" i="15"/>
  <c r="H18" i="6"/>
  <c r="E12" i="7" s="1"/>
  <c r="H42" i="6"/>
  <c r="L34" i="26" s="1"/>
  <c r="H25" i="6"/>
  <c r="E13" i="7" s="1"/>
  <c r="H47" i="6"/>
  <c r="I21" i="10"/>
  <c r="J119" i="10"/>
  <c r="I119" i="10"/>
  <c r="S14" i="10"/>
  <c r="I111" i="10"/>
  <c r="I44" i="10"/>
  <c r="E7" i="26" l="1"/>
  <c r="K44" i="25"/>
  <c r="M46" i="26"/>
  <c r="J44" i="10"/>
  <c r="I81" i="10"/>
  <c r="I29" i="10"/>
  <c r="I112" i="10"/>
  <c r="J120" i="10"/>
  <c r="S21" i="10"/>
  <c r="I120" i="10"/>
  <c r="H6" i="12"/>
  <c r="H48" i="6"/>
  <c r="H56" i="6"/>
  <c r="I29" i="15"/>
  <c r="J120" i="15"/>
  <c r="I112" i="15"/>
  <c r="I120" i="15"/>
  <c r="S21" i="15"/>
  <c r="I29" i="24"/>
  <c r="J120" i="24"/>
  <c r="S21" i="24"/>
  <c r="I120" i="24"/>
  <c r="I112" i="24"/>
  <c r="I81" i="24"/>
  <c r="J44" i="24"/>
  <c r="H26" i="12"/>
  <c r="I81" i="15"/>
  <c r="J81" i="25"/>
  <c r="I29" i="25"/>
  <c r="J120" i="25"/>
  <c r="S21" i="25"/>
  <c r="I112" i="25"/>
  <c r="I120" i="25"/>
  <c r="M7" i="26" l="1"/>
  <c r="L31" i="26"/>
  <c r="D46" i="26"/>
  <c r="M31" i="26"/>
  <c r="N46" i="26"/>
  <c r="F7" i="26"/>
  <c r="I34" i="25"/>
  <c r="J122" i="25"/>
  <c r="I122" i="25"/>
  <c r="I114" i="25"/>
  <c r="S29" i="25"/>
  <c r="J81" i="15"/>
  <c r="K44" i="15"/>
  <c r="I34" i="24"/>
  <c r="J122" i="24"/>
  <c r="I122" i="24"/>
  <c r="S29" i="24"/>
  <c r="I114" i="24"/>
  <c r="I34" i="15"/>
  <c r="J122" i="15"/>
  <c r="I114" i="15"/>
  <c r="I122" i="15"/>
  <c r="S29" i="15"/>
  <c r="L44" i="25"/>
  <c r="K81" i="25"/>
  <c r="K44" i="24"/>
  <c r="J81" i="24"/>
  <c r="H58" i="6"/>
  <c r="H59" i="6"/>
  <c r="I34" i="10"/>
  <c r="I114" i="10"/>
  <c r="S29" i="10"/>
  <c r="J122" i="10"/>
  <c r="I122" i="10"/>
  <c r="I26" i="12"/>
  <c r="J81" i="10"/>
  <c r="K44" i="10"/>
  <c r="L54" i="26" l="1"/>
  <c r="D49" i="26"/>
  <c r="I39" i="25"/>
  <c r="L55" i="26"/>
  <c r="L81" i="25"/>
  <c r="O7" i="26" s="1"/>
  <c r="O46" i="26"/>
  <c r="G7" i="26"/>
  <c r="N7" i="26"/>
  <c r="L44" i="10"/>
  <c r="L81" i="10" s="1"/>
  <c r="L89" i="10" s="1"/>
  <c r="L103" i="10" s="1"/>
  <c r="K81" i="10"/>
  <c r="K89" i="10" s="1"/>
  <c r="K103" i="10" s="1"/>
  <c r="H8" i="12"/>
  <c r="J124" i="10"/>
  <c r="S34" i="10"/>
  <c r="I115" i="10"/>
  <c r="I124" i="10"/>
  <c r="H22" i="12"/>
  <c r="H7" i="12"/>
  <c r="I39" i="10"/>
  <c r="H62" i="6"/>
  <c r="H61" i="6"/>
  <c r="I61" i="6" s="1"/>
  <c r="I60" i="6" s="1"/>
  <c r="I62" i="6" s="1"/>
  <c r="I65" i="6" s="1"/>
  <c r="K81" i="24"/>
  <c r="L44" i="24"/>
  <c r="L81" i="24" s="1"/>
  <c r="L89" i="24" s="1"/>
  <c r="L103" i="24" s="1"/>
  <c r="I115" i="15"/>
  <c r="S35" i="15"/>
  <c r="I124" i="15"/>
  <c r="J124" i="15"/>
  <c r="I39" i="15"/>
  <c r="I115" i="24"/>
  <c r="J124" i="24"/>
  <c r="S35" i="24"/>
  <c r="I124" i="24"/>
  <c r="I39" i="24"/>
  <c r="K81" i="15"/>
  <c r="L44" i="15"/>
  <c r="L81" i="15" s="1"/>
  <c r="S35" i="25"/>
  <c r="I124" i="25"/>
  <c r="J124" i="25"/>
  <c r="I115" i="25"/>
  <c r="J37" i="25" l="1"/>
  <c r="H65" i="6"/>
  <c r="K134" i="25" s="1"/>
  <c r="D52" i="26"/>
  <c r="L35" i="26"/>
  <c r="L32" i="26"/>
  <c r="I129" i="10"/>
  <c r="I75" i="10"/>
  <c r="I127" i="10"/>
  <c r="I116" i="10"/>
  <c r="S39" i="10"/>
  <c r="I136" i="25"/>
  <c r="I116" i="25"/>
  <c r="I127" i="25"/>
  <c r="S39" i="25"/>
  <c r="I129" i="25"/>
  <c r="I75" i="25"/>
  <c r="I75" i="24"/>
  <c r="I129" i="24"/>
  <c r="S39" i="24"/>
  <c r="I116" i="24"/>
  <c r="I127" i="24"/>
  <c r="I129" i="15"/>
  <c r="I116" i="15"/>
  <c r="S39" i="15"/>
  <c r="I75" i="15"/>
  <c r="I127" i="15"/>
  <c r="E3" i="7" l="1"/>
  <c r="E15" i="7" s="1"/>
  <c r="I89" i="25"/>
  <c r="H66" i="6" s="1"/>
  <c r="H68" i="6" s="1"/>
  <c r="L37" i="26"/>
  <c r="L36" i="26"/>
  <c r="L4" i="26"/>
  <c r="E52" i="26"/>
  <c r="M48" i="26"/>
  <c r="E51" i="26"/>
  <c r="J39" i="25"/>
  <c r="I132" i="24"/>
  <c r="I128" i="24"/>
  <c r="I68" i="15"/>
  <c r="I89" i="15"/>
  <c r="I103" i="15" s="1"/>
  <c r="I106" i="15" s="1"/>
  <c r="J105" i="15" s="1"/>
  <c r="I128" i="15"/>
  <c r="I132" i="15"/>
  <c r="I68" i="24"/>
  <c r="I89" i="24"/>
  <c r="I103" i="24" s="1"/>
  <c r="I106" i="24" s="1"/>
  <c r="I128" i="25"/>
  <c r="I132" i="25"/>
  <c r="I68" i="10"/>
  <c r="I89" i="10"/>
  <c r="I128" i="10"/>
  <c r="I132" i="10"/>
  <c r="J37" i="15"/>
  <c r="J37" i="10"/>
  <c r="J37" i="24"/>
  <c r="J61" i="6"/>
  <c r="J60" i="6" s="1"/>
  <c r="E17" i="7" l="1"/>
  <c r="E16" i="7"/>
  <c r="E4" i="7"/>
  <c r="L14" i="26"/>
  <c r="L49" i="26" s="1"/>
  <c r="I103" i="25"/>
  <c r="I106" i="25" s="1"/>
  <c r="J105" i="25" s="1"/>
  <c r="M25" i="26" s="1"/>
  <c r="M35" i="26"/>
  <c r="M32" i="26"/>
  <c r="J62" i="6"/>
  <c r="K37" i="25"/>
  <c r="K37" i="24"/>
  <c r="K39" i="24" s="1"/>
  <c r="K75" i="24" s="1"/>
  <c r="K89" i="24" s="1"/>
  <c r="K103" i="24" s="1"/>
  <c r="K37" i="15"/>
  <c r="K39" i="15" s="1"/>
  <c r="K75" i="15" s="1"/>
  <c r="K89" i="15" s="1"/>
  <c r="K103" i="15" s="1"/>
  <c r="J126" i="15"/>
  <c r="J39" i="15"/>
  <c r="J126" i="25"/>
  <c r="I71" i="24"/>
  <c r="K61" i="6"/>
  <c r="K60" i="6" s="1"/>
  <c r="K62" i="6" s="1"/>
  <c r="J126" i="24"/>
  <c r="J39" i="24"/>
  <c r="J126" i="10"/>
  <c r="J39" i="10"/>
  <c r="F3" i="7"/>
  <c r="L134" i="25"/>
  <c r="H12" i="12"/>
  <c r="I103" i="10"/>
  <c r="I106" i="10" s="1"/>
  <c r="H31" i="12"/>
  <c r="I71" i="10"/>
  <c r="I42" i="24"/>
  <c r="I46" i="24" s="1"/>
  <c r="I55" i="24" s="1"/>
  <c r="J105" i="24"/>
  <c r="I42" i="15"/>
  <c r="I46" i="15" s="1"/>
  <c r="I55" i="15" s="1"/>
  <c r="I71" i="15"/>
  <c r="L26" i="26" l="1"/>
  <c r="L24" i="26"/>
  <c r="K65" i="6"/>
  <c r="O48" i="26" s="1"/>
  <c r="G52" i="26"/>
  <c r="K39" i="25"/>
  <c r="N35" i="26" s="1"/>
  <c r="F51" i="26"/>
  <c r="F16" i="7"/>
  <c r="F15" i="7"/>
  <c r="J65" i="6"/>
  <c r="F52" i="26"/>
  <c r="F4" i="7"/>
  <c r="M52" i="26" s="1"/>
  <c r="F18" i="7"/>
  <c r="L37" i="25"/>
  <c r="L37" i="15"/>
  <c r="L39" i="15" s="1"/>
  <c r="L75" i="15" s="1"/>
  <c r="L89" i="15" s="1"/>
  <c r="L103" i="15" s="1"/>
  <c r="I72" i="15"/>
  <c r="I73" i="15" s="1"/>
  <c r="I134" i="15"/>
  <c r="I72" i="10"/>
  <c r="H20" i="12"/>
  <c r="C12" i="13"/>
  <c r="H17" i="12"/>
  <c r="I134" i="10"/>
  <c r="H4" i="12"/>
  <c r="J75" i="10"/>
  <c r="J129" i="10"/>
  <c r="J116" i="10"/>
  <c r="J127" i="10"/>
  <c r="T39" i="10"/>
  <c r="J129" i="24"/>
  <c r="J116" i="24"/>
  <c r="T39" i="24"/>
  <c r="J75" i="24"/>
  <c r="J127" i="24"/>
  <c r="J105" i="10"/>
  <c r="I42" i="10"/>
  <c r="F17" i="7"/>
  <c r="I72" i="24"/>
  <c r="I73" i="24" s="1"/>
  <c r="I134" i="24"/>
  <c r="J116" i="25"/>
  <c r="J75" i="25"/>
  <c r="T39" i="25"/>
  <c r="J127" i="25"/>
  <c r="J129" i="25"/>
  <c r="J129" i="15"/>
  <c r="J116" i="15"/>
  <c r="J127" i="15"/>
  <c r="T39" i="15"/>
  <c r="J75" i="15"/>
  <c r="J89" i="15" s="1"/>
  <c r="J103" i="15" s="1"/>
  <c r="J106" i="15" s="1"/>
  <c r="U39" i="25" l="1"/>
  <c r="K75" i="25"/>
  <c r="N4" i="26" s="1"/>
  <c r="J68" i="25"/>
  <c r="E27" i="26" s="1"/>
  <c r="J89" i="25"/>
  <c r="M14" i="26" s="1"/>
  <c r="M49" i="26" s="1"/>
  <c r="N32" i="26"/>
  <c r="H3" i="7"/>
  <c r="H8" i="7" s="1"/>
  <c r="H9" i="7" s="1"/>
  <c r="I9" i="7" s="1"/>
  <c r="L39" i="25"/>
  <c r="L75" i="25" s="1"/>
  <c r="G51" i="26"/>
  <c r="J138" i="25"/>
  <c r="G3" i="7"/>
  <c r="N48" i="26"/>
  <c r="M4" i="26"/>
  <c r="J42" i="15"/>
  <c r="J46" i="15" s="1"/>
  <c r="K105" i="15"/>
  <c r="K106" i="15" s="1"/>
  <c r="K42" i="15" s="1"/>
  <c r="J128" i="15"/>
  <c r="J132" i="15"/>
  <c r="J89" i="24"/>
  <c r="J103" i="24" s="1"/>
  <c r="J106" i="24" s="1"/>
  <c r="J68" i="24"/>
  <c r="J132" i="24"/>
  <c r="J128" i="24"/>
  <c r="J128" i="10"/>
  <c r="J132" i="10"/>
  <c r="J68" i="15"/>
  <c r="J132" i="25"/>
  <c r="J128" i="25"/>
  <c r="I46" i="10"/>
  <c r="I55" i="10" s="1"/>
  <c r="I73" i="10" s="1"/>
  <c r="H18" i="12"/>
  <c r="H21" i="12"/>
  <c r="J89" i="10"/>
  <c r="J68" i="10"/>
  <c r="K89" i="25" l="1"/>
  <c r="J66" i="6" s="1"/>
  <c r="J68" i="6" s="1"/>
  <c r="H18" i="7"/>
  <c r="H15" i="7"/>
  <c r="H4" i="7"/>
  <c r="L138" i="25" s="1"/>
  <c r="H17" i="7"/>
  <c r="H16" i="7"/>
  <c r="K68" i="25"/>
  <c r="L68" i="25" s="1"/>
  <c r="V39" i="25"/>
  <c r="O35" i="26"/>
  <c r="O32" i="26"/>
  <c r="G4" i="7"/>
  <c r="G17" i="7"/>
  <c r="G15" i="7"/>
  <c r="G18" i="7"/>
  <c r="G16" i="7"/>
  <c r="L89" i="25"/>
  <c r="K66" i="6" s="1"/>
  <c r="K68" i="6" s="1"/>
  <c r="O4" i="26"/>
  <c r="J71" i="10"/>
  <c r="K68" i="10"/>
  <c r="J103" i="10"/>
  <c r="J106" i="10" s="1"/>
  <c r="I12" i="12"/>
  <c r="I31" i="12"/>
  <c r="H25" i="12"/>
  <c r="H5" i="12"/>
  <c r="J103" i="25"/>
  <c r="I66" i="6"/>
  <c r="I68" i="6" s="1"/>
  <c r="J71" i="25"/>
  <c r="K68" i="15"/>
  <c r="J71" i="15"/>
  <c r="J55" i="15"/>
  <c r="G8" i="7"/>
  <c r="F8" i="7" s="1"/>
  <c r="E8" i="7" s="1"/>
  <c r="D8" i="7" s="1"/>
  <c r="G9" i="7"/>
  <c r="J71" i="24"/>
  <c r="K68" i="24"/>
  <c r="K105" i="24"/>
  <c r="K106" i="24" s="1"/>
  <c r="J42" i="24"/>
  <c r="J46" i="24" s="1"/>
  <c r="J55" i="24" s="1"/>
  <c r="N14" i="26" l="1"/>
  <c r="N49" i="26" s="1"/>
  <c r="K103" i="25"/>
  <c r="N24" i="26" s="1"/>
  <c r="O52" i="26"/>
  <c r="F27" i="26"/>
  <c r="F9" i="7"/>
  <c r="F7" i="7" s="1"/>
  <c r="O14" i="26"/>
  <c r="O49" i="26" s="1"/>
  <c r="L103" i="25"/>
  <c r="O24" i="26" s="1"/>
  <c r="K138" i="25"/>
  <c r="N52" i="26"/>
  <c r="M50" i="26"/>
  <c r="E30" i="26"/>
  <c r="M40" i="26"/>
  <c r="M36" i="26"/>
  <c r="J106" i="25"/>
  <c r="J42" i="25" s="1"/>
  <c r="M24" i="26"/>
  <c r="G7" i="7"/>
  <c r="L105" i="24"/>
  <c r="L106" i="24" s="1"/>
  <c r="L42" i="24" s="1"/>
  <c r="L46" i="24" s="1"/>
  <c r="L55" i="24" s="1"/>
  <c r="K42" i="24"/>
  <c r="K46" i="24" s="1"/>
  <c r="K55" i="24" s="1"/>
  <c r="J72" i="24"/>
  <c r="J73" i="24" s="1"/>
  <c r="J134" i="24"/>
  <c r="H10" i="7"/>
  <c r="L105" i="15"/>
  <c r="L106" i="15" s="1"/>
  <c r="L42" i="15" s="1"/>
  <c r="L46" i="15" s="1"/>
  <c r="L55" i="15" s="1"/>
  <c r="K46" i="15"/>
  <c r="K55" i="15" s="1"/>
  <c r="K71" i="24"/>
  <c r="K72" i="24" s="1"/>
  <c r="L68" i="24"/>
  <c r="L71" i="24" s="1"/>
  <c r="L72" i="24" s="1"/>
  <c r="J72" i="15"/>
  <c r="J73" i="15" s="1"/>
  <c r="J134" i="15"/>
  <c r="K71" i="15"/>
  <c r="K72" i="15" s="1"/>
  <c r="L68" i="15"/>
  <c r="L71" i="15" s="1"/>
  <c r="L72" i="15" s="1"/>
  <c r="K71" i="25"/>
  <c r="J72" i="25"/>
  <c r="J135" i="25"/>
  <c r="J139" i="25" s="1"/>
  <c r="M53" i="26" s="1"/>
  <c r="J136" i="25"/>
  <c r="J42" i="10"/>
  <c r="K105" i="10"/>
  <c r="K106" i="10" s="1"/>
  <c r="K71" i="10"/>
  <c r="K72" i="10" s="1"/>
  <c r="L68" i="10"/>
  <c r="L71" i="10" s="1"/>
  <c r="L72" i="10" s="1"/>
  <c r="I20" i="12"/>
  <c r="J72" i="10"/>
  <c r="I17" i="12"/>
  <c r="D12" i="13"/>
  <c r="I4" i="12"/>
  <c r="J134" i="10"/>
  <c r="M26" i="26" l="1"/>
  <c r="E31" i="26"/>
  <c r="E5" i="26"/>
  <c r="K105" i="25"/>
  <c r="K106" i="25" s="1"/>
  <c r="F30" i="26"/>
  <c r="N40" i="26"/>
  <c r="N36" i="26"/>
  <c r="N50" i="26"/>
  <c r="L71" i="25"/>
  <c r="L135" i="25" s="1"/>
  <c r="L139" i="25" s="1"/>
  <c r="O53" i="26" s="1"/>
  <c r="G27" i="26"/>
  <c r="J46" i="25"/>
  <c r="J55" i="25" s="1"/>
  <c r="K73" i="15"/>
  <c r="L73" i="15"/>
  <c r="L73" i="24"/>
  <c r="K73" i="24"/>
  <c r="K72" i="25"/>
  <c r="F31" i="26" s="1"/>
  <c r="K135" i="25"/>
  <c r="K139" i="25" s="1"/>
  <c r="N53" i="26" s="1"/>
  <c r="K136" i="25"/>
  <c r="K42" i="10"/>
  <c r="K46" i="10" s="1"/>
  <c r="K55" i="10" s="1"/>
  <c r="K73" i="10" s="1"/>
  <c r="L105" i="10"/>
  <c r="L106" i="10" s="1"/>
  <c r="L42" i="10" s="1"/>
  <c r="L46" i="10" s="1"/>
  <c r="L55" i="10" s="1"/>
  <c r="L73" i="10" s="1"/>
  <c r="J46" i="10"/>
  <c r="J55" i="10" s="1"/>
  <c r="I18" i="12"/>
  <c r="I21" i="12"/>
  <c r="G10" i="7"/>
  <c r="L72" i="25" l="1"/>
  <c r="G31" i="26" s="1"/>
  <c r="L136" i="25"/>
  <c r="N26" i="26"/>
  <c r="K42" i="25"/>
  <c r="K46" i="25" s="1"/>
  <c r="N25" i="26"/>
  <c r="L105" i="25"/>
  <c r="O25" i="26" s="1"/>
  <c r="J73" i="25"/>
  <c r="M41" i="26"/>
  <c r="M42" i="26"/>
  <c r="E4" i="26"/>
  <c r="O40" i="26"/>
  <c r="G30" i="26"/>
  <c r="O50" i="26"/>
  <c r="O36" i="26"/>
  <c r="E9" i="7"/>
  <c r="F10" i="7"/>
  <c r="I25" i="12"/>
  <c r="I5" i="12"/>
  <c r="J73" i="10"/>
  <c r="F5" i="26" l="1"/>
  <c r="L106" i="25"/>
  <c r="L42" i="25" s="1"/>
  <c r="M44" i="26"/>
  <c r="M39" i="26"/>
  <c r="E16" i="26"/>
  <c r="E9" i="26" s="1"/>
  <c r="M37" i="26"/>
  <c r="K55" i="25"/>
  <c r="N42" i="26"/>
  <c r="N41" i="26"/>
  <c r="F4" i="26"/>
  <c r="J135" i="24"/>
  <c r="J135" i="15"/>
  <c r="J135" i="10"/>
  <c r="E7" i="7"/>
  <c r="D9" i="7"/>
  <c r="E10" i="7"/>
  <c r="O26" i="26" l="1"/>
  <c r="L46" i="25"/>
  <c r="G5" i="26"/>
  <c r="N39" i="26"/>
  <c r="N37" i="26"/>
  <c r="N44" i="26"/>
  <c r="F16" i="26"/>
  <c r="F9" i="26" s="1"/>
  <c r="K73" i="25"/>
  <c r="I135" i="10"/>
  <c r="I135" i="24"/>
  <c r="I135" i="15"/>
  <c r="L55" i="25" l="1"/>
  <c r="G4" i="26"/>
  <c r="O41" i="26"/>
  <c r="O42" i="26"/>
  <c r="L73" i="25" l="1"/>
  <c r="O39" i="26"/>
  <c r="G16" i="26"/>
  <c r="G9" i="26" s="1"/>
  <c r="O44" i="26"/>
  <c r="O37" i="26"/>
  <c r="CP70" i="22" l="1"/>
  <c r="J381" i="14"/>
  <c r="J382" i="14" s="1"/>
  <c r="J353" i="14"/>
  <c r="J354" i="14" s="1"/>
  <c r="CV70" i="22"/>
  <c r="CV74" i="22" s="1"/>
  <c r="J350" i="14"/>
  <c r="J351" i="14" s="1"/>
  <c r="J357" i="14"/>
  <c r="J358" i="14" s="1"/>
  <c r="J387" i="14"/>
  <c r="CO70" i="22"/>
  <c r="I378" i="14"/>
  <c r="I371" i="14" s="1"/>
  <c r="I381" i="14"/>
  <c r="I382" i="14" s="1"/>
  <c r="I353" i="14"/>
  <c r="I354" i="14" s="1"/>
  <c r="I350" i="14"/>
  <c r="I351" i="14" s="1"/>
  <c r="I359" i="14"/>
  <c r="I387" i="14"/>
  <c r="I357" i="14" l="1"/>
  <c r="I358" i="14" s="1"/>
  <c r="CQ70" i="22"/>
  <c r="K353" i="14"/>
  <c r="K354" i="14" s="1"/>
  <c r="CW70" i="22"/>
  <c r="CW74" i="22" s="1"/>
  <c r="K381" i="14"/>
  <c r="K382" i="14" s="1"/>
  <c r="K357" i="14"/>
  <c r="K358" i="14" s="1"/>
  <c r="K350" i="14"/>
  <c r="K351" i="14" s="1"/>
  <c r="K387" i="14"/>
  <c r="DG70" i="22"/>
  <c r="DH70" i="22"/>
  <c r="J346" i="14" l="1"/>
  <c r="J344" i="14" s="1"/>
  <c r="I346" i="14"/>
  <c r="I344" i="14" s="1"/>
  <c r="DI70" i="22"/>
  <c r="J345" i="14" l="1"/>
  <c r="J392" i="14" s="1"/>
  <c r="J391" i="14" s="1"/>
  <c r="J386" i="14" s="1"/>
  <c r="K346" i="14"/>
  <c r="K344" i="14" s="1"/>
  <c r="I345" i="14"/>
  <c r="I392" i="14" s="1"/>
  <c r="I391" i="14" s="1"/>
  <c r="I386" i="14" s="1"/>
  <c r="K345" i="14" l="1"/>
  <c r="K392" i="14" s="1"/>
  <c r="K391" i="14" s="1"/>
  <c r="K386" i="14" s="1"/>
  <c r="I232" i="14" l="1"/>
  <c r="I233" i="14" s="1"/>
  <c r="CO69" i="22"/>
  <c r="I238" i="14"/>
  <c r="I241" i="14"/>
  <c r="I248" i="14"/>
  <c r="I258" i="14"/>
  <c r="I259" i="14" s="1"/>
  <c r="I229" i="14"/>
  <c r="I264" i="14"/>
  <c r="I293" i="14"/>
  <c r="I294" i="14" s="1"/>
  <c r="I302" i="14"/>
  <c r="I319" i="14"/>
  <c r="I320" i="14" s="1"/>
  <c r="I309" i="14"/>
  <c r="I299" i="14"/>
  <c r="I290" i="14"/>
  <c r="I291" i="14" s="1"/>
  <c r="I325" i="14"/>
  <c r="I322" i="14"/>
  <c r="I230" i="14" l="1"/>
  <c r="DG69" i="22"/>
  <c r="I225" i="14" s="1"/>
  <c r="I223" i="14" s="1"/>
  <c r="CO74" i="22"/>
  <c r="I297" i="14"/>
  <c r="I298" i="14" s="1"/>
  <c r="I236" i="14"/>
  <c r="I237" i="14" s="1"/>
  <c r="BN66" i="22"/>
  <c r="CP68" i="22"/>
  <c r="J293" i="14"/>
  <c r="J294" i="14" s="1"/>
  <c r="J319" i="14"/>
  <c r="J320" i="14" s="1"/>
  <c r="J309" i="14"/>
  <c r="J302" i="14"/>
  <c r="J290" i="14"/>
  <c r="J291" i="14" s="1"/>
  <c r="J299" i="14"/>
  <c r="J325" i="14"/>
  <c r="J322" i="14"/>
  <c r="CO66" i="22"/>
  <c r="DG66" i="22" s="1"/>
  <c r="BM74" i="22"/>
  <c r="I408" i="14" s="1"/>
  <c r="DH69" i="22"/>
  <c r="J225" i="14" s="1"/>
  <c r="J223" i="14" s="1"/>
  <c r="J232" i="14"/>
  <c r="J233" i="14" s="1"/>
  <c r="J248" i="14"/>
  <c r="J238" i="14"/>
  <c r="J241" i="14"/>
  <c r="J258" i="14"/>
  <c r="J259" i="14" s="1"/>
  <c r="J229" i="14"/>
  <c r="J230" i="14" s="1"/>
  <c r="J264" i="14"/>
  <c r="J261" i="14"/>
  <c r="I224" i="14"/>
  <c r="I269" i="14" s="1"/>
  <c r="I268" i="14" s="1"/>
  <c r="I263" i="14" s="1"/>
  <c r="DG68" i="22"/>
  <c r="I286" i="14" s="1"/>
  <c r="I284" i="14" s="1"/>
  <c r="I285" i="14" s="1"/>
  <c r="I330" i="14" s="1"/>
  <c r="I329" i="14" s="1"/>
  <c r="I324" i="14" s="1"/>
  <c r="I228" i="14" l="1"/>
  <c r="I222" i="14" s="1"/>
  <c r="I277" i="14" s="1"/>
  <c r="DH68" i="22"/>
  <c r="J286" i="14" s="1"/>
  <c r="J284" i="14" s="1"/>
  <c r="J285" i="14" s="1"/>
  <c r="J330" i="14" s="1"/>
  <c r="J329" i="14" s="1"/>
  <c r="J324" i="14" s="1"/>
  <c r="CP74" i="22"/>
  <c r="I289" i="14"/>
  <c r="J297" i="14"/>
  <c r="J298" i="14" s="1"/>
  <c r="CQ69" i="22"/>
  <c r="DI69" i="22" s="1"/>
  <c r="K225" i="14" s="1"/>
  <c r="K223" i="14" s="1"/>
  <c r="K232" i="14"/>
  <c r="K233" i="14" s="1"/>
  <c r="K248" i="14"/>
  <c r="K238" i="14"/>
  <c r="K258" i="14"/>
  <c r="K259" i="14" s="1"/>
  <c r="K229" i="14"/>
  <c r="K230" i="14" s="1"/>
  <c r="K241" i="14"/>
  <c r="K264" i="14"/>
  <c r="K261" i="14"/>
  <c r="BO66" i="22"/>
  <c r="CQ68" i="22"/>
  <c r="K293" i="14"/>
  <c r="K294" i="14" s="1"/>
  <c r="K309" i="14"/>
  <c r="K319" i="14"/>
  <c r="K320" i="14" s="1"/>
  <c r="K299" i="14"/>
  <c r="K302" i="14"/>
  <c r="K290" i="14"/>
  <c r="K291" i="14" s="1"/>
  <c r="K325" i="14"/>
  <c r="K322" i="14"/>
  <c r="J224" i="14"/>
  <c r="J269" i="14" s="1"/>
  <c r="J268" i="14" s="1"/>
  <c r="J263" i="14" s="1"/>
  <c r="I420" i="14"/>
  <c r="I269" i="6"/>
  <c r="F7" i="29"/>
  <c r="I412" i="14"/>
  <c r="J236" i="14"/>
  <c r="J237" i="14" s="1"/>
  <c r="I409" i="14"/>
  <c r="DG74" i="22"/>
  <c r="J289" i="14"/>
  <c r="CP66" i="22"/>
  <c r="CV66" i="22"/>
  <c r="J268" i="6" s="1"/>
  <c r="BN74" i="22"/>
  <c r="J408" i="14" s="1"/>
  <c r="I283" i="14" l="1"/>
  <c r="I338" i="14" s="1"/>
  <c r="I349" i="14"/>
  <c r="I384" i="14" s="1"/>
  <c r="I385" i="14" s="1"/>
  <c r="DI68" i="22"/>
  <c r="K286" i="14" s="1"/>
  <c r="K284" i="14" s="1"/>
  <c r="K285" i="14" s="1"/>
  <c r="K330" i="14" s="1"/>
  <c r="K329" i="14" s="1"/>
  <c r="K324" i="14" s="1"/>
  <c r="CQ74" i="22"/>
  <c r="E36" i="28"/>
  <c r="F118" i="29"/>
  <c r="J283" i="14"/>
  <c r="J338" i="14" s="1"/>
  <c r="K236" i="14"/>
  <c r="K237" i="14" s="1"/>
  <c r="J409" i="14"/>
  <c r="O7" i="29"/>
  <c r="I277" i="6"/>
  <c r="F8" i="29"/>
  <c r="E37" i="28" s="1"/>
  <c r="I283" i="6"/>
  <c r="F14" i="29"/>
  <c r="E40" i="28" s="1"/>
  <c r="K297" i="14"/>
  <c r="K298" i="14" s="1"/>
  <c r="DH66" i="22"/>
  <c r="DH74" i="22" s="1"/>
  <c r="J420" i="14"/>
  <c r="J276" i="6"/>
  <c r="G7" i="29"/>
  <c r="J269" i="6"/>
  <c r="J228" i="14"/>
  <c r="J222" i="14" s="1"/>
  <c r="J277" i="14" s="1"/>
  <c r="J412" i="14"/>
  <c r="CQ66" i="22"/>
  <c r="CW66" i="22"/>
  <c r="K268" i="6" s="1"/>
  <c r="BO74" i="22"/>
  <c r="K408" i="14" s="1"/>
  <c r="K224" i="14"/>
  <c r="K269" i="14" s="1"/>
  <c r="K268" i="14" s="1"/>
  <c r="K263" i="14" s="1"/>
  <c r="F36" i="28" l="1"/>
  <c r="O8" i="29"/>
  <c r="F119" i="29"/>
  <c r="G118" i="29"/>
  <c r="J349" i="14"/>
  <c r="K412" i="14"/>
  <c r="I343" i="14"/>
  <c r="I175" i="14" s="1"/>
  <c r="I173" i="14" s="1"/>
  <c r="K289" i="14"/>
  <c r="K283" i="14" s="1"/>
  <c r="K338" i="14" s="1"/>
  <c r="K228" i="14"/>
  <c r="K222" i="14" s="1"/>
  <c r="K277" i="14" s="1"/>
  <c r="K409" i="14"/>
  <c r="DI66" i="22"/>
  <c r="DI74" i="22" s="1"/>
  <c r="J277" i="6"/>
  <c r="G8" i="29"/>
  <c r="F37" i="28" s="1"/>
  <c r="J280" i="6"/>
  <c r="J278" i="6" s="1"/>
  <c r="G14" i="29" s="1"/>
  <c r="F40" i="28" s="1"/>
  <c r="J285" i="6"/>
  <c r="M31" i="28" s="1"/>
  <c r="F10" i="29"/>
  <c r="K420" i="14"/>
  <c r="K269" i="6"/>
  <c r="K276" i="6"/>
  <c r="H7" i="29"/>
  <c r="P7" i="29"/>
  <c r="Q7" i="29" s="1"/>
  <c r="R7" i="29" s="1"/>
  <c r="F19" i="29"/>
  <c r="E43" i="28" s="1"/>
  <c r="F21" i="29"/>
  <c r="E44" i="28" s="1"/>
  <c r="I286" i="6"/>
  <c r="I274" i="6"/>
  <c r="F42" i="29" l="1"/>
  <c r="L48" i="42" s="1"/>
  <c r="E35" i="28"/>
  <c r="G36" i="28"/>
  <c r="H118" i="29"/>
  <c r="F120" i="29"/>
  <c r="F121" i="29" s="1"/>
  <c r="P8" i="29"/>
  <c r="Q8" i="29" s="1"/>
  <c r="R8" i="29" s="1"/>
  <c r="G119" i="29"/>
  <c r="F81" i="29"/>
  <c r="F53" i="29"/>
  <c r="F96" i="29"/>
  <c r="L15" i="28" s="1"/>
  <c r="O28" i="29"/>
  <c r="O20" i="29"/>
  <c r="K349" i="14"/>
  <c r="K343" i="14" s="1"/>
  <c r="K175" i="14" s="1"/>
  <c r="K173" i="14" s="1"/>
  <c r="I400" i="14"/>
  <c r="O21" i="29"/>
  <c r="G10" i="29"/>
  <c r="O19" i="29"/>
  <c r="F23" i="29"/>
  <c r="J384" i="14"/>
  <c r="J385" i="14" s="1"/>
  <c r="J343" i="14"/>
  <c r="J286" i="6"/>
  <c r="J292" i="6"/>
  <c r="G21" i="29" s="1"/>
  <c r="F44" i="28" s="1"/>
  <c r="J290" i="6"/>
  <c r="J274" i="6"/>
  <c r="I411" i="14"/>
  <c r="I270" i="6"/>
  <c r="I287" i="6" s="1"/>
  <c r="K285" i="6"/>
  <c r="K290" i="6" s="1"/>
  <c r="K280" i="6"/>
  <c r="H8" i="29"/>
  <c r="G37" i="28" s="1"/>
  <c r="K277" i="6"/>
  <c r="O10" i="29"/>
  <c r="J283" i="6"/>
  <c r="O14" i="29"/>
  <c r="L46" i="28" l="1"/>
  <c r="E16" i="28"/>
  <c r="F62" i="29"/>
  <c r="K384" i="14"/>
  <c r="K385" i="14" s="1"/>
  <c r="F79" i="29"/>
  <c r="F52" i="29" s="1"/>
  <c r="E15" i="28" s="1"/>
  <c r="F35" i="28"/>
  <c r="K278" i="6"/>
  <c r="H14" i="29" s="1"/>
  <c r="G40" i="28" s="1"/>
  <c r="K283" i="6"/>
  <c r="N31" i="28"/>
  <c r="F100" i="29"/>
  <c r="F141" i="29"/>
  <c r="F126" i="29"/>
  <c r="F127" i="29" s="1"/>
  <c r="E42" i="28"/>
  <c r="F82" i="29"/>
  <c r="L6" i="28" s="1"/>
  <c r="E6" i="28"/>
  <c r="H10" i="29"/>
  <c r="H119" i="29"/>
  <c r="G120" i="29"/>
  <c r="G121" i="29" s="1"/>
  <c r="F57" i="29"/>
  <c r="J299" i="6" s="1"/>
  <c r="G26" i="29" s="1"/>
  <c r="F58" i="29"/>
  <c r="G53" i="29"/>
  <c r="F44" i="29"/>
  <c r="F56" i="29"/>
  <c r="G81" i="29"/>
  <c r="G96" i="29"/>
  <c r="M15" i="28" s="1"/>
  <c r="G19" i="29"/>
  <c r="F43" i="28" s="1"/>
  <c r="J294" i="6"/>
  <c r="P20" i="29"/>
  <c r="P14" i="29"/>
  <c r="Q14" i="29" s="1"/>
  <c r="R14" i="29" s="1"/>
  <c r="P10" i="29"/>
  <c r="P21" i="29"/>
  <c r="Q21" i="29" s="1"/>
  <c r="R21" i="29" s="1"/>
  <c r="K400" i="14"/>
  <c r="K286" i="6"/>
  <c r="K292" i="6"/>
  <c r="H21" i="29" s="1"/>
  <c r="G44" i="28" s="1"/>
  <c r="K274" i="6"/>
  <c r="I413" i="14"/>
  <c r="I421" i="14"/>
  <c r="I422" i="14" s="1"/>
  <c r="G42" i="29"/>
  <c r="F13" i="29"/>
  <c r="I271" i="6"/>
  <c r="I288" i="6" s="1"/>
  <c r="I295" i="6" s="1"/>
  <c r="I304" i="6" s="1"/>
  <c r="J400" i="14"/>
  <c r="J175" i="14"/>
  <c r="J173" i="14" s="1"/>
  <c r="M46" i="28" l="1"/>
  <c r="M48" i="42"/>
  <c r="Q10" i="29"/>
  <c r="R10" i="29"/>
  <c r="F78" i="29"/>
  <c r="F47" i="29" s="1"/>
  <c r="E10" i="28" s="1"/>
  <c r="G35" i="28"/>
  <c r="F102" i="29"/>
  <c r="L19" i="28"/>
  <c r="G23" i="29"/>
  <c r="F42" i="28" s="1"/>
  <c r="P19" i="29"/>
  <c r="Q19" i="29" s="1"/>
  <c r="R19" i="29" s="1"/>
  <c r="K294" i="6"/>
  <c r="H96" i="29"/>
  <c r="N15" i="28" s="1"/>
  <c r="H81" i="29"/>
  <c r="H79" i="29" s="1"/>
  <c r="H78" i="29" s="1"/>
  <c r="N5" i="28" s="1"/>
  <c r="F123" i="29"/>
  <c r="E39" i="28"/>
  <c r="G100" i="29"/>
  <c r="G141" i="29"/>
  <c r="H53" i="29"/>
  <c r="G16" i="28" s="1"/>
  <c r="F16" i="28"/>
  <c r="I289" i="6"/>
  <c r="L35" i="28" s="1"/>
  <c r="I272" i="6"/>
  <c r="F85" i="29"/>
  <c r="L9" i="28" s="1"/>
  <c r="E19" i="28"/>
  <c r="G62" i="29"/>
  <c r="E24" i="28"/>
  <c r="G82" i="29"/>
  <c r="M6" i="28" s="1"/>
  <c r="F6" i="28"/>
  <c r="G91" i="29"/>
  <c r="M13" i="28" s="1"/>
  <c r="F46" i="28"/>
  <c r="F84" i="29"/>
  <c r="L8" i="28" s="1"/>
  <c r="E8" i="28"/>
  <c r="F90" i="29"/>
  <c r="E21" i="28"/>
  <c r="F104" i="29"/>
  <c r="E20" i="28"/>
  <c r="H120" i="29"/>
  <c r="H121" i="29" s="1"/>
  <c r="F50" i="29"/>
  <c r="E13" i="28" s="1"/>
  <c r="G79" i="29"/>
  <c r="G78" i="29" s="1"/>
  <c r="M5" i="28" s="1"/>
  <c r="H19" i="29"/>
  <c r="F59" i="29"/>
  <c r="J411" i="14"/>
  <c r="J270" i="6"/>
  <c r="F15" i="29"/>
  <c r="F124" i="29" s="1"/>
  <c r="O13" i="29"/>
  <c r="H42" i="29"/>
  <c r="K411" i="14"/>
  <c r="K270" i="6"/>
  <c r="K287" i="6" s="1"/>
  <c r="N46" i="28" l="1"/>
  <c r="N48" i="42"/>
  <c r="H100" i="29"/>
  <c r="H102" i="29" s="1"/>
  <c r="H141" i="29"/>
  <c r="G58" i="29"/>
  <c r="G90" i="29" s="1"/>
  <c r="G126" i="29"/>
  <c r="G127" i="29" s="1"/>
  <c r="G57" i="29"/>
  <c r="F20" i="28" s="1"/>
  <c r="G56" i="29"/>
  <c r="G44" i="29"/>
  <c r="G84" i="29" s="1"/>
  <c r="M8" i="28" s="1"/>
  <c r="L5" i="28"/>
  <c r="F109" i="29"/>
  <c r="L23" i="28" s="1"/>
  <c r="L20" i="28"/>
  <c r="G102" i="29"/>
  <c r="M19" i="28"/>
  <c r="H23" i="29"/>
  <c r="G42" i="28" s="1"/>
  <c r="G43" i="28"/>
  <c r="H82" i="29"/>
  <c r="N6" i="28" s="1"/>
  <c r="G6" i="28"/>
  <c r="G85" i="29"/>
  <c r="M9" i="28" s="1"/>
  <c r="F19" i="28"/>
  <c r="F63" i="29"/>
  <c r="E18" i="28"/>
  <c r="H62" i="29"/>
  <c r="G24" i="28" s="1"/>
  <c r="F24" i="28"/>
  <c r="G52" i="29"/>
  <c r="G50" i="29"/>
  <c r="F13" i="28" s="1"/>
  <c r="G47" i="29"/>
  <c r="J287" i="6"/>
  <c r="G13" i="29"/>
  <c r="J271" i="6"/>
  <c r="I282" i="6"/>
  <c r="F70" i="7" s="1"/>
  <c r="O15" i="29"/>
  <c r="F43" i="29"/>
  <c r="F16" i="29"/>
  <c r="J413" i="14"/>
  <c r="J421" i="14"/>
  <c r="J422" i="14" s="1"/>
  <c r="I273" i="6"/>
  <c r="F69" i="7" s="1"/>
  <c r="H13" i="29"/>
  <c r="K271" i="6"/>
  <c r="K288" i="6" s="1"/>
  <c r="K295" i="6" s="1"/>
  <c r="K413" i="14"/>
  <c r="K421" i="14"/>
  <c r="K422" i="14" s="1"/>
  <c r="K299" i="6" l="1"/>
  <c r="H26" i="29" s="1"/>
  <c r="H91" i="29" s="1"/>
  <c r="N13" i="28" s="1"/>
  <c r="G104" i="29"/>
  <c r="G109" i="29" s="1"/>
  <c r="M23" i="28" s="1"/>
  <c r="L47" i="28"/>
  <c r="L49" i="42"/>
  <c r="G59" i="29"/>
  <c r="F18" i="28" s="1"/>
  <c r="F21" i="28"/>
  <c r="N19" i="28"/>
  <c r="H56" i="29"/>
  <c r="H85" i="29" s="1"/>
  <c r="N9" i="28" s="1"/>
  <c r="H57" i="29"/>
  <c r="H58" i="29"/>
  <c r="G21" i="28" s="1"/>
  <c r="H126" i="29"/>
  <c r="H127" i="29" s="1"/>
  <c r="H44" i="29"/>
  <c r="G8" i="28" s="1"/>
  <c r="F8" i="28"/>
  <c r="H123" i="29"/>
  <c r="G39" i="28"/>
  <c r="G123" i="29"/>
  <c r="F39" i="28"/>
  <c r="E41" i="28"/>
  <c r="E38" i="28"/>
  <c r="F83" i="29"/>
  <c r="L7" i="28" s="1"/>
  <c r="E7" i="28"/>
  <c r="H104" i="29"/>
  <c r="G20" i="28"/>
  <c r="H47" i="29"/>
  <c r="G10" i="28" s="1"/>
  <c r="F10" i="28"/>
  <c r="H52" i="29"/>
  <c r="G15" i="28" s="1"/>
  <c r="F15" i="28"/>
  <c r="F137" i="29"/>
  <c r="E22" i="28"/>
  <c r="E25" i="28"/>
  <c r="H15" i="29"/>
  <c r="H124" i="29" s="1"/>
  <c r="H50" i="29"/>
  <c r="G13" i="28" s="1"/>
  <c r="K272" i="6"/>
  <c r="O16" i="29"/>
  <c r="F24" i="29"/>
  <c r="J272" i="6"/>
  <c r="J288" i="6"/>
  <c r="J295" i="6" s="1"/>
  <c r="G15" i="29"/>
  <c r="G124" i="29" s="1"/>
  <c r="P13" i="29"/>
  <c r="Q13" i="29" s="1"/>
  <c r="R13" i="29" s="1"/>
  <c r="G46" i="28" l="1"/>
  <c r="M20" i="28"/>
  <c r="H90" i="29"/>
  <c r="G63" i="29"/>
  <c r="H84" i="29"/>
  <c r="N8" i="28" s="1"/>
  <c r="H59" i="29"/>
  <c r="H63" i="29" s="1"/>
  <c r="G19" i="28"/>
  <c r="H109" i="29"/>
  <c r="N23" i="28" s="1"/>
  <c r="N20" i="28"/>
  <c r="Q15" i="29"/>
  <c r="H16" i="29"/>
  <c r="G38" i="28" s="1"/>
  <c r="F29" i="29"/>
  <c r="O29" i="29" s="1"/>
  <c r="E45" i="28"/>
  <c r="L32" i="28"/>
  <c r="G137" i="29"/>
  <c r="F22" i="28"/>
  <c r="F25" i="28"/>
  <c r="G43" i="29"/>
  <c r="M49" i="42" s="1"/>
  <c r="O24" i="29"/>
  <c r="J289" i="6"/>
  <c r="M35" i="28" s="1"/>
  <c r="J282" i="6"/>
  <c r="G70" i="7" s="1"/>
  <c r="P15" i="29"/>
  <c r="G16" i="29"/>
  <c r="J273" i="6"/>
  <c r="G69" i="7" s="1"/>
  <c r="K273" i="6"/>
  <c r="H69" i="7" s="1"/>
  <c r="K289" i="6"/>
  <c r="N35" i="28" s="1"/>
  <c r="K282" i="6"/>
  <c r="H70" i="7" s="1"/>
  <c r="G18" i="28" l="1"/>
  <c r="H65" i="7"/>
  <c r="H24" i="29"/>
  <c r="G45" i="28" s="1"/>
  <c r="Q16" i="29"/>
  <c r="H43" i="29"/>
  <c r="M47" i="28"/>
  <c r="L55" i="28"/>
  <c r="L56" i="28"/>
  <c r="G41" i="28"/>
  <c r="F41" i="28"/>
  <c r="F38" i="28"/>
  <c r="G22" i="28"/>
  <c r="H137" i="29"/>
  <c r="G25" i="28"/>
  <c r="H83" i="29"/>
  <c r="N7" i="28" s="1"/>
  <c r="G83" i="29"/>
  <c r="M7" i="28" s="1"/>
  <c r="F7" i="28"/>
  <c r="F129" i="29"/>
  <c r="F130" i="29" s="1"/>
  <c r="E48" i="28"/>
  <c r="G24" i="29"/>
  <c r="P16" i="29"/>
  <c r="N47" i="28" l="1"/>
  <c r="N49" i="42"/>
  <c r="G7" i="28"/>
  <c r="Q24" i="29"/>
  <c r="F45" i="28"/>
  <c r="M32" i="28"/>
  <c r="N32" i="28"/>
  <c r="P24" i="29"/>
  <c r="R30" i="29"/>
  <c r="I305" i="6"/>
  <c r="I307" i="6" s="1"/>
  <c r="I309" i="6" s="1"/>
  <c r="L36" i="28" s="1"/>
  <c r="F30" i="29" l="1"/>
  <c r="I312" i="6"/>
  <c r="L33" i="28" l="1"/>
  <c r="I314" i="6"/>
  <c r="F32" i="29"/>
  <c r="F76" i="29" s="1"/>
  <c r="F67" i="29" s="1"/>
  <c r="E49" i="28"/>
  <c r="L4" i="28" l="1"/>
  <c r="E28" i="28"/>
  <c r="F92" i="29"/>
  <c r="F132" i="29"/>
  <c r="F60" i="7"/>
  <c r="F38" i="29"/>
  <c r="F134" i="29" s="1"/>
  <c r="F36" i="29"/>
  <c r="F71" i="7" l="1"/>
  <c r="F72" i="7"/>
  <c r="L53" i="28"/>
  <c r="F94" i="29"/>
  <c r="F140" i="29" s="1"/>
  <c r="L14" i="28"/>
  <c r="L50" i="28" s="1"/>
  <c r="O36" i="29"/>
  <c r="E50" i="28"/>
  <c r="F71" i="29"/>
  <c r="F111" i="29" l="1"/>
  <c r="L25" i="28" s="1"/>
  <c r="L51" i="28"/>
  <c r="L41" i="28"/>
  <c r="L37" i="28"/>
  <c r="F72" i="29"/>
  <c r="E32" i="28" s="1"/>
  <c r="E31" i="28"/>
  <c r="F114" i="29"/>
  <c r="L27" i="28" s="1"/>
  <c r="F41" i="29" l="1"/>
  <c r="E5" i="28" s="1"/>
  <c r="G113" i="29"/>
  <c r="M26" i="28" s="1"/>
  <c r="F136" i="29"/>
  <c r="J298" i="6"/>
  <c r="F45" i="29"/>
  <c r="F54" i="29" l="1"/>
  <c r="E17" i="28" s="1"/>
  <c r="L40" i="28" s="1"/>
  <c r="L43" i="28"/>
  <c r="L42" i="28"/>
  <c r="E4" i="28"/>
  <c r="G27" i="29"/>
  <c r="G28" i="29"/>
  <c r="P28" i="29" s="1"/>
  <c r="J304" i="6"/>
  <c r="J305" i="6" s="1"/>
  <c r="F73" i="29" l="1"/>
  <c r="E9" i="28"/>
  <c r="L45" i="28"/>
  <c r="L38" i="28"/>
  <c r="G29" i="29"/>
  <c r="P29" i="29" s="1"/>
  <c r="F47" i="28"/>
  <c r="J307" i="6"/>
  <c r="J309" i="6" s="1"/>
  <c r="G30" i="29"/>
  <c r="J312" i="6" l="1"/>
  <c r="J314" i="6" s="1"/>
  <c r="M36" i="28"/>
  <c r="M55" i="28"/>
  <c r="M56" i="28"/>
  <c r="G32" i="29"/>
  <c r="G132" i="29" s="1"/>
  <c r="F49" i="28"/>
  <c r="G129" i="29"/>
  <c r="G130" i="29" s="1"/>
  <c r="F48" i="28"/>
  <c r="G60" i="7" l="1"/>
  <c r="G61" i="7" s="1"/>
  <c r="G62" i="7" s="1"/>
  <c r="G38" i="29"/>
  <c r="G134" i="29" s="1"/>
  <c r="M33" i="28"/>
  <c r="G36" i="29"/>
  <c r="F50" i="28" s="1"/>
  <c r="G76" i="29"/>
  <c r="G72" i="7" l="1"/>
  <c r="G71" i="7"/>
  <c r="P36" i="29"/>
  <c r="G92" i="29"/>
  <c r="M4" i="28"/>
  <c r="G67" i="29"/>
  <c r="F28" i="28" s="1"/>
  <c r="M53" i="28" l="1"/>
  <c r="G94" i="29"/>
  <c r="M14" i="28"/>
  <c r="M50" i="28" s="1"/>
  <c r="G71" i="29"/>
  <c r="G72" i="29" l="1"/>
  <c r="F32" i="28" s="1"/>
  <c r="M41" i="28"/>
  <c r="M51" i="28"/>
  <c r="M37" i="28"/>
  <c r="F31" i="28"/>
  <c r="G111" i="29"/>
  <c r="G140" i="29"/>
  <c r="M25" i="28" l="1"/>
  <c r="G41" i="29"/>
  <c r="G114" i="29"/>
  <c r="M27" i="28" l="1"/>
  <c r="H113" i="29"/>
  <c r="N26" i="28" s="1"/>
  <c r="G136" i="29"/>
  <c r="F5" i="28"/>
  <c r="K298" i="6"/>
  <c r="G45" i="29"/>
  <c r="K304" i="6" l="1"/>
  <c r="K305" i="6" s="1"/>
  <c r="H30" i="29" s="1"/>
  <c r="G49" i="28" s="1"/>
  <c r="H27" i="29"/>
  <c r="H28" i="29"/>
  <c r="Q28" i="29" s="1"/>
  <c r="R28" i="29" s="1"/>
  <c r="G54" i="29"/>
  <c r="M43" i="28"/>
  <c r="M42" i="28"/>
  <c r="F4" i="28"/>
  <c r="K307" i="6" l="1"/>
  <c r="K309" i="6" s="1"/>
  <c r="N36" i="28" s="1"/>
  <c r="H29" i="29"/>
  <c r="G47" i="28"/>
  <c r="M45" i="28"/>
  <c r="M38" i="28"/>
  <c r="G73" i="29"/>
  <c r="F9" i="28"/>
  <c r="F17" i="28"/>
  <c r="M40" i="28" s="1"/>
  <c r="K312" i="6" l="1"/>
  <c r="K314" i="6" s="1"/>
  <c r="H38" i="29" s="1"/>
  <c r="H134" i="29" s="1"/>
  <c r="Q29" i="29"/>
  <c r="R29" i="29" s="1"/>
  <c r="N56" i="28"/>
  <c r="N55" i="28"/>
  <c r="H32" i="29"/>
  <c r="H129" i="29"/>
  <c r="H130" i="29" s="1"/>
  <c r="G48" i="28"/>
  <c r="H60" i="7" l="1"/>
  <c r="H61" i="7" s="1"/>
  <c r="H62" i="7" s="1"/>
  <c r="N33" i="28"/>
  <c r="H132" i="29"/>
  <c r="H36" i="29"/>
  <c r="H76" i="29"/>
  <c r="H71" i="7" l="1"/>
  <c r="H66" i="7"/>
  <c r="H67" i="7" s="1"/>
  <c r="H68" i="7" s="1"/>
  <c r="H72" i="7"/>
  <c r="G50" i="28"/>
  <c r="Q36" i="29"/>
  <c r="H92" i="29"/>
  <c r="N4" i="28"/>
  <c r="H67" i="29"/>
  <c r="G66" i="7" l="1"/>
  <c r="F66" i="7" s="1"/>
  <c r="E66" i="7" s="1"/>
  <c r="D66" i="7" s="1"/>
  <c r="N53" i="28"/>
  <c r="H71" i="29"/>
  <c r="G28" i="28"/>
  <c r="H94" i="29"/>
  <c r="N14" i="28"/>
  <c r="N50" i="28" s="1"/>
  <c r="G67" i="7" l="1"/>
  <c r="H111" i="29"/>
  <c r="H140" i="29"/>
  <c r="N51" i="28"/>
  <c r="N54" i="28" s="1"/>
  <c r="N41" i="28"/>
  <c r="H72" i="29"/>
  <c r="G31" i="28"/>
  <c r="N37" i="28"/>
  <c r="G68" i="7" l="1"/>
  <c r="G65" i="7"/>
  <c r="F67" i="7"/>
  <c r="F65" i="7" s="1"/>
  <c r="M54" i="28"/>
  <c r="G32" i="28"/>
  <c r="N25" i="28"/>
  <c r="H114" i="29"/>
  <c r="H41" i="29"/>
  <c r="E67" i="7" l="1"/>
  <c r="E68" i="7" s="1"/>
  <c r="F68" i="7"/>
  <c r="E65" i="7"/>
  <c r="L54" i="28"/>
  <c r="G5" i="28"/>
  <c r="H45" i="29"/>
  <c r="H136" i="29"/>
  <c r="N27" i="28"/>
  <c r="D67" i="7" l="1"/>
  <c r="D68" i="7" s="1"/>
  <c r="H54" i="29"/>
  <c r="N42" i="28"/>
  <c r="N43" i="28"/>
  <c r="G4" i="28"/>
  <c r="D65" i="7" l="1"/>
  <c r="N45" i="28"/>
  <c r="N38" i="28"/>
  <c r="G9" i="28"/>
  <c r="G17" i="28"/>
  <c r="N40" i="28" s="1"/>
  <c r="H73" i="29"/>
  <c r="I251" i="6" l="1"/>
  <c r="G18" i="39"/>
  <c r="G21" i="39" s="1"/>
  <c r="G56" i="39" l="1"/>
  <c r="G41" i="39"/>
  <c r="G22" i="39"/>
  <c r="G57" i="39"/>
  <c r="E42" i="42"/>
  <c r="G28" i="39"/>
  <c r="E50" i="42" l="1"/>
  <c r="G30" i="39"/>
  <c r="G75" i="39" s="1"/>
  <c r="G81" i="39"/>
  <c r="E8" i="42"/>
  <c r="E21" i="42"/>
  <c r="G87" i="39"/>
  <c r="L13" i="42" s="1"/>
  <c r="E43" i="42"/>
  <c r="E46" i="42"/>
  <c r="L34" i="42"/>
  <c r="G58" i="39"/>
  <c r="G82" i="39"/>
  <c r="L9" i="42" s="1"/>
  <c r="E19" i="42"/>
  <c r="J244" i="6"/>
  <c r="H24" i="39" s="1"/>
  <c r="E20" i="42"/>
  <c r="G97" i="39"/>
  <c r="E49" i="42" l="1"/>
  <c r="L58" i="42"/>
  <c r="L57" i="42"/>
  <c r="G89" i="39"/>
  <c r="L8" i="42"/>
  <c r="L21" i="42"/>
  <c r="G102" i="39"/>
  <c r="L25" i="42" s="1"/>
  <c r="F47" i="42"/>
  <c r="H88" i="39"/>
  <c r="M14" i="42" s="1"/>
  <c r="E18" i="42"/>
  <c r="G62" i="39"/>
  <c r="G72" i="39" s="1"/>
  <c r="I259" i="6"/>
  <c r="L38" i="42"/>
  <c r="L15" i="42" l="1"/>
  <c r="L52" i="42" s="1"/>
  <c r="G104" i="39"/>
  <c r="G38" i="39" s="1"/>
  <c r="G32" i="39"/>
  <c r="G33" i="39" s="1"/>
  <c r="I261" i="6"/>
  <c r="E25" i="42"/>
  <c r="I263" i="6" l="1"/>
  <c r="I264" i="6" s="1"/>
  <c r="F44" i="7" s="1"/>
  <c r="E51" i="42"/>
  <c r="L35" i="42"/>
  <c r="G35" i="39"/>
  <c r="L51" i="42" s="1"/>
  <c r="L4" i="42"/>
  <c r="F55" i="7" l="1"/>
  <c r="F54" i="7"/>
  <c r="F45" i="7"/>
  <c r="L27" i="42"/>
  <c r="G107" i="39"/>
  <c r="E28" i="42"/>
  <c r="L29" i="42" l="1"/>
  <c r="H106" i="39"/>
  <c r="E31" i="42"/>
  <c r="L43" i="42" s="1"/>
  <c r="L53" i="42"/>
  <c r="L39" i="42"/>
  <c r="G42" i="39"/>
  <c r="G53" i="39" s="1"/>
  <c r="G73" i="39" s="1"/>
  <c r="E5" i="42"/>
  <c r="L45" i="42" l="1"/>
  <c r="E4" i="42"/>
  <c r="L44" i="42"/>
  <c r="E32" i="42"/>
  <c r="M28" i="42"/>
  <c r="L47" i="42" l="1"/>
  <c r="E17" i="42"/>
  <c r="L42" i="42" s="1"/>
  <c r="L40" i="42"/>
  <c r="J241" i="6"/>
  <c r="J242" i="6" l="1"/>
  <c r="J252" i="6" s="1"/>
  <c r="J251" i="6"/>
  <c r="H18" i="39"/>
  <c r="H41" i="39" l="1"/>
  <c r="H55" i="39"/>
  <c r="H57" i="39"/>
  <c r="H56" i="39"/>
  <c r="F42" i="42"/>
  <c r="J253" i="6"/>
  <c r="H28" i="39" s="1"/>
  <c r="F50" i="42" s="1"/>
  <c r="J255" i="6" l="1"/>
  <c r="H97" i="39"/>
  <c r="K244" i="6"/>
  <c r="I24" i="39" s="1"/>
  <c r="I94" i="39" s="1"/>
  <c r="F20" i="42"/>
  <c r="F21" i="42"/>
  <c r="H87" i="39"/>
  <c r="M13" i="42" s="1"/>
  <c r="F46" i="42"/>
  <c r="F43" i="42"/>
  <c r="M34" i="42"/>
  <c r="H58" i="39"/>
  <c r="H82" i="39"/>
  <c r="M9" i="42" s="1"/>
  <c r="F19" i="42"/>
  <c r="H81" i="39"/>
  <c r="F8" i="42"/>
  <c r="G30" i="42" l="1"/>
  <c r="N19" i="42"/>
  <c r="I95" i="39"/>
  <c r="N20" i="42" s="1"/>
  <c r="H89" i="39"/>
  <c r="M8" i="42"/>
  <c r="F18" i="42"/>
  <c r="H62" i="39"/>
  <c r="H72" i="39" s="1"/>
  <c r="G47" i="42"/>
  <c r="N14" i="42"/>
  <c r="M58" i="42"/>
  <c r="F49" i="42"/>
  <c r="M57" i="42"/>
  <c r="M21" i="42"/>
  <c r="H102" i="39"/>
  <c r="M25" i="42" s="1"/>
  <c r="M38" i="42"/>
  <c r="J259" i="6"/>
  <c r="H32" i="39" s="1"/>
  <c r="M15" i="42" l="1"/>
  <c r="M52" i="42" s="1"/>
  <c r="H104" i="39"/>
  <c r="H38" i="39" s="1"/>
  <c r="G27" i="42"/>
  <c r="J261" i="6"/>
  <c r="J263" i="6" s="1"/>
  <c r="J264" i="6" s="1"/>
  <c r="G44" i="7" s="1"/>
  <c r="F25" i="42"/>
  <c r="H33" i="39"/>
  <c r="D48" i="7" l="1"/>
  <c r="G45" i="7"/>
  <c r="F51" i="42"/>
  <c r="H35" i="39"/>
  <c r="M51" i="42" s="1"/>
  <c r="M35" i="42"/>
  <c r="M4" i="42"/>
  <c r="G49" i="7" l="1"/>
  <c r="F49" i="7" s="1"/>
  <c r="E49" i="7" s="1"/>
  <c r="D49" i="7" s="1"/>
  <c r="G54" i="7"/>
  <c r="G55" i="7"/>
  <c r="G50" i="7"/>
  <c r="M27" i="42"/>
  <c r="H107" i="39"/>
  <c r="H42" i="39"/>
  <c r="F28" i="42"/>
  <c r="K250" i="6" l="1"/>
  <c r="I25" i="39" s="1"/>
  <c r="G48" i="42" s="1"/>
  <c r="I26" i="39"/>
  <c r="M53" i="42"/>
  <c r="F31" i="42"/>
  <c r="M43" i="42" s="1"/>
  <c r="M39" i="42"/>
  <c r="H53" i="39"/>
  <c r="H73" i="39" s="1"/>
  <c r="F5" i="42"/>
  <c r="M29" i="42"/>
  <c r="I106" i="39"/>
  <c r="F50" i="7"/>
  <c r="G51" i="7"/>
  <c r="F51" i="7" l="1"/>
  <c r="E50" i="7"/>
  <c r="N28" i="42"/>
  <c r="M45" i="42"/>
  <c r="F4" i="42"/>
  <c r="M44" i="42"/>
  <c r="F32" i="42"/>
  <c r="F17" i="42" l="1"/>
  <c r="M42" i="42" s="1"/>
  <c r="M47" i="42"/>
  <c r="M40" i="42"/>
  <c r="D50" i="7"/>
  <c r="E51" i="7"/>
  <c r="E48" i="7"/>
  <c r="K241" i="6"/>
  <c r="K242" i="6" l="1"/>
  <c r="K252" i="6" s="1"/>
  <c r="K251" i="6"/>
  <c r="I18" i="39"/>
  <c r="I21" i="39" s="1"/>
  <c r="I57" i="39" l="1"/>
  <c r="G42" i="42"/>
  <c r="I41" i="39"/>
  <c r="I22" i="39"/>
  <c r="I56" i="39"/>
  <c r="K253" i="6"/>
  <c r="I28" i="39" l="1"/>
  <c r="G50" i="42" s="1"/>
  <c r="K255" i="6"/>
  <c r="I97" i="39"/>
  <c r="G20" i="42"/>
  <c r="G46" i="42"/>
  <c r="I27" i="39"/>
  <c r="N34" i="42"/>
  <c r="G43" i="42"/>
  <c r="G8" i="42"/>
  <c r="I81" i="39"/>
  <c r="I87" i="39"/>
  <c r="N13" i="42" s="1"/>
  <c r="G21" i="42"/>
  <c r="G19" i="42"/>
  <c r="I82" i="39"/>
  <c r="N9" i="42" s="1"/>
  <c r="N38" i="42" l="1"/>
  <c r="K259" i="6"/>
  <c r="K261" i="6" s="1"/>
  <c r="K263" i="6" s="1"/>
  <c r="K264" i="6" s="1"/>
  <c r="H44" i="7" s="1"/>
  <c r="N8" i="42"/>
  <c r="I89" i="39"/>
  <c r="N15" i="42" s="1"/>
  <c r="N52" i="42" s="1"/>
  <c r="G18" i="42"/>
  <c r="G49" i="42"/>
  <c r="N58" i="42"/>
  <c r="N57" i="42"/>
  <c r="I102" i="39"/>
  <c r="N25" i="42" s="1"/>
  <c r="N21" i="42"/>
  <c r="I32" i="39" l="1"/>
  <c r="I33" i="39" s="1"/>
  <c r="G25" i="42"/>
  <c r="N4" i="42" l="1"/>
  <c r="I104" i="39"/>
  <c r="N35" i="42"/>
  <c r="I35" i="39"/>
  <c r="N51" i="42" s="1"/>
  <c r="G51" i="42"/>
  <c r="H55" i="7" l="1"/>
  <c r="H54" i="7"/>
  <c r="H45" i="7"/>
  <c r="H49" i="7"/>
  <c r="H50" i="7" s="1"/>
  <c r="H51" i="7" s="1"/>
  <c r="I38" i="39"/>
  <c r="I107" i="39"/>
  <c r="N29" i="42" s="1"/>
  <c r="N27" i="42"/>
  <c r="G28" i="42"/>
  <c r="N53" i="42" l="1"/>
  <c r="G31" i="42"/>
  <c r="N43" i="42" s="1"/>
  <c r="N39" i="42"/>
  <c r="I42" i="39"/>
  <c r="I53" i="39" s="1"/>
  <c r="I73" i="39" s="1"/>
  <c r="G5" i="42"/>
  <c r="G32" i="42" l="1"/>
  <c r="N45" i="42"/>
  <c r="N44" i="42"/>
  <c r="G4" i="42"/>
  <c r="G17" i="42" l="1"/>
  <c r="N42" i="42" s="1"/>
  <c r="N47" i="42"/>
  <c r="N40"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tc={322CE3EA-C8DD-4C6D-896E-F7BECA34277A}</author>
    <author>tc={D7C2B89F-0395-4BD3-969B-F23A9BA02EAD}</author>
    <author>tc={18603DFD-6FAB-4A2C-98EC-45589B174FDE}</author>
    <author>tc={0A67128C-B214-480D-8C43-CB301BAE802B}</author>
    <author>tc={4C4520B3-809E-4223-BD5F-25F37FE6AEF0}</author>
    <author>tc={CA171ED7-3191-4893-8453-8C6E4304A9B1}</author>
    <author>tc={7B6EC87B-3EA7-458F-ABF8-E219FB0874C7}</author>
    <author>tc={FAB0F017-E20F-4C6A-BCFF-FC720F299F5F}</author>
    <author>tc={27B8DAE0-E63D-48EB-8A1A-6A3FFD207BA5}</author>
    <author>tc={23FA5438-EDBB-45CB-B007-D1888DD1E0C5}</author>
    <author>tc={DBB4CD6D-6E77-4262-8623-77BD69053AA0}</author>
    <author>tc={84F40438-3BBA-49A5-BCB2-13DE2D66B951}</author>
    <author>tc={CDCBAF55-6AF4-4CC5-B19C-3B4DE10C0AEE}</author>
    <author>tc={A9619467-8CE1-401C-A8E7-06696B9C6B55}</author>
    <author>tc={62D4856A-C92E-4FA9-94CA-579E368D3547}</author>
    <author>tc={02D83F05-2178-4331-93A5-8FA62C7E483A}</author>
    <author>tc={4FC67AE2-8C2C-43E0-8D9C-57AA6B2DEF09}</author>
    <author>tc={AE06BDC1-FFBC-445A-A5A4-202635BEFA65}</author>
    <author>tc={0AFC2753-1546-4A15-908B-1C1EFC77214F}</author>
    <author>tc={15DE243D-2D96-4390-8B19-2C21082CF149}</author>
    <author>kacchan</author>
    <author>tc={54ED9267-7C2A-40B9-B53D-E935A31B96B2}</author>
    <author>tc={D27A012D-07C0-49A1-BE91-976B6B15C99E}</author>
    <author>tc={CDED15A3-8373-45E2-8895-6AD70F9077E7}</author>
    <author>tc={980A28A9-AC01-44C6-826F-2E92BF64133E}</author>
    <author>tc={FCA7CA45-4F74-4200-8FE2-E83D8E20235E}</author>
    <author>tc={8097C1CD-ADD3-BE43-A8B4-1239C9B621C4}</author>
    <author>tc={8B491288-B37F-4D0C-A0D5-CEF997FBEAB8}</author>
    <author>tc={4C27396B-81B3-4741-9485-01F4015CEF75}</author>
    <author>tc={2D2BCB2E-E9BC-451E-9738-6A36EAFAE330}</author>
    <author>tc={CC3D1389-33F1-401C-B7E9-80567D836B90}</author>
    <author>tc={B112893F-9FAC-42F5-93CD-002AFDED9768}</author>
    <author>tc={0171F43C-B44E-4E55-BCD9-38301609417C}</author>
    <author>tc={EB9A3CE2-C7CE-4416-848D-B9CFF03F0138}</author>
    <author>tc={B432BFFA-167C-6849-8AD6-900A3EE99B8F}</author>
    <author>tc={C4623967-D9E9-45F7-9216-85F854A1EDAB}</author>
    <author>tc={6B3AC96F-5BD4-4A88-BC35-75677CC64031}</author>
    <author>tc={9AD2E63C-A305-47EF-B7B4-40432F0C099C}</author>
    <author>tc={19A27291-DFE8-4AE1-A226-9246644BCC25}</author>
    <author>tc={A05D5AFE-3F81-4263-82A8-D2C3383A5EF7}</author>
    <author>tc={BF4A57F8-7E5D-40C5-B872-2B88E8C3827A}</author>
    <author>tc={0AB2124F-C422-4713-9343-F8F9C31A2D71}</author>
    <author>tc={B27DB668-D984-4C66-B9E4-CD51ABD32DEA}</author>
    <author>tc={FA360F0C-37AF-45F4-A18D-521FB83B4A1B}</author>
    <author>tc={83634A92-FACD-4D5F-B84C-DB29574E56BB}</author>
    <author>tc={AE9C89CA-96A2-43B9-8503-A4309A44ED15}</author>
    <author>tc={A9D09DC4-D68C-4888-BBA0-03A2C3B77CFC}</author>
    <author>tc={7B9EC1C9-C019-4F95-B656-CF3DBC2E238B}</author>
    <author>tc={89EA416D-9777-4EB3-BED1-57EC717D9ECD}</author>
    <author>tc={C4DA3A3E-EF43-493B-9D21-CA6716C0286A}</author>
    <author>tc={31575001-2B6C-4D13-99D5-07DD3C05E390}</author>
    <author>tc={FA03736C-1F78-4C81-BB8C-35FD8369CDD4}</author>
    <author>tc={0EFCDACD-E61C-4487-8825-D1940AC5A026}</author>
    <author>tc={E91CB07C-467C-4EA3-A73C-31477708633A}</author>
    <author>tc={F00FB3E1-4CA9-4419-AE6C-8D17D97A0D6B}</author>
    <author>tc={E3DF0BDF-E12B-42BB-9052-15753C482BDB}</author>
    <author>tc={F4F6122C-D41A-4824-BAE0-A44B99251A8D}</author>
    <author>tc={DA97E8CB-3571-4C32-A14E-EA529BF79D53}</author>
    <author>tc={E45D0D2F-8079-46E6-B447-C909D99B6644}</author>
    <author>tc={022F9898-2C8D-4396-86A4-BD27BEF7C289}</author>
    <author>tc={8511C9B5-4E3C-450A-A6A6-0082744B41C8}</author>
    <author>tc={5DC1B8B8-27D9-4D2A-B51A-AC850E126007}</author>
    <author>tc={4D954A4D-4201-4814-A82B-049EC3625C2E}</author>
    <author>tc={5F6B28D6-5C0F-4394-BD35-3E28FC8E8A27}</author>
    <author>tc={128872A0-675E-4568-BE02-461965F9E2A0}</author>
    <author>tc={835AAC89-976A-4500-8BAD-866AA1A6C147}</author>
    <author>tc={23DB6AD9-483E-4762-BEA7-D926797C00D0}</author>
    <author>tc={163E046C-831C-4B99-B6B9-A853F2C949E3}</author>
    <author>tc={FC74A432-7A66-4785-B4CA-F6C19464A1FE}</author>
    <author>tc={AE16CB99-4B9E-4E88-85F7-A827AEFD34D7}</author>
    <author>tc={17C2332E-67F5-4A67-AA33-35FF016AE5CF}</author>
    <author>tc={0E9C5273-1805-4C51-8557-8CCC5786A476}</author>
    <author>tc={3AD1948D-A841-4927-81F8-BC8E09306E8B}</author>
    <author>tc={07DBC770-EFC6-4B13-96C9-92DC4BBEC76D}</author>
    <author>tc={9779C2E9-62D7-4B24-8225-E385B01A51EC}</author>
    <author>tc={D46DDEFB-A786-48A6-B760-1A88EA803123}</author>
    <author>tc={05CEEC02-0DEF-4FF9-A71D-F6F9336B7112}</author>
    <author>tc={B504E0F4-FE65-48CE-90CA-58E70EC549C6}</author>
    <author>tc={072EB206-E39C-4245-BDF7-33ECA38AF306}</author>
    <author>tc={F4CD8BD8-0FB3-4709-A47A-7AE6FE98DD05}</author>
    <author>tc={B19E7441-F95C-4652-82DD-BA32BA87A018}</author>
    <author>tc={4D99D3D9-8DAF-41FC-ACB3-09DE8CAA04AA}</author>
    <author>tc={EBC9FADD-88C6-4EC3-995C-1E1FE6AF3987}</author>
    <author>tc={7E75B92C-19CA-49A1-8B75-7BA49E5B4642}</author>
    <author>tc={D810EF66-B049-4AF7-84B6-CBC242BBCD3A}</author>
    <author>tc={5E8015DD-A10F-4BF4-87F5-59647818A38A}</author>
    <author>tc={B6262E8B-B798-4B92-AB6E-5E0523228B23}</author>
    <author>tc={90DE0A42-A661-4ADD-9D88-5ABCBB8E7DD9}</author>
    <author>tc={2D40057B-F955-4207-A43B-4C1B0C4F6F42}</author>
    <author>tc={B272AC1A-28C2-4D21-A224-EDF3CB44E36F}</author>
    <author>tc={E7DBB488-2AC9-4F28-A2CB-78DBDFE5C364}</author>
    <author>tc={3F13B185-843D-4C33-9B6A-9004B695FB5B}</author>
    <author>tc={238356E0-F66F-4B0A-B3EC-3B6A00131094}</author>
    <author>tc={948F3064-599D-497B-BD90-578BD59D18CB}</author>
    <author>tc={994FA45E-5E3D-4AD1-AA45-122BC17719D3}</author>
    <author>tc={21F48951-927A-4ED6-A5A0-A521283A29FD}</author>
    <author>tc={9E9EC000-C0CC-48C8-BD37-1483D066FFC1}</author>
  </authors>
  <commentList>
    <comment ref="BH2" authorId="0" shapeId="0" xr:uid="{322CE3EA-C8DD-4C6D-896E-F7BECA34277A}">
      <text>
        <t>[线程批注]
你的Excel版本可读取此线程批注; 但如果在更新版本的Excel中打开文件，则对批注所作的任何改动都将被删除。了解详细信息: https://go.microsoft.com/fwlink/?linkid=870924
注释:
    Source: https://www.patreon.com/posts/46283573
答复:
    overwrite</t>
      </text>
    </comment>
    <comment ref="BZ2" authorId="1" shapeId="0" xr:uid="{D7C2B89F-0395-4BD3-969B-F23A9BA02EAD}">
      <text>
        <t>[线程批注]
你的Excel版本可读取此线程批注; 但如果在更新版本的Excel中打开文件，则对批注所作的任何改动都将被删除。了解详细信息: https://go.microsoft.com/fwlink/?linkid=870924
注释:
    Source: https://www.patreon.com/posts/46283573</t>
      </text>
    </comment>
    <comment ref="AK3" authorId="2" shapeId="0" xr:uid="{18603DFD-6FAB-4A2C-98EC-45589B174FDE}">
      <text>
        <t>[线程批注]
你的Excel版本可读取此线程批注; 但如果在更新版本的Excel中打开文件，则对批注所作的任何改动都将被删除。了解详细信息: https://go.microsoft.com/fwlink/?linkid=870924
注释:
    from Telsa database</t>
      </text>
    </comment>
    <comment ref="AN3" authorId="3" shapeId="0" xr:uid="{0A67128C-B214-480D-8C43-CB301BAE802B}">
      <text>
        <t>[线程批注]
你的Excel版本可读取此线程批注; 但如果在更新版本的Excel中打开文件，则对批注所作的任何改动都将被删除。了解详细信息: https://go.microsoft.com/fwlink/?linkid=870924
注释:
    q3 74.7%</t>
      </text>
    </comment>
    <comment ref="AO3" authorId="4" shapeId="0" xr:uid="{4C4520B3-809E-4223-BD5F-25F37FE6AEF0}">
      <text>
        <t>[线程批注]
你的Excel版本可读取此线程批注; 但如果在更新版本的Excel中打开文件，则对批注所作的任何改动都将被删除。了解详细信息: https://go.microsoft.com/fwlink/?linkid=870924
注释:
    cut from 100</t>
      </text>
    </comment>
    <comment ref="AP3" authorId="5" shapeId="0" xr:uid="{CA171ED7-3191-4893-8453-8C6E4304A9B1}">
      <text>
        <t>[线程批注]
你的Excel版本可读取此线程批注; 但如果在更新版本的Excel中打开文件，则对批注所作的任何改动都将被删除。了解详细信息: https://go.microsoft.com/fwlink/?linkid=870924
注释:
    cut from 100 to 90</t>
      </text>
    </comment>
    <comment ref="BW3" authorId="6" shapeId="0" xr:uid="{7B6EC87B-3EA7-458F-ABF8-E219FB0874C7}">
      <text>
        <t>[线程批注]
你的Excel版本可读取此线程批注; 但如果在更新版本的Excel中打开文件，则对批注所作的任何改动都将被删除。了解详细信息: https://go.microsoft.com/fwlink/?linkid=870924
注释:
    double check
答复:
    In 2018, we delivered a total of 245,240 vehicles
Source: Tesla Q4 2018 Vehicle Production &amp; Deliveries, Also Announcing $2,000 Price Reduction in US | Tesla Investor Relations</t>
      </text>
    </comment>
    <comment ref="J4" authorId="7" shapeId="0" xr:uid="{FAB0F017-E20F-4C6A-BCFF-FC720F299F5F}">
      <text>
        <t>[线程批注]
你的Excel版本可读取此线程批注; 但如果在更新版本的Excel中打开文件，则对批注所作的任何改动都将被删除。了解详细信息: https://go.microsoft.com/fwlink/?linkid=870924
注释:
    Tesla is upgrading the production lines of its Shanghai factory for higher capacity starting in December. The conversion work in the areas of the continuing production of the Model 3 and Model Y is expected to last until April 2022. In addition, the first Model Y Performance were delivered in China.
答复:
    Recently, Tesla Shanghai Gigafactory received a 1.2 billion yuan ($188.5 million) investment. This fund will go for the latest round of expansion to increase the factory’s production capacity. Tesla China intends to increase the plant’s production capacity to 1 million or 1.5 million vehicles per year. Tesla’s total vehicle deliveries this year may approach the 1 million mark, thanks in large part to the increase in the production of Model Y and Model 3 in Shanghai Gigafactory and the company’s commitment to the Fremont plant.</t>
      </text>
    </comment>
    <comment ref="S4" authorId="8" shapeId="0" xr:uid="{27B8DAE0-E63D-48EB-8A1A-6A3FFD207BA5}">
      <text>
        <t>[线程批注]
你的Excel版本可读取此线程批注; 但如果在更新版本的Excel中打开文件，则对批注所作的任何改动都将被删除。了解详细信息: https://go.microsoft.com/fwlink/?linkid=870924
注释:
    Tesla could add a second shift of production by the beginning of Q2 2020 which would increase line capacity to approximately 3,500 vehicles per week</t>
      </text>
    </comment>
    <comment ref="AN4" authorId="9" shapeId="0" xr:uid="{23FA5438-EDBB-45CB-B007-D1888DD1E0C5}">
      <text>
        <t>[线程批注]
你的Excel版本可读取此线程批注; 但如果在更新版本的Excel中打开文件，则对批注所作的任何改动都将被删除。了解详细信息: https://go.microsoft.com/fwlink/?linkid=870924
注释:
    q3 80.8%</t>
      </text>
    </comment>
    <comment ref="AO4" authorId="10" shapeId="0" xr:uid="{DBB4CD6D-6E77-4262-8623-77BD69053AA0}">
      <text>
        <t>[线程批注]
你的Excel版本可读取此线程批注; 但如果在更新版本的Excel中打开文件，则对批注所作的任何改动都将被删除。了解详细信息: https://go.microsoft.com/fwlink/?linkid=870924
注释:
    up from 80 due to Nov beat of 100k</t>
      </text>
    </comment>
    <comment ref="AP4" authorId="11" shapeId="0" xr:uid="{84F40438-3BBA-49A5-BCB2-13DE2D66B951}">
      <text>
        <t>[线程批注]
你的Excel版本可读取此线程批注; 但如果在更新版本的Excel中打开文件，则对批注所作的任何改动都将被删除。了解详细信息: https://go.microsoft.com/fwlink/?linkid=870924
注释:
    cut from 90 due to falling demand</t>
      </text>
    </comment>
    <comment ref="AN5" authorId="12" shapeId="0" xr:uid="{CDCBAF55-6AF4-4CC5-B19C-3B4DE10C0AEE}">
      <text>
        <t>[线程批注]
你的Excel版本可读取此线程批注; 但如果在更新版本的Excel中打开文件，则对批注所作的任何改动都将被删除。了解详细信息: https://go.microsoft.com/fwlink/?linkid=870924
注释:
    Zachary Kirkhorn 
Sure. So, it remains our target in both Austin and Berlin to be able to build our first production cars before the end of the year. We've talked about this a bit. The unknown of unknowns, new factories, new vehicle designs, new technologies, new locations, new teams.
So, there is quite an execution journey ahead of us, but that remains our target. And all of our plans are oriented around that. We -- for -- we should not expect for us to deliver cars by the end of 2021 from these factories, even if we do produce some.</t>
      </text>
    </comment>
    <comment ref="AO5" authorId="13" shapeId="0" xr:uid="{A9619467-8CE1-401C-A8E7-06696B9C6B55}">
      <text>
        <t>[线程批注]
你的Excel版本可读取此线程批注; 但如果在更新版本的Excel中打开文件，则对批注所作的任何改动都将被删除。了解详细信息: https://go.microsoft.com/fwlink/?linkid=870924
注释:
    cut, below same</t>
      </text>
    </comment>
    <comment ref="AP5" authorId="14" shapeId="0" xr:uid="{62D4856A-C92E-4FA9-94CA-579E368D3547}">
      <text>
        <t>[线程批注]
你的Excel版本可读取此线程批注; 但如果在更新版本的Excel中打开文件，则对批注所作的任何改动都将被删除。了解详细信息: https://go.microsoft.com/fwlink/?linkid=870924
注释:
    down from 71 due to EU ressession</t>
      </text>
    </comment>
    <comment ref="D6" authorId="15" shapeId="0" xr:uid="{02D83F05-2178-4331-93A5-8FA62C7E483A}">
      <text>
        <t>[线程批注]
你的Excel版本可读取此线程批注; 但如果在更新版本的Excel中打开文件，则对批注所作的任何改动都将被删除。了解详细信息: https://go.microsoft.com/fwlink/?linkid=870924
注释:
    https://constructionreviewonline.com/biggest-projects/giga-texas-tesla-inc-factory-in-austin/</t>
      </text>
    </comment>
    <comment ref="U6" authorId="16" shapeId="0" xr:uid="{4FC67AE2-8C2C-43E0-8D9C-57AA6B2DEF09}">
      <text>
        <t>[线程批注]
你的Excel版本可读取此线程批注; 但如果在更新版本的Excel中打开文件，则对批注所作的任何改动都将被删除。了解详细信息: https://go.microsoft.com/fwlink/?linkid=870924
注释:
    12月15日，特斯拉在推特上分享了新的 产量 数据，特斯拉美国得克萨斯州奥斯汀新工厂的Model Y周产量已达到3000辆。</t>
      </text>
    </comment>
    <comment ref="C8" authorId="17" shapeId="0" xr:uid="{AE06BDC1-FFBC-445A-A5A4-202635BEFA65}">
      <text>
        <t>[线程批注]
你的Excel版本可读取此线程批注; 但如果在更新版本的Excel中打开文件，则对批注所作的任何改动都将被删除。了解详细信息: https://go.microsoft.com/fwlink/?linkid=870924
注释:
    2014年9月，比亚迪西安新能源汽车基地一期项目在高新区草堂科技园实现投产</t>
      </text>
    </comment>
    <comment ref="AO8" authorId="18" shapeId="0" xr:uid="{0AFC2753-1546-4A15-908B-1C1EFC77214F}">
      <text>
        <t>[线程批注]
你的Excel版本可读取此线程批注; 但如果在更新版本的Excel中打开文件，则对批注所作的任何改动都将被删除。了解详细信息: https://go.microsoft.com/fwlink/?linkid=870924
注释:
    +15 up from +10
答复:
    +25</t>
      </text>
    </comment>
    <comment ref="BH8" authorId="19" shapeId="0" xr:uid="{15DE243D-2D96-4390-8B19-2C21082CF149}">
      <text>
        <t>[线程批注]
你的Excel版本可读取此线程批注; 但如果在更新版本的Excel中打开文件，则对批注所作的任何改动都将被删除。了解详细信息: https://go.microsoft.com/fwlink/?linkid=870924
注释:
    今年前3季度，我省汽车行业重点企业运行态势良好，陕汽集团生产汽车约17.45万辆，产值699.8亿元；西安比亚迪生产汽车约25.7万辆，同比增长55.9%.
答复:
    自9月24日开始，西安工厂日产量为2030辆，已经超越设计产能，并创造比亚迪的新纪录。 这意味着2030辆／天✖️</t>
      </text>
    </comment>
    <comment ref="J9" authorId="20" shapeId="0" xr:uid="{4A4E01F7-DD47-465D-9BD5-830D384039AE}">
      <text>
        <r>
          <rPr>
            <b/>
            <sz val="9"/>
            <color indexed="81"/>
            <rFont val="宋体"/>
            <family val="3"/>
            <charset val="134"/>
          </rPr>
          <t>Frank Chao:</t>
        </r>
        <r>
          <rPr>
            <sz val="9"/>
            <color indexed="81"/>
            <rFont val="宋体"/>
            <family val="3"/>
            <charset val="134"/>
          </rPr>
          <t xml:space="preserve">
动工时间：
18年
新建产能投产时间：
21年3月</t>
        </r>
      </text>
    </comment>
    <comment ref="BI9" authorId="21" shapeId="0" xr:uid="{54ED9267-7C2A-40B9-B53D-E935A31B96B2}">
      <text>
        <t>[线程批注]
你的Excel版本可读取此线程批注; 但如果在更新版本的Excel中打开文件，则对批注所作的任何改动都将被删除。了解详细信息: https://go.microsoft.com/fwlink/?linkid=870924
注释:
    1期、2期的合计产能在60万辆，其中2期在2021年3月投产。如果按照单车均价14万计算，720亿元对应的产量应该在45-50万辆左右。实际产能为一期30万辆，二期18万辆，合计48万辆左右。如果西安工厂能够达成50万辆的产量，则意味着实际可利用的产能利用率超过100%了。
答复:
    source：https://www.xchuxing.com/article/39019</t>
      </text>
    </comment>
    <comment ref="C12" authorId="22" shapeId="0" xr:uid="{D27A012D-07C0-49A1-BE91-976B6B15C99E}">
      <text>
        <t>[线程批注]
你的Excel版本可读取此线程批注; 但如果在更新版本的Excel中打开文件，则对批注所作的任何改动都将被删除。了解详细信息: https://go.microsoft.com/fwlink/?linkid=870924
注释:
    一期预计将于22年1月正式试生产，
预计3月份能够实现全面达产</t>
      </text>
    </comment>
    <comment ref="AN12" authorId="23" shapeId="0" xr:uid="{CDED15A3-8373-45E2-8895-6AD70F9077E7}">
      <text>
        <t>[线程批注]
你的Excel版本可读取此线程批注; 但如果在更新版本的Excel中打开文件，则对批注所作的任何改动都将被删除。了解详细信息: https://go.microsoft.com/fwlink/?linkid=870924
注释:
    需跟踪是否年底前能如期投产
答复:
    没投产</t>
      </text>
    </comment>
    <comment ref="BI12" authorId="24" shapeId="0" xr:uid="{980A28A9-AC01-44C6-826F-2E92BF64133E}">
      <text>
        <t>[线程批注]
你的Excel版本可读取此线程批注; 但如果在更新版本的Excel中打开文件，则对批注所作的任何改动都将被删除。了解详细信息: https://go.microsoft.com/fwlink/?linkid=870924
注释:
    理想状况下，到2022年底，常州工厂可以达到月产3万辆以上的产能水平</t>
      </text>
    </comment>
    <comment ref="C14" authorId="25" shapeId="0" xr:uid="{FCA7CA45-4F74-4200-8FE2-E83D8E20235E}">
      <text>
        <t>[线程批注]
你的Excel版本可读取此线程批注; 但如果在更新版本的Excel中打开文件，则对批注所作的任何改动都将被删除。了解详细信息: https://go.microsoft.com/fwlink/?linkid=870924
注释:
    2018年1月投产</t>
      </text>
    </comment>
    <comment ref="AO14" authorId="26" shapeId="0" xr:uid="{8097C1CD-ADD3-BE43-A8B4-1239C9B621C4}">
      <text>
        <t>[线程批注]
你的Excel版本可读取此线程批注; 但如果在更新版本的Excel中打开文件，则对批注所作的任何改动都将被删除。了解详细信息: https://go.microsoft.com/fwlink/?linkid=870924
注释:
    Added to 100</t>
      </text>
    </comment>
    <comment ref="BG14" authorId="27" shapeId="0" xr:uid="{8B491288-B37F-4D0C-A0D5-CEF997FBEAB8}">
      <text>
        <t>[线程批注]
你的Excel版本可读取此线程批注; 但如果在更新版本的Excel中打开文件，则对批注所作的任何改动都将被删除。了解详细信息: https://go.microsoft.com/fwlink/?linkid=870924
注释:
    比亚迪汽车工业有限公司深圳工厂BYD Automobile Industry Co., Ltd., Shenzhen Plant image [中国] ... 总产量. 整车77,381 辆( 2020 年). 整车76,236 辆( 2019 年).</t>
      </text>
    </comment>
    <comment ref="C15" authorId="28" shapeId="0" xr:uid="{4C27396B-81B3-4741-9485-01F4015CEF75}">
      <text>
        <t>[线程批注]
你的Excel版本可读取此线程批注; 但如果在更新版本的Excel中打开文件，则对批注所作的任何改动都将被删除。了解详细信息: https://go.microsoft.com/fwlink/?linkid=870924
注释:
    2012年投产</t>
      </text>
    </comment>
    <comment ref="AM15" authorId="29" shapeId="0" xr:uid="{2D2BCB2E-E9BC-451E-9738-6A36EAFAE330}">
      <text>
        <t>[线程批注]
你的Excel版本可读取此线程批注; 但如果在更新版本的Excel中打开文件，则对批注所作的任何改动都将被删除。了解详细信息: https://go.microsoft.com/fwlink/?linkid=870924
注释:
    比亚迪汽车工业有限公司长沙分公司BYD Automobile Industry Co., Ltd., Changsha Branch image ... 总产量. 整车75,380 辆( 2020 年). 整车159,062 辆( 2019 年).</t>
      </text>
    </comment>
    <comment ref="BG15" authorId="30" shapeId="0" xr:uid="{CC3D1389-33F1-401C-B7E9-80567D836B90}">
      <text>
        <t>[线程批注]
你的Excel版本可读取此线程批注; 但如果在更新版本的Excel中打开文件，则对批注所作的任何改动都将被删除。了解详细信息: https://go.microsoft.com/fwlink/?linkid=870924
注释:
    比亚迪汽车工业有限公司长沙分公司BYD Automobile Industry Co., Ltd., Changsha Branch image ... 总产量. 整车75,380 辆( 2020 年). 整车159,062 辆( 2019 年).</t>
      </text>
    </comment>
    <comment ref="BH15" authorId="31" shapeId="0" xr:uid="{B112893F-9FAC-42F5-93CD-002AFDED9768}">
      <text>
        <t>[线程批注]
你的Excel版本可读取此线程批注; 但如果在更新版本的Excel中打开文件，则对批注所作的任何改动都将被删除。了解详细信息: https://go.microsoft.com/fwlink/?linkid=870924
注释:
    第一季度产能为6.25万，由于空气污染时间预计停产一个季度，故采用6.25*3</t>
      </text>
    </comment>
    <comment ref="G16" authorId="20" shapeId="0" xr:uid="{FE85447A-7E46-4741-9EA5-95B23FB5344A}">
      <text>
        <r>
          <rPr>
            <b/>
            <sz val="9"/>
            <color indexed="81"/>
            <rFont val="宋体"/>
            <family val="3"/>
            <charset val="134"/>
          </rPr>
          <t>Frank Chao:</t>
        </r>
        <r>
          <rPr>
            <sz val="9"/>
            <color indexed="81"/>
            <rFont val="宋体"/>
            <family val="3"/>
            <charset val="134"/>
          </rPr>
          <t xml:space="preserve">
新建产能投产时间：
21年6月
2018年开工，2019年完成投资10亿元，己完成生产厂房桩基础工程，进入厂房主体改扩建阶段。预计2020年完成改扩建并投产</t>
        </r>
      </text>
    </comment>
    <comment ref="AO16" authorId="32" shapeId="0" xr:uid="{0171F43C-B44E-4E55-BCD9-38301609417C}">
      <text>
        <t>[线程批注]
你的Excel版本可读取此线程批注; 但如果在更新版本的Excel中打开文件，则对批注所作的任何改动都将被删除。了解详细信息: https://go.microsoft.com/fwlink/?linkid=870924
注释:
    up from 25%, same below
答复:
    up to 90
答复:
    rise to 110%</t>
      </text>
    </comment>
    <comment ref="U17" authorId="33" shapeId="0" xr:uid="{EB9A3CE2-C7CE-4416-848D-B9CFF03F0138}">
      <text>
        <t>[线程批注]
你的Excel版本可读取此线程批注; 但如果在更新版本的Excel中打开文件，则对批注所作的任何改动都将被删除。了解详细信息: https://go.microsoft.com/fwlink/?linkid=870924
注释:
    星沙工厂2022年4月投产</t>
      </text>
    </comment>
    <comment ref="J18" authorId="20" shapeId="0" xr:uid="{42B779B3-5946-4FC1-85DC-631452931082}">
      <text>
        <r>
          <rPr>
            <b/>
            <sz val="9"/>
            <color rgb="FF000000"/>
            <rFont val="宋体"/>
            <family val="3"/>
            <charset val="134"/>
          </rPr>
          <t>kacchan:</t>
        </r>
        <r>
          <rPr>
            <sz val="9"/>
            <color rgb="FF000000"/>
            <rFont val="宋体"/>
            <family val="3"/>
            <charset val="134"/>
          </rPr>
          <t xml:space="preserve">
</t>
        </r>
        <r>
          <rPr>
            <sz val="9"/>
            <color rgb="FF000000"/>
            <rFont val="宋体"/>
            <family val="3"/>
            <charset val="134"/>
          </rPr>
          <t>动工时间：</t>
        </r>
        <r>
          <rPr>
            <sz val="9"/>
            <color rgb="FF000000"/>
            <rFont val="宋体"/>
            <family val="3"/>
            <charset val="134"/>
          </rPr>
          <t>2021</t>
        </r>
        <r>
          <rPr>
            <sz val="9"/>
            <color rgb="FF000000"/>
            <rFont val="宋体"/>
            <family val="3"/>
            <charset val="134"/>
          </rPr>
          <t>年</t>
        </r>
        <r>
          <rPr>
            <sz val="9"/>
            <color rgb="FF000000"/>
            <rFont val="宋体"/>
            <family val="3"/>
            <charset val="134"/>
          </rPr>
          <t>8</t>
        </r>
        <r>
          <rPr>
            <sz val="9"/>
            <color rgb="FF000000"/>
            <rFont val="宋体"/>
            <family val="3"/>
            <charset val="134"/>
          </rPr>
          <t>月</t>
        </r>
        <r>
          <rPr>
            <sz val="9"/>
            <color rgb="FF000000"/>
            <rFont val="宋体"/>
            <family val="3"/>
            <charset val="134"/>
          </rPr>
          <t xml:space="preserve">
</t>
        </r>
        <r>
          <rPr>
            <sz val="9"/>
            <color rgb="FF000000"/>
            <rFont val="宋体"/>
            <family val="3"/>
            <charset val="134"/>
          </rPr>
          <t>投产时间：</t>
        </r>
        <r>
          <rPr>
            <sz val="9"/>
            <color rgb="FF000000"/>
            <rFont val="宋体"/>
            <family val="3"/>
            <charset val="134"/>
          </rPr>
          <t>2023</t>
        </r>
        <r>
          <rPr>
            <sz val="9"/>
            <color rgb="FF000000"/>
            <rFont val="宋体"/>
            <family val="3"/>
            <charset val="134"/>
          </rPr>
          <t>年</t>
        </r>
      </text>
    </comment>
    <comment ref="U18" authorId="34" shapeId="0" xr:uid="{B432BFFA-167C-6849-8AD6-900A3EE99B8F}">
      <text>
        <t>[线程批注]
你的Excel版本可读取此线程批注; 但如果在更新版本的Excel中打开文件，则对批注所作的任何改动都将被删除。了解详细信息: https://go.microsoft.com/fwlink/?linkid=870924
注释:
    预计9月份即可实现满产</t>
      </text>
    </comment>
    <comment ref="AO18" authorId="35" shapeId="0" xr:uid="{C4623967-D9E9-45F7-9216-85F854A1EDAB}">
      <text>
        <t>[线程批注]
你的Excel版本可读取此线程批注; 但如果在更新版本的Excel中打开文件，则对批注所作的任何改动都将被删除。了解详细信息: https://go.microsoft.com/fwlink/?linkid=870924
注释:
    up to 90%</t>
      </text>
    </comment>
    <comment ref="J20" authorId="20" shapeId="0" xr:uid="{EAAA4996-DB07-4717-A7EB-297D6332C794}">
      <text>
        <r>
          <rPr>
            <b/>
            <sz val="9"/>
            <color rgb="FF000000"/>
            <rFont val="宋体"/>
            <family val="3"/>
            <charset val="134"/>
          </rPr>
          <t>kacchan:</t>
        </r>
        <r>
          <rPr>
            <sz val="9"/>
            <color rgb="FF000000"/>
            <rFont val="宋体"/>
            <family val="3"/>
            <charset val="134"/>
          </rPr>
          <t xml:space="preserve">
</t>
        </r>
        <r>
          <rPr>
            <sz val="9"/>
            <color rgb="FF000000"/>
            <rFont val="宋体"/>
            <family val="3"/>
            <charset val="134"/>
          </rPr>
          <t>建设时间：</t>
        </r>
        <r>
          <rPr>
            <sz val="9"/>
            <color rgb="FF000000"/>
            <rFont val="宋体"/>
            <family val="3"/>
            <charset val="134"/>
          </rPr>
          <t xml:space="preserve">2021
</t>
        </r>
        <r>
          <rPr>
            <sz val="9"/>
            <color rgb="FF000000"/>
            <rFont val="宋体"/>
            <family val="3"/>
            <charset val="134"/>
          </rPr>
          <t>投产时间：</t>
        </r>
        <r>
          <rPr>
            <sz val="9"/>
            <color rgb="FF000000"/>
            <rFont val="宋体"/>
            <family val="3"/>
            <charset val="134"/>
          </rPr>
          <t>2023</t>
        </r>
      </text>
    </comment>
    <comment ref="AO20" authorId="36" shapeId="0" xr:uid="{6B3AC96F-5BD4-4A88-BC35-75677CC64031}">
      <text>
        <t>[线程批注]
你的Excel版本可读取此线程批注; 但如果在更新版本的Excel中打开文件，则对批注所作的任何改动都将被删除。了解详细信息: https://go.microsoft.com/fwlink/?linkid=870924
注释:
    up to 90%</t>
      </text>
    </comment>
    <comment ref="AO22" authorId="37" shapeId="0" xr:uid="{9AD2E63C-A305-47EF-B7B4-40432F0C099C}">
      <text>
        <t>[线程批注]
你的Excel版本可读取此线程批注; 但如果在更新版本的Excel中打开文件，则对批注所作的任何改动都将被删除。了解详细信息: https://go.microsoft.com/fwlink/?linkid=870924
注释:
    up to 90%</t>
      </text>
    </comment>
    <comment ref="AO23" authorId="38" shapeId="0" xr:uid="{19A27291-DFE8-4AE1-A226-9246644BCC25}">
      <text>
        <t>[线程批注]
你的Excel版本可读取此线程批注; 但如果在更新版本的Excel中打开文件，则对批注所作的任何改动都将被删除。了解详细信息: https://go.microsoft.com/fwlink/?linkid=870924
注释:
    up to 90%</t>
      </text>
    </comment>
    <comment ref="AO24" authorId="39" shapeId="0" xr:uid="{A05D5AFE-3F81-4263-82A8-D2C3383A5EF7}">
      <text>
        <t>[线程批注]
你的Excel版本可读取此线程批注; 但如果在更新版本的Excel中打开文件，则对批注所作的任何改动都将被删除。了解详细信息: https://go.microsoft.com/fwlink/?linkid=870924
注释:
    up to 90%</t>
      </text>
    </comment>
    <comment ref="D27" authorId="40" shapeId="0" xr:uid="{BF4A57F8-7E5D-40C5-B872-2B88E8C3827A}">
      <text>
        <t>[线程批注]
你的Excel版本可读取此线程批注; 但如果在更新版本的Excel中打开文件，则对批注所作的任何改动都将被删除。了解详细信息: https://go.microsoft.com/fwlink/?linkid=870924
注释:
      JAC is a major state-owned automobile manufacturer in China that currently manufactures the NIO vehicles in delivery, including the ES8, ES6 and EC6, in the Hefei JAC-NIO manufacturing plant designed and constructed for NIO vehicles. Jianglai is a joint venture for operation management established by JAC and NIO where NIO holds 49% equity interests.
  Pursuant to the joint manufacturing arrangement, from May 2021 to May 2024, JAC will continue to manufacture the ES8, ES6, EC6, ET7 and potentially other NIO models in the pipeline.
Source: https://ir.nio.com/news-events/news-releases/news-release-details/nio-announces-renewal-joint-manufacturing</t>
      </text>
    </comment>
    <comment ref="J27" authorId="41" shapeId="0" xr:uid="{0AB2124F-C422-4713-9343-F8F9C31A2D71}">
      <text>
        <t>[线程批注]
你的Excel版本可读取此线程批注; 但如果在更新版本的Excel中打开文件，则对批注所作的任何改动都将被删除。了解详细信息: https://go.microsoft.com/fwlink/?linkid=870924
注释:
    预计将扩至240000
答复:
    The company said at the time that by the end of this year and early next year, its plant would be able to achieve an annual capacity of 150,000 vehicles on a single shift and 300,000 on a double shift.</t>
      </text>
    </comment>
    <comment ref="T27" authorId="42" shapeId="0" xr:uid="{B27DB668-D984-4C66-B9E4-CD51ABD32DEA}">
      <text>
        <t>[线程批注]
你的Excel版本可读取此线程批注; 但如果在更新版本的Excel中打开文件，则对批注所作的任何改动都将被删除。了解详细信息: https://go.microsoft.com/fwlink/?linkid=870924
注释:
    预计将扩至240000
答复:
    Source: https://www.autonews.com/china/nio-double-capacity-china-assembly-plant
答复:
    BEIJING -- Electric vehicle maker Nio Inc. said it would double the capacity of its Hefei plant to 240,000 vehicles a year, up from 120,000 units.</t>
      </text>
    </comment>
    <comment ref="AO27" authorId="43" shapeId="0" xr:uid="{FA360F0C-37AF-45F4-A18D-521FB83B4A1B}">
      <text>
        <t>[线程批注]
你的Excel版本可读取此线程批注; 但如果在更新版本的Excel中打开文件，则对批注所作的任何改动都将被删除。了解详细信息: https://go.microsoft.com/fwlink/?linkid=870924
注释:
    蔚来表示，从6月起销量回升，估计至今年下半年末总产能将可翻倍至每月3万辆，因蔚来推新车型和升级後的 SUV可从第三季起提供充分的市场机会，料一号工厂可以在第三季度的某个时候全速运行；二号工厂将在今年第四季度提供额外动力。
答复:
    参考2020年疫情冲击，估计今年的产能利用率为40%左右，故将原公式中80%修改为70%</t>
      </text>
    </comment>
    <comment ref="BH27" authorId="44" shapeId="0" xr:uid="{83634A92-FACD-4D5F-B84C-DB29574E56BB}">
      <text>
        <t>[线程批注]
你的Excel版本可读取此线程批注; 但如果在更新版本的Excel中打开文件，则对批注所作的任何改动都将被删除。了解详细信息: https://go.microsoft.com/fwlink/?linkid=870924
注释:
    9m 66k</t>
      </text>
    </comment>
    <comment ref="BZ27" authorId="45" shapeId="0" xr:uid="{AE9C89CA-96A2-43B9-8503-A4309A44ED15}">
      <text>
        <t>[线程批注]
你的Excel版本可读取此线程批注; 但如果在更新版本的Excel中打开文件，则对批注所作的任何改动都将被删除。了解详细信息: https://go.microsoft.com/fwlink/?linkid=870924
注释:
    目前只有F1工厂在生产，则交付量全部来自于F1</t>
      </text>
    </comment>
    <comment ref="C28" authorId="46" shapeId="0" xr:uid="{A9D09DC4-D68C-4888-BBA0-03A2C3B77CFC}">
      <text>
        <t>[线程批注]
你的Excel版本可读取此线程批注; 但如果在更新版本的Excel中打开文件，则对批注所作的任何改动都将被删除。了解详细信息: https://go.microsoft.com/fwlink/?linkid=870924
注释:
    Another 300,000 units of capacity will come from the plant currently under construction in NeoPark, which is expected to be completed in the second half of 2022, the team said.
The new plant will be used to produce the ET5 sedan and another yet-to-be-announced model based on the NT2.0 platform, according to the team.
答复:
    With an annual production capacity of 1 million vehicles and 100 GWh battery, NeoPark is expected to realize a gross yearly output of RMB 500 billion.
答复:
    位于合肥新桥智能电动汽车产业园区的第二生产基地进展顺利，计划第三季度正式投产。
答复:
    在投入与产能方面，新基地先期将投入500亿元，规划整车产能100万辆/年，电池产能100GWh/年。建成后，预计将拥有超过10000名研发人员，超过4万名技术工人，总年产值超过5000亿元。</t>
      </text>
    </comment>
    <comment ref="K28" authorId="47" shapeId="0" xr:uid="{7B9EC1C9-C019-4F95-B656-CF3DBC2E238B}">
      <text>
        <t>[线程批注]
你的Excel版本可读取此线程批注; 但如果在更新版本的Excel中打开文件，则对批注所作的任何改动都将被删除。了解详细信息: https://go.microsoft.com/fwlink/?linkid=870924
注释:
    With an annual production capacity of 1 million vehicles and 100 GWh battery, NeoPark is expected to realize a gross yearly output of RMB 500 billion.</t>
      </text>
    </comment>
    <comment ref="L28" authorId="48" shapeId="0" xr:uid="{89EA416D-9777-4EB3-BED1-57EC717D9ECD}">
      <text>
        <t>[线程批注]
你的Excel版本可读取此线程批注; 但如果在更新版本的Excel中打开文件，则对批注所作的任何改动都将被删除。了解详细信息: https://go.microsoft.com/fwlink/?linkid=870924
注释:
    With an annual production capacity of 1 million vehicles and 100 GWh battery, NeoPark is expected to realize a gross yearly output of RMB 500 billion.</t>
      </text>
    </comment>
    <comment ref="M28" authorId="49" shapeId="0" xr:uid="{C4DA3A3E-EF43-493B-9D21-CA6716C0286A}">
      <text>
        <t>[线程批注]
你的Excel版本可读取此线程批注; 但如果在更新版本的Excel中打开文件，则对批注所作的任何改动都将被删除。了解详细信息: https://go.microsoft.com/fwlink/?linkid=870924
注释:
    With an annual production capacity of 1 million vehicles and 100 GWh battery, NeoPark is expected to realize a gross yearly output of RMB 500 billion.</t>
      </text>
    </comment>
    <comment ref="N28" authorId="50" shapeId="0" xr:uid="{31575001-2B6C-4D13-99D5-07DD3C05E390}">
      <text>
        <t>[线程批注]
你的Excel版本可读取此线程批注; 但如果在更新版本的Excel中打开文件，则对批注所作的任何改动都将被删除。了解详细信息: https://go.microsoft.com/fwlink/?linkid=870924
注释:
    With an annual production capacity of 1 million vehicles and 100 GWh battery, NeoPark is expected to realize a gross yearly output of RMB 500 billion.</t>
      </text>
    </comment>
    <comment ref="T28" authorId="51" shapeId="0" xr:uid="{FA03736C-1F78-4C81-BB8C-35FD8369CDD4}">
      <text>
        <t>[线程批注]
你的Excel版本可读取此线程批注; 但如果在更新版本的Excel中打开文件，则对批注所作的任何改动都将被删除。了解详细信息: https://go.microsoft.com/fwlink/?linkid=870924
注释:
Another 300,000 units of capacity will come from the plant currently under construction in NeoPark, which is expected to be completed in the second half of 2022, the team said.
The new plant will be used to produce the ET5 sedan and another yet-to-be-announced model based on the NT2.0 platform, according to the team.</t>
      </text>
    </comment>
    <comment ref="V28" authorId="52" shapeId="0" xr:uid="{0EFCDACD-E61C-4487-8825-D1940AC5A026}">
      <text>
        <t>[线程批注]
你的Excel版本可读取此线程批注; 但如果在更新版本的Excel中打开文件，则对批注所作的任何改动都将被删除。了解详细信息: https://go.microsoft.com/fwlink/?linkid=870924
注释:
    Can't find source for this</t>
      </text>
    </comment>
    <comment ref="AR28" authorId="53" shapeId="0" xr:uid="{E91CB07C-467C-4EA3-A73C-31477708633A}">
      <text>
        <t>[线程批注]
你的Excel版本可读取此线程批注; 但如果在更新版本的Excel中打开文件，则对批注所作的任何改动都将被删除。了解详细信息: https://go.microsoft.com/fwlink/?linkid=870924
注释:
    I added this</t>
      </text>
    </comment>
    <comment ref="AT30" authorId="54" shapeId="0" xr:uid="{F00FB3E1-4CA9-4419-AE6C-8D17D97A0D6B}">
      <text>
        <t>[线程批注]
你的Excel版本可读取此线程批注; 但如果在更新版本的Excel中打开文件，则对批注所作的任何改动都将被删除。了解详细信息: https://go.microsoft.com/fwlink/?linkid=870924
注释:
    Capital IQ Pro doesn't show the value for 2016 &amp; 2017</t>
      </text>
    </comment>
    <comment ref="AY30" authorId="55" shapeId="0" xr:uid="{E3DF0BDF-E12B-42BB-9052-15753C482BDB}">
      <text>
        <t>[线程批注]
你的Excel版本可读取此线程批注; 但如果在更新版本的Excel中打开文件，则对批注所作的任何改动都将被删除。了解详细信息: https://go.microsoft.com/fwlink/?linkid=870924
注释:
    I used the value of the latest quater instead</t>
      </text>
    </comment>
    <comment ref="BI30" authorId="56" shapeId="0" xr:uid="{F4F6122C-D41A-4824-BAE0-A44B99251A8D}">
      <text>
        <t>[线程批注]
你的Excel版本可读取此线程批注; 但如果在更新版本的Excel中打开文件，则对批注所作的任何改动都将被删除。了解详细信息: https://go.microsoft.com/fwlink/?linkid=870924
注释:
    Vehicle deliveries were 122,486 in 2022, representing an increase of 34.0% from 2021. NIO Inc. Reports Unaudited Fourth Quarter and Full Year 2022 Financial Results</t>
      </text>
    </comment>
    <comment ref="CA30" authorId="57" shapeId="0" xr:uid="{DA97E8CB-3571-4C32-A14E-EA529BF79D53}">
      <text>
        <t>[线程批注]
你的Excel版本可读取此线程批注; 但如果在更新版本的Excel中打开文件，则对批注所作的任何改动都将被删除。了解详细信息: https://go.microsoft.com/fwlink/?linkid=870924
注释:
    Vehicle deliveries were 122,486 in 2022, representing an increase of 34.0% from 2021. NIO Inc. Reports Unaudited Fourth Quarter and Full Year 2022 Financial Results</t>
      </text>
    </comment>
    <comment ref="AY34" authorId="58" shapeId="0" xr:uid="{E45D0D2F-8079-46E6-B447-C909D99B6644}">
      <text>
        <t>[线程批注]
你的Excel版本可读取此线程批注; 但如果在更新版本的Excel中打开文件，则对批注所作的任何改动都将被删除。了解详细信息: https://go.microsoft.com/fwlink/?linkid=870924
注释:
    Q3</t>
      </text>
    </comment>
    <comment ref="C39" authorId="59" shapeId="0" xr:uid="{022F9898-2C8D-4396-86A4-BD27BEF7C289}">
      <text>
        <t>[线程批注]
你的Excel版本可读取此线程批注; 但如果在更新版本的Excel中打开文件，则对批注所作的任何改动都将被删除。了解详细信息: https://go.microsoft.com/fwlink/?linkid=870924
注释:
    2011年投产</t>
      </text>
    </comment>
    <comment ref="C40" authorId="60" shapeId="0" xr:uid="{8511C9B5-4E3C-450A-A6A6-0082744B41C8}">
      <text>
        <t>[线程批注]
你的Excel版本可读取此线程批注; 但如果在更新版本的Excel中打开文件，则对批注所作的任何改动都将被删除。了解详细信息: https://go.microsoft.com/fwlink/?linkid=870924
注释:
    2015年投产</t>
      </text>
    </comment>
    <comment ref="C41" authorId="61" shapeId="0" xr:uid="{5DC1B8B8-27D9-4D2A-B51A-AC850E126007}">
      <text>
        <t>[线程批注]
你的Excel版本可读取此线程批注; 但如果在更新版本的Excel中打开文件，则对批注所作的任何改动都将被删除。了解详细信息: https://go.microsoft.com/fwlink/?linkid=870924
注释:
    2016年投产
答复:
    实际于2015年年底投产</t>
      </text>
    </comment>
    <comment ref="C42" authorId="62" shapeId="0" xr:uid="{4D954A4D-4201-4814-A82B-049EC3625C2E}">
      <text>
        <t>[线程批注]
你的Excel版本可读取此线程批注; 但如果在更新版本的Excel中打开文件，则对批注所作的任何改动都将被删除。了解详细信息: https://go.microsoft.com/fwlink/?linkid=870924
注释:
    2018年6月投产</t>
      </text>
    </comment>
    <comment ref="C43" authorId="63" shapeId="0" xr:uid="{5F6B28D6-5C0F-4394-BD35-3E28FC8E8A27}">
      <text>
        <t>[线程批注]
你的Excel版本可读取此线程批注; 但如果在更新版本的Excel中打开文件，则对批注所作的任何改动都将被删除。了解详细信息: https://go.microsoft.com/fwlink/?linkid=870924
注释:
    2021年3月投产</t>
      </text>
    </comment>
    <comment ref="D43" authorId="64" shapeId="0" xr:uid="{128872A0-675E-4568-BE02-461965F9E2A0}">
      <text>
        <t>[线程批注]
你的Excel版本可读取此线程批注; 但如果在更新版本的Excel中打开文件，则对批注所作的任何改动都将被删除。了解详细信息: https://go.microsoft.com/fwlink/?linkid=870924
注释:
    21年8月改为生产刀片</t>
      </text>
    </comment>
    <comment ref="C44" authorId="65" shapeId="0" xr:uid="{835AAC89-976A-4500-8BAD-866AA1A6C147}">
      <text>
        <t>[线程批注]
你的Excel版本可读取此线程批注; 但如果在更新版本的Excel中打开文件，则对批注所作的任何改动都将被删除。了解详细信息: https://go.microsoft.com/fwlink/?linkid=870924
注释:
    2020年3月投产</t>
      </text>
    </comment>
    <comment ref="C45" authorId="66" shapeId="0" xr:uid="{23DB6AD9-483E-4762-BEA7-D926797C00D0}">
      <text>
        <t>[线程批注]
你的Excel版本可读取此线程批注; 但如果在更新版本的Excel中打开文件，则对批注所作的任何改动都将被删除。了解详细信息: https://go.microsoft.com/fwlink/?linkid=870924
注释:
    2021年8月投产</t>
      </text>
    </comment>
    <comment ref="C46" authorId="67" shapeId="0" xr:uid="{163E046C-831C-4B99-B6B9-A853F2C949E3}">
      <text>
        <t>[线程批注]
你的Excel版本可读取此线程批注; 但如果在更新版本的Excel中打开文件，则对批注所作的任何改动都将被删除。了解详细信息: https://go.microsoft.com/fwlink/?linkid=870924
注释:
    预计2022年Q3 投产</t>
      </text>
    </comment>
    <comment ref="C47" authorId="68" shapeId="0" xr:uid="{FC74A432-7A66-4785-B4CA-F6C19464A1FE}">
      <text>
        <t>[线程批注]
你的Excel版本可读取此线程批注; 但如果在更新版本的Excel中打开文件，则对批注所作的任何改动都将被删除。了解详细信息: https://go.microsoft.com/fwlink/?linkid=870924
注释:
    2020年投产</t>
      </text>
    </comment>
    <comment ref="C48" authorId="69" shapeId="0" xr:uid="{AE16CB99-4B9E-4E88-85F7-A827AEFD34D7}">
      <text>
        <t>[线程批注]
你的Excel版本可读取此线程批注; 但如果在更新版本的Excel中打开文件，则对批注所作的任何改动都将被删除。了解详细信息: https://go.microsoft.com/fwlink/?linkid=870924
注释:
    2021年12月底投产</t>
      </text>
    </comment>
    <comment ref="C49" authorId="70" shapeId="0" xr:uid="{17C2332E-67F5-4A67-AA33-35FF016AE5CF}">
      <text>
        <t>[线程批注]
你的Excel版本可读取此线程批注; 但如果在更新版本的Excel中打开文件，则对批注所作的任何改动都将被删除。了解详细信息: https://go.microsoft.com/fwlink/?linkid=870924
注释:
    预计2022年Q3建成</t>
      </text>
    </comment>
    <comment ref="C50" authorId="71" shapeId="0" xr:uid="{0E9C5273-1805-4C51-8557-8CCC5786A476}">
      <text>
        <t>[线程批注]
你的Excel版本可读取此线程批注; 但如果在更新版本的Excel中打开文件，则对批注所作的任何改动都将被删除。了解详细信息: https://go.microsoft.com/fwlink/?linkid=870924
注释:
    2020年12月底投产</t>
      </text>
    </comment>
    <comment ref="C51" authorId="72" shapeId="0" xr:uid="{3AD1948D-A841-4927-81F8-BC8E09306E8B}">
      <text>
        <t>[线程批注]
你的Excel版本可读取此线程批注; 但如果在更新版本的Excel中打开文件，则对批注所作的任何改动都将被删除。了解详细信息: https://go.microsoft.com/fwlink/?linkid=870924
注释:
    预计2023年投产</t>
      </text>
    </comment>
    <comment ref="C52" authorId="73" shapeId="0" xr:uid="{07DBC770-EFC6-4B13-96C9-92DC4BBEC76D}">
      <text>
        <t>[线程批注]
你的Excel版本可读取此线程批注; 但如果在更新版本的Excel中打开文件，则对批注所作的任何改动都将被删除。了解详细信息: https://go.microsoft.com/fwlink/?linkid=870924
注释:
    2021年7月投产</t>
      </text>
    </comment>
    <comment ref="C53" authorId="74" shapeId="0" xr:uid="{9779C2E9-62D7-4B24-8225-E385B01A51EC}">
      <text>
        <t>[线程批注]
你的Excel版本可读取此线程批注; 但如果在更新版本的Excel中打开文件，则对批注所作的任何改动都将被删除。了解详细信息: https://go.microsoft.com/fwlink/?linkid=870924
注释:
    2022年1月建成</t>
      </text>
    </comment>
    <comment ref="C54" authorId="75" shapeId="0" xr:uid="{D46DDEFB-A786-48A6-B760-1A88EA803123}">
      <text>
        <t>[线程批注]
你的Excel版本可读取此线程批注; 但如果在更新版本的Excel中打开文件，则对批注所作的任何改动都将被删除。了解详细信息: https://go.microsoft.com/fwlink/?linkid=870924
注释:
    2021年6月投产</t>
      </text>
    </comment>
    <comment ref="C55" authorId="76" shapeId="0" xr:uid="{05CEEC02-0DEF-4FF9-A71D-F6F9336B7112}">
      <text>
        <t>[线程批注]
你的Excel版本可读取此线程批注; 但如果在更新版本的Excel中打开文件，则对批注所作的任何改动都将被删除。了解详细信息: https://go.microsoft.com/fwlink/?linkid=870924
注释:
    预计2022年Q2建成</t>
      </text>
    </comment>
    <comment ref="C56" authorId="77" shapeId="0" xr:uid="{B504E0F4-FE65-48CE-90CA-58E70EC549C6}">
      <text>
        <t>[线程批注]
你的Excel版本可读取此线程批注; 但如果在更新版本的Excel中打开文件，则对批注所作的任何改动都将被删除。了解详细信息: https://go.microsoft.com/fwlink/?linkid=870924
注释:
    预计22年1月建成</t>
      </text>
    </comment>
    <comment ref="C57" authorId="78" shapeId="0" xr:uid="{072EB206-E39C-4245-BDF7-33ECA38AF306}">
      <text>
        <t>[线程批注]
你的Excel版本可读取此线程批注; 但如果在更新版本的Excel中打开文件，则对批注所作的任何改动都将被删除。了解详细信息: https://go.microsoft.com/fwlink/?linkid=870924
注释:
    预计2022年4月建成</t>
      </text>
    </comment>
    <comment ref="C58" authorId="79" shapeId="0" xr:uid="{F4CD8BD8-0FB3-4709-A47A-7AE6FE98DD05}">
      <text>
        <t>[线程批注]
你的Excel版本可读取此线程批注; 但如果在更新版本的Excel中打开文件，则对批注所作的任何改动都将被删除。了解详细信息: https://go.microsoft.com/fwlink/?linkid=870924
注释:
    预计2023年Q3建成</t>
      </text>
    </comment>
    <comment ref="C59" authorId="80" shapeId="0" xr:uid="{B19E7441-F95C-4652-82DD-BA32BA87A018}">
      <text>
        <t>[线程批注]
你的Excel版本可读取此线程批注; 但如果在更新版本的Excel中打开文件，则对批注所作的任何改动都将被删除。了解详细信息: https://go.microsoft.com/fwlink/?linkid=870924
注释:
    预计22年5月建成</t>
      </text>
    </comment>
    <comment ref="C60" authorId="81" shapeId="0" xr:uid="{4D99D3D9-8DAF-41FC-ACB3-09DE8CAA04AA}">
      <text>
        <t xml:space="preserve">[线程批注]
你的Excel版本可读取此线程批注; 但如果在更新版本的Excel中打开文件，则对批注所作的任何改动都将被删除。了解详细信息: https://go.microsoft.com/fwlink/?linkid=870924
注释:
    预计2023年Q3建成
</t>
      </text>
    </comment>
    <comment ref="C61" authorId="82" shapeId="0" xr:uid="{EBC9FADD-88C6-4EC3-995C-1E1FE6AF3987}">
      <text>
        <t>[线程批注]
你的Excel版本可读取此线程批注; 但如果在更新版本的Excel中打开文件，则对批注所作的任何改动都将被删除。了解详细信息: https://go.microsoft.com/fwlink/?linkid=870924
注释:
    10GWh将于2022年Q1投产，剩余预计2023年投产</t>
      </text>
    </comment>
    <comment ref="C62" authorId="83" shapeId="0" xr:uid="{7E75B92C-19CA-49A1-8B75-7BA49E5B4642}">
      <text>
        <t>[线程批注]
你的Excel版本可读取此线程批注; 但如果在更新版本的Excel中打开文件，则对批注所作的任何改动都将被删除。了解详细信息: https://go.microsoft.com/fwlink/?linkid=870924
注释:
    预计2022年Q2建成</t>
      </text>
    </comment>
    <comment ref="C63" authorId="84" shapeId="0" xr:uid="{D810EF66-B049-4AF7-84B6-CBC242BBCD3A}">
      <text>
        <t>[线程批注]
你的Excel版本可读取此线程批注; 但如果在更新版本的Excel中打开文件，则对批注所作的任何改动都将被删除。了解详细信息: https://go.microsoft.com/fwlink/?linkid=870924
注释:
    预计2023年8月建成</t>
      </text>
    </comment>
    <comment ref="C64" authorId="85" shapeId="0" xr:uid="{5E8015DD-A10F-4BF4-87F5-59647818A38A}">
      <text>
        <t>[线程批注]
你的Excel版本可读取此线程批注; 但如果在更新版本的Excel中打开文件，则对批注所作的任何改动都将被删除。了解详细信息: https://go.microsoft.com/fwlink/?linkid=870924
注释:
    预计2022年Q3建成</t>
      </text>
    </comment>
    <comment ref="C65" authorId="86" shapeId="0" xr:uid="{B6262E8B-B798-4B92-AB6E-5E0523228B23}">
      <text>
        <t>[线程批注]
你的Excel版本可读取此线程批注; 但如果在更新版本的Excel中打开文件，则对批注所作的任何改动都将被删除。了解详细信息: https://go.microsoft.com/fwlink/?linkid=870924
注释:
    预计2023年Q3建成</t>
      </text>
    </comment>
    <comment ref="C66" authorId="87" shapeId="0" xr:uid="{90DE0A42-A661-4ADD-9D88-5ABCBB8E7DD9}">
      <text>
        <t>[线程批注]
你的Excel版本可读取此线程批注; 但如果在更新版本的Excel中打开文件，则对批注所作的任何改动都将被删除。了解详细信息: https://go.microsoft.com/fwlink/?linkid=870924
注释:
    预计2022年Q3投产</t>
      </text>
    </comment>
    <comment ref="C67" authorId="88" shapeId="0" xr:uid="{2D40057B-F955-4207-A43B-4C1B0C4F6F42}">
      <text>
        <t>[线程批注]
你的Excel版本可读取此线程批注; 但如果在更新版本的Excel中打开文件，则对批注所作的任何改动都将被删除。了解详细信息: https://go.microsoft.com/fwlink/?linkid=870924
注释:
    预计22年Q3投产</t>
      </text>
    </comment>
    <comment ref="C68" authorId="89" shapeId="0" xr:uid="{B272AC1A-28C2-4D21-A224-EDF3CB44E36F}">
      <text>
        <t>[线程批注]
你的Excel版本可读取此线程批注; 但如果在更新版本的Excel中打开文件，则对批注所作的任何改动都将被删除。了解详细信息: https://go.microsoft.com/fwlink/?linkid=870924
注释:
    预计23年投产</t>
      </text>
    </comment>
    <comment ref="C69" authorId="90" shapeId="0" xr:uid="{E7DBB488-2AC9-4F28-A2CB-78DBDFE5C364}">
      <text>
        <t>[线程批注]
你的Excel版本可读取此线程批注; 但如果在更新版本的Excel中打开文件，则对批注所作的任何改动都将被删除。了解详细信息: https://go.microsoft.com/fwlink/?linkid=870924
注释:
    预计15GWh 2022年Q3建成,5GWh待定</t>
      </text>
    </comment>
    <comment ref="C70" authorId="91" shapeId="0" xr:uid="{3F13B185-843D-4C33-9B6A-9004B695FB5B}">
      <text>
        <t>[线程批注]
你的Excel版本可读取此线程批注; 但如果在更新版本的Excel中打开文件，则对批注所作的任何改动都将被删除。了解详细信息: https://go.microsoft.com/fwlink/?linkid=870924
注释:
    洽谈中</t>
      </text>
    </comment>
    <comment ref="C71" authorId="92" shapeId="0" xr:uid="{238356E0-F66F-4B0A-B3EC-3B6A00131094}">
      <text>
        <t>[线程批注]
你的Excel版本可读取此线程批注; 但如果在更新版本的Excel中打开文件，则对批注所作的任何改动都将被删除。了解详细信息: https://go.microsoft.com/fwlink/?linkid=870924
注释:
    洽谈中</t>
      </text>
    </comment>
    <comment ref="BQ77" authorId="93" shapeId="0" xr:uid="{948F3064-599D-497B-BD90-578BD59D18CB}">
      <text>
        <t xml:space="preserve">[线程批注]
你的Excel版本可读取此线程批注; 但如果在更新版本的Excel中打开文件，则对批注所作的任何改动都将被删除。了解详细信息: https://go.microsoft.com/fwlink/?linkid=870924
注释:
    本公司 2022 年 12 月新能源汽车动力电池及储能电池装机总量约为 11.152GWh，2022 年累计装机总量约为 89.836GWh。 </t>
      </text>
    </comment>
    <comment ref="CA77" authorId="94" shapeId="0" xr:uid="{994FA45E-5E3D-4AD1-AA45-122BC17719D3}">
      <text>
        <t>[线程批注]
你的Excel版本可读取此线程批注; 但如果在更新版本的Excel中打开文件，则对批注所作的任何改动都将被删除。了解详细信息: https://go.microsoft.com/fwlink/?linkid=870924
注释:
    2022年比亚迪储能电池全球出货量达14GWh</t>
      </text>
    </comment>
    <comment ref="BI78" authorId="95" shapeId="0" xr:uid="{21F48951-927A-4ED6-A5A0-A521283A29FD}">
      <text>
        <t>[线程批注]
你的Excel版本可读取此线程批注; 但如果在更新版本的Excel中打开文件，则对批注所作的任何改动都将被删除。了解详细信息: https://go.microsoft.com/fwlink/?linkid=870924
注释:
    前3个月+4+5月</t>
      </text>
    </comment>
    <comment ref="BI83" authorId="96" shapeId="0" xr:uid="{9E9EC000-C0CC-48C8-BD37-1483D066FFC1}">
      <text>
        <t>[线程批注]
你的Excel版本可读取此线程批注; 但如果在更新版本的Excel中打开文件，则对批注所作的任何改动都将被删除。了解详细信息: https://go.microsoft.com/fwlink/?linkid=870924
注释:
    预计2022年全年产量</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tc={C82C8185-048B-5442-BD02-80939061986E}</author>
    <author>tc={FD375630-B9D3-9941-B2D5-4E6F097264E5}</author>
    <author>tc={ADDB92D4-3AC2-49A1-A564-C37E3F0C77D8}</author>
    <author>tc={1A0C14A3-B77D-7E48-84D5-CF5B5F1A21F8}</author>
    <author>tc={A4883DC2-404B-4FE2-A124-D2BE5C73FB68}</author>
    <author>tc={99AA423A-A83A-4397-B618-0F6CA542F9DE}</author>
    <author>tc={7B92C81C-C2F3-394A-BF68-5DA749221C56}</author>
    <author>tc={0407D01F-EFF4-4A8C-8584-77D29911C010}</author>
    <author>tc={46DEFECD-3046-46ED-837B-DB36C1EB5434}</author>
    <author>tc={2153790A-46CA-4298-91B9-910DED239336}</author>
    <author>tc={8B410811-221A-4921-B68F-723785243F5C}</author>
    <author>tc={25FDB5AD-2E00-4335-8819-C4FCAD4677F1}</author>
    <author>tc={43FC0227-EBC0-471E-9850-9F357AD08F16}</author>
    <author>tc={9905602F-8D56-4534-814E-36A1EB4C07C8}</author>
    <author>tc={F2103368-9D37-47D3-B5BA-C610F603B3EC}</author>
    <author>tc={1F0A1F14-2670-4C8A-B135-A4848CCEEEAE}</author>
    <author>tc={9313FA31-AEDB-4348-A47E-0C9356F59B5B}</author>
    <author>tc={D87BCEEF-D068-4ECE-A5F8-42FFC7C1C2F5}</author>
    <author>tc={721EA58A-4712-4423-8353-F141F2C72530}</author>
    <author>tc={FEFBD012-6BED-4A1B-B650-2589223B4A0D}</author>
    <author>tc={B769F0E4-7165-4CA3-91CC-0DE8D48F3581}</author>
    <author>tc={06E27B36-7D9A-4085-8FA2-8ECADB665C07}</author>
    <author>tc={3037883D-5A35-47AE-A6B2-879B616F8364}</author>
    <author>tc={21DEA267-52BB-4486-A1D2-9B9E3FD6E777}</author>
    <author>tc={3359E827-61AF-4B6A-B50F-2EF71AAE5F14}</author>
    <author>tc={2A23BE1C-29FC-4A2B-BEDD-BF38473D38B1}</author>
    <author>tc={20266986-1AE4-DD46-A34E-57E1682A9862}</author>
    <author>tc={1BC85889-CF17-4BB2-9E01-9DA6C5B2E107}</author>
    <author>kacchan</author>
    <author>tc={DBE91FC5-DDA5-CF40-96AC-6C16B50D63BC}</author>
    <author>tc={B2766950-EE23-4AFB-869A-5A4155FC2C36}</author>
    <author>tc={B1BDCE40-80A3-4269-A4D4-5285547D377C}</author>
    <author>tc={95AB122C-EA2C-EB46-AB56-8504878FA252}</author>
    <author>tc={A2713DDE-62E7-4241-9966-F1D3917D3488}</author>
    <author>tc={6FC33FA3-A84F-9A47-A71F-9CBF79D356B5}</author>
    <author>tc={C440F85E-5D93-894C-B2F2-78962C56DD14}</author>
    <author>tc={DB805C24-7BF5-F644-8748-1AD78CEFD017}</author>
    <author>tc={BA38C86D-5E31-48E4-8E05-850CB8C52446}</author>
    <author>tc={BC338E6E-5DB1-4BB1-A722-823BAFAB43A6}</author>
  </authors>
  <commentList>
    <comment ref="AC2" authorId="0" shapeId="0" xr:uid="{C82C8185-048B-5442-BD02-80939061986E}">
      <text>
        <t>[线程批注]
你的Excel版本可读取此线程批注; 但如果在更新版本的Excel中打开文件，则对批注所作的任何改动都将被删除。了解详细信息: https://go.microsoft.com/fwlink/?linkid=870924
注释:
    非vat，销售税，使用了50个州平均值</t>
      </text>
    </comment>
    <comment ref="AJ2" authorId="1" shapeId="0" xr:uid="{FD375630-B9D3-9941-B2D5-4E6F097264E5}">
      <text>
        <t>[线程批注]
你的Excel版本可读取此线程批注; 但如果在更新版本的Excel中打开文件，则对批注所作的任何改动都将被删除。了解详细信息: https://go.microsoft.com/fwlink/?linkid=870924
注释:
    德国税率</t>
      </text>
    </comment>
    <comment ref="C3" authorId="2" shapeId="0" xr:uid="{ADDB92D4-3AC2-49A1-A564-C37E3F0C77D8}">
      <text>
        <t>[线程批注]
你的Excel版本可读取此线程批注; 但如果在更新版本的Excel中打开文件，则对批注所作的任何改动都将被删除。了解详细信息: https://go.microsoft.com/fwlink/?linkid=870924
注释:
    This ratio is the toned down value of the transition from dealer price to manufacturer's wholesale price.</t>
      </text>
    </comment>
    <comment ref="M8" authorId="3" shapeId="0" xr:uid="{1A0C14A3-B77D-7E48-84D5-CF5B5F1A21F8}">
      <text>
        <t>[线程批注]
你的Excel版本可读取此线程批注; 但如果在更新版本的Excel中打开文件，则对批注所作的任何改动都将被删除。了解详细信息: https://go.microsoft.com/fwlink/?linkid=870924
注释:
    2023年
1月对US特斯拉价格下调</t>
      </text>
    </comment>
    <comment ref="CE8" authorId="4" shapeId="0" xr:uid="{A4883DC2-404B-4FE2-A124-D2BE5C73FB68}">
      <text>
        <t>[线程批注]
你的Excel版本可读取此线程批注; 但如果在更新版本的Excel中打开文件，则对批注所作的任何改动都将被删除。了解详细信息: https://go.microsoft.com/fwlink/?linkid=870924
注释:
    Teslike S/X</t>
      </text>
    </comment>
    <comment ref="AS11" authorId="5" shapeId="0" xr:uid="{99AA423A-A83A-4397-B618-0F6CA542F9DE}">
      <text>
        <t>[线程批注]
你的Excel版本可读取此线程批注; 但如果在更新版本的Excel中打开文件，则对批注所作的任何改动都将被删除。了解详细信息: https://go.microsoft.com/fwlink/?linkid=870924
注释:
    no subsidy above 300k</t>
      </text>
    </comment>
    <comment ref="BJ11" authorId="6" shapeId="0" xr:uid="{7B92C81C-C2F3-394A-BF68-5DA749221C56}">
      <text>
        <t>[线程批注]
你的Excel版本可读取此线程批注; 但如果在更新版本的Excel中打开文件，则对批注所作的任何改动都将被删除。了解详细信息: https://go.microsoft.com/fwlink/?linkid=870924
注释:
    long range和基础 比重各为50%</t>
      </text>
    </comment>
    <comment ref="BR15" authorId="7" shapeId="0" xr:uid="{0407D01F-EFF4-4A8C-8584-77D29911C010}">
      <text>
        <t>[线程批注]
你的Excel版本可读取此线程批注; 但如果在更新版本的Excel中打开文件，则对批注所作的任何改动都将被删除。了解详细信息: https://go.microsoft.com/fwlink/?linkid=870924
注释:
    The vehicle appeared on the Tesla online configurator in January, and late last week its price was cut by $2000.
答复:
    Currently, the Standard Range Model Y is available for order only over the phone or in person at Tesla showrooms.</t>
      </text>
    </comment>
    <comment ref="BS15" authorId="8" shapeId="0" xr:uid="{46DEFECD-3046-46ED-837B-DB36C1EB5434}">
      <text>
        <t>[线程批注]
你的Excel版本可读取此线程批注; 但如果在更新版本的Excel中打开文件，则对批注所作的任何改动都将被删除。了解详细信息: https://go.microsoft.com/fwlink/?linkid=870924
注释:
    no standard on sale</t>
      </text>
    </comment>
    <comment ref="BT15" authorId="9" shapeId="0" xr:uid="{2153790A-46CA-4298-91B9-910DED239336}">
      <text>
        <t>[线程批注]
你的Excel版本可读取此线程批注; 但如果在更新版本的Excel中打开文件，则对批注所作的任何改动都将被删除。了解详细信息: https://go.microsoft.com/fwlink/?linkid=870924
注释:
    no standard on sale</t>
      </text>
    </comment>
    <comment ref="AS16" authorId="10" shapeId="0" xr:uid="{8B410811-221A-4921-B68F-723785243F5C}">
      <text>
        <t>[线程批注]
你的Excel版本可读取此线程批注; 但如果在更新版本的Excel中打开文件，则对批注所作的任何改动都将被删除。了解详细信息: https://go.microsoft.com/fwlink/?linkid=870924
注释:
    no subsidy above 300k</t>
      </text>
    </comment>
    <comment ref="L18" authorId="11" shapeId="0" xr:uid="{25FDB5AD-2E00-4335-8819-C4FCAD4677F1}">
      <text>
        <t>[线程批注]
你的Excel版本可读取此线程批注; 但如果在更新版本的Excel中打开文件，则对批注所作的任何改动都将被删除。了解详细信息: https://go.microsoft.com/fwlink/?linkid=870924
注释:
    Lease deals for the Model Y Long Range edition start at $525 per month for 36 months — or around $200 less than estimated loan payments.
答复:
    For the two newer models (3 and Y), we will pay the minimum $4,500 down payment</t>
      </text>
    </comment>
    <comment ref="BQ18" authorId="12" shapeId="0" xr:uid="{43FC0227-EBC0-471E-9850-9F357AD08F16}">
      <text>
        <t>[线程批注]
你的Excel版本可读取此线程批注; 但如果在更新版本的Excel中打开文件，则对批注所作的任何改动都将被删除。了解详细信息: https://go.microsoft.com/fwlink/?linkid=870924
注释:
    Revenues grew about 30% year-over-year to about $268 million in Q2’20, despite the fact that the number of leased vehicles over the quarter declined. Tesla had about 55k vehicles under lease as of Q2’20, up from 39k vehicles in the year-ago quarter.</t>
      </text>
    </comment>
    <comment ref="F26" authorId="13" shapeId="0" xr:uid="{9905602F-8D56-4534-814E-36A1EB4C07C8}">
      <text>
        <t>[线程批注]
你的Excel版本可读取此线程批注; 但如果在更新版本的Excel中打开文件，则对批注所作的任何改动都将被删除。了解详细信息: https://go.microsoft.com/fwlink/?linkid=870924
注释:
    旗舰plus 5g版</t>
      </text>
    </comment>
    <comment ref="CZ26" authorId="14" shapeId="0" xr:uid="{F2103368-9D37-47D3-B5BA-C610F603B3EC}">
      <text>
        <t>[线程批注]
你的Excel版本可读取此线程批注; 但如果在更新版本的Excel中打开文件，则对批注所作的任何改动都将被删除。了解详细信息: https://go.microsoft.com/fwlink/?linkid=870924
注释:
    高配版最畅销</t>
      </text>
    </comment>
    <comment ref="F30" authorId="15" shapeId="0" xr:uid="{1F0A1F14-2670-4C8A-B135-A4848CCEEEAE}">
      <text>
        <t>[线程批注]
你的Excel版本可读取此线程批注; 但如果在更新版本的Excel中打开文件，则对批注所作的任何改动都将被删除。了解详细信息: https://go.microsoft.com/fwlink/?linkid=870924
注释:
    尊贵型</t>
      </text>
    </comment>
    <comment ref="G30" authorId="16" shapeId="0" xr:uid="{9313FA31-AEDB-4348-A47E-0C9356F59B5B}">
      <text>
        <t>[线程批注]
你的Excel版本可读取此线程批注; 但如果在更新版本的Excel中打开文件，则对批注所作的任何改动都将被删除。了解详细信息: https://go.microsoft.com/fwlink/?linkid=870924
注释:
    510km 尊荣型</t>
      </text>
    </comment>
    <comment ref="F33" authorId="17" shapeId="0" xr:uid="{D87BCEEF-D068-4ECE-A5F8-42FFC7C1C2F5}">
      <text>
        <t>[线程批注]
你的Excel版本可读取此线程批注; 但如果在更新版本的Excel中打开文件，则对批注所作的任何改动都将被删除。了解详细信息: https://go.microsoft.com/fwlink/?linkid=870924
注释:
    730KM版</t>
      </text>
    </comment>
    <comment ref="G33" authorId="18" shapeId="0" xr:uid="{721EA58A-4712-4423-8353-F141F2C72530}">
      <text>
        <t>[线程批注]
你的Excel版本可读取此线程批注; 但如果在更新版本的Excel中打开文件，则对批注所作的任何改动都将被删除。了解详细信息: https://go.microsoft.com/fwlink/?linkid=870924
注释:
    730km 尊享型</t>
      </text>
    </comment>
    <comment ref="F34" authorId="19" shapeId="0" xr:uid="{FEFBD012-6BED-4A1B-B650-2589223B4A0D}">
      <text>
        <t>[线程批注]
你的Excel版本可读取此线程批注; 但如果在更新版本的Excel中打开文件，则对批注所作的任何改动都将被删除。了解详细信息: https://go.microsoft.com/fwlink/?linkid=870924
注释:
    500KM 尊贵型</t>
      </text>
    </comment>
    <comment ref="G34" authorId="20" shapeId="0" xr:uid="{B769F0E4-7165-4CA3-91CC-0DE8D48F3581}">
      <text>
        <t>[线程批注]
你的Excel版本可读取此线程批注; 但如果在更新版本的Excel中打开文件，则对批注所作的任何改动都将被删除。了解详细信息: https://go.microsoft.com/fwlink/?linkid=870924
注释:
    冠军版 510km 领先型</t>
      </text>
    </comment>
    <comment ref="F36" authorId="21" shapeId="0" xr:uid="{06E27B36-7D9A-4085-8FA2-8ECADB665C07}">
      <text>
        <t>[线程批注]
你的Excel版本可读取此线程批注; 但如果在更新版本的Excel中打开文件，则对批注所作的任何改动都将被删除。了解详细信息: https://go.microsoft.com/fwlink/?linkid=870924
注释:
    changed to popular  trim</t>
      </text>
    </comment>
    <comment ref="G36" authorId="22" shapeId="0" xr:uid="{3037883D-5A35-47AE-A6B2-879B616F8364}">
      <text>
        <t>[线程批注]
你的Excel版本可读取此线程批注; 但如果在更新版本的Excel中打开文件，则对批注所作的任何改动都将被删除。了解详细信息: https://go.microsoft.com/fwlink/?linkid=870924
注释:
    冠军版 120km 领先型</t>
      </text>
    </comment>
    <comment ref="F40" authorId="23" shapeId="0" xr:uid="{21DEA267-52BB-4486-A1D2-9B9E3FD6E777}">
      <text>
        <t>[线程批注]
你的Excel版本可读取此线程批注; 但如果在更新版本的Excel中打开文件，则对批注所作的任何改动都将被删除。了解详细信息: https://go.microsoft.com/fwlink/?linkid=870924
注释:
    尊享型</t>
      </text>
    </comment>
    <comment ref="F41" authorId="24" shapeId="0" xr:uid="{3359E827-61AF-4B6A-B50F-2EF71AAE5F14}">
      <text>
        <t>[线程批注]
你的Excel版本可读取此线程批注; 但如果在更新版本的Excel中打开文件，则对批注所作的任何改动都将被删除。了解详细信息: https://go.microsoft.com/fwlink/?linkid=870924
注释:
    四驱尊享型</t>
      </text>
    </comment>
    <comment ref="G42" authorId="25" shapeId="0" xr:uid="{2A23BE1C-29FC-4A2B-BEDD-BF38473D38B1}">
      <text>
        <t>[线程批注]
你的Excel版本可读取此线程批注; 但如果在更新版本的Excel中打开文件，则对批注所作的任何改动都将被删除。了解详细信息: https://go.microsoft.com/fwlink/?linkid=870924
注释:
    冠军版 700km 性能版</t>
      </text>
    </comment>
    <comment ref="CH46" authorId="26" shapeId="0" xr:uid="{20266986-1AE4-DD46-A34E-57E1682A9862}">
      <text>
        <t>[线程批注]
你的Excel版本可读取此线程批注; 但如果在更新版本的Excel中打开文件，则对批注所作的任何改动都将被删除。了解详细信息: https://go.microsoft.com/fwlink/?linkid=870924
注释:
    https://new.qq.com/rain/a/20230904A011Q200
答复:
    https://zhuanlan.zhihu.com/p/654530447</t>
      </text>
    </comment>
    <comment ref="CH48" authorId="27" shapeId="0" xr:uid="{1BC85889-CF17-4BB2-9E01-9DA6C5B2E107}">
      <text>
        <t>[线程批注]
你的Excel版本可读取此线程批注; 但如果在更新版本的Excel中打开文件，则对批注所作的任何改动都将被删除。了解详细信息: https://go.microsoft.com/fwlink/?linkid=870924
注释:
    https://new.qq.com/rain/a/20230904A011Q200
答复:
    https://zhuanlan.zhihu.com/p/654530447</t>
      </text>
    </comment>
    <comment ref="A51" authorId="28" shapeId="0" xr:uid="{601C1687-337D-44D9-AAD7-ED9C2589A863}">
      <text>
        <r>
          <rPr>
            <b/>
            <sz val="9"/>
            <color rgb="FF000000"/>
            <rFont val="宋体"/>
            <family val="3"/>
            <charset val="134"/>
          </rPr>
          <t xml:space="preserve">Frank Chao:
</t>
        </r>
        <r>
          <rPr>
            <b/>
            <sz val="9"/>
            <color rgb="FF000000"/>
            <rFont val="宋体"/>
            <family val="3"/>
            <charset val="134"/>
          </rPr>
          <t>On the 2021 All-China Young Entrepreneurs Summit held in Nanjing, East China's Jiangsu Province on Sunday, Li said the average price of NIO vehicles was 434,700 yuan ($68,258.90), which had exceeded the average price of BMW and Audi, and is several hundred thousand yuan more than Tesla vehicles.30 May 2021</t>
        </r>
        <r>
          <rPr>
            <sz val="9"/>
            <color rgb="FF000000"/>
            <rFont val="宋体"/>
            <family val="3"/>
            <charset val="134"/>
          </rPr>
          <t xml:space="preserve">
</t>
        </r>
      </text>
    </comment>
    <comment ref="AR51" authorId="29" shapeId="0" xr:uid="{DBE91FC5-DDA5-CF40-96AC-6C16B50D63BC}">
      <text>
        <t>[线程批注]
你的Excel版本可读取此线程批注; 但如果在更新版本的Excel中打开文件，则对批注所作的任何改动都将被删除。了解详细信息: https://go.microsoft.com/fwlink/?linkid=870924
注释:
    儘管售價超過30萬，因“換電”仍享受新能源車補貼</t>
      </text>
    </comment>
    <comment ref="B56" authorId="30" shapeId="0" xr:uid="{B2766950-EE23-4AFB-869A-5A4155FC2C36}">
      <text>
        <t>[线程批注]
你的Excel版本可读取此线程批注; 但如果在更新版本的Excel中打开文件，则对批注所作的任何改动都将被删除。了解详细信息: https://go.microsoft.com/fwlink/?linkid=870924
注释:
    ET7将于2022年3月28日开启交付</t>
      </text>
    </comment>
    <comment ref="B57" authorId="31" shapeId="0" xr:uid="{B1BDCE40-80A3-4269-A4D4-5285547D377C}">
      <text>
        <t>[线程批注]
你的Excel版本可读取此线程批注; 但如果在更新版本的Excel中打开文件，则对批注所作的任何改动都将被删除。了解详细信息: https://go.microsoft.com/fwlink/?linkid=870924
注释:
    ET5则会在2022年9月开启交付
答复:
    including ET5 Travel</t>
      </text>
    </comment>
    <comment ref="W63" authorId="32" shapeId="0" xr:uid="{95AB122C-EA2C-EB46-AB56-8504878FA252}">
      <text>
        <t>[线程批注]
你的Excel版本可读取此线程批注; 但如果在更新版本的Excel中打开文件，则对批注所作的任何改动都将被删除。了解详细信息: https://go.microsoft.com/fwlink/?linkid=870924
注释:
    After tax</t>
      </text>
    </comment>
    <comment ref="BM65" authorId="33" shapeId="0" xr:uid="{A2713DDE-62E7-4241-9966-F1D3917D3488}">
      <text>
        <t>[线程批注]
你的Excel版本可读取此线程批注; 但如果在更新版本的Excel中打开文件，则对批注所作的任何改动都将被删除。了解详细信息: https://go.microsoft.com/fwlink/?linkid=870924
注释:
    4.7-4.9 in 23Q4 according to Q3 report, 109,993 in Q1-Q3 already.</t>
      </text>
    </comment>
    <comment ref="BY65" authorId="34" shapeId="0" xr:uid="{6FC33FA3-A84F-9A47-A71F-9CBF79D356B5}">
      <text>
        <t>[线程批注]
你的Excel版本可读取此线程批注; 但如果在更新版本的Excel中打开文件，则对批注所作的任何改动都将被删除。了解详细信息: https://go.microsoft.com/fwlink/?linkid=870924
注释:
    GCBC
答复:
    ES8 mainly</t>
      </text>
    </comment>
    <comment ref="CB65" authorId="35" shapeId="0" xr:uid="{C440F85E-5D93-894C-B2F2-78962C56DD14}">
      <text>
        <t>[线程批注]
你的Excel版本可读取此线程批注; 但如果在更新版本的Excel中打开文件，则对批注所作的任何改动都将被删除。了解详细信息: https://go.microsoft.com/fwlink/?linkid=870924
注释:
    Raise sales forecast for 24/25 (1.1/1.25X respectively), hold for 23 years</t>
      </text>
    </comment>
    <comment ref="G68" authorId="36" shapeId="0" xr:uid="{DB805C24-7BF5-F644-8748-1AD78CEFD017}">
      <text>
        <t>[线程批注]
你的Excel版本可读取此线程批注; 但如果在更新版本的Excel中打开文件，则对批注所作的任何改动都将被删除。了解详细信息: https://go.microsoft.com/fwlink/?linkid=870924
注释:
    price adjusted according to the ratio of (Air/)Pro/MAX in CA</t>
      </text>
    </comment>
    <comment ref="AT75" authorId="37" shapeId="0" xr:uid="{BA38C86D-5E31-48E4-8E05-850CB8C52446}">
      <text>
        <t>[线程批注]
你的Excel版本可读取此线程批注; 但如果在更新版本的Excel中打开文件，则对批注所作的任何改动都将被删除。了解详细信息: https://go.microsoft.com/fwlink/?linkid=870924
注释:
    根据国家相关政策规定，2023年新能源车型将不再进行补贴，先前的补贴政策已经于2022年12月31日正式终止</t>
      </text>
    </comment>
    <comment ref="AS78" authorId="38" shapeId="0" xr:uid="{BC338E6E-5DB1-4BB1-A722-823BAFAB43A6}">
      <text>
        <t>[线程批注]
你的Excel版本可读取此线程批注; 但如果在更新版本的Excel中打开文件，则对批注所作的任何改动都将被删除。了解详细信息: https://go.microsoft.com/fwlink/?linkid=870924
注释:
    未查到小鹏的车型补贴，按照G3 2020年数据估计</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tc={8B46033F-ADAA-8148-96F1-3931A015AD58}</author>
    <author>tc={C3B6C8AC-773E-E542-A5A7-BC4BA4D264F0}</author>
    <author>tc={7DE5FF32-93B4-4E68-A674-4A5C3AF70DD0}</author>
    <author>tc={94C9FBFF-C3E0-42C2-9F00-0840C9F7160F}</author>
    <author>tc={F7AAFB4C-A0B6-4290-9DCF-ED7035B69C0A}</author>
    <author>tc={F1E749DF-5227-4F98-92E9-DC2020B3AAFA}</author>
    <author>tc={5BC04CF1-FA3F-4602-A174-003E4FEE44C4}</author>
    <author>tc={21EFED54-9214-4E57-9F3B-D5DF8F2ACB48}</author>
    <author>tc={9D747E4C-B600-4D8A-ACD8-C5BAF5302ABA}</author>
    <author>tc={E8E9EC1A-DEFE-42C9-8A01-C2A5CA7CA83C}</author>
    <author>tc={B7D93E28-4E60-4110-8FE4-EDD17AE15245}</author>
    <author>tc={E74B6039-00A9-4D56-BDE0-EA0079D8DFE6}</author>
    <author>tc={A1D50B22-AD0D-40C0-B445-19CCAF1E1716}</author>
    <author>Hung Alex</author>
    <author>tc={FE8E85E2-C166-534A-B2B3-05FC6915BCD8}</author>
    <author>tc={C7A2AE65-78F2-4F98-93C3-CC81FB811690}</author>
    <author>tc={9403A615-943E-4F9D-9439-1BDFB6B5C4D2}</author>
    <author>tc={6C636386-B06D-734B-B313-45343C8416D4}</author>
    <author>karine m</author>
    <author>tc={ABF9F9EB-3E6F-7046-A0D0-327E418EA3EC}</author>
    <author>tc={E1CAFBB1-F9E2-1944-B06B-75C5429A3229}</author>
    <author>tc={BAED16F5-BDA1-8043-8139-4F039EA0FE05}</author>
    <author>tc={771689FE-CB87-2B48-B63C-B8F0E7AC251C}</author>
    <author>tc={FA5C86C2-B811-7446-A798-F4F42EB549B6}</author>
    <author>tc={6AC3EA58-B2D5-3248-8A9B-790B96DB86B1}</author>
    <author>tc={1F5BB4D7-0DA1-4B68-8F49-33BE70902A74}</author>
    <author>tc={063DF68B-A4A5-40FD-B442-567F6E04A862}</author>
    <author>tc={55F0CE2B-496A-48F9-967E-B789B245383C}</author>
    <author>tc={0AA63374-4FFB-4A7A-953F-D91EE09FB604}</author>
    <author>tc={70CD9FC8-FF0A-4C1C-A23F-0722EE787DAE}</author>
    <author>tc={A35F5220-E452-41E9-A7E6-35761770ADCB}</author>
    <author>tc={3EA3C5AE-71D7-410C-86BC-0BB05B707CFE}</author>
    <author>tc={EFD6A94D-09B4-4D66-9731-AECBC932D5DC}</author>
    <author>tc={CE5048E3-74A9-4B3B-9EFD-850AC2F947B7}</author>
    <author>tc={DB8231CC-4F84-4C11-8F35-12B5AC338619}</author>
    <author>tc={30EA656E-758B-4970-B11B-576D4370761B}</author>
    <author>tc={20FAFDC8-0B29-4954-910F-5D6D4EEC8344}</author>
    <author>tc={D7FD364B-BD13-42B4-9A9B-2E40A785EBA6}</author>
    <author>tc={CF41510F-B16A-477E-B9C0-4FFEB2A9E19A}</author>
    <author>tc={744362FF-FB6B-421B-A7B4-FE4DB1C99182}</author>
    <author>tc={2F6E8963-83CD-9944-9C1D-C4CCFA398A23}</author>
    <author>tc={A2985EB2-0EC0-41F6-AB4D-12A36654FE56}</author>
    <author>tc={073C04DA-FF5C-4299-B693-FED1EEAD1B1A}</author>
    <author>tc={8E1E9733-2AF9-4A25-8783-F1957A79B3CB}</author>
    <author>tc={3CB9814B-1EA9-4BAC-8BDA-E4DCFE1A873F}</author>
    <author>tc={43295381-390E-47C9-AA4F-BCD5F44D7698}</author>
    <author>tc={3363DD2B-C4ED-493E-ACE4-E1E20E9368BA}</author>
    <author>tc={8A9C8F63-B1BE-4813-98E8-B526ECF1669E}</author>
    <author>tc={DCFAE0A9-786B-4FE2-A867-CE7ECECE467E}</author>
    <author>tc={3F776DE3-B15D-4B26-A2EE-8634FB107437}</author>
    <author>tc={6AA3B076-9EED-469A-8F57-4A3BD1336F25}</author>
    <author>tc={1DA60BA3-75C1-4E5C-B837-C6054FA26CCC}</author>
    <author>tc={004B2865-B14D-4F8E-91EB-5B8999D661C5}</author>
    <author>tc={AE52FF64-D032-4C91-BD72-A9FD36468D31}</author>
    <author>tc={65040B05-FDA0-4959-B99B-BCEB27941B13}</author>
    <author>tc={651D32E7-17CD-DF4D-AF50-60363D5EE1B7}</author>
    <author>tc={D3B392F1-7344-46C7-89D7-AD5C2C611651}</author>
    <author>tc={5FC34051-3C1F-48F5-B8CA-8927DC47C9A2}</author>
    <author>tc={C858A1EF-A1EB-47B5-8951-E66885762F8A}</author>
    <author>tc={4458A539-6CB9-4B93-A85C-A8243B296D5E}</author>
    <author>tc={B3AB514E-FD0D-4445-91A1-6E484ED412F1}</author>
    <author>tc={CA52CC87-B905-434E-A877-A0D409F6C642}</author>
    <author>tc={E17E12C1-F7D5-4120-A408-87741C1A461D}</author>
    <author>tc={30905291-EB5F-45A2-8E70-77B5B8B84416}</author>
    <author>tc={EE240D87-C77C-4043-AADC-25F0D28C4D6D}</author>
    <author>tc={24EAC830-FE77-4BB1-857F-E386A5B25E67}</author>
    <author>tc={81492572-76AC-4012-9893-802B0F56A811}</author>
    <author>tc={CC4F3402-5362-4405-B754-61B1A7783869}</author>
    <author>tc={FEACCE18-F6C9-4F8D-98DB-82F9867658BB}</author>
    <author>tc={6FE22172-82D1-E540-9FED-1BA3271112D6}</author>
    <author>tc={EEEBE9F2-EDD2-422C-83F7-F3DCF2FE8CE1}</author>
    <author>tc={1FF7A530-04C9-4DD0-8D67-23D8BF2F9025}</author>
    <author>tc={E1258716-A51A-46FD-B5B0-C00E7E88D5AE}</author>
    <author>tc={5C91F9A9-1A70-40D2-8CB0-BC266030682C}</author>
    <author>tc={B2511856-9BB6-4B17-8294-F1D57FDA45E3}</author>
    <author>tc={AFA62529-1BD4-42D4-AC9B-91EFE557B786}</author>
    <author>tc={1121FBB2-80E6-4E4D-94FE-58DE5D62C777}</author>
    <author>tc={98226457-A5EC-462C-A8AE-1869DFE94014}</author>
    <author>tc={066979C3-D240-47AE-AEFF-E72F35A6DD80}</author>
    <author>tc={48F1347B-981A-4DF8-A165-BF477AEF3534}</author>
    <author>tc={AA42E1BD-CB58-4C9A-A6AB-EDB7F849127A}</author>
    <author>tc={F368699E-442C-4F0E-A100-29861468B61C}</author>
    <author>tc={E50B8DB6-5678-467C-BC2F-1BDBECA97938}</author>
    <author>tc={2949B509-92D9-4DFA-8AEA-DE0AB11096DA}</author>
    <author>tc={3D1E41F7-1A1B-409E-8229-7F5D8711AF0F}</author>
    <author>tc={4F29A583-8064-47EE-BC15-32710B1B3985}</author>
    <author>tc={5081737C-72CF-4C8F-892B-3194655B9B1D}</author>
    <author>tc={78D730B8-E97D-4637-96BC-BBFD324743E8}</author>
    <author>tc={437A6B13-9F7F-428D-BBE1-C357A4C09841}</author>
    <author>tc={8CDD2C61-0A6A-4C06-BEBA-BC0BD6A5EDC5}</author>
    <author>tc={DB3FA395-567F-49C8-B3C0-A1316D0552E4}</author>
    <author>tc={729D13E0-D5AC-47BA-A44E-D8AEC3E92422}</author>
    <author>tc={A3ECCE7F-F169-4CD7-A9F9-DFC7987FB03B}</author>
    <author>tc={579CC022-914B-4013-9451-075EDBD34DC3}</author>
    <author>tc={872E98FC-1E5F-413D-9FA0-03AEFFE47190}</author>
    <author>tc={B5976513-D127-459D-AA7D-2AEB554E637D}</author>
    <author>tc={BC04DCB7-49FB-43AC-94AE-DA8571A89070}</author>
    <author>tc={32419A38-18AA-479B-B98A-38C7A2B3EB60}</author>
    <author>tc={A9A84EFF-09DE-46F8-BA3A-968A27C5536E}</author>
  </authors>
  <commentList>
    <comment ref="I18" authorId="0" shapeId="0" xr:uid="{8B46033F-ADAA-8148-96F1-3931A015AD58}">
      <text>
        <t>[线程批注]
你的Excel版本可读取此线程批注; 但如果在更新版本的Excel中打开文件，则对批注所作的任何改动都将被删除。了解详细信息: https://go.microsoft.com/fwlink/?linkid=870924
注释:
    According to consensus forecast of Rev &amp; Vol (2880.05亿元, 313GWh respectively), unit price in 2023 = 2880.05/313*100</t>
      </text>
    </comment>
    <comment ref="I25" authorId="1" shapeId="0" xr:uid="{C3B6C8AC-773E-E542-A5A7-BC4BA4D264F0}">
      <text>
        <t>[线程批注]
你的Excel版本可读取此线程批注; 但如果在更新版本的Excel中打开文件，则对批注所作的任何改动都将被删除。了解详细信息: https://go.microsoft.com/fwlink/?linkid=870924
注释:
    Tesla logistics and raw materials are under pressure, e.g., the Russia-Ukraine war has raised the price of automotive metals, including aluminum used in the body, palladium used in catalytic converters, etc.
答复:
    http://www.eeo.com.cn/2022/0315/525623.shtml#:~:text=路透社15日报道，特斯拉公司%20%28Tesla%29在不到一周的时间里第二次提高了在中国和美国的价格，此前该公司首席执行官马斯克（Elon,Musk）表示，特斯拉在原材料和物流方面，面临着巨大的通胀压力%E3%80%82%20涨价是由于原材料的成本正在飙升，俄罗斯入侵乌克兰后供应链的中断加剧了这种情况%E3%80%82</t>
      </text>
    </comment>
    <comment ref="D27" authorId="2" shapeId="0" xr:uid="{7DE5FF32-93B4-4E68-A674-4A5C3AF70DD0}">
      <text>
        <t>[线程批注]
你的Excel版本可读取此线程批注; 但如果在更新版本的Excel中打开文件，则对批注所作的任何改动都将被删除。了解详细信息: https://go.microsoft.com/fwlink/?linkid=870924
注释:
    Musk claimed at the meeting that roughly 7,000 people currently work at Gigafactory 1 and sees the workforce growing “to upward of 20,000 in the future.”</t>
      </text>
    </comment>
    <comment ref="E28" authorId="3" shapeId="0" xr:uid="{94C9FBFF-C3E0-42C2-9F00-0840C9F7160F}">
      <text>
        <t>[线程批注]
你的Excel版本可读取此线程批注; 但如果在更新版本的Excel中打开文件，则对批注所作的任何改动都将被删除。了解详细信息: https://go.microsoft.com/fwlink/?linkid=870924
注释:
    Tesla has reduced staff at the Fremont plant from more than 10,000 workers to about 2,500.
Earlier this week, the company sent out an email informing workers that two Tesla employees had tested positive for COVID-19. The internal email, which was viewed by TechCrunch, didn’t indicate where these employees worked.
Tesla employs more than 48,000 people at locations throughout the U.S</t>
      </text>
    </comment>
    <comment ref="G29" authorId="4" shapeId="0" xr:uid="{F7AAFB4C-A0B6-4290-9DCF-ED7035B69C0A}">
      <text>
        <t>[线程批注]
你的Excel版本可读取此线程批注; 但如果在更新版本的Excel中打开文件，则对批注所作的任何改动都将被删除。了解详细信息: https://go.microsoft.com/fwlink/?linkid=870924
注释:
     1月7日 消息:	特斯拉在中国上海超级工厂的员工扩增将使这家电动汽车制造商的新车型生产区产能增加50%，目前新车型产区员工从6000名增加到 9000名。扩建计划完成后，特斯拉将在该工厂雇佣19000名工人。</t>
      </text>
    </comment>
    <comment ref="H29" authorId="5" shapeId="0" xr:uid="{F1E749DF-5227-4F98-92E9-DC2020B3AAFA}">
      <text>
        <t>[线程批注]
你的Excel版本可读取此线程批注; 但如果在更新版本的Excel中打开文件，则对批注所作的任何改动都将被删除。了解详细信息: https://go.microsoft.com/fwlink/?linkid=870924
注释:
    Tesla had about 15,000 production staff at the Shanghai plant at the end of last year, and is increasing that figure to about 19,000.</t>
      </text>
    </comment>
    <comment ref="H30" authorId="6" shapeId="0" xr:uid="{5BC04CF1-FA3F-4602-A174-003E4FEE44C4}">
      <text>
        <t>[线程批注]
你的Excel版本可读取此线程批注; 但如果在更新版本的Excel中打开文件，则对批注所作的任何改动都将被删除。了解详细信息: https://go.microsoft.com/fwlink/?linkid=870924
注释:
    Tesla reportedly has 7,500 employees working at Gigafactory Berlin, and it currently has almost 400 open positions at the plant.</t>
      </text>
    </comment>
    <comment ref="H53" authorId="7" shapeId="0" xr:uid="{21EFED54-9214-4E57-9F3B-D5DF8F2ACB48}">
      <text>
        <t>[线程批注]
你的Excel版本可读取此线程批注; 但如果在更新版本的Excel中打开文件，则对批注所作的任何改动都将被删除。了解详细信息: https://go.microsoft.com/fwlink/?linkid=870924
注释:
    1H 39</t>
      </text>
    </comment>
    <comment ref="F65" authorId="8" shapeId="0" xr:uid="{9D747E4C-B600-4D8A-ACD8-C5BAF5302ABA}">
      <text>
        <t>[线程批注]
你的Excel版本可读取此线程批注; 但如果在更新版本的Excel中打开文件，则对批注所作的任何改动都将被删除。了解详细信息: https://go.microsoft.com/fwlink/?linkid=870924
注释:
    assume unchanged due to falling volume here</t>
      </text>
    </comment>
    <comment ref="F70" authorId="9" shapeId="0" xr:uid="{E8E9EC1A-DEFE-42C9-8A01-C2A5CA7CA83C}">
      <text>
        <t>[线程批注]
你的Excel版本可读取此线程批注; 但如果在更新版本的Excel中打开文件，则对批注所作的任何改动都将被删除。了解详细信息: https://go.microsoft.com/fwlink/?linkid=870924
注释:
    assume unchanged due to falling volume here</t>
      </text>
    </comment>
    <comment ref="H86" authorId="10" shapeId="0" xr:uid="{B7D93E28-4E60-4110-8FE4-EDD17AE15245}">
      <text>
        <t>[线程批注]
你的Excel版本可读取此线程批注; 但如果在更新版本的Excel中打开文件，则对批注所作的任何改动都将被删除。了解详细信息: https://go.microsoft.com/fwlink/?linkid=870924
注释:
    1H 91b</t>
      </text>
    </comment>
    <comment ref="I92" authorId="11" shapeId="0" xr:uid="{E74B6039-00A9-4D56-BDE0-EA0079D8DFE6}">
      <text>
        <t xml:space="preserve">[线程批注]
你的Excel版本可读取此线程批注; 但如果在更新版本的Excel中打开文件，则对批注所作的任何改动都将被删除。了解详细信息: https://go.microsoft.com/fwlink/?linkid=870924
注释:
    据北极星储能网披露，宁德时代H1 23销量超170GWh，电池业务营收139418.2161百万元，以此估算 
答复:
    宁德时代：预计4C快充技术会占据较为可观的市场份额-北极星储能网 (bjx.com.cn) </t>
      </text>
    </comment>
    <comment ref="E93" authorId="12" shapeId="0" xr:uid="{A1D50B22-AD0D-40C0-B445-19CCAF1E1716}">
      <text>
        <t>[线程批注]
你的Excel版本可读取此线程批注; 但如果在更新版本的Excel中打开文件，则对批注所作的任何改动都将被删除。了解详细信息: https://go.microsoft.com/fwlink/?linkid=870924
注释:
    研究报告显示，2019年比亚迪新能源乘用车电池包平均成本为0.85元/Wh</t>
      </text>
    </comment>
    <comment ref="I95" authorId="13" shapeId="0" xr:uid="{C2AA7E19-197B-4EA6-AD2E-4B23CFE21350}">
      <text>
        <r>
          <rPr>
            <sz val="11"/>
            <color rgb="FF000000"/>
            <rFont val="Calibri"/>
            <family val="2"/>
          </rPr>
          <t xml:space="preserve">Hung Alex:
</t>
        </r>
        <r>
          <rPr>
            <sz val="11"/>
            <color rgb="FF000000"/>
            <rFont val="Calibri"/>
            <family val="2"/>
          </rPr>
          <t xml:space="preserve">cut 75 from 80 20230608
</t>
        </r>
      </text>
    </comment>
    <comment ref="H101" authorId="14" shapeId="0" xr:uid="{FE8E85E2-C166-534A-B2B3-05FC6915BCD8}">
      <text>
        <t>[线程批注]
你的Excel版本可读取此线程批注; 但如果在更新版本的Excel中打开文件，则对批注所作的任何改动都将被删除。了解详细信息: https://go.microsoft.com/fwlink/?linkid=870924
注释:
    比亚迪公司负责人介绍，作为民营企业，比亚迪目前吸纳了50万人就业，今年月均新增就业2.3万人。照此趋势，2022年底，比亚迪总员工将超65万人，2023年底总员工将超90万人。</t>
      </text>
    </comment>
    <comment ref="H102" authorId="15" shapeId="0" xr:uid="{C7A2AE65-78F2-4F98-93C3-CC81FB811690}">
      <text>
        <t>[线程批注]
你的Excel版本可读取此线程批注; 但如果在更新版本的Excel中打开文件，则对批注所作的任何改动都将被删除。了解详细信息: https://go.microsoft.com/fwlink/?linkid=870924
注释:
    比亚迪电子（国际）有限公司2022年报还没有出，因此employees of grass root数据依然暂用21年数据估算</t>
      </text>
    </comment>
    <comment ref="G104" authorId="16" shapeId="0" xr:uid="{9403A615-943E-4F9D-9439-1BDFB6B5C4D2}">
      <text>
        <t>[线程批注]
你的Excel版本可读取此线程批注; 但如果在更新版本的Excel中打开文件，则对批注所作的任何改动都将被删除。了解详细信息: https://go.microsoft.com/fwlink/?linkid=870924
注释:
    正式工：底薪2650–3200元，平时1.5倍，周末双倍，法定假日3倍+绩效奖+全勤奖+超产奖励+年终奖
综合5200元-6700元(工厂年底有福利，双倍薪资)。</t>
      </text>
    </comment>
    <comment ref="A131" authorId="17" shapeId="0" xr:uid="{6C636386-B06D-734B-B313-45343C8416D4}">
      <text>
        <t>[线程批注]
你的Excel版本可读取此线程批注; 但如果在更新版本的Excel中打开文件，则对批注所作的任何改动都将被删除。了解详细信息: https://go.microsoft.com/fwlink/?linkid=870924
注释:
    Cooperated with CATL since 2021 for battery cell manufacturing, and started to self-developed in 2022, but still haven’t achieve mass production yet.</t>
      </text>
    </comment>
    <comment ref="I133" authorId="18" shapeId="0" xr:uid="{E77761CE-E6F0-6844-B5F1-0710B6372E46}">
      <text>
        <r>
          <rPr>
            <b/>
            <sz val="10"/>
            <color rgb="FF000000"/>
            <rFont val="Tahoma"/>
            <family val="2"/>
          </rPr>
          <t>karine m:</t>
        </r>
        <r>
          <rPr>
            <sz val="10"/>
            <color rgb="FF000000"/>
            <rFont val="Tahoma"/>
            <family val="2"/>
          </rPr>
          <t xml:space="preserve">
</t>
        </r>
        <r>
          <rPr>
            <sz val="10"/>
            <color rgb="FF000000"/>
            <rFont val="Tahoma"/>
            <family val="2"/>
          </rPr>
          <t xml:space="preserve">JAC annual EV sales down 1.96% YoY (23/01-23/11);
</t>
        </r>
        <r>
          <rPr>
            <sz val="10"/>
            <color rgb="FF000000"/>
            <rFont val="Tahoma"/>
            <family val="2"/>
          </rPr>
          <t xml:space="preserve">assume JAC sold number </t>
        </r>
        <r>
          <rPr>
            <sz val="10"/>
            <color rgb="FF000000"/>
            <rFont val="Calibri"/>
            <family val="2"/>
          </rPr>
          <t xml:space="preserve">to Nio </t>
        </r>
        <r>
          <rPr>
            <sz val="10"/>
            <color rgb="FF000000"/>
            <rFont val="Tahoma"/>
            <family val="2"/>
          </rPr>
          <t xml:space="preserve"> down 1.96% YoY in 2023</t>
        </r>
      </text>
    </comment>
    <comment ref="J133" authorId="18" shapeId="0" xr:uid="{1A28E019-2FB5-4749-88CF-2D0A68CC8BEE}">
      <text>
        <r>
          <rPr>
            <sz val="8"/>
            <color rgb="FF000000"/>
            <rFont val="Tahoma"/>
            <family val="2"/>
          </rPr>
          <t xml:space="preserve">2023.12.5 Nio </t>
        </r>
        <r>
          <rPr>
            <sz val="8"/>
            <color rgb="FF000000"/>
            <rFont val="Calibri"/>
            <family val="2"/>
          </rPr>
          <t>acquired the manufacturing equipment and assets of the first and second advanced manufacturing base from JAC, moving closer to producing cars on its own to save manufacturing costs.</t>
        </r>
      </text>
    </comment>
    <comment ref="J136" authorId="18" shapeId="0" xr:uid="{BA10020B-732D-1C48-871C-5C54861C0F72}">
      <text>
        <r>
          <rPr>
            <b/>
            <sz val="10"/>
            <color rgb="FF000000"/>
            <rFont val="Tahoma"/>
            <family val="2"/>
          </rPr>
          <t>karine m:</t>
        </r>
        <r>
          <rPr>
            <sz val="10"/>
            <color rgb="FF000000"/>
            <rFont val="Tahoma"/>
            <family val="2"/>
          </rPr>
          <t xml:space="preserve">
</t>
        </r>
        <r>
          <rPr>
            <sz val="10"/>
            <color rgb="FF000000"/>
            <rFont val="Tahoma"/>
            <family val="2"/>
          </rPr>
          <t>Assume the per unit cost downwards 10%</t>
        </r>
      </text>
    </comment>
    <comment ref="A139" authorId="19" shapeId="0" xr:uid="{ABF9F9EB-3E6F-7046-A0D0-327E418EA3EC}">
      <text>
        <t>[线程批注]
你的Excel版本可读取此线程批注; 但如果在更新版本的Excel中打开文件，则对批注所作的任何改动都将被删除。了解详细信息: https://go.microsoft.com/fwlink/?linkid=870924
注释:
    博世5代毫米波雷达采用4D，Tier1，毫米波雷达的价格区间在700-1600元</t>
      </text>
    </comment>
    <comment ref="H142" authorId="20" shapeId="0" xr:uid="{E1CAFBB1-F9E2-1944-B06B-75C5429A3229}">
      <text>
        <t>[线程批注]
你的Excel版本可读取此线程批注; 但如果在更新版本的Excel中打开文件，则对批注所作的任何改动都将被删除。了解详细信息: https://go.microsoft.com/fwlink/?linkid=870924
注释:
    Given Bosch Tier1 globally, cost calculated by Tier2 毫恩汽电/0.9</t>
      </text>
    </comment>
    <comment ref="H145" authorId="21" shapeId="0" xr:uid="{BAED16F5-BDA1-8043-8139-4F039EA0FE05}">
      <text>
        <t>[线程批注]
你的Excel版本可读取此线程批注; 但如果在更新版本的Excel中打开文件，则对批注所作的任何改动都将被删除。了解详细信息: https://go.microsoft.com/fwlink/?linkid=870924
注释:
    Estimates via Hershey Technologies as Innovusion is not yet on the market</t>
      </text>
    </comment>
    <comment ref="H146" authorId="22" shapeId="0" xr:uid="{771689FE-CB87-2B48-B63C-B8F0E7AC251C}">
      <text>
        <t>[线程批注]
你的Excel版本可读取此线程批注; 但如果在更新版本的Excel中打开文件，则对批注所作的任何改动都将被删除。了解详细信息: https://go.microsoft.com/fwlink/?linkid=870924
注释:
    According to the Hesai 2022 AR, Revenue from LiDAR products is 1,122,237 thousand Yuan，AT128 accounted for 26.3% of revenue in 2022, and it has shipped approximately 62,000
答复:
    Total revenue is 1,202,670 thousand Yuan</t>
      </text>
    </comment>
    <comment ref="L150" authorId="23" shapeId="0" xr:uid="{FA5C86C2-B811-7446-A798-F4F42EB549B6}">
      <text>
        <t>[线程批注]
你的Excel版本可读取此线程批注; 但如果在更新版本的Excel中打开文件，则对批注所作的任何改动都将被删除。了解详细信息: https://go.microsoft.com/fwlink/?linkid=870924
注释:
    Cost reduction measures would largely materialise in electricity exchange station depart.
the third quarterly conference call: in the moat business [power exchange station] Nio would foster cooperation with other brands to ease financial pressure.The cooperation would bring large scale effects.</t>
      </text>
    </comment>
    <comment ref="A152" authorId="24" shapeId="0" xr:uid="{6AC3EA58-B2D5-3248-8A9B-790B96DB86B1}">
      <text>
        <t>[线程批注]
你的Excel版本可读取此线程批注; 但如果在更新版本的Excel中打开文件，则对批注所作的任何改动都将被删除。了解详细信息: https://go.microsoft.com/fwlink/?linkid=870924
注释:
    Base includes Fixed cost</t>
      </text>
    </comment>
    <comment ref="E182" authorId="25" shapeId="0" xr:uid="{1F5BB4D7-0DA1-4B68-8F49-33BE70902A74}">
      <text>
        <t>[线程批注]
你的Excel版本可读取此线程批注; 但如果在更新版本的Excel中打开文件，则对批注所作的任何改动都将被删除。了解详细信息: https://go.microsoft.com/fwlink/?linkid=870924
注释:
    研究报告显示，2019年比亚迪新能源乘用车电池包平均成本为0.85元/Wh</t>
      </text>
    </comment>
    <comment ref="F185" authorId="26" shapeId="0" xr:uid="{063DF68B-A4A5-40FD-B442-567F6E04A862}">
      <text>
        <t>[线程批注]
你的Excel版本可读取此线程批注; 但如果在更新版本的Excel中打开文件，则对批注所作的任何改动都将被删除。了解详细信息: https://go.microsoft.com/fwlink/?linkid=870924
注释:
    根据东安动力2020年报，发动机营收2,953,602,817.45 元，销售385,123 台</t>
      </text>
    </comment>
    <comment ref="G185" authorId="27" shapeId="0" xr:uid="{55F0CE2B-496A-48F9-967E-B789B245383C}">
      <text>
        <t>[线程批注]
你的Excel版本可读取此线程批注; 但如果在更新版本的Excel中打开文件，则对批注所作的任何改动都将被删除。了解详细信息: https://go.microsoft.com/fwlink/?linkid=870924
注释:
    根据东安动力2021年报，发动机营收为5,442,891,156.54 元，出售发动机616,542 台，以此估算单价</t>
      </text>
    </comment>
    <comment ref="H185" authorId="28" shapeId="0" xr:uid="{0AA63374-4FFB-4A7A-953F-D91EE09FB604}">
      <text>
        <t>[线程批注]
你的Excel版本可读取此线程批注; 但如果在更新版本的Excel中打开文件，则对批注所作的任何改动都将被删除。了解详细信息: https://go.microsoft.com/fwlink/?linkid=870924
注释:
    根据东安动力2022年报，发动机营收4,311,404,940.55 元，销售507,510 台</t>
      </text>
    </comment>
    <comment ref="A188" authorId="29" shapeId="0" xr:uid="{70CD9FC8-FF0A-4C1C-A23F-0722EE787DAE}">
      <text>
        <t>[线程批注]
你的Excel版本可读取此线程批注; 但如果在更新版本的Excel中打开文件，则对批注所作的任何改动都将被删除。了解详细信息: https://go.microsoft.com/fwlink/?linkid=870924
注释:
    Tier 1</t>
      </text>
    </comment>
    <comment ref="F188" authorId="30" shapeId="0" xr:uid="{A35F5220-E452-41E9-A7E6-35761770ADCB}">
      <text>
        <t>[线程批注]
你的Excel版本可读取此线程批注; 但如果在更新版本的Excel中打开文件，则对批注所作的任何改动都将被删除。了解详细信息: https://go.microsoft.com/fwlink/?linkid=870924
注释:
    According to BorgWarner 2020AR，revenue of e-Propulsion &amp; Drivetrain is 3,989M$, but sales volume is NM</t>
      </text>
    </comment>
    <comment ref="G188" authorId="31" shapeId="0" xr:uid="{3EA3C5AE-71D7-410C-86BC-0BB05B707CFE}">
      <text>
        <t xml:space="preserve">[线程批注]
你的Excel版本可读取此线程批注; 但如果在更新版本的Excel中打开文件，则对批注所作的任何改动都将被删除。了解详细信息: https://go.microsoft.com/fwlink/?linkid=870924
注释:
    According to BorgWarner 2021AR，revenue of e-Propulsion &amp; Drivetrain is 5,086M$, but sales volume is NM
</t>
      </text>
    </comment>
    <comment ref="H188" authorId="32" shapeId="0" xr:uid="{EFD6A94D-09B4-4D66-9731-AECBC932D5DC}">
      <text>
        <t>[线程批注]
你的Excel版本可读取此线程批注; 但如果在更新版本的Excel中打开文件，则对批注所作的任何改动都将被删除。了解详细信息: https://go.microsoft.com/fwlink/?linkid=870924
注释:
    According to BorgWarner 2022AR，revenue of e-Propulsion &amp; Drivetrain is 5,625M$, but sales volume is NM.</t>
      </text>
    </comment>
    <comment ref="H189" authorId="33" shapeId="0" xr:uid="{CE5048E3-74A9-4B3B-9EFD-850AC2F947B7}">
      <text>
        <t xml:space="preserve">[线程批注]
你的Excel版本可读取此线程批注; 但如果在更新版本的Excel中打开文件，则对批注所作的任何改动都将被删除。了解详细信息: https://go.microsoft.com/fwlink/?linkid=870924
注释:
    根据国信证券：当前新能源乘用车驱动电机的单价大约为2500 元（根据巨一科技招股说明书估算），受益于电机性能的不断提升，我们预计2021-2025 年，驱动电机的单价有望以每年大约 2%的增幅提升，至 2025 年单价大约为2706 元。 </t>
      </text>
    </comment>
    <comment ref="F193" authorId="34" shapeId="0" xr:uid="{DB8231CC-4F84-4C11-8F35-12B5AC338619}">
      <text>
        <t>[线程批注]
你的Excel版本可读取此线程批注; 但如果在更新版本的Excel中打开文件，则对批注所作的任何改动都将被删除。了解详细信息: https://go.microsoft.com/fwlink/?linkid=870924
注释:
    征程3和征程5同为16纳米工艺，考虑到L8对标ONE，暂用L8ADAS芯片单车成本估算</t>
      </text>
    </comment>
    <comment ref="A194" authorId="35" shapeId="0" xr:uid="{30EA656E-758B-4970-B11B-576D4370761B}">
      <text>
        <t>[线程批注]
你的Excel版本可读取此线程批注; 但如果在更新版本的Excel中打开文件，则对批注所作的任何改动都将被删除。了解详细信息: https://go.microsoft.com/fwlink/?linkid=870924
注释:
    ONE2021款搭载1个800万像素单目前车摄像头和4个环视摄像头</t>
      </text>
    </comment>
    <comment ref="A197" authorId="36" shapeId="0" xr:uid="{20FAFDC8-0B29-4954-910F-5D6D4EEC8344}">
      <text>
        <t>[线程批注]
你的Excel版本可读取此线程批注; 但如果在更新版本的Excel中打开文件，则对批注所作的任何改动都将被删除。了解详细信息: https://go.microsoft.com/fwlink/?linkid=870924
注释:
    Tier1</t>
      </text>
    </comment>
    <comment ref="A198" authorId="37" shapeId="0" xr:uid="{D7FD364B-BD13-42B4-9A9B-2E40A785EBA6}">
      <text>
        <t>[线程批注]
你的Excel版本可读取此线程批注; 但如果在更新版本的Excel中打开文件，则对批注所作的任何改动都将被删除。了解详细信息: https://go.microsoft.com/fwlink/?linkid=870924
注释:
    Tier2</t>
      </text>
    </comment>
    <comment ref="A202" authorId="38" shapeId="0" xr:uid="{CF41510F-B16A-477E-B9C0-4FFEB2A9E19A}">
      <text>
        <t>[线程批注]
你的Excel版本可读取此线程批注; 但如果在更新版本的Excel中打开文件，则对批注所作的任何改动都将被删除。了解详细信息: https://go.microsoft.com/fwlink/?linkid=870924
注释:
    博世5代毫米波雷达采用4D，Tier1，毫米波雷达的价格区间在700-1600元</t>
      </text>
    </comment>
    <comment ref="A210" authorId="39" shapeId="0" xr:uid="{744362FF-FB6B-421B-A7B4-FE4DB1C99182}">
      <text>
        <t>[线程批注]
你的Excel版本可读取此线程批注; 但如果在更新版本的Excel中打开文件，则对批注所作的任何改动都将被删除。了解详细信息: https://go.microsoft.com/fwlink/?linkid=870924
注释:
    该权益目前申请使用截止日期为2023.12.31</t>
      </text>
    </comment>
    <comment ref="I226" authorId="40" shapeId="0" xr:uid="{2F6E8963-83CD-9944-9C1D-C4CCFA398A23}">
      <text>
        <t>[线程批注]
你的Excel版本可读取此线程批注; 但如果在更新版本的Excel中打开文件，则对批注所作的任何改动都将被删除。了解详细信息: https://go.microsoft.com/fwlink/?linkid=870924
注释:
    According to consensus forecast of Rev &amp; Vol (2880.05亿元, 313GWh respectively), unit price in 2023 = 2880.05/313*100</t>
      </text>
    </comment>
    <comment ref="E227" authorId="41" shapeId="0" xr:uid="{A2985EB2-0EC0-41F6-AB4D-12A36654FE56}">
      <text>
        <t>[线程批注]
你的Excel版本可读取此线程批注; 但如果在更新版本的Excel中打开文件，则对批注所作的任何改动都将被删除。了解详细信息: https://go.microsoft.com/fwlink/?linkid=870924
注释:
    研究报告显示，2019年比亚迪新能源乘用车电池包平均成本为0.85元/Wh</t>
      </text>
    </comment>
    <comment ref="H235" authorId="42" shapeId="0" xr:uid="{073C04DA-FF5C-4299-B693-FED1EEAD1B1A}">
      <text>
        <t xml:space="preserve">[线程批注]
你的Excel版本可读取此线程批注; 但如果在更新版本的Excel中打开文件，则对批注所作的任何改动都将被删除。了解详细信息: https://go.microsoft.com/fwlink/?linkid=870924
注释:
    根据国信证券：当前新能源乘用车驱动电机的单价大约为2500 元（根据巨一科技招股说明书估算），受益于电机性能的不断提升，我们预计2021-2025 年，驱动电机的单价有望以每年大约 2%的增幅提升，至 2025 年单价大约为2706 元。 </t>
      </text>
    </comment>
    <comment ref="A239" authorId="43" shapeId="0" xr:uid="{8E1E9733-2AF9-4A25-8783-F1957A79B3CB}">
      <text>
        <t>[线程批注]
你的Excel版本可读取此线程批注; 但如果在更新版本的Excel中打开文件，则对批注所作的任何改动都将被删除。了解详细信息: https://go.microsoft.com/fwlink/?linkid=870924
注释:
    由L7 Air和Pro装载</t>
      </text>
    </comment>
    <comment ref="H239" authorId="44" shapeId="0" xr:uid="{3CB9814B-1EA9-4BAC-8BDA-E4DCFE1A873F}">
      <text>
        <t>[线程批注]
你的Excel版本可读取此线程批注; 但如果在更新版本的Excel中打开文件，则对批注所作的任何改动都将被删除。了解详细信息: https://go.microsoft.com/fwlink/?linkid=870924
注释:
    根据余凯提及价格不到NVIDIA一半来估算</t>
      </text>
    </comment>
    <comment ref="A240" authorId="45" shapeId="0" xr:uid="{43295381-390E-47C9-AA4F-BCD5F44D7698}">
      <text>
        <t>[线程批注]
你的Excel版本可读取此线程批注; 但如果在更新版本的Excel中打开文件，则对批注所作的任何改动都将被删除。了解详细信息: https://go.microsoft.com/fwlink/?linkid=870924
注释:
    由L7 MAX装载2片NVIDIA芯片</t>
      </text>
    </comment>
    <comment ref="A243" authorId="46" shapeId="0" xr:uid="{3363DD2B-C4ED-493E-ACE4-E1E20E9368BA}">
      <text>
        <t>[线程批注]
你的Excel版本可读取此线程批注; 但如果在更新版本的Excel中打开文件，则对批注所作的任何改动都将被删除。了解详细信息: https://go.microsoft.com/fwlink/?linkid=870924
注释:
    Air和Pro搭载的摄像头为4个环视200万像素、5个ADAS200万像素和1个ADAS800万像素摄像头；其中，200万像素摄像头供应商为欧菲光，800万像素摄像头供应商为舜宇智领</t>
      </text>
    </comment>
    <comment ref="A246" authorId="47" shapeId="0" xr:uid="{8A9C8F63-B1BE-4813-98E8-B526ECF1669E}">
      <text>
        <t>[线程批注]
你的Excel版本可读取此线程批注; 但如果在更新版本的Excel中打开文件，则对批注所作的任何改动都将被删除。了解详细信息: https://go.microsoft.com/fwlink/?linkid=870924
注释:
    MAX搭载的摄像头为6个ADAS800万像素摄像头、1个ADAS200万像素摄像头和4个环视200万像素摄像头；其中200万像素摄像头供应商为欧菲光，其余的为舜宇智领</t>
      </text>
    </comment>
    <comment ref="H251" authorId="48" shapeId="0" xr:uid="{DCFAE0A9-786B-4FE2-A867-CE7ECECE467E}">
      <text>
        <t>[线程批注]
你的Excel版本可读取此线程批注; 但如果在更新版本的Excel中打开文件，则对批注所作的任何改动都将被删除。了解详细信息: https://go.microsoft.com/fwlink/?linkid=870924
注释:
    目前4D毫米波雷达还未形成统一价格，价格区间为1000-1500元，目前暂以平均值估算——森斯泰克为4D毫米波雷达Tier1</t>
      </text>
    </comment>
    <comment ref="A255" authorId="49" shapeId="0" xr:uid="{3F776DE3-B15D-4B26-A2EE-8634FB107437}">
      <text>
        <t>[线程批注]
你的Excel版本可读取此线程批注; 但如果在更新版本的Excel中打开文件，则对批注所作的任何改动都将被删除。了解详细信息: https://go.microsoft.com/fwlink/?linkid=870924
注释:
    只有MAX搭载激光雷达</t>
      </text>
    </comment>
    <comment ref="A258" authorId="50" shapeId="0" xr:uid="{6AA3B076-9EED-469A-8F57-4A3BD1336F25}">
      <text>
        <t>[线程批注]
你的Excel版本可读取此线程批注; 但如果在更新版本的Excel中打开文件，则对批注所作的任何改动都将被删除。了解详细信息: https://go.microsoft.com/fwlink/?linkid=870924
注释:
    只有Pro和MAX装载了空气悬挂</t>
      </text>
    </comment>
    <comment ref="I262" authorId="51" shapeId="0" xr:uid="{1DA60BA3-75C1-4E5C-B837-C6054FA26CCC}">
      <text>
        <t>[线程批注]
你的Excel版本可读取此线程批注; 但如果在更新版本的Excel中打开文件，则对批注所作的任何改动都将被删除。了解详细信息: https://go.microsoft.com/fwlink/?linkid=870924
注释:
    通过L8比L7在其他配件上多出一个座位(2000元)来进行估算</t>
      </text>
    </comment>
    <comment ref="A265" authorId="52" shapeId="0" xr:uid="{004B2865-B14D-4F8E-91EB-5B8999D661C5}">
      <text>
        <t>[线程批注]
你的Excel版本可读取此线程批注; 但如果在更新版本的Excel中打开文件，则对批注所作的任何改动都将被删除。了解详细信息: https://go.microsoft.com/fwlink/?linkid=870924
注释:
    该权益目前申请使用截止日期为2023.12.31</t>
      </text>
    </comment>
    <comment ref="A271" authorId="53" shapeId="0" xr:uid="{AE52FF64-D032-4C91-BD72-A9FD36468D31}">
      <text>
        <t>[线程批注]
你的Excel版本可读取此线程批注; 但如果在更新版本的Excel中打开文件，则对批注所作的任何改动都将被删除。了解详细信息: https://go.microsoft.com/fwlink/?linkid=870924
注释:
    L7 Air和L8 Air未搭载</t>
      </text>
    </comment>
    <comment ref="A274" authorId="54" shapeId="0" xr:uid="{65040B05-FDA0-4959-B99B-BCEB27941B13}">
      <text>
        <t>[线程批注]
你的Excel版本可读取此线程批注; 但如果在更新版本的Excel中打开文件，则对批注所作的任何改动都将被删除。了解详细信息: https://go.microsoft.com/fwlink/?linkid=870924
注释:
    充电桩单价按照理想ONE家用充电桩2500元/台，成本按照2000元/台估算；安装包30m，1m的价格在50-55元，这里以50元估算</t>
      </text>
    </comment>
    <comment ref="I287" authorId="55" shapeId="0" xr:uid="{651D32E7-17CD-DF4D-AF50-60363D5EE1B7}">
      <text>
        <t>[线程批注]
你的Excel版本可读取此线程批注; 但如果在更新版本的Excel中打开文件，则对批注所作的任何改动都将被删除。了解详细信息: https://go.microsoft.com/fwlink/?linkid=870924
注释:
    According to consensus forecast of Rev &amp; Vol (2880.05亿元, 313GWh respectively), unit price in 2023 = 2880.05/313*100</t>
      </text>
    </comment>
    <comment ref="E288" authorId="56" shapeId="0" xr:uid="{D3B392F1-7344-46C7-89D7-AD5C2C611651}">
      <text>
        <t>[线程批注]
你的Excel版本可读取此线程批注; 但如果在更新版本的Excel中打开文件，则对批注所作的任何改动都将被删除。了解详细信息: https://go.microsoft.com/fwlink/?linkid=870924
注释:
    研究报告显示，2019年比亚迪新能源乘用车电池包平均成本为0.85元/Wh</t>
      </text>
    </comment>
    <comment ref="H296" authorId="57" shapeId="0" xr:uid="{5FC34051-3C1F-48F5-B8CA-8927DC47C9A2}">
      <text>
        <t xml:space="preserve">[线程批注]
你的Excel版本可读取此线程批注; 但如果在更新版本的Excel中打开文件，则对批注所作的任何改动都将被删除。了解详细信息: https://go.microsoft.com/fwlink/?linkid=870924
注释:
    根据国信证券：当前新能源乘用车驱动电机的单价大约为2500 元（根据巨一科技招股说明书估算），受益于电机性能的不断提升，我们预计2021-2025 年，驱动电机的单价有望以每年大约 2%的增幅提升，至 2025 年单价大约为2706 元。 </t>
      </text>
    </comment>
    <comment ref="A300" authorId="58" shapeId="0" xr:uid="{C858A1EF-A1EB-47B5-8951-E66885762F8A}">
      <text>
        <t>[线程批注]
你的Excel版本可读取此线程批注; 但如果在更新版本的Excel中打开文件，则对批注所作的任何改动都将被删除。了解详细信息: https://go.microsoft.com/fwlink/?linkid=870924
注释:
    由L8 Air和Pro装载</t>
      </text>
    </comment>
    <comment ref="A301" authorId="59" shapeId="0" xr:uid="{4458A539-6CB9-4B93-A85C-A8243B296D5E}">
      <text>
        <t>[线程批注]
你的Excel版本可读取此线程批注; 但如果在更新版本的Excel中打开文件，则对批注所作的任何改动都将被删除。了解详细信息: https://go.microsoft.com/fwlink/?linkid=870924
注释:
    由L8 MAX装载2片NVIDIA芯片</t>
      </text>
    </comment>
    <comment ref="A304" authorId="60" shapeId="0" xr:uid="{B3AB514E-FD0D-4445-91A1-6E484ED412F1}">
      <text>
        <t>[线程批注]
你的Excel版本可读取此线程批注; 但如果在更新版本的Excel中打开文件，则对批注所作的任何改动都将被删除。了解详细信息: https://go.microsoft.com/fwlink/?linkid=870924
注释:
    Air和Pro搭载的摄像头为4个环视200万像素、5个ADAS200万像素和1个ADAS800万像素摄像头；其中，200万像素摄像头供应商为欧菲光，800万像素摄像头供应商为舜宇智领</t>
      </text>
    </comment>
    <comment ref="A307" authorId="61" shapeId="0" xr:uid="{CA52CC87-B905-434E-A877-A0D409F6C642}">
      <text>
        <t>[线程批注]
你的Excel版本可读取此线程批注; 但如果在更新版本的Excel中打开文件，则对批注所作的任何改动都将被删除。了解详细信息: https://go.microsoft.com/fwlink/?linkid=870924
注释:
    MAX搭载的摄像头为6个ADAS800万像素摄像头、1个ADAS200万像素摄像头和4个环视200万像素摄像头；其中200万像素摄像头供应商为欧菲光，其余的为舜宇智领</t>
      </text>
    </comment>
    <comment ref="A316" authorId="62" shapeId="0" xr:uid="{E17E12C1-F7D5-4120-A408-87741C1A461D}">
      <text>
        <t>[线程批注]
你的Excel版本可读取此线程批注; 但如果在更新版本的Excel中打开文件，则对批注所作的任何改动都将被删除。了解详细信息: https://go.microsoft.com/fwlink/?linkid=870924
注释:
    只有MAX搭载激光雷达</t>
      </text>
    </comment>
    <comment ref="A319" authorId="63" shapeId="0" xr:uid="{30905291-EB5F-45A2-8E70-77B5B8B84416}">
      <text>
        <t>[线程批注]
你的Excel版本可读取此线程批注; 但如果在更新版本的Excel中打开文件，则对批注所作的任何改动都将被删除。了解详细信息: https://go.microsoft.com/fwlink/?linkid=870924
注释:
    只有Pro和MAX装载了空气悬挂</t>
      </text>
    </comment>
    <comment ref="H323" authorId="64" shapeId="0" xr:uid="{EE240D87-C77C-4043-AADC-25F0D28C4D6D}">
      <text>
        <t>[线程批注]
你的Excel版本可读取此线程批注; 但如果在更新版本的Excel中打开文件，则对批注所作的任何改动都将被删除。了解详细信息: https://go.microsoft.com/fwlink/?linkid=870924
注释:
    以ONE单车相应成本估算L8</t>
      </text>
    </comment>
    <comment ref="A326" authorId="65" shapeId="0" xr:uid="{24EAC830-FE77-4BB1-857F-E386A5B25E67}">
      <text>
        <t>[线程批注]
你的Excel版本可读取此线程批注; 但如果在更新版本的Excel中打开文件，则对批注所作的任何改动都将被删除。了解详细信息: https://go.microsoft.com/fwlink/?linkid=870924
注释:
    该权益目前申请使用截止日期为2023.12.31</t>
      </text>
    </comment>
    <comment ref="A332" authorId="66" shapeId="0" xr:uid="{81492572-76AC-4012-9893-802B0F56A811}">
      <text>
        <t>[线程批注]
你的Excel版本可读取此线程批注; 但如果在更新版本的Excel中打开文件，则对批注所作的任何改动都将被删除。了解详细信息: https://go.microsoft.com/fwlink/?linkid=870924
注释:
    L7 Air和L8 Air未搭载</t>
      </text>
    </comment>
    <comment ref="A335" authorId="67" shapeId="0" xr:uid="{CC4F3402-5362-4405-B754-61B1A7783869}">
      <text>
        <t>[线程批注]
你的Excel版本可读取此线程批注; 但如果在更新版本的Excel中打开文件，则对批注所作的任何改动都将被删除。了解详细信息: https://go.microsoft.com/fwlink/?linkid=870924
注释:
    充电桩单价按照理想ONE家用充电桩2500元/台，成本按照2000元/台估算；安装包30m，1m的价格在50-55元，这里以50元估算</t>
      </text>
    </comment>
    <comment ref="A339" authorId="68" shapeId="0" xr:uid="{FEACCE18-F6C9-4F8D-98DB-82F9867658BB}">
      <text>
        <t>[线程批注]
你的Excel版本可读取此线程批注; 但如果在更新版本的Excel中打开文件，则对批注所作的任何改动都将被删除。了解详细信息: https://go.microsoft.com/fwlink/?linkid=870924
注释:
    目前只有2022款MAX，不予比重</t>
      </text>
    </comment>
    <comment ref="I347" authorId="69" shapeId="0" xr:uid="{6FE22172-82D1-E540-9FED-1BA3271112D6}">
      <text>
        <t>[线程批注]
你的Excel版本可读取此线程批注; 但如果在更新版本的Excel中打开文件，则对批注所作的任何改动都将被删除。了解详细信息: https://go.microsoft.com/fwlink/?linkid=870924
注释:
    According to consensus forecast of Rev &amp; Vol (2880.05亿元, 313GWh respectively), unit price in 2023 = 2880.05/313*100</t>
      </text>
    </comment>
    <comment ref="E348" authorId="70" shapeId="0" xr:uid="{EEEBE9F2-EDD2-422C-83F7-F3DCF2FE8CE1}">
      <text>
        <t>[线程批注]
你的Excel版本可读取此线程批注; 但如果在更新版本的Excel中打开文件，则对批注所作的任何改动都将被删除。了解详细信息: https://go.microsoft.com/fwlink/?linkid=870924
注释:
    研究报告显示，2019年比亚迪新能源乘用车电池包平均成本为0.85元/Wh</t>
      </text>
    </comment>
    <comment ref="H356" authorId="71" shapeId="0" xr:uid="{1FF7A530-04C9-4DD0-8D67-23D8BF2F9025}">
      <text>
        <t xml:space="preserve">[线程批注]
你的Excel版本可读取此线程批注; 但如果在更新版本的Excel中打开文件，则对批注所作的任何改动都将被删除。了解详细信息: https://go.microsoft.com/fwlink/?linkid=870924
注释:
    根据国信证券：当前新能源乘用车驱动电机的单价大约为2500 元（根据巨一科技招股说明书估算），受益于电机性能的不断提升，我们预计2021-2025 年，驱动电机的单价有望以每年大约 2%的增幅提升，至 2025 年单价大约为2706 元。 </t>
      </text>
    </comment>
    <comment ref="I359" authorId="72" shapeId="0" xr:uid="{E1258716-A51A-46FD-B5B0-C00E7E88D5AE}">
      <text>
        <t>[线程批注]
你的Excel版本可读取此线程批注; 但如果在更新版本的Excel中打开文件，则对批注所作的任何改动都将被删除。了解详细信息: https://go.microsoft.com/fwlink/?linkid=870924
注释:
    2023年8月开始交付L9 Pro，按照1-7月总销量51936辆计算Pro上市前的数据</t>
      </text>
    </comment>
    <comment ref="H363" authorId="73" shapeId="0" xr:uid="{5C91F9A9-1A70-40D2-8CB0-BC266030682C}">
      <text>
        <t xml:space="preserve">[线程批注]
你的Excel版本可读取此线程批注; 但如果在更新版本的Excel中打开文件，则对批注所作的任何改动都将被删除。了解详细信息: https://go.microsoft.com/fwlink/?linkid=870924
注释:
    NVIDIA Jetson Orin Nano Developer Kit 售价$499，由于没有NVIDIA Drive Orin芯片的准确价格，但是根据余凯描述的NVIDIA Orin芯片单价400多美元，所以以$499估算
</t>
      </text>
    </comment>
    <comment ref="A364" authorId="74" shapeId="0" xr:uid="{B2511856-9BB6-4B17-8294-F1D57FDA45E3}">
      <text>
        <t>[线程批注]
你的Excel版本可读取此线程批注; 但如果在更新版本的Excel中打开文件，则对批注所作的任何改动都将被删除。了解详细信息: https://go.microsoft.com/fwlink/?linkid=870924
注释:
    由L8 Air和Pro装载</t>
      </text>
    </comment>
    <comment ref="I365" authorId="75" shapeId="0" xr:uid="{AFA62529-1BD4-42D4-AC9B-91EFE557B786}">
      <text>
        <t>[线程批注]
你的Excel版本可读取此线程批注; 但如果在更新版本的Excel中打开文件，则对批注所作的任何改动都将被删除。了解详细信息: https://go.microsoft.com/fwlink/?linkid=870924
注释:
    6M 2023</t>
      </text>
    </comment>
    <comment ref="H367" authorId="76" shapeId="0" xr:uid="{1121FBB2-80E6-4E4D-94FE-58DE5D62C777}">
      <text>
        <t xml:space="preserve">[线程批注]
你的Excel版本可读取此线程批注; 但如果在更新版本的Excel中打开文件，则对批注所作的任何改动都将被删除。了解详细信息: https://go.microsoft.com/fwlink/?linkid=870924
注释:
    据悉，L9搭载7个ADAS摄像头和4个环视摄像头；其中，ADAS模组和镜头皆为舜宇，环视模组和镜头则为纵目科技和欧菲光
</t>
      </text>
    </comment>
    <comment ref="A369" authorId="77" shapeId="0" xr:uid="{98226457-A5EC-462C-A8AE-1869DFE94014}">
      <text>
        <t>[线程批注]
你的Excel版本可读取此线程批注; 但如果在更新版本的Excel中打开文件，则对批注所作的任何改动都将被删除。了解详细信息: https://go.microsoft.com/fwlink/?linkid=870924
注释:
    Tier1</t>
      </text>
    </comment>
    <comment ref="A370" authorId="78" shapeId="0" xr:uid="{066979C3-D240-47AE-AEFF-E72F35A6DD80}">
      <text>
        <t>[线程批注]
你的Excel版本可读取此线程批注; 但如果在更新版本的Excel中打开文件，则对批注所作的任何改动都将被删除。了解详细信息: https://go.microsoft.com/fwlink/?linkid=870924
注释:
    Tier2</t>
      </text>
    </comment>
    <comment ref="A377" authorId="79" shapeId="0" xr:uid="{48F1347B-981A-4DF8-A165-BF477AEF3534}">
      <text>
        <t>[线程批注]
你的Excel版本可读取此线程批注; 但如果在更新版本的Excel中打开文件，则对批注所作的任何改动都将被删除。了解详细信息: https://go.microsoft.com/fwlink/?linkid=870924
注释:
    陈清锋带豪恩汽电上市，客户包括小鹏、理想汽车，毛利率持续下降_腾讯新闻 (qq.com) 和创业板招股说明书</t>
      </text>
    </comment>
    <comment ref="H377" authorId="80" shapeId="0" xr:uid="{AA42E1BD-CB58-4C9A-A6AB-EDB7F849127A}">
      <text>
        <t>[线程批注]
你的Excel版本可读取此线程批注; 但如果在更新版本的Excel中打开文件，则对批注所作的任何改动都将被删除。了解详细信息: https://go.microsoft.com/fwlink/?linkid=870924
注释:
    豪恩汽电创业板招股说明书披露：超声波雷达系统销量1,153.56万件，26,538.27万元</t>
      </text>
    </comment>
    <comment ref="L377" authorId="81" shapeId="0" xr:uid="{F368699E-442C-4F0E-A100-29861468B61C}">
      <text>
        <t>[线程批注]
你的Excel版本可读取此线程批注; 但如果在更新版本的Excel中打开文件，则对批注所作的任何改动都将被删除。了解详细信息: https://go.microsoft.com/fwlink/?linkid=870924
注释:
    根据豪恩汽电创业板招股说明书披露，2020-2022平均年变化率为-1.94%</t>
      </text>
    </comment>
    <comment ref="H380" authorId="82" shapeId="0" xr:uid="{E50B8DB6-5678-467C-BC2F-1BDBECA97938}">
      <text>
        <t>[线程批注]
你的Excel版本可读取此线程批注; 但如果在更新版本的Excel中打开文件，则对批注所作的任何改动都将被删除。了解详细信息: https://go.microsoft.com/fwlink/?linkid=870924
注释:
    According to the Hesai 2022 AR, Revenue from LiDAR products is 1,122,237 thousand Yuan，AT128 accounted for 26.3% of revenue in 2022, and it has shipped approximately 62,000
答复:
    Total revenue is 1,202,670 thousand Yuan</t>
      </text>
    </comment>
    <comment ref="A388" authorId="83" shapeId="0" xr:uid="{2949B509-92D9-4DFA-8AEA-DE0AB11096DA}">
      <text>
        <t>[线程批注]
你的Excel版本可读取此线程批注; 但如果在更新版本的Excel中打开文件，则对批注所作的任何改动都将被删除。了解详细信息: https://go.microsoft.com/fwlink/?linkid=870924
注释:
    该权益目前申请使用截止日期为2023.12.31</t>
      </text>
    </comment>
    <comment ref="A394" authorId="84" shapeId="0" xr:uid="{3D1E41F7-1A1B-409E-8229-7F5D8711AF0F}">
      <text>
        <t>[线程批注]
你的Excel版本可读取此线程批注; 但如果在更新版本的Excel中打开文件，则对批注所作的任何改动都将被删除。了解详细信息: https://go.microsoft.com/fwlink/?linkid=870924
注释:
    L7 Air和L8 Air未搭载</t>
      </text>
    </comment>
    <comment ref="A397" authorId="85" shapeId="0" xr:uid="{4F29A583-8064-47EE-BC15-32710B1B3985}">
      <text>
        <t>[线程批注]
你的Excel版本可读取此线程批注; 但如果在更新版本的Excel中打开文件，则对批注所作的任何改动都将被删除。了解详细信息: https://go.microsoft.com/fwlink/?linkid=870924
注释:
    充电桩单价按照理想ONE家用充电桩2500元/台，成本按照2000元/台估算；安装包30m，1m的价格在50-55元，这里以50元估算</t>
      </text>
    </comment>
    <comment ref="H402" authorId="86" shapeId="0" xr:uid="{5081737C-72CF-4C8F-892B-3194655B9B1D}">
      <text>
        <t>[线程批注]
你的Excel版本可读取此线程批注; 但如果在更新版本的Excel中打开文件，则对批注所作的任何改动都将被删除。了解详细信息: https://go.microsoft.com/fwlink/?linkid=870924
注释:
    2022 中期报告为2912
分配800给北京
答复:
    理想汽车常州基地生产运营总监董海亮说：“我们刚刚投产的时候，一天只有二三十台的产量，整个工厂有三四百人。现在我们人数已经发展到4000多人，每天能做到600台。</t>
      </text>
    </comment>
    <comment ref="I402" authorId="87" shapeId="0" xr:uid="{78D730B8-E97D-4637-96BC-BBFD324743E8}">
      <text>
        <t xml:space="preserve">[线程批注]
你的Excel版本可读取此线程批注; 但如果在更新版本的Excel中打开文件，则对批注所作的任何改动都将被删除。了解详细信息: https://go.microsoft.com/fwlink/?linkid=870924
注释:
    假设增速10%并逐渐增快
</t>
      </text>
    </comment>
    <comment ref="A404" authorId="88" shapeId="0" xr:uid="{437A6B13-9F7F-428D-BBE1-C357A4C09841}">
      <text>
        <t>[线程批注]
你的Excel版本可读取此线程批注; 但如果在更新版本的Excel中打开文件，则对批注所作的任何改动都将被删除。了解详细信息: https://go.microsoft.com/fwlink/?linkid=870924
注释:
    还没有投入建设</t>
      </text>
    </comment>
    <comment ref="F406" authorId="89" shapeId="0" xr:uid="{8CDD2C61-0A6A-4C06-BEBA-BC0BD6A5EDC5}">
      <text>
        <t>[线程批注]
你的Excel版本可读取此线程批注; 但如果在更新版本的Excel中打开文件，则对批注所作的任何改动都将被删除。了解详细信息: https://go.microsoft.com/fwlink/?linkid=870924
注释:
    薪资构成：基本工资+绩效奖金+津补贴+轮班津贴+加班工资+超产奖金；年度平均 13 薪；6-9 月享受高温补贴；根据产能安排加班，综合税前月收入 4900~8600 元;</t>
      </text>
    </comment>
    <comment ref="H407" authorId="90" shapeId="0" xr:uid="{DB3FA395-567F-49C8-B3C0-A1316D0552E4}">
      <text>
        <t>[线程批注]
你的Excel版本可读取此线程批注; 但如果在更新版本的Excel中打开文件，则对批注所作的任何改动都将被删除。了解详细信息: https://go.microsoft.com/fwlink/?linkid=870924
注释:
    焊接车间设备维修，8-13k，13薪</t>
      </text>
    </comment>
    <comment ref="A427" authorId="91" shapeId="0" xr:uid="{729D13E0-D5AC-47BA-A44E-D8AEC3E92422}">
      <text>
        <t>[线程批注]
你的Excel版本可读取此线程批注; 但如果在更新版本的Excel中打开文件，则对批注所作的任何改动都将被删除。了解详细信息: https://go.microsoft.com/fwlink/?linkid=870924
注释:
    NOTES TO CONSOLIDATED FINANCIAL STATEMENTS</t>
      </text>
    </comment>
    <comment ref="A428" authorId="92" shapeId="0" xr:uid="{A3ECCE7F-F169-4CD7-A9F9-DFC7987FB03B}">
      <text>
        <t>[线程批注]
你的Excel版本可读取此线程批注; 但如果在更新版本的Excel中打开文件，则对批注所作的任何改动都将被删除。了解详细信息: https://go.microsoft.com/fwlink/?linkid=870924
注释:
    NOTES TO CONSOLIDATED FINANCIAL STATEMENTS</t>
      </text>
    </comment>
    <comment ref="E440" authorId="93" shapeId="0" xr:uid="{579CC022-914B-4013-9451-075EDBD34DC3}">
      <text>
        <t>[线程批注]
你的Excel版本可读取此线程批注; 但如果在更新版本的Excel中打开文件，则对批注所作的任何改动都将被删除。了解详细信息: https://go.microsoft.com/fwlink/?linkid=870924
注释:
    研究报告显示，2019年比亚迪新能源乘用车电池包平均成本为0.85元/Wh</t>
      </text>
    </comment>
    <comment ref="G444" authorId="94" shapeId="0" xr:uid="{872E98FC-1E5F-413D-9FA0-03AEFFE47190}">
      <text>
        <t>[线程批注]
你的Excel版本可读取此线程批注; 但如果在更新版本的Excel中打开文件，则对批注所作的任何改动都将被删除。了解详细信息: https://go.microsoft.com/fwlink/?linkid=870924
注释:
    未查到肇庆工厂2021及以后的员工人数</t>
      </text>
    </comment>
    <comment ref="I445" authorId="95" shapeId="0" xr:uid="{B5976513-D127-459D-AA7D-2AEB554E637D}">
      <text>
        <t>[线程批注]
你的Excel版本可读取此线程批注; 但如果在更新版本的Excel中打开文件，则对批注所作的任何改动都将被删除。了解详细信息: https://go.microsoft.com/fwlink/?linkid=870924
注释:
    未查到广州工厂员工人数，按肇庆工厂最初的员工人数估计</t>
      </text>
    </comment>
    <comment ref="A446" authorId="96" shapeId="0" xr:uid="{BC04DCB7-49FB-43AC-94AE-DA8571A89070}">
      <text>
        <t>[线程批注]
你的Excel版本可读取此线程批注; 但如果在更新版本的Excel中打开文件，则对批注所作的任何改动都将被删除。了解详细信息: https://go.microsoft.com/fwlink/?linkid=870924
注释:
    还未投产</t>
      </text>
    </comment>
    <comment ref="F448" authorId="97" shapeId="0" xr:uid="{32419A38-18AA-479B-B98A-38C7A2B3EB60}">
      <text>
        <t>[线程批注]
你的Excel版本可读取此线程批注; 但如果在更新版本的Excel中打开文件，则对批注所作的任何改动都将被删除。了解详细信息: https://go.microsoft.com/fwlink/?linkid=870924
注释:
    PACK设备技工，8-13K·15薪</t>
      </text>
    </comment>
    <comment ref="I449" authorId="98" shapeId="0" xr:uid="{A9A84EFF-09DE-46F8-BA3A-968A27C5536E}">
      <text>
        <t>[线程批注]
你的Excel版本可读取此线程批注; 但如果在更新版本的Excel中打开文件，则对批注所作的任何改动都将被删除。了解详细信息: https://go.microsoft.com/fwlink/?linkid=870924
注释:
    生产技工（广州），7-11K·15薪</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tc={8344C060-A78F-4598-AFA7-69E19224248C}</author>
    <author>tc={170FED09-6161-4148-947D-D4B68AC0839F}</author>
    <author>tc={8E50AAB5-B4C5-4B2C-93AD-B936A4152B71}</author>
    <author>tc={1BE84639-BD47-4C41-8E05-35C80A1C98D9}</author>
    <author>tc={A7647A5A-D2DA-405E-9991-52AAC7216CE2}</author>
    <author>tc={32195D3A-F1ED-478E-960D-AEDAC2E3BC18}</author>
    <author>tc={CAFEB3B0-9D21-4A40-A8C6-DB877AD4F09C}</author>
    <author>tc={97CE8D86-B3D3-4DB0-BB20-5CEF72BED528}</author>
    <author>tc={E95FA9D2-C56C-403A-B731-319FD4A9ED5C}</author>
    <author>tc={C8601676-C55C-493F-B21E-08850F2622EC}</author>
    <author>tc={CF7186DD-987B-4CEA-A6F5-7E8C1A83EA2E}</author>
    <author>tc={3FEC6E89-ECD5-4263-ADFE-30FFCF4FE133}</author>
    <author>tc={3388995D-1EA5-4C38-A241-47EA77C94278}</author>
    <author>tc={B9102F50-20A8-44FF-81CA-12B93287BFE8}</author>
    <author>tc={19BB0423-DC01-48F0-89CE-5F9B48E73954}</author>
    <author>tc={855A8309-C7E8-4419-BC2A-B24A6C615AEB}</author>
    <author>tc={6E748970-7FEB-42DE-B22D-212B9202ABBF}</author>
    <author>tc={55C65DA3-03C5-4E72-9626-96E1D29547C4}</author>
    <author>tc={E405ECBE-EF1B-46B2-94C3-A0909C08A568}</author>
    <author>tc={3F69F513-5B8D-45A5-8C33-1587D1339C2F}</author>
    <author>tc={D6B88CDB-8AD7-4A9B-895F-942B4F4DF829}</author>
    <author>tc={A0B3153F-1F1E-4138-BB80-F5B0ABD2F6B6}</author>
    <author>tc={51286493-FD51-40A7-952E-4EEB5953DBEB}</author>
    <author>tc={F2FC841B-7B86-47D2-B28E-56D4432FE446}</author>
    <author>tc={6A3D2184-3465-4D6C-A2DF-8B0A1F362FC2}</author>
    <author>tc={0D82D42B-F53E-476B-8AB5-2628D4C96956}</author>
    <author>tc={FF78A8D9-406D-4A05-A3CA-F9CF7F8454B3}</author>
    <author>tc={B94E8245-9700-4C47-87FE-3DCB204C76CF}</author>
    <author>tc={59F7F587-73F5-4C0D-9135-729C26644F83}</author>
    <author>tc={5CC24732-9176-40A1-831B-784E761FA8B2}</author>
    <author>tc={928416A6-206A-408E-AC74-0DF1AFC8DC39}</author>
    <author>tc={CED790C6-CA82-41E5-B953-47510C1DE993}</author>
    <author>tc={C1783FA8-F108-4907-83E4-01C2D9288318}</author>
    <author>tc={20BAC91E-E74A-4D9A-98C5-B40A68581DBA}</author>
    <author>tc={F2C4EFE3-A5AC-49C8-8F6E-FC90DB6995DA}</author>
    <author>tc={541ED8DF-BCEC-4CC6-82DB-724DF4226158}</author>
    <author>tc={93FF27AB-556E-4B78-B37F-D8DF3BA11D91}</author>
    <author>tc={67F82487-D979-44CD-B9A1-35A1F369DE4B}</author>
    <author>tc={78B65FC5-4C44-475D-BDE9-C88265EF040B}</author>
    <author>tc={D08E4064-97A8-4535-B1E3-FE3251155699}</author>
    <author>tc={0954F72E-B904-4B2D-BC77-DC20D02D786B}</author>
    <author>tc={CD7391B5-42B6-4F72-AB3D-05CE28BA2B67}</author>
    <author>tc={A6A80FA0-F13F-4B32-93D6-F4687B94A9C2}</author>
    <author>tc={A5840F0D-42E7-4CDA-9C15-41AE78E46636}</author>
    <author>tc={AA19D7B2-F904-4698-BF36-23530FB9EC76}</author>
    <author>tc={34D95812-5A45-4820-A15E-B120A005DA2C}</author>
    <author>tc={0238695B-52C0-4E1A-98DC-EFF51A518802}</author>
    <author>tc={FC3F9340-4FD1-4F62-AFB8-B2570EF7C035}</author>
    <author>tc={673FE832-19BF-4897-AD33-43EEC41E1DA2}</author>
    <author>tc={8B02B938-90DE-4B1F-831E-95FC197D2FA9}</author>
    <author>tc={E7C8CD06-648A-4243-8343-30D52B003F42}</author>
    <author>tc={F646C5AF-D3CE-4A11-8940-625770A54DED}</author>
    <author>tc={C84B2492-5AC9-48D5-B635-E8657AD0BDCB}</author>
    <author>tc={90A6BA8B-1939-0C4B-BDE3-DB782A69325F}</author>
    <author>tc={71754B33-BDD0-F249-B579-082059A6E3EB}</author>
    <author>karine m</author>
    <author>tc={1DDA7BB6-EFC7-DB41-8AD3-7FE9985AB268}</author>
    <author>tc={B450A65C-9D08-9549-A1E3-C5A5A90EB4F4}</author>
    <author>tc={449D55E1-07EF-5647-A4F1-33970170A49F}</author>
    <author>tc={756861D0-5DF7-40E5-9FD8-D69958E4A875}</author>
    <author>tc={F4FFF035-0818-4DFC-BABE-132A8B3CCA33}</author>
    <author>tc={220FA550-D09D-4F6D-82D9-8FA5807E6562}</author>
    <author>tc={02F7592E-B8C1-4234-A25E-447E995F7710}</author>
    <author>Alex Hung</author>
    <author>tc={FE76FC44-4CB0-4646-8F42-50DF72DCE17A}</author>
  </authors>
  <commentList>
    <comment ref="G9" authorId="0" shapeId="0" xr:uid="{8344C060-A78F-4598-AFA7-69E19224248C}">
      <text>
        <t>[线程批注]
你的Excel版本可读取此线程批注; 但如果在更新版本的Excel中打开文件，则对批注所作的任何改动都将被删除。了解详细信息: https://go.microsoft.com/fwlink/?linkid=870924
注释:
    9m 29%</t>
      </text>
    </comment>
    <comment ref="G17" authorId="1" shapeId="0" xr:uid="{170FED09-6161-4148-947D-D4B68AC0839F}">
      <text>
        <t>[线程批注]
你的Excel版本可读取此线程批注; 但如果在更新版本的Excel中打开文件，则对批注所作的任何改动都将被删除。了解详细信息: https://go.microsoft.com/fwlink/?linkid=870924
注释:
    9m -2%</t>
      </text>
    </comment>
    <comment ref="H17" authorId="2" shapeId="0" xr:uid="{8E50AAB5-B4C5-4B2C-93AD-B936A4152B71}">
      <text>
        <t>[线程批注]
你的Excel版本可读取此线程批注; 但如果在更新版本的Excel中打开文件，则对批注所作的任何改动都将被删除。了解详细信息: https://go.microsoft.com/fwlink/?linkid=870924
注释:
    9m -2%
答复:
    1h negative</t>
      </text>
    </comment>
    <comment ref="I17" authorId="3" shapeId="0" xr:uid="{1BE84639-BD47-4C41-8E05-35C80A1C98D9}">
      <text>
        <t>[线程批注]
你的Excel版本可读取此线程批注; 但如果在更新版本的Excel中打开文件，则对批注所作的任何改动都将被删除。了解详细信息: https://go.microsoft.com/fwlink/?linkid=870924
注释:
    9m -2%</t>
      </text>
    </comment>
    <comment ref="L17" authorId="4" shapeId="0" xr:uid="{A7647A5A-D2DA-405E-9991-52AAC7216CE2}">
      <text>
        <t>[线程批注]
你的Excel版本可读取此线程批注; 但如果在更新版本的Excel中打开文件，则对批注所作的任何改动都将被删除。了解详细信息: https://go.microsoft.com/fwlink/?linkid=870924
注释:
    cut to 5 from 10</t>
      </text>
    </comment>
    <comment ref="L24" authorId="5" shapeId="0" xr:uid="{32195D3A-F1ED-478E-960D-AEDAC2E3BC18}">
      <text>
        <t>[线程批注]
你的Excel版本可读取此线程批注; 但如果在更新版本的Excel中打开文件，则对批注所作的任何改动都将被删除。了解详细信息: https://go.microsoft.com/fwlink/?linkid=870924
注释:
    MA3 due to 2021 miss
答复:
    MA4 due to 2022 beat</t>
      </text>
    </comment>
    <comment ref="G42" authorId="6" shapeId="0" xr:uid="{CAFEB3B0-9D21-4A40-A8C6-DB877AD4F09C}">
      <text>
        <t>[线程批注]
你的Excel版本可读取此线程批注; 但如果在更新版本的Excel中打开文件，则对批注所作的任何改动都将被删除。了解详细信息: https://go.microsoft.com/fwlink/?linkid=870924
注释:
    利用了一致性预期中给出的毛利率
答复:
    overwrited</t>
      </text>
    </comment>
    <comment ref="H42" authorId="7" shapeId="0" xr:uid="{97CE8D86-B3D3-4DB0-BB20-5CEF72BED528}">
      <text>
        <t>[线程批注]
你的Excel版本可读取此线程批注; 但如果在更新版本的Excel中打开文件，则对批注所作的任何改动都将被删除。了解详细信息: https://go.microsoft.com/fwlink/?linkid=870924
注释:
    利用了一致性预期中给出的毛利率
答复:
    overwrited</t>
      </text>
    </comment>
    <comment ref="I42" authorId="8" shapeId="0" xr:uid="{E95FA9D2-C56C-403A-B731-319FD4A9ED5C}">
      <text>
        <t>[线程批注]
你的Excel版本可读取此线程批注; 但如果在更新版本的Excel中打开文件，则对批注所作的任何改动都将被删除。了解详细信息: https://go.microsoft.com/fwlink/?linkid=870924
注释:
    利用了一致性预期中给出的毛利率
答复:
    overwrited</t>
      </text>
    </comment>
    <comment ref="H44" authorId="9" shapeId="0" xr:uid="{C8601676-C55C-493F-B21E-08850F2622EC}">
      <text>
        <t>[线程批注]
你的Excel版本可读取此线程批注; 但如果在更新版本的Excel中打开文件，则对批注所作的任何改动都将被删除。了解详细信息: https://go.microsoft.com/fwlink/?linkid=870924
注释:
    6m only 5%
答复:
    mainly due to decrease in CEO option expense, which is deemed to be related to falling stock price
答复:
    cut to 5%
答复:
    cut to 4.5</t>
      </text>
    </comment>
    <comment ref="H46" authorId="10" shapeId="0" xr:uid="{CF7186DD-987B-4CEA-A6F5-7E8C1A83EA2E}">
      <text>
        <t>[线程批注]
你的Excel版本可读取此线程批注; 但如果在更新版本的Excel中打开文件，则对批注所作的任何改动都将被删除。了解详细信息: https://go.microsoft.com/fwlink/?linkid=870924
注释:
    cut to 4.5 from 5 (MA3)</t>
      </text>
    </comment>
    <comment ref="G49" authorId="11" shapeId="0" xr:uid="{3FEC6E89-ECD5-4263-ADFE-30FFCF4FE133}">
      <text>
        <t>[线程批注]
你的Excel版本可读取此线程批注; 但如果在更新版本的Excel中打开文件，则对批注所作的任何改动都将被删除。了解详细信息: https://go.microsoft.com/fwlink/?linkid=870924
注释:
    9m 300</t>
      </text>
    </comment>
    <comment ref="H50" authorId="12" shapeId="0" xr:uid="{3388995D-1EA5-4C38-A241-47EA77C94278}">
      <text>
        <t>[线程批注]
你的Excel版本可读取此线程批注; 但如果在更新版本的Excel中打开文件，则对批注所作的任何改动都将被删除。了解详细信息: https://go.microsoft.com/fwlink/?linkid=870924
注释:
    cut from 3 to -10</t>
      </text>
    </comment>
    <comment ref="G58" authorId="13" shapeId="0" xr:uid="{B9102F50-20A8-44FF-81CA-12B93287BFE8}">
      <text>
        <t>[线程批注]
你的Excel版本可读取此线程批注; 但如果在更新版本的Excel中打开文件，则对批注所作的任何改动都将被删除。了解详细信息: https://go.microsoft.com/fwlink/?linkid=870924
注释:
    Our effective tax rate decreased from 27% to 11% in the nine months ended September 30, 2021 as compared to the nine months ended September 30, 2020.</t>
      </text>
    </comment>
    <comment ref="H58" authorId="14" shapeId="0" xr:uid="{19BB0423-DC01-48F0-89CE-5F9B48E73954}">
      <text>
        <t>[线程批注]
你的Excel版本可读取此线程批注; 但如果在更新版本的Excel中打开文件，则对批注所作的任何改动都将被删除。了解详细信息: https://go.microsoft.com/fwlink/?linkid=870924
注释:
    1h only 9%
答复:
    cut from 15 to 9</t>
      </text>
    </comment>
    <comment ref="G63" authorId="15" shapeId="0" xr:uid="{855A8309-C7E8-4419-BC2A-B24A6C615AEB}">
      <text>
        <t>[线程批注]
你的Excel版本可读取此线程批注; 但如果在更新版本的Excel中打开文件，则对批注所作的任何改动都将被删除。了解详细信息: https://go.microsoft.com/fwlink/?linkid=870924
注释:
    930 1.12</t>
      </text>
    </comment>
    <comment ref="H63" authorId="16" shapeId="0" xr:uid="{6E748970-7FEB-42DE-B22D-212B9202ABBF}">
      <text>
        <t>[线程批注]
你的Excel版本可读取此线程批注; 但如果在更新版本的Excel中打开文件，则对批注所作的任何改动都将被删除。了解详细信息: https://go.microsoft.com/fwlink/?linkid=870924
注释:
    3-1</t>
      </text>
    </comment>
    <comment ref="G66" authorId="17" shapeId="0" xr:uid="{55C65DA3-03C5-4E72-9626-96E1D29547C4}">
      <text>
        <t>[线程批注]
你的Excel版本可读取此线程批注; 但如果在更新版本的Excel中打开文件，则对批注所作的任何改动都将被删除。了解详细信息: https://go.microsoft.com/fwlink/?linkid=870924
注释:
    930 ttm</t>
      </text>
    </comment>
    <comment ref="I72" authorId="18" shapeId="0" xr:uid="{E405ECBE-EF1B-46B2-94C3-A0909C08A568}">
      <text>
        <t xml:space="preserve">[线程批注]
你的Excel版本可读取此线程批注; 但如果在更新版本的Excel中打开文件，则对批注所作的任何改动都将被删除。了解详细信息: https://go.microsoft.com/fwlink/?linkid=870924
注释:
    6M  208,823,603 </t>
      </text>
    </comment>
    <comment ref="A76" authorId="19" shapeId="0" xr:uid="{3F69F513-5B8D-45A5-8C33-1587D1339C2F}">
      <text>
        <t>[线程批注]
你的Excel版本可读取此线程批注; 但如果在更新版本的Excel中打开文件，则对批注所作的任何改动都将被删除。了解详细信息: https://go.microsoft.com/fwlink/?linkid=870924
注释:
    比亚迪财报未披露分部毛利，于是采用毛利率进行倒推</t>
      </text>
    </comment>
    <comment ref="H76" authorId="20" shapeId="0" xr:uid="{D6B88CDB-8AD7-4A9B-895F-942B4F4DF829}">
      <text>
        <t>[线程批注]
你的Excel版本可读取此线程批注; 但如果在更新版本的Excel中打开文件，则对批注所作的任何改动都将被删除。了解详细信息: https://go.microsoft.com/fwlink/?linkid=870924
注释:
    1H 17b</t>
      </text>
    </comment>
    <comment ref="G77" authorId="21" shapeId="0" xr:uid="{A0B3153F-1F1E-4138-BB80-F5B0ABD2F6B6}">
      <text>
        <t>[线程批注]
你的Excel版本可读取此线程批注; 但如果在更新版本的Excel中打开文件，则对批注所作的任何改动都将被删除。了解详细信息: https://go.microsoft.com/fwlink/?linkid=870924
注释:
    6m 19.5%</t>
      </text>
    </comment>
    <comment ref="I77" authorId="22" shapeId="0" xr:uid="{51286493-FD51-40A7-952E-4EEB5953DBEB}">
      <text>
        <t>[线程批注]
你的Excel版本可读取此线程批注; 但如果在更新版本的Excel中打开文件，则对批注所作的任何改动都将被删除。了解详细信息: https://go.microsoft.com/fwlink/?linkid=870924
注释:
    6M 20.67%</t>
      </text>
    </comment>
    <comment ref="A85" authorId="23" shapeId="0" xr:uid="{F2FC841B-7B86-47D2-B28E-56D4432FE446}">
      <text>
        <t>[线程批注]
你的Excel版本可读取此线程批注; 但如果在更新版本的Excel中打开文件，则对批注所作的任何改动都将被删除。了解详细信息: https://go.microsoft.com/fwlink/?linkid=870924
注释:
    比亚迪财报未披露分部毛利，于是采用毛利率进行倒推</t>
      </text>
    </comment>
    <comment ref="H85" authorId="24" shapeId="0" xr:uid="{6A3D2184-3465-4D6C-A2DF-8B0A1F362FC2}">
      <text>
        <t>[线程批注]
你的Excel版本可读取此线程批注; 但如果在更新版本的Excel中打开文件，则对批注所作的任何改动都将被删除。了解详细信息: https://go.microsoft.com/fwlink/?linkid=870924
注释:
    1H 17b</t>
      </text>
    </comment>
    <comment ref="G86" authorId="25" shapeId="0" xr:uid="{0D82D42B-F53E-476B-8AB5-2628D4C96956}">
      <text>
        <t>[线程批注]
你的Excel版本可读取此线程批注; 但如果在更新版本的Excel中打开文件，则对批注所作的任何改动都将被删除。了解详细信息: https://go.microsoft.com/fwlink/?linkid=870924
注释:
    6m 19.5%</t>
      </text>
    </comment>
    <comment ref="G92" authorId="26" shapeId="0" xr:uid="{FF78A8D9-406D-4A05-A3CA-F9CF7F8454B3}">
      <text>
        <t>[线程批注]
你的Excel版本可读取此线程批注; 但如果在更新版本的Excel中打开文件，则对批注所作的任何改动都将被删除。了解详细信息: https://go.microsoft.com/fwlink/?linkid=870924
注释:
    比亚迪有望获得获得了特斯拉10GWh的订单
Source: https://wallstreetcn.com/articles/3643125
答复:
    分别给出53%、40%、30%增速
答复:
    刀片电池批量装车</t>
      </text>
    </comment>
    <comment ref="A96" authorId="27" shapeId="0" xr:uid="{B94E8245-9700-4C47-87FE-3DCB204C76CF}">
      <text>
        <t>[线程批注]
你的Excel版本可读取此线程批注; 但如果在更新版本的Excel中打开文件，则对批注所作的任何改动都将被删除。了解详细信息: https://go.microsoft.com/fwlink/?linkid=870924
注释:
    来源于A股年报</t>
      </text>
    </comment>
    <comment ref="A98" authorId="28" shapeId="0" xr:uid="{59F7F587-73F5-4C0D-9135-729C26644F83}">
      <text>
        <t>[线程批注]
你的Excel版本可读取此线程批注; 但如果在更新版本的Excel中打开文件，则对批注所作的任何改动都将被删除。了解详细信息: https://go.microsoft.com/fwlink/?linkid=870924
注释:
    比亚迪财报未披露分部毛利，于是采用毛利率进行倒推</t>
      </text>
    </comment>
    <comment ref="A107" authorId="29" shapeId="0" xr:uid="{5CC24732-9176-40A1-831B-784E761FA8B2}">
      <text>
        <t>[线程批注]
你的Excel版本可读取此线程批注; 但如果在更新版本的Excel中打开文件，则对批注所作的任何改动都将被删除。了解详细信息: https://go.microsoft.com/fwlink/?linkid=870924
注释:
    比亚迪财报未披露分部毛利，于是采用毛利率进行倒推</t>
      </text>
    </comment>
    <comment ref="A116" authorId="30" shapeId="0" xr:uid="{928416A6-206A-408E-AC74-0DF1AFC8DC39}">
      <text>
        <t>[线程批注]
你的Excel版本可读取此线程批注; 但如果在更新版本的Excel中打开文件，则对批注所作的任何改动都将被删除。了解详细信息: https://go.microsoft.com/fwlink/?linkid=870924
注释:
    比亚迪财报未披露分部毛利，于是采用毛利率进行倒推</t>
      </text>
    </comment>
    <comment ref="A126" authorId="31" shapeId="0" xr:uid="{CED790C6-CA82-41E5-B953-47510C1DE993}">
      <text>
        <t>[线程批注]
你的Excel版本可读取此线程批注; 但如果在更新版本的Excel中打开文件，则对批注所作的任何改动都将被删除。了解详细信息: https://go.microsoft.com/fwlink/?linkid=870924
注释:
    分销费用+行政管理费用
答复:
    销售及分销费用+行政管理费用</t>
      </text>
    </comment>
    <comment ref="L129" authorId="32" shapeId="0" xr:uid="{C1783FA8-F108-4907-83E4-01C2D9288318}">
      <text>
        <t>[线程批注]
你的Excel版本可读取此线程批注; 但如果在更新版本的Excel中打开文件，则对批注所作的任何改动都将被删除。了解详细信息: https://go.microsoft.com/fwlink/?linkid=870924
注释:
    adj to 1.1 from MA due to the need to double down RD to face competition</t>
      </text>
    </comment>
    <comment ref="G136" authorId="33" shapeId="0" xr:uid="{20BAC91E-E74A-4D9A-98C5-B40A68581DBA}">
      <text>
        <t>[线程批注]
你的Excel版本可读取此线程批注; 但如果在更新版本的Excel中打开文件，则对批注所作的任何改动都将被删除。了解详细信息: https://go.microsoft.com/fwlink/?linkid=870924
注释:
    6m僅1bil，因發股還債</t>
      </text>
    </comment>
    <comment ref="H136" authorId="34" shapeId="0" xr:uid="{F2C4EFE3-A5AC-49C8-8F6E-FC90DB6995DA}">
      <text>
        <t>[线程批注]
你的Excel版本可读取此线程批注; 但如果在更新版本的Excel中打开文件，则对批注所作的任何改动都将被删除。了解详细信息: https://go.microsoft.com/fwlink/?linkid=870924
注释:
    1h turned negative</t>
      </text>
    </comment>
    <comment ref="A138" authorId="35" shapeId="0" xr:uid="{541ED8DF-BCEC-4CC6-82DB-724DF4226158}">
      <text>
        <t>[线程批注]
你的Excel版本可读取此线程批注; 但如果在更新版本的Excel中打开文件，则对批注所作的任何改动都将被删除。了解详细信息: https://go.microsoft.com/fwlink/?linkid=870924
注释:
    於合營公司的投資 +於聯營公司的投資</t>
      </text>
    </comment>
    <comment ref="C162" authorId="36" shapeId="0" xr:uid="{93FF27AB-556E-4B78-B37F-D8DF3BA11D91}">
      <text>
        <t>[线程批注]
你的Excel版本可读取此线程批注; 但如果在更新版本的Excel中打开文件，则对批注所作的任何改动都将被删除。了解详细信息: https://go.microsoft.com/fwlink/?linkid=870924
注释:
    Data missing from 2016 to 2017</t>
      </text>
    </comment>
    <comment ref="G166" authorId="37" shapeId="0" xr:uid="{67F82487-D979-44CD-B9A1-35A1F369DE4B}">
      <text>
        <t>[线程批注]
你的Excel版本可读取此线程批注; 但如果在更新版本的Excel中打开文件，则对批注所作的任何改动都将被删除。了解详细信息: https://go.microsoft.com/fwlink/?linkid=870924
注释:
    9m 18%</t>
      </text>
    </comment>
    <comment ref="G170" authorId="38" shapeId="0" xr:uid="{78B65FC5-4C44-475D-BDE9-C88265EF040B}">
      <text>
        <t>[线程批注]
你的Excel版本可读取此线程批注; 但如果在更新版本的Excel中打开文件，则对批注所作的任何改动都将被删除。了解详细信息: https://go.microsoft.com/fwlink/?linkid=870924
注释:
    Other sales in the third quarter of 2021 were RMB1,168.5 million (US$181.4 million), representing an increase of 350.8%
from the third quarter of 2020 and an increase of 117.9% from the second quarter of 2021. The increase in other sales
over the third quarter of 2020 and the second quarter of 2021 was mainly due to the sales of automotive regulatory credits
and battery upgrade service, as well as other revenues which increased in line with the incremental vehicle sales in the
third quarter of 2021.</t>
      </text>
    </comment>
    <comment ref="G173" authorId="39" shapeId="0" xr:uid="{D08E4064-97A8-4535-B1E3-FE3251155699}">
      <text>
        <t>[线程批注]
你的Excel版本可读取此线程批注; 但如果在更新版本的Excel中打开文件，则对批注所作的任何改动都将被删除。了解详细信息: https://go.microsoft.com/fwlink/?linkid=870924
注释:
    9m 9%</t>
      </text>
    </comment>
    <comment ref="G175" authorId="40" shapeId="0" xr:uid="{0954F72E-B904-4B2D-BC77-DC20D02D786B}">
      <text>
        <t>[线程批注]
你的Excel版本可读取此线程批注; 但如果在更新版本的Excel中打开文件，则对批注所作的任何改动都将被删除。了解详细信息: https://go.microsoft.com/fwlink/?linkid=870924
注释:
    9m 17%</t>
      </text>
    </comment>
    <comment ref="A184" authorId="41" shapeId="0" xr:uid="{CD7391B5-42B6-4F72-AB3D-05CE28BA2B67}">
      <text>
        <t>[线程批注]
你的Excel版本可读取此线程批注; 但如果在更新版本的Excel中打开文件，则对批注所作的任何改动都将被删除。了解详细信息: https://go.microsoft.com/fwlink/?linkid=870924
注释:
    Selling, general and administrative + Other operating loss</t>
      </text>
    </comment>
    <comment ref="G185" authorId="42" shapeId="0" xr:uid="{A6A80FA0-F13F-4B32-93D6-F4687B94A9C2}">
      <text>
        <t>[线程批注]
你的Excel版本可读取此线程批注; 但如果在更新版本的Excel中打开文件，则对批注所作的任何改动都将被删除。了解详细信息: https://go.microsoft.com/fwlink/?linkid=870924
注释:
    9m 20%</t>
      </text>
    </comment>
    <comment ref="G187" authorId="43" shapeId="0" xr:uid="{A5840F0D-42E7-4CDA-9C15-41AE78E46636}">
      <text>
        <t>[线程批注]
你的Excel版本可读取此线程批注; 但如果在更新版本的Excel中打开文件，则对批注所作的任何改动都将被删除。了解详细信息: https://go.microsoft.com/fwlink/?linkid=870924
注释:
    9m 20%</t>
      </text>
    </comment>
    <comment ref="G189" authorId="44" shapeId="0" xr:uid="{AA19D7B2-F904-4698-BF36-23530FB9EC76}">
      <text>
        <t>[线程批注]
你的Excel版本可读取此线程批注; 但如果在更新版本的Excel中打开文件，则对批注所作的任何改动都将被删除。了解详细信息: https://go.microsoft.com/fwlink/?linkid=870924
注释:
    930 85m</t>
      </text>
    </comment>
    <comment ref="G190" authorId="45" shapeId="0" xr:uid="{34D95812-5A45-4820-A15E-B120A005DA2C}">
      <text>
        <t>[线程批注]
你的Excel版本可读取此线程批注; 但如果在更新版本的Excel中打开文件，则对批注所作的任何改动都将被删除。了解详细信息: https://go.microsoft.com/fwlink/?linkid=870924
注释:
    930 86m</t>
      </text>
    </comment>
    <comment ref="G191" authorId="46" shapeId="0" xr:uid="{0238695B-52C0-4E1A-98DC-EFF51A518802}">
      <text>
        <t>[线程批注]
你的Excel版本可读取此线程批注; 但如果在更新版本的Excel中打开文件，则对批注所作的任何改动都将被删除。了解详细信息: https://go.microsoft.com/fwlink/?linkid=870924
注释:
    9m 9.9</t>
      </text>
    </comment>
    <comment ref="F193" authorId="47" shapeId="0" xr:uid="{FC3F9340-4FD1-4F62-AFB8-B2570EF7C035}">
      <text>
        <t>[线程批注]
你的Excel版本可读取此线程批注; 但如果在更新版本的Excel中打开文件，则对批注所作的任何改动都将被删除。了解详细信息: https://go.microsoft.com/fwlink/?linkid=870924
注释:
    We recorded other loss of RMB364.9 million (US$55.9 million) in 2020, as compared to other income of RMB66.2 million in
2019, primarily due to foreign exchange adjustments in connection with the movements between the U.S. dollar and the Renminbi,
which was partially offset by the effect of commission return.</t>
      </text>
    </comment>
    <comment ref="G193" authorId="48" shapeId="0" xr:uid="{673FE832-19BF-4897-AD33-43EEC41E1DA2}">
      <text>
        <t>[线程批注]
你的Excel版本可读取此线程批注; 但如果在更新版本的Excel中打开文件，则对批注所作的任何改动都将被删除。了解详细信息: https://go.microsoft.com/fwlink/?linkid=870924
注释:
    9m 20</t>
      </text>
    </comment>
    <comment ref="G196" authorId="49" shapeId="0" xr:uid="{8B02B938-90DE-4B1F-831E-95FC197D2FA9}">
      <text>
        <t>[线程批注]
你的Excel版本可读取此线程批注; 但如果在更新版本的Excel中打开文件，则对批注所作的任何改动都将被删除。了解详细信息: https://go.microsoft.com/fwlink/?linkid=870924
注释:
    9m 900</t>
      </text>
    </comment>
    <comment ref="A204" authorId="50" shapeId="0" xr:uid="{E7C8CD06-648A-4243-8343-30D52B003F42}">
      <text>
        <t>[线程批注]
你的Excel版本可读取此线程批注; 但如果在更新版本的Excel中打开文件，则对批注所作的任何改动都将被删除。了解详细信息: https://go.microsoft.com/fwlink/?linkid=870924
注释:
    第184-187行为年报披露</t>
      </text>
    </comment>
    <comment ref="G206" authorId="51" shapeId="0" xr:uid="{F646C5AF-D3CE-4A11-8940-625770A54DED}">
      <text>
        <t>[线程批注]
你的Excel版本可读取此线程批注; 但如果在更新版本的Excel中打开文件，则对批注所作的任何改动都将被删除。了解详细信息: https://go.microsoft.com/fwlink/?linkid=870924
注释:
    why
答复:
    On February 2021, the Company, purchased from two of the Strategic Investors an aggregate of 3.305% equity interests in NIO China for a total consideration of RMB5.5 billion and subscribed for newly increased registered capital of NIO China at a subscription price of RMB10.0 billion. In September 2021, the Company repurchased 1.418% equity interests from the strategic investors for a total consideration of RMB2.5 billion and recorded an amount of RMB2,023,534 in accretion on redeemable noncontrolling interests to redemption value. As of December 31, 2021, the Company held 92.114% controlling equity interests in NIO China.</t>
      </text>
    </comment>
    <comment ref="A209" authorId="52" shapeId="0" xr:uid="{C84B2492-5AC9-48D5-B635-E8657AD0BDCB}">
      <text>
        <t>[线程批注]
你的Excel版本可读取此线程批注; 但如果在更新版本的Excel中打开文件，则对批注所作的任何改动都将被删除。了解详细信息: https://go.microsoft.com/fwlink/?linkid=870924
注释:
    跟年报比较对得上</t>
      </text>
    </comment>
    <comment ref="J226" authorId="53" shapeId="0" xr:uid="{90A6BA8B-1939-0C4B-BDE3-DB782A69325F}">
      <text>
        <t>[线程批注]
你的Excel版本可读取此线程批注; 但如果在更新版本的Excel中打开文件，则对批注所作的任何改动都将被删除。了解详细信息: https://go.microsoft.com/fwlink/?linkid=870924
注释:
    Assuming rocketing via booming of battery exchange service
答复:
    24/24 1.5/2 respectively</t>
      </text>
    </comment>
    <comment ref="A236" authorId="54" shapeId="0" xr:uid="{71754B33-BDD0-F249-B579-082059A6E3EB}">
      <text>
        <t>[线程批注]
你的Excel版本可读取此线程批注; 但如果在更新版本的Excel中打开文件，则对批注所作的任何改动都将被删除。了解详细信息: https://go.microsoft.com/fwlink/?linkid=870924
注释:
    Selling, general and administrative + Other operating loss</t>
      </text>
    </comment>
    <comment ref="I236" authorId="55" shapeId="0" xr:uid="{B6BF0FDA-6431-E94A-AA86-941EED0F4341}">
      <text>
        <r>
          <rPr>
            <b/>
            <sz val="10"/>
            <color rgb="FF000000"/>
            <rFont val="Tahoma"/>
            <family val="2"/>
          </rPr>
          <t>karine m:</t>
        </r>
        <r>
          <rPr>
            <sz val="10"/>
            <color rgb="FF000000"/>
            <rFont val="Tahoma"/>
            <family val="2"/>
          </rPr>
          <t xml:space="preserve">
</t>
        </r>
        <r>
          <rPr>
            <sz val="10"/>
            <color rgb="FF000000"/>
            <rFont val="Calibri"/>
            <family val="2"/>
          </rPr>
          <t>23Q1-23Q3</t>
        </r>
        <r>
          <rPr>
            <sz val="10"/>
            <color rgb="FF000000"/>
            <rFont val="Calibri"/>
            <family val="2"/>
          </rPr>
          <t>的</t>
        </r>
        <r>
          <rPr>
            <sz val="10"/>
            <color rgb="FF000000"/>
            <rFont val="Calibri"/>
            <family val="2"/>
          </rPr>
          <t>SG&amp;A</t>
        </r>
        <r>
          <rPr>
            <sz val="10"/>
            <color rgb="FF000000"/>
            <rFont val="Calibri"/>
            <family val="2"/>
          </rPr>
          <t>为</t>
        </r>
        <r>
          <rPr>
            <sz val="10"/>
            <color rgb="FF000000"/>
            <rFont val="Calibri"/>
            <family val="2"/>
          </rPr>
          <t>8911,850</t>
        </r>
        <r>
          <rPr>
            <sz val="10"/>
            <color rgb="FF000000"/>
            <rFont val="Calibri"/>
            <family val="2"/>
          </rPr>
          <t>千元；</t>
        </r>
        <r>
          <rPr>
            <sz val="10"/>
            <color rgb="FF000000"/>
            <rFont val="Calibri"/>
            <family val="2"/>
          </rPr>
          <t>23Q1-23Q3</t>
        </r>
        <r>
          <rPr>
            <sz val="10"/>
            <color rgb="FF000000"/>
            <rFont val="Calibri"/>
            <family val="2"/>
          </rPr>
          <t>的</t>
        </r>
        <r>
          <rPr>
            <sz val="10"/>
            <color rgb="FF000000"/>
            <rFont val="Calibri"/>
            <family val="2"/>
          </rPr>
          <t>Revenue</t>
        </r>
        <r>
          <rPr>
            <sz val="10"/>
            <color rgb="FF000000"/>
            <rFont val="Calibri"/>
            <family val="2"/>
          </rPr>
          <t>为</t>
        </r>
        <r>
          <rPr>
            <sz val="10"/>
            <color rgb="FF000000"/>
            <rFont val="Calibri"/>
            <family val="2"/>
          </rPr>
          <t>38,514,757</t>
        </r>
        <r>
          <rPr>
            <sz val="10"/>
            <color rgb="FF000000"/>
            <rFont val="Calibri"/>
            <family val="2"/>
          </rPr>
          <t>千元。</t>
        </r>
        <r>
          <rPr>
            <sz val="10"/>
            <color rgb="FF000000"/>
            <rFont val="Calibri"/>
            <family val="2"/>
          </rPr>
          <t xml:space="preserve">Assume Period cost% 23.14%
</t>
        </r>
        <r>
          <rPr>
            <sz val="10"/>
            <color rgb="FF000000"/>
            <rFont val="Calibri"/>
            <family val="2"/>
          </rPr>
          <t xml:space="preserve">down 10% on total period cost given recent layoff
</t>
        </r>
      </text>
    </comment>
    <comment ref="L237" authorId="56" shapeId="0" xr:uid="{1DDA7BB6-EFC7-DB41-8AD3-7FE9985AB268}">
      <text>
        <t>[线程批注]
你的Excel版本可读取此线程批注; 但如果在更新版本的Excel中打开文件，则对批注所作的任何改动都将被删除。了解详细信息: https://go.microsoft.com/fwlink/?linkid=870924
注释:
    Assuming lower selling expenses due to rising brand power
答复:
    Assuming continuous improvement of NIO’s management and thus a reduction in the administrative expense ratio
答复:
    Factors that may materialise in upward period cost %: 
1. Acquiring JAC—&gt;admin. cost
may concern at the beginning of independent manufacturing, more pp&amp;e, workers would bring difficulties to administration. the effect of getting rid from OEM may wait some time to be seen (May Li Auto 2018 be reference, in 2018 it acquired LIfan).
2. Prioritising sales and service buidling—&gt;sales cost
In 3rd quarter conference call, Nio stated: The sales and service network will be prioritised, with more than 3,000 of the 5,700 sales consultants recently recruited; would increase salesman ratio in overall workforces.
how about assume 24E still MA2, and 25E x0.8?</t>
      </text>
    </comment>
    <comment ref="I238" authorId="55" shapeId="0" xr:uid="{CEF54410-97D1-144A-A15B-BE6FCD91C43C}">
      <text>
        <r>
          <rPr>
            <b/>
            <sz val="10"/>
            <color rgb="FF000000"/>
            <rFont val="Tahoma"/>
            <family val="2"/>
          </rPr>
          <t>karine m:</t>
        </r>
        <r>
          <rPr>
            <sz val="10"/>
            <color rgb="FF000000"/>
            <rFont val="Tahoma"/>
            <family val="2"/>
          </rPr>
          <t xml:space="preserve">
</t>
        </r>
        <r>
          <rPr>
            <sz val="10"/>
            <color rgb="FF000000"/>
            <rFont val="Calibri"/>
            <family val="2"/>
          </rPr>
          <t>23Q1-23Q3</t>
        </r>
        <r>
          <rPr>
            <sz val="10"/>
            <color rgb="FF000000"/>
            <rFont val="Calibri"/>
            <family val="2"/>
          </rPr>
          <t>的</t>
        </r>
        <r>
          <rPr>
            <sz val="10"/>
            <color rgb="FF000000"/>
            <rFont val="Calibri"/>
            <family val="2"/>
          </rPr>
          <t>R&amp;D</t>
        </r>
        <r>
          <rPr>
            <sz val="10"/>
            <color rgb="FF000000"/>
            <rFont val="Calibri"/>
            <family val="2"/>
          </rPr>
          <t>为</t>
        </r>
        <r>
          <rPr>
            <sz val="10"/>
            <color rgb="FF000000"/>
            <rFont val="Calibri"/>
            <family val="2"/>
          </rPr>
          <t>9,459,272</t>
        </r>
        <r>
          <rPr>
            <sz val="10"/>
            <color rgb="FF000000"/>
            <rFont val="Calibri"/>
            <family val="2"/>
          </rPr>
          <t>千元；</t>
        </r>
        <r>
          <rPr>
            <sz val="10"/>
            <color rgb="FF000000"/>
            <rFont val="Calibri"/>
            <family val="2"/>
          </rPr>
          <t>23Q1-23Q3</t>
        </r>
        <r>
          <rPr>
            <sz val="10"/>
            <color rgb="FF000000"/>
            <rFont val="Calibri"/>
            <family val="2"/>
          </rPr>
          <t>的</t>
        </r>
        <r>
          <rPr>
            <sz val="10"/>
            <color rgb="FF000000"/>
            <rFont val="Calibri"/>
            <family val="2"/>
          </rPr>
          <t>Revenue</t>
        </r>
        <r>
          <rPr>
            <sz val="10"/>
            <color rgb="FF000000"/>
            <rFont val="Calibri"/>
            <family val="2"/>
          </rPr>
          <t>为</t>
        </r>
        <r>
          <rPr>
            <sz val="10"/>
            <color rgb="FF000000"/>
            <rFont val="Calibri"/>
            <family val="2"/>
          </rPr>
          <t>38,514,757</t>
        </r>
        <r>
          <rPr>
            <sz val="10"/>
            <color rgb="FF000000"/>
            <rFont val="Calibri"/>
            <family val="2"/>
          </rPr>
          <t>千元。</t>
        </r>
        <r>
          <rPr>
            <sz val="10"/>
            <color rgb="FF000000"/>
            <rFont val="Calibri"/>
            <family val="2"/>
          </rPr>
          <t>Assume R&amp;D cost % is 24.56%</t>
        </r>
        <r>
          <rPr>
            <sz val="10"/>
            <color rgb="FF000000"/>
            <rFont val="Calibri"/>
            <family val="2"/>
          </rPr>
          <t>，</t>
        </r>
        <r>
          <rPr>
            <sz val="10"/>
            <color rgb="FF000000"/>
            <rFont val="Calibri"/>
            <family val="2"/>
          </rPr>
          <t xml:space="preserve">down 5% on total period cost given recent layoff
</t>
        </r>
      </text>
    </comment>
    <comment ref="L239" authorId="57" shapeId="0" xr:uid="{B450A65C-9D08-9549-A1E3-C5A5A90EB4F4}">
      <text>
        <t>[线程批注]
你的Excel版本可读取此线程批注; 但如果在更新版本的Excel中打开文件，则对批注所作的任何改动都将被删除。了解详细信息: https://go.microsoft.com/fwlink/?linkid=870924
注释:
    However, the consideration of R&amp;D intensity is too homogenous, assuming that the increase in R&amp;D investment is accompanied by a further increase in revenue due to a combination of R&amp;D, scale effects, and corporate governance dimensions, etc.
答复:
    Temporarily for NIO due to its situation
答复:
    Assume spinning off [battery] R&amp;D and cooperation with other brands in [battery exchange station] R&amp;D would bring large scale effects and penetration increase. So assume R&amp;D effect visualized in R&amp;D % increase rate of 0.8 per year</t>
      </text>
    </comment>
    <comment ref="I246" authorId="58" shapeId="0" xr:uid="{449D55E1-07EF-5647-A4F1-33970170A49F}">
      <text>
        <t>[线程批注]
你的Excel版本可读取此线程批注; 但如果在更新版本的Excel中打开文件，则对批注所作的任何改动都将被删除。了解详细信息: https://go.microsoft.com/fwlink/?linkid=870924
注释:
    2023Q1~Q3: 841,956</t>
      </text>
    </comment>
    <comment ref="I251" authorId="55" shapeId="0" xr:uid="{A4CD508E-997E-B740-BB39-A2BDA7F2C4F3}">
      <text>
        <r>
          <rPr>
            <b/>
            <sz val="10"/>
            <color rgb="FF000000"/>
            <rFont val="Tahoma"/>
            <family val="2"/>
          </rPr>
          <t>karine m:</t>
        </r>
        <r>
          <rPr>
            <sz val="10"/>
            <color rgb="FF000000"/>
            <rFont val="Tahoma"/>
            <family val="2"/>
          </rPr>
          <t xml:space="preserve">
</t>
        </r>
        <r>
          <rPr>
            <sz val="10"/>
            <color rgb="FF000000"/>
            <rFont val="Tahoma"/>
            <family val="2"/>
          </rPr>
          <t>SP Globa: 74,052.52million CNY</t>
        </r>
      </text>
    </comment>
    <comment ref="J251" authorId="55" shapeId="0" xr:uid="{55D23673-79F4-6A4B-A4A1-13290F98D3F8}">
      <text>
        <r>
          <rPr>
            <b/>
            <sz val="10"/>
            <color rgb="FF000000"/>
            <rFont val="Tahoma"/>
            <family val="2"/>
          </rPr>
          <t>karine m:</t>
        </r>
        <r>
          <rPr>
            <sz val="10"/>
            <color rgb="FF000000"/>
            <rFont val="Tahoma"/>
            <family val="2"/>
          </rPr>
          <t xml:space="preserve">
</t>
        </r>
        <r>
          <rPr>
            <sz val="10"/>
            <color rgb="FF000000"/>
            <rFont val="Tahoma"/>
            <family val="2"/>
          </rPr>
          <t>SP Global 97,239.67million</t>
        </r>
      </text>
    </comment>
    <comment ref="K251" authorId="55" shapeId="0" xr:uid="{ED28DE05-2C07-274C-ACF6-FFB067B59612}">
      <text>
        <r>
          <rPr>
            <b/>
            <sz val="10"/>
            <color rgb="FF000000"/>
            <rFont val="Tahoma"/>
            <family val="2"/>
          </rPr>
          <t>karine m:</t>
        </r>
        <r>
          <rPr>
            <sz val="10"/>
            <color rgb="FF000000"/>
            <rFont val="Tahoma"/>
            <family val="2"/>
          </rPr>
          <t xml:space="preserve">
</t>
        </r>
        <r>
          <rPr>
            <sz val="10"/>
            <color rgb="FF000000"/>
            <rFont val="Tahoma"/>
            <family val="2"/>
          </rPr>
          <t>SP Global 121,116.54million</t>
        </r>
      </text>
    </comment>
    <comment ref="D268" authorId="59" shapeId="0" xr:uid="{756861D0-5DF7-40E5-9FD8-D69958E4A875}">
      <text>
        <t>[线程批注]
你的Excel版本可读取此线程批注; 但如果在更新版本的Excel中打开文件，则对批注所作的任何改动都将被删除。了解详细信息: https://go.microsoft.com/fwlink/?linkid=870924
注释:
    data missing from 2016 to 2018</t>
      </text>
    </comment>
    <comment ref="I281" authorId="60" shapeId="0" xr:uid="{F4FFF035-0818-4DFC-BABE-132A8B3CCA33}">
      <text>
        <t>[线程批注]
你的Excel版本可读取此线程批注; 但如果在更新版本的Excel中打开文件，则对批注所作的任何改动都将被删除。了解详细信息: https://go.microsoft.com/fwlink/?linkid=870924
注释:
    预计30%</t>
      </text>
    </comment>
    <comment ref="A290" authorId="61" shapeId="0" xr:uid="{220FA550-D09D-4F6D-82D9-8FA5807E6562}">
      <text>
        <t>[线程批注]
你的Excel版本可读取此线程批注; 但如果在更新版本的Excel中打开文件，则对批注所作的任何改动都将被删除。了解详细信息: https://go.microsoft.com/fwlink/?linkid=870924
注释:
    Selling, general and administrative</t>
      </text>
    </comment>
    <comment ref="I291" authorId="62" shapeId="0" xr:uid="{02F7592E-B8C1-4234-A25E-447E995F7710}">
      <text>
        <t>[线程批注]
你的Excel版本可读取此线程批注; 但如果在更新版本的Excel中打开文件，则对批注所作的任何改动都将被删除。了解详细信息: https://go.microsoft.com/fwlink/?linkid=870924
注释:
    移动平均
答复:
    changed from MA3 to 0.8 factor due to scaling
答复:
    According to H1 &amp; Q3 report, Period cost in Q1-Q3 is 6,498,287. Thus, ratio is supposed to be cut form 10% to 8%.</t>
      </text>
    </comment>
    <comment ref="I293" authorId="63" shapeId="0" xr:uid="{D482F2D5-5831-4952-96A6-CD9214195607}">
      <text>
        <r>
          <rPr>
            <sz val="11"/>
            <color rgb="FF000000"/>
            <rFont val="Calibri"/>
            <family val="2"/>
          </rPr>
          <t xml:space="preserve">Alex Hung:
</t>
        </r>
        <r>
          <rPr>
            <sz val="11"/>
            <color rgb="FF000000"/>
            <rFont val="Calibri"/>
            <family val="2"/>
          </rPr>
          <t xml:space="preserve">1H23 10%; assuming flat due to the need to catch up new tech
</t>
        </r>
        <r>
          <rPr>
            <sz val="11"/>
            <color rgb="FF000000"/>
            <rFont val="Calibri"/>
            <family val="2"/>
          </rPr>
          <t xml:space="preserve">
</t>
        </r>
        <r>
          <rPr>
            <sz val="11"/>
            <color rgb="FF000000"/>
            <rFont val="Calibri"/>
            <family val="2"/>
          </rPr>
          <t xml:space="preserve">Xu Zhijian (2023.11.30):
</t>
        </r>
        <r>
          <rPr>
            <sz val="11"/>
            <color rgb="FF000000"/>
            <rFont val="Calibri"/>
            <family val="2"/>
          </rPr>
          <t xml:space="preserve">According to H1 &amp; Q3 report, R&amp;D cost in Q1-Q3 is 7,095,103. Thus, ratio is supposed to cut from 10% to 8.5%
</t>
        </r>
        <r>
          <rPr>
            <sz val="11"/>
            <color rgb="FF000000"/>
            <rFont val="Calibri"/>
            <family val="2"/>
          </rPr>
          <t xml:space="preserve">
</t>
        </r>
      </text>
    </comment>
    <comment ref="A310" authorId="55" shapeId="0" xr:uid="{38EFFD4E-38D3-6C44-8C55-00F037A3E67F}">
      <text>
        <r>
          <rPr>
            <b/>
            <sz val="10"/>
            <color rgb="FF000000"/>
            <rFont val="Tahoma"/>
            <family val="2"/>
          </rPr>
          <t>karine m:</t>
        </r>
        <r>
          <rPr>
            <sz val="10"/>
            <color rgb="FF000000"/>
            <rFont val="Tahoma"/>
            <family val="2"/>
          </rPr>
          <t xml:space="preserve">
</t>
        </r>
        <r>
          <rPr>
            <sz val="10"/>
            <color rgb="FF000000"/>
            <rFont val="Tahoma"/>
            <family val="2"/>
          </rPr>
          <t xml:space="preserve"> (Accretion on convertible redeemable preferred shares to redemption value &amp; Effect of exchange rate changes on convertible redeemable preferred shares)</t>
        </r>
      </text>
    </comment>
    <comment ref="A340" authorId="64" shapeId="0" xr:uid="{FE76FC44-4CB0-4646-8F42-50DF72DCE17A}">
      <text>
        <t>[线程批注]
你的Excel版本可读取此线程批注; 但如果在更新版本的Excel中打开文件，则对批注所作的任何改动都将被删除。了解详细信息: https://go.microsoft.com/fwlink/?linkid=870924
注释:
    Selling, general and administrative expenses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tc={E3728CA6-2EC6-4A8B-B032-E1B4662C941D}</author>
    <author>tc={D7DEF09E-640C-4566-9B54-EC519B260A10}</author>
    <author>tc={C5ABED5E-3762-0445-8594-5FFAB5A46946}</author>
    <author>karine m</author>
  </authors>
  <commentList>
    <comment ref="J64" authorId="0" shapeId="0" xr:uid="{E3728CA6-2EC6-4A8B-B032-E1B4662C941D}">
      <text>
        <t xml:space="preserve">[线程批注]
你的Excel版本可读取此线程批注; 但如果在更新版本的Excel中打开文件，则对批注所作的任何改动都将被删除。了解详细信息: https://go.microsoft.com/fwlink/?linkid=870924
注释:
    We have been providing loans for financing our automotive deliveries during the year ended December 31, 2022. We have recorded net financing receivables on the consolidated balance sheets, of which $128 million is recorded within Accounts receivable, net, for the current portion and $665 million is recorded within Other non-current assets for the long-term portion, as of December 31, 2022. </t>
      </text>
    </comment>
    <comment ref="A79" authorId="1" shapeId="0" xr:uid="{D7DEF09E-640C-4566-9B54-EC519B260A10}">
      <text>
        <t>[线程批注]
你的Excel版本可读取此线程批注; 但如果在更新版本的Excel中打开文件，则对批注所作的任何改动都将被删除。了解详细信息: https://go.microsoft.com/fwlink/?linkid=870924
注释:
    2019年及以后将Resale Value Guarantee合并至Accrued Liabilities</t>
      </text>
    </comment>
    <comment ref="J264" authorId="2" shapeId="0" xr:uid="{C5ABED5E-3762-0445-8594-5FFAB5A46946}">
      <text>
        <t>[线程批注]
你的Excel版本可读取此线程批注; 但如果在更新版本的Excel中打开文件，则对批注所作的任何改动都将被删除。了解详细信息: https://go.microsoft.com/fwlink/?linkid=870924
注释:
    Q322</t>
      </text>
    </comment>
    <comment ref="F578" authorId="3" shapeId="0" xr:uid="{460C6BFC-8FA8-CB4E-9F7D-8173AA906CC9}">
      <text>
        <r>
          <rPr>
            <b/>
            <sz val="10"/>
            <color rgb="FF000000"/>
            <rFont val="Tahoma"/>
            <family val="2"/>
          </rPr>
          <t>karine m:</t>
        </r>
        <r>
          <rPr>
            <sz val="10"/>
            <color rgb="FF000000"/>
            <rFont val="Tahoma"/>
            <family val="2"/>
          </rPr>
          <t xml:space="preserve">
</t>
        </r>
        <r>
          <rPr>
            <sz val="10"/>
            <color rgb="FF000000"/>
            <rFont val="Tahoma"/>
            <family val="2"/>
          </rPr>
          <t>38,163</t>
        </r>
      </text>
    </comment>
    <comment ref="F592" authorId="3" shapeId="0" xr:uid="{AE937FB5-FC77-7E41-8347-5E58782F77EA}">
      <text>
        <r>
          <rPr>
            <b/>
            <sz val="10"/>
            <color rgb="FF000000"/>
            <rFont val="Tahoma"/>
            <family val="2"/>
          </rPr>
          <t>karine m:</t>
        </r>
        <r>
          <rPr>
            <sz val="10"/>
            <color rgb="FF000000"/>
            <rFont val="Tahoma"/>
            <family val="2"/>
          </rPr>
          <t xml:space="preserve">
</t>
        </r>
        <r>
          <rPr>
            <sz val="10"/>
            <color rgb="FF000000"/>
            <rFont val="Tahoma"/>
            <family val="2"/>
          </rPr>
          <t>6213265</t>
        </r>
      </text>
    </comment>
    <comment ref="F962" authorId="3" shapeId="0" xr:uid="{E02A94CE-D319-E647-9363-9F0C9E8ADFD4}">
      <text>
        <r>
          <rPr>
            <b/>
            <sz val="10"/>
            <color rgb="FF000000"/>
            <rFont val="Tahoma"/>
            <family val="2"/>
          </rPr>
          <t>karine m:</t>
        </r>
        <r>
          <rPr>
            <sz val="10"/>
            <color rgb="FF000000"/>
            <rFont val="Tahoma"/>
            <family val="2"/>
          </rPr>
          <t xml:space="preserve">
</t>
        </r>
        <r>
          <rPr>
            <sz val="10"/>
            <color rgb="FF000000"/>
            <rFont val="Tahoma"/>
            <family val="2"/>
          </rPr>
          <t>2021-2022 NO LISTED INTANGIBLES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tc={F8DEEE8D-E389-44A9-8319-72AB0A9A4F0E}</author>
    <author>tc={BC4454E7-5EFB-3C4E-A508-CEE09B750377}</author>
  </authors>
  <commentList>
    <comment ref="B25" authorId="0" shapeId="0" xr:uid="{F8DEEE8D-E389-44A9-8319-72AB0A9A4F0E}">
      <text>
        <t>[线程批注]
你的Excel版本可读取此线程批注; 但如果在更新版本的Excel中打开文件，则对批注所作的任何改动都将被删除。了解详细信息: https://go.microsoft.com/fwlink/?linkid=870924
注释:
    exchange rate updated</t>
      </text>
    </comment>
    <comment ref="D59" authorId="1" shapeId="0" xr:uid="{BC4454E7-5EFB-3C4E-A508-CEE09B750377}">
      <text>
        <t xml:space="preserve">[线程批注]
你的Excel版本可读取此线程批注; 但如果在更新版本的Excel中打开文件，则对批注所作的任何改动都将被删除。了解详细信息: https://go.microsoft.com/fwlink/?linkid=870924
注释:
    USD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tc={18C5CE8F-644B-413F-A204-39838EC8DE16}</author>
  </authors>
  <commentList>
    <comment ref="A27" authorId="0" shapeId="0" xr:uid="{18C5CE8F-644B-413F-A204-39838EC8DE16}">
      <text>
        <t xml:space="preserve">[线程批注]
你的Excel版本可读取此线程批注; 但如果在更新版本的Excel中打开文件，则对批注所作的任何改动都将被删除。了解详细信息: https://go.microsoft.com/fwlink/?linkid=870924
注释:
    更改后无法追溯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karine m</author>
    <author>tc={4F803478-0B40-0746-ADD0-B0D1B13CEFF4}</author>
    <author>tc={C0710F69-6B75-034A-A51D-49A78157B411}</author>
    <author>tc={44EBF6EB-D3B1-C449-A9A8-8B7DEFD63EDA}</author>
  </authors>
  <commentList>
    <comment ref="G44" authorId="0" shapeId="0" xr:uid="{F8F62512-5CE8-5A45-AA2A-826A75B330F9}">
      <text>
        <r>
          <rPr>
            <b/>
            <sz val="10"/>
            <color rgb="FF000000"/>
            <rFont val="Tahoma"/>
            <family val="2"/>
          </rPr>
          <t>karine m:</t>
        </r>
        <r>
          <rPr>
            <sz val="10"/>
            <color rgb="FF000000"/>
            <rFont val="Tahoma"/>
            <family val="2"/>
          </rPr>
          <t xml:space="preserve">
</t>
        </r>
        <r>
          <rPr>
            <b/>
            <sz val="10"/>
            <color rgb="FF000000"/>
            <rFont val="Calibri"/>
            <family val="2"/>
          </rPr>
          <t xml:space="preserve">by 23Q3(000CNY): </t>
        </r>
        <r>
          <rPr>
            <sz val="10"/>
            <color rgb="FF000000"/>
            <rFont val="Calibri"/>
            <family val="2"/>
          </rPr>
          <t xml:space="preserve">
</t>
        </r>
        <r>
          <rPr>
            <sz val="10"/>
            <color rgb="FF000000"/>
            <rFont val="Calibri"/>
            <family val="2"/>
          </rPr>
          <t>PP&amp;E 20,740,663</t>
        </r>
        <r>
          <rPr>
            <sz val="18"/>
            <color rgb="FF000000"/>
            <rFont val="Calibri"/>
            <family val="2"/>
          </rPr>
          <t xml:space="preserve"> 
</t>
        </r>
        <r>
          <rPr>
            <sz val="10"/>
            <color rgb="FF000000"/>
            <rFont val="Calibri"/>
            <family val="2"/>
          </rPr>
          <t xml:space="preserve">2023.12.05, the company acquired for a total consideration of approximately RMB3.16 billion, excluding tax. 
</t>
        </r>
      </text>
    </comment>
    <comment ref="P76" authorId="0" shapeId="0" xr:uid="{F7CEAB03-32EC-294F-AB49-25A12B8B74DD}">
      <text>
        <r>
          <rPr>
            <b/>
            <sz val="10"/>
            <color rgb="FF000000"/>
            <rFont val="Tahoma"/>
            <family val="2"/>
          </rPr>
          <t>karine m:</t>
        </r>
        <r>
          <rPr>
            <sz val="10"/>
            <color rgb="FF000000"/>
            <rFont val="Tahoma"/>
            <family val="2"/>
          </rPr>
          <t xml:space="preserve">
</t>
        </r>
        <r>
          <rPr>
            <sz val="10"/>
            <color rgb="FF000000"/>
            <rFont val="Tahoma"/>
            <family val="2"/>
          </rPr>
          <t xml:space="preserve">2023H1: (thousand CNY)
</t>
        </r>
        <r>
          <rPr>
            <sz val="10"/>
            <color rgb="FF000000"/>
            <rFont val="Tahoma"/>
            <family val="2"/>
          </rPr>
          <t xml:space="preserve">D&amp;A: </t>
        </r>
        <r>
          <rPr>
            <sz val="10"/>
            <color rgb="FF000000"/>
            <rFont val="Calibri"/>
            <family val="2"/>
          </rPr>
          <t xml:space="preserve">2,039,308 </t>
        </r>
        <r>
          <rPr>
            <sz val="10"/>
            <color rgb="FF000000"/>
            <rFont val="Tahoma"/>
            <family val="2"/>
          </rPr>
          <t xml:space="preserve">
</t>
        </r>
        <r>
          <rPr>
            <sz val="10"/>
            <color rgb="FF000000"/>
            <rFont val="Tahoma"/>
            <family val="2"/>
          </rPr>
          <t xml:space="preserve">Revenue: </t>
        </r>
        <r>
          <rPr>
            <sz val="10"/>
            <color rgb="FF000000"/>
            <rFont val="Calibri"/>
            <family val="2"/>
          </rPr>
          <t xml:space="preserve">19,448,206.00  </t>
        </r>
        <r>
          <rPr>
            <sz val="10"/>
            <color rgb="FF000000"/>
            <rFont val="Tahoma"/>
            <family val="2"/>
          </rPr>
          <t xml:space="preserve">
</t>
        </r>
        <r>
          <rPr>
            <sz val="10"/>
            <color rgb="FF000000"/>
            <rFont val="Tahoma"/>
            <family val="2"/>
          </rPr>
          <t xml:space="preserve">D%A % of revenue:10.49%
</t>
        </r>
      </text>
    </comment>
    <comment ref="F88" authorId="1" shapeId="0" xr:uid="{4F803478-0B40-0746-ADD0-B0D1B13CEFF4}">
      <text>
        <t>[线程批注]
你的Excel版本可读取此线程批注; 但如果在更新版本的Excel中打开文件，则对批注所作的任何改动都将被删除。了解详细信息: https://go.microsoft.com/fwlink/?linkid=870924
注释:
    financial cost, estimated using gain from cash holding and loss from debt</t>
      </text>
    </comment>
    <comment ref="A92" authorId="2" shapeId="0" xr:uid="{C0710F69-6B75-034A-A51D-49A78157B411}">
      <text>
        <t>[线程批注]
你的Excel版本可读取此线程批注; 但如果在更新版本的Excel中打开文件，则对批注所作的任何改动都将被删除。了解详细信息: https://go.microsoft.com/fwlink/?linkid=870924
注释:
    new</t>
      </text>
    </comment>
    <comment ref="F99" authorId="3" shapeId="0" xr:uid="{44EBF6EB-D3B1-C449-A9A8-8B7DEFD63EDA}">
      <text>
        <t>[线程批注]
你的Excel版本可读取此线程批注; 但如果在更新版本的Excel中打开文件，则对批注所作的任何改动都将被删除。了解详细信息: https://go.microsoft.com/fwlink/?linkid=870924
注释:
    financial cost (row 94) and dividends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karine m</author>
    <author>tc={61372426-7D2E-4BF1-8E1C-870F25398CCF}</author>
    <author>tc={4D40783F-DB61-4CE6-96EF-AB14557C8F51}</author>
    <author>tc={162D0D98-4E46-4111-B2C4-64BD1351F5E9}</author>
    <author>tc={49C96515-DDBA-45A6-BE77-D77E0603BDC8}</author>
  </authors>
  <commentList>
    <comment ref="F28" authorId="0" shapeId="0" xr:uid="{78A77D57-600F-3348-B79C-60D5108D5C43}">
      <text>
        <r>
          <rPr>
            <b/>
            <sz val="10"/>
            <color rgb="FF000000"/>
            <rFont val="Tahoma"/>
            <family val="2"/>
          </rPr>
          <t>karine m:</t>
        </r>
        <r>
          <rPr>
            <sz val="10"/>
            <color rgb="FF000000"/>
            <rFont val="Tahoma"/>
            <family val="2"/>
          </rPr>
          <t xml:space="preserve">
</t>
        </r>
        <r>
          <rPr>
            <sz val="10"/>
            <color rgb="FF000000"/>
            <rFont val="Tahoma"/>
            <family val="2"/>
          </rPr>
          <t>refer to 2023 average yield on U.S Treasury Securities at 3 month constant maturity</t>
        </r>
      </text>
    </comment>
    <comment ref="A34" authorId="0" shapeId="0" xr:uid="{EBB71F57-E9A3-1946-A22D-6E25A96ACB0D}">
      <text>
        <r>
          <rPr>
            <b/>
            <sz val="10"/>
            <color rgb="FF000000"/>
            <rFont val="Tahoma"/>
            <family val="2"/>
          </rPr>
          <t>karine m:</t>
        </r>
        <r>
          <rPr>
            <sz val="10"/>
            <color rgb="FF000000"/>
            <rFont val="Tahoma"/>
            <family val="2"/>
          </rPr>
          <t xml:space="preserve">
</t>
        </r>
        <r>
          <rPr>
            <sz val="10"/>
            <color rgb="FF000000"/>
            <rFont val="Tahoma"/>
            <family val="2"/>
          </rPr>
          <t xml:space="preserve"> (Accretion on convertible redeemable preferred shares to redemption value &amp; Effect of exchange rate changes on convertible redeemable preferred shares)</t>
        </r>
      </text>
    </comment>
    <comment ref="O78" authorId="0" shapeId="0" xr:uid="{5AA11A71-13B7-7744-A044-8EA66DF738D7}">
      <text>
        <r>
          <rPr>
            <b/>
            <sz val="10"/>
            <color rgb="FF000000"/>
            <rFont val="Tahoma"/>
            <family val="2"/>
          </rPr>
          <t>karine m:</t>
        </r>
        <r>
          <rPr>
            <sz val="10"/>
            <color rgb="FF000000"/>
            <rFont val="Tahoma"/>
            <family val="2"/>
          </rPr>
          <t xml:space="preserve">
</t>
        </r>
        <r>
          <rPr>
            <sz val="10"/>
            <color rgb="FF000000"/>
            <rFont val="Tahoma"/>
            <family val="2"/>
          </rPr>
          <t>2023</t>
        </r>
        <r>
          <rPr>
            <sz val="10"/>
            <color rgb="FF000000"/>
            <rFont val="Tahoma"/>
            <family val="2"/>
          </rPr>
          <t>h1</t>
        </r>
        <r>
          <rPr>
            <sz val="10"/>
            <color rgb="FF000000"/>
            <rFont val="Tahoma"/>
            <family val="2"/>
          </rPr>
          <t xml:space="preserve">: (thousand CNY)
</t>
        </r>
        <r>
          <rPr>
            <sz val="10"/>
            <color rgb="FF000000"/>
            <rFont val="Tahoma"/>
            <family val="2"/>
          </rPr>
          <t xml:space="preserve">D&amp;A: 772167
</t>
        </r>
        <r>
          <rPr>
            <sz val="10"/>
            <color rgb="FF000000"/>
            <rFont val="Tahoma"/>
            <family val="2"/>
          </rPr>
          <t xml:space="preserve">Revenue: </t>
        </r>
        <r>
          <rPr>
            <sz val="10"/>
            <color rgb="FF000000"/>
            <rFont val="Tahoma"/>
            <family val="2"/>
          </rPr>
          <t>45286816</t>
        </r>
        <r>
          <rPr>
            <sz val="10"/>
            <color rgb="FF000000"/>
            <rFont val="Calibri"/>
            <family val="2"/>
          </rPr>
          <t xml:space="preserve">
</t>
        </r>
        <r>
          <rPr>
            <sz val="10"/>
            <color rgb="FF000000"/>
            <rFont val="Tahoma"/>
            <family val="2"/>
          </rPr>
          <t>D%A % of revenue:</t>
        </r>
        <r>
          <rPr>
            <sz val="10"/>
            <color rgb="FF000000"/>
            <rFont val="Tahoma"/>
            <family val="2"/>
          </rPr>
          <t>1.71</t>
        </r>
        <r>
          <rPr>
            <sz val="10"/>
            <color rgb="FF000000"/>
            <rFont val="Tahoma"/>
            <family val="2"/>
          </rPr>
          <t>%</t>
        </r>
      </text>
    </comment>
    <comment ref="C79" authorId="0" shapeId="0" xr:uid="{4ED4406A-440B-A04F-9383-C0CAC5987EEB}">
      <text>
        <r>
          <rPr>
            <b/>
            <sz val="10"/>
            <color rgb="FF000000"/>
            <rFont val="Tahoma"/>
            <family val="2"/>
          </rPr>
          <t>karine m:</t>
        </r>
        <r>
          <rPr>
            <sz val="10"/>
            <color rgb="FF000000"/>
            <rFont val="Tahoma"/>
            <family val="2"/>
          </rPr>
          <t xml:space="preserve">
</t>
        </r>
        <r>
          <rPr>
            <sz val="10"/>
            <color rgb="FF000000"/>
            <rFont val="Calibri"/>
            <family val="2"/>
          </rPr>
          <t xml:space="preserve">Intangible related Accumulated amortization
</t>
        </r>
        <r>
          <rPr>
            <sz val="10"/>
            <color rgb="FF000000"/>
            <rFont val="Tahoma"/>
            <family val="2"/>
          </rPr>
          <t xml:space="preserve">2019: </t>
        </r>
        <r>
          <rPr>
            <sz val="10"/>
            <color rgb="FF000000"/>
            <rFont val="Calibri"/>
            <family val="2"/>
          </rPr>
          <t xml:space="preserve">(13,699) 
</t>
        </r>
        <r>
          <rPr>
            <sz val="10"/>
            <color rgb="FF000000"/>
            <rFont val="Tahoma"/>
            <family val="2"/>
          </rPr>
          <t xml:space="preserve">2020: </t>
        </r>
        <r>
          <rPr>
            <sz val="10"/>
            <color rgb="FF000000"/>
            <rFont val="Calibri"/>
            <family val="2"/>
          </rPr>
          <t xml:space="preserve">(22,684) 
</t>
        </r>
        <r>
          <rPr>
            <sz val="10"/>
            <color rgb="FF000000"/>
            <rFont val="Tahoma"/>
            <family val="2"/>
          </rPr>
          <t xml:space="preserve">2021: (33,984)
</t>
        </r>
        <r>
          <rPr>
            <sz val="10"/>
            <color rgb="FF000000"/>
            <rFont val="Tahoma"/>
            <family val="2"/>
          </rPr>
          <t>2022: (53,096)</t>
        </r>
      </text>
    </comment>
    <comment ref="A86" authorId="1" shapeId="0" xr:uid="{61372426-7D2E-4BF1-8E1C-870F25398CCF}">
      <text>
        <t>[线程批注]
你的Excel版本可读取此线程批注; 但如果在更新版本的Excel中打开文件，则对批注所作的任何改动都将被删除。了解详细信息: https://go.microsoft.com/fwlink/?linkid=870924
注释:
    Gain/loss Related to Solarcity Acquisition</t>
      </text>
    </comment>
    <comment ref="E91" authorId="2" shapeId="0" xr:uid="{4D40783F-DB61-4CE6-96EF-AB14557C8F51}">
      <text>
        <t>[线程批注]
你的Excel版本可读取此线程批注; 但如果在更新版本的Excel中打开文件，则对批注所作的任何改动都将被删除。了解详细信息: https://go.microsoft.com/fwlink/?linkid=870924
注释:
    financial cost, estimated using gain from cash holding and loss from debt</t>
      </text>
    </comment>
    <comment ref="O96" authorId="0" shapeId="0" xr:uid="{0D9BB8DB-E926-4740-9837-0C082CA058CE}">
      <text>
        <r>
          <rPr>
            <b/>
            <sz val="10"/>
            <color rgb="FF000000"/>
            <rFont val="Tahoma"/>
            <family val="2"/>
          </rPr>
          <t xml:space="preserve">karine m:
</t>
        </r>
        <r>
          <rPr>
            <b/>
            <sz val="10"/>
            <color rgb="FF000000"/>
            <rFont val="Tahoma"/>
            <family val="2"/>
          </rPr>
          <t>2023Q3 REPORT</t>
        </r>
        <r>
          <rPr>
            <sz val="10"/>
            <color rgb="FF000000"/>
            <rFont val="Tahoma"/>
            <family val="2"/>
          </rPr>
          <t xml:space="preserve">
</t>
        </r>
        <r>
          <rPr>
            <sz val="10"/>
            <color rgb="FF000000"/>
            <rFont val="Calibri"/>
            <family val="2"/>
          </rPr>
          <t xml:space="preserve">Purchase of PP&amp;E: 2,569,324.00
</t>
        </r>
        <r>
          <rPr>
            <sz val="10"/>
            <color rgb="FF000000"/>
            <rFont val="Calibri"/>
            <family val="2"/>
          </rPr>
          <t xml:space="preserve">Revenue: 82,119,235.00
</t>
        </r>
        <r>
          <rPr>
            <sz val="10"/>
            <color rgb="FF000000"/>
            <rFont val="Tahoma"/>
            <family val="2"/>
          </rPr>
          <t>Capex % of revenue: 3.15%</t>
        </r>
      </text>
    </comment>
    <comment ref="A97" authorId="3" shapeId="0" xr:uid="{162D0D98-4E46-4111-B2C4-64BD1351F5E9}">
      <text>
        <t>[线程批注]
你的Excel版本可读取此线程批注; 但如果在更新版本的Excel中打开文件，则对批注所作的任何改动都将被删除。了解详细信息: https://go.microsoft.com/fwlink/?linkid=870924
注释:
    new</t>
      </text>
    </comment>
    <comment ref="E106" authorId="4" shapeId="0" xr:uid="{49C96515-DDBA-45A6-BE77-D77E0603BDC8}">
      <text>
        <t>[线程批注]
你的Excel版本可读取此线程批注; 但如果在更新版本的Excel中打开文件，则对批注所作的任何改动都将被删除。了解详细信息: https://go.microsoft.com/fwlink/?linkid=870924
注释:
    financial cost (row 94) and dividends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tc={5AC38AEC-C593-431D-A23A-C590D490B771}</author>
    <author>tc={7F26AE1D-BB21-482A-A97F-E9BE2FFFD84E}</author>
    <author>tc={32F0829B-D66D-41EE-9490-0520729F50FA}</author>
    <author>tc={AFEF15D7-876D-4CED-9C67-1EA12F2EC379}</author>
    <author>tc={58EF735F-462F-4186-AA9C-153496F2FB4E}</author>
    <author>tc={AE0DEA44-F9B1-4A86-9987-E3792AA05643}</author>
  </authors>
  <commentList>
    <comment ref="Q82" authorId="0" shapeId="0" xr:uid="{5AC38AEC-C593-431D-A23A-C590D490B771}">
      <text>
        <t>[线程批注]
你的Excel版本可读取此线程批注; 但如果在更新版本的Excel中打开文件，则对批注所作的任何改动都将被删除。了解详细信息: https://go.microsoft.com/fwlink/?linkid=870924
注释:
    6.08% from Half year report</t>
      </text>
    </comment>
    <comment ref="A90" authorId="1" shapeId="0" xr:uid="{7F26AE1D-BB21-482A-A97F-E9BE2FFFD84E}">
      <text>
        <t>[线程批注]
你的Excel版本可读取此线程批注; 但如果在更新版本的Excel中打开文件，则对批注所作的任何改动都将被删除。了解详细信息: https://go.microsoft.com/fwlink/?linkid=870924
注释:
    Gain/loss Related to Solarcity Acquisition</t>
      </text>
    </comment>
    <comment ref="H94" authorId="2" shapeId="0" xr:uid="{32F0829B-D66D-41EE-9490-0520729F50FA}">
      <text>
        <t>[线程批注]
你的Excel版本可读取此线程批注; 但如果在更新版本的Excel中打开文件，则对批注所作的任何改动都将被删除。了解详细信息: https://go.microsoft.com/fwlink/?linkid=870924
注释:
    financial cost, estimated using gain from cash holding and loss from debt</t>
      </text>
    </comment>
    <comment ref="Q97" authorId="3" shapeId="0" xr:uid="{AFEF15D7-876D-4CED-9C67-1EA12F2EC379}">
      <text>
        <t>[线程批注]
你的Excel版本可读取此线程批注; 但如果在更新版本的Excel中打开文件，则对批注所作的任何改动都将被删除。了解详细信息: https://go.microsoft.com/fwlink/?linkid=870924
注释:
    24% from half year report</t>
      </text>
    </comment>
    <comment ref="A98" authorId="4" shapeId="0" xr:uid="{58EF735F-462F-4186-AA9C-153496F2FB4E}">
      <text>
        <t>[线程批注]
你的Excel版本可读取此线程批注; 但如果在更新版本的Excel中打开文件，则对批注所作的任何改动都将被删除。了解详细信息: https://go.microsoft.com/fwlink/?linkid=870924
注释:
    new</t>
      </text>
    </comment>
    <comment ref="H105" authorId="5" shapeId="0" xr:uid="{AE0DEA44-F9B1-4A86-9987-E3792AA05643}">
      <text>
        <t>[线程批注]
你的Excel版本可读取此线程批注; 但如果在更新版本的Excel中打开文件，则对批注所作的任何改动都将被删除。了解详细信息: https://go.microsoft.com/fwlink/?linkid=870924
注释:
    financial cost (row 94) and dividends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tc={865782DC-F18C-0C46-9AD0-78F601BBB7C9}</author>
    <author>tc={7186C756-CFD8-8641-8453-1FF2566F41BE}</author>
  </authors>
  <commentList>
    <comment ref="AI6" authorId="0" shapeId="0" xr:uid="{865782DC-F18C-0C46-9AD0-78F601BBB7C9}">
      <text>
        <t>[线程批注]
你的Excel版本可读取此线程批注; 但如果在更新版本的Excel中打开文件，则对批注所作的任何改动都将被删除。了解详细信息: https://go.microsoft.com/fwlink/?linkid=870924
注释:
    Estimated data form 2023-2025 is according to Brian Wang</t>
      </text>
    </comment>
    <comment ref="AI25" authorId="1" shapeId="0" xr:uid="{7186C756-CFD8-8641-8453-1FF2566F41BE}">
      <text>
        <t>[线程批注]
你的Excel版本可读取此线程批注; 但如果在更新版本的Excel中打开文件，则对批注所作的任何改动都将被删除。了解详细信息: https://go.microsoft.com/fwlink/?linkid=870924
注释:
    Estimated data form 2023-2025 is according to Brian Wang</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tc={24966D27-4A49-412D-95F0-B10BC368668C}</author>
    <author>tc={D038BD81-E551-4F23-BFB8-CC4207F96686}</author>
    <author>tc={3FA33104-0DA6-4B78-A652-8F6D36EBE623}</author>
    <author>tc={3F435AA8-7DAB-4229-BC15-C49317246204}</author>
    <author>tc={30A53C07-2140-4BA5-9F12-C8586740FBA2}</author>
  </authors>
  <commentList>
    <comment ref="A50" authorId="0" shapeId="0" xr:uid="{24966D27-4A49-412D-95F0-B10BC368668C}">
      <text>
        <t>[线程批注]
你的Excel版本可读取此线程批注; 但如果在更新版本的Excel中打开文件，则对批注所作的任何改动都将被删除。了解详细信息: https://go.microsoft.com/fwlink/?linkid=870924
注释:
    new
答复:
    changed to leased vehicles</t>
      </text>
    </comment>
    <comment ref="A84" authorId="1" shapeId="0" xr:uid="{D038BD81-E551-4F23-BFB8-CC4207F96686}">
      <text>
        <t>[线程批注]
你的Excel版本可读取此线程批注; 但如果在更新版本的Excel中打开文件，则对批注所作的任何改动都将被删除。了解详细信息: https://go.microsoft.com/fwlink/?linkid=870924
注释:
    Gain/loss Related to Solarcity Acquisition</t>
      </text>
    </comment>
    <comment ref="C87" authorId="2" shapeId="0" xr:uid="{3FA33104-0DA6-4B78-A652-8F6D36EBE623}">
      <text>
        <t>[线程批注]
你的Excel版本可读取此线程批注; 但如果在更新版本的Excel中打开文件，则对批注所作的任何改动都将被删除。了解详细信息: https://go.microsoft.com/fwlink/?linkid=870924
注释:
    公式更改</t>
      </text>
    </comment>
    <comment ref="A92" authorId="3" shapeId="0" xr:uid="{3F435AA8-7DAB-4229-BC15-C49317246204}">
      <text>
        <t>[线程批注]
你的Excel版本可读取此线程批注; 但如果在更新版本的Excel中打开文件，则对批注所作的任何改动都将被删除。了解详细信息: https://go.microsoft.com/fwlink/?linkid=870924
注释:
    new</t>
      </text>
    </comment>
    <comment ref="I138" authorId="4" shapeId="0" xr:uid="{30A53C07-2140-4BA5-9F12-C8586740FBA2}">
      <text>
        <t>[线程批注]
你的Excel版本可读取此线程批注; 但如果在更新版本的Excel中打开文件，则对批注所作的任何改动都将被删除。了解详细信息: https://go.microsoft.com/fwlink/?linkid=870924
注释:
    https://stockanalysis.com/stocks/tsla/financials/ratios/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tc={2FDC86AC-E3C2-814D-98D8-D8BBAB313208}</author>
    <author>tc={8915E6DA-F555-F04E-A4E0-38475FB17ED2}</author>
  </authors>
  <commentList>
    <comment ref="P44" authorId="0" shapeId="0" xr:uid="{2FDC86AC-E3C2-814D-98D8-D8BBAB313208}">
      <text>
        <t>[线程批注]
你的Excel版本可读取此线程批注; 但如果在更新版本的Excel中打开文件，则对批注所作的任何改动都将被删除。了解详细信息: https://go.microsoft.com/fwlink/?linkid=870924
注释:
    https://xueqiu.com/7551292152/226804852</t>
      </text>
    </comment>
    <comment ref="R44" authorId="1" shapeId="0" xr:uid="{8915E6DA-F555-F04E-A4E0-38475FB17ED2}">
      <text>
        <t>[线程批注]
你的Excel版本可读取此线程批注; 但如果在更新版本的Excel中打开文件，则对批注所作的任何改动都将被删除。了解详细信息: https://go.microsoft.com/fwlink/?linkid=870924
注释:
    18169，25023，28039 in Jul, Aug, Sep</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tc={1983E56E-F7D4-452B-91A2-37164DD77FD1}</author>
    <author>tc={67384583-FBA4-45F4-AAA4-76DDB124D551}</author>
    <author>tc={D970B48E-91C5-4810-AA5D-AEFAF80BB6B5}</author>
    <author>tc={91065643-7613-4D29-88C5-4EEF1D652BF7}</author>
    <author>tc={3179D972-78FB-45D9-A4E8-B448A00F5243}</author>
    <author>tc={81CEF83A-ADCC-479A-AD73-7A62813ACA85}</author>
    <author>tc={0E4CD21D-2342-49D3-8954-4FE281E80FFB}</author>
    <author>tc={08DDEE59-9F95-4E9F-8BF3-A434E8FCBFE5}</author>
    <author>tc={DDCB7772-D3E8-4627-99B7-B634C8A5312B}</author>
    <author>tc={DAEF5D4E-1BE3-4515-BD95-661704FED01B}</author>
    <author>tc={B8C6075D-DBB5-4E43-9E1C-F9C247069280}</author>
    <author>tc={46D9BEE4-8F44-4AF0-B4C3-70F0C387ADF1}</author>
    <author>tc={6FC9A8C4-D758-43F0-9F63-01566A876384}</author>
    <author>tc={C9CAB1E6-CA43-4E32-B5F8-6EE952EF55AC}</author>
    <author>tc={A00A9204-8AD1-4376-96A5-8E1349056872}</author>
    <author>tc={4B8B0769-998E-4AD3-87A0-9E78A00089E6}</author>
    <author>tc={D384AB79-D767-4174-A3C5-E8E41FF50CD5}</author>
    <author>tc={8D952100-4F42-4A4F-82CD-1B4BFFDB526F}</author>
    <author>tc={FBDF9683-38CF-48E8-A1C2-B67185570BCC}</author>
    <author>tc={BA42945A-E00D-42C4-BDA2-D9990AC89419}</author>
    <author>tc={834B1E0B-0E2C-4407-981F-831ACE0DA4EF}</author>
    <author>tc={CEE8BCB5-764D-459D-873B-31C760D53623}</author>
    <author>tc={720D9B35-1E22-4595-9F68-7D60B4BDCF43}</author>
    <author>tc={4BDA43AF-248B-4C21-A782-8BCA6A3514FA}</author>
  </authors>
  <commentList>
    <comment ref="BC212" authorId="0" shapeId="0" xr:uid="{1983E56E-F7D4-452B-91A2-37164DD77FD1}">
      <text>
        <t>[线程批注]
你的Excel版本可读取此线程批注; 但如果在更新版本的Excel中打开文件，则对批注所作的任何改动都将被删除。了解详细信息: https://go.microsoft.com/fwlink/?linkid=870924
注释:
    Source: https://www.patreon.com/posts/46283573
答复:
    overwrite</t>
      </text>
    </comment>
    <comment ref="BQ212" authorId="1" shapeId="0" xr:uid="{67384583-FBA4-45F4-AAA4-76DDB124D551}">
      <text>
        <t>[线程批注]
你的Excel版本可读取此线程批注; 但如果在更新版本的Excel中打开文件，则对批注所作的任何改动都将被删除。了解详细信息: https://go.microsoft.com/fwlink/?linkid=870924
注释:
    Source: https://www.patreon.com/posts/46283573</t>
      </text>
    </comment>
    <comment ref="AH213" authorId="2" shapeId="0" xr:uid="{D970B48E-91C5-4810-AA5D-AEFAF80BB6B5}">
      <text>
        <t>[线程批注]
你的Excel版本可读取此线程批注; 但如果在更新版本的Excel中打开文件，则对批注所作的任何改动都将被删除。了解详细信息: https://go.microsoft.com/fwlink/?linkid=870924
注释:
    from Telsa database</t>
      </text>
    </comment>
    <comment ref="AK213" authorId="3" shapeId="0" xr:uid="{91065643-7613-4D29-88C5-4EEF1D652BF7}">
      <text>
        <t>[线程批注]
你的Excel版本可读取此线程批注; 但如果在更新版本的Excel中打开文件，则对批注所作的任何改动都将被删除。了解详细信息: https://go.microsoft.com/fwlink/?linkid=870924
注释:
    q3 74.7%</t>
      </text>
    </comment>
    <comment ref="AL213" authorId="4" shapeId="0" xr:uid="{3179D972-78FB-45D9-A4E8-B448A00F5243}">
      <text>
        <t>[线程批注]
你的Excel版本可读取此线程批注; 但如果在更新版本的Excel中打开文件，则对批注所作的任何改动都将被删除。了解详细信息: https://go.microsoft.com/fwlink/?linkid=870924
注释:
    cut from 100</t>
      </text>
    </comment>
    <comment ref="AM213" authorId="5" shapeId="0" xr:uid="{81CEF83A-ADCC-479A-AD73-7A62813ACA85}">
      <text>
        <t>[线程批注]
你的Excel版本可读取此线程批注; 但如果在更新版本的Excel中打开文件，则对批注所作的任何改动都将被删除。了解详细信息: https://go.microsoft.com/fwlink/?linkid=870924
注释:
    cut from 100 to 90</t>
      </text>
    </comment>
    <comment ref="BN213" authorId="6" shapeId="0" xr:uid="{0E4CD21D-2342-49D3-8954-4FE281E80FFB}">
      <text>
        <t>[线程批注]
你的Excel版本可读取此线程批注; 但如果在更新版本的Excel中打开文件，则对批注所作的任何改动都将被删除。了解详细信息: https://go.microsoft.com/fwlink/?linkid=870924
注释:
    double check
答复:
    In 2018, we delivered a total of 245,240 vehicles
Source: Tesla Q4 2018 Vehicle Production &amp; Deliveries, Also Announcing $2,000 Price Reduction in US | Tesla Investor Relations</t>
      </text>
    </comment>
    <comment ref="J214" authorId="7" shapeId="0" xr:uid="{08DDEE59-9F95-4E9F-8BF3-A434E8FCBFE5}">
      <text>
        <t>[线程批注]
你的Excel版本可读取此线程批注; 但如果在更新版本的Excel中打开文件，则对批注所作的任何改动都将被删除。了解详细信息: https://go.microsoft.com/fwlink/?linkid=870924
注释:
    Tesla is upgrading the production lines of its Shanghai factory for higher capacity starting in December. The conversion work in the areas of the continuing production of the Model 3 and Model Y is expected to last until April 2022. In addition, the first Model Y Performance were delivered in China.
答复:
    Recently, Tesla Shanghai Gigafactory received a 1.2 billion yuan ($188.5 million) investment. This fund will go for the latest round of expansion to increase the factory’s production capacity. Tesla China intends to increase the plant’s production capacity to 1 million or 1.5 million vehicles per year. Tesla’s total vehicle deliveries this year may approach the 1 million mark, thanks in large part to the increase in the production of Model Y and Model 3 in Shanghai Gigafactory and the company’s commitment to the Fremont plant.</t>
      </text>
    </comment>
    <comment ref="R214" authorId="8" shapeId="0" xr:uid="{DDCB7772-D3E8-4627-99B7-B634C8A5312B}">
      <text>
        <t>[线程批注]
你的Excel版本可读取此线程批注; 但如果在更新版本的Excel中打开文件，则对批注所作的任何改动都将被删除。了解详细信息: https://go.microsoft.com/fwlink/?linkid=870924
注释:
    Tesla could add a second shift of production by the beginning of Q2 2020 which would increase line capacity to approximately 3,500 vehicles per week</t>
      </text>
    </comment>
    <comment ref="AK214" authorId="9" shapeId="0" xr:uid="{DAEF5D4E-1BE3-4515-BD95-661704FED01B}">
      <text>
        <t>[线程批注]
你的Excel版本可读取此线程批注; 但如果在更新版本的Excel中打开文件，则对批注所作的任何改动都将被删除。了解详细信息: https://go.microsoft.com/fwlink/?linkid=870924
注释:
    q3 80.8%</t>
      </text>
    </comment>
    <comment ref="AL214" authorId="10" shapeId="0" xr:uid="{B8C6075D-DBB5-4E43-9E1C-F9C247069280}">
      <text>
        <t>[线程批注]
你的Excel版本可读取此线程批注; 但如果在更新版本的Excel中打开文件，则对批注所作的任何改动都将被删除。了解详细信息: https://go.microsoft.com/fwlink/?linkid=870924
注释:
    up from 80 due to Nov beat of 100k</t>
      </text>
    </comment>
    <comment ref="AM214" authorId="11" shapeId="0" xr:uid="{46D9BEE4-8F44-4AF0-B4C3-70F0C387ADF1}">
      <text>
        <t>[线程批注]
你的Excel版本可读取此线程批注; 但如果在更新版本的Excel中打开文件，则对批注所作的任何改动都将被删除。了解详细信息: https://go.microsoft.com/fwlink/?linkid=870924
注释:
    cut from 90 due to falling demand</t>
      </text>
    </comment>
    <comment ref="AK215" authorId="12" shapeId="0" xr:uid="{6FC9A8C4-D758-43F0-9F63-01566A876384}">
      <text>
        <t>[线程批注]
你的Excel版本可读取此线程批注; 但如果在更新版本的Excel中打开文件，则对批注所作的任何改动都将被删除。了解详细信息: https://go.microsoft.com/fwlink/?linkid=870924
注释:
    Zachary Kirkhorn 
Sure. So, it remains our target in both Austin and Berlin to be able to build our first production cars before the end of the year. We've talked about this a bit. The unknown of unknowns, new factories, new vehicle designs, new technologies, new locations, new teams.
So, there is quite an execution journey ahead of us, but that remains our target. And all of our plans are oriented around that. We -- for -- we should not expect for us to deliver cars by the end of 2021 from these factories, even if we do produce some.</t>
      </text>
    </comment>
    <comment ref="AL215" authorId="13" shapeId="0" xr:uid="{C9CAB1E6-CA43-4E32-B5F8-6EE952EF55AC}">
      <text>
        <t>[线程批注]
你的Excel版本可读取此线程批注; 但如果在更新版本的Excel中打开文件，则对批注所作的任何改动都将被删除。了解详细信息: https://go.microsoft.com/fwlink/?linkid=870924
注释:
    cut, below same</t>
      </text>
    </comment>
    <comment ref="AM215" authorId="14" shapeId="0" xr:uid="{A00A9204-8AD1-4376-96A5-8E1349056872}">
      <text>
        <t>[线程批注]
你的Excel版本可读取此线程批注; 但如果在更新版本的Excel中打开文件，则对批注所作的任何改动都将被删除。了解详细信息: https://go.microsoft.com/fwlink/?linkid=870924
注释:
    down from 71 due to EU ressession</t>
      </text>
    </comment>
    <comment ref="D216" authorId="15" shapeId="0" xr:uid="{4B8B0769-998E-4AD3-87A0-9E78A00089E6}">
      <text>
        <t>[线程批注]
你的Excel版本可读取此线程批注; 但如果在更新版本的Excel中打开文件，则对批注所作的任何改动都将被删除。了解详细信息: https://go.microsoft.com/fwlink/?linkid=870924
注释:
    https://constructionreviewonline.com/biggest-projects/giga-texas-tesla-inc-factory-in-austin/</t>
      </text>
    </comment>
    <comment ref="T216" authorId="16" shapeId="0" xr:uid="{D384AB79-D767-4174-A3C5-E8E41FF50CD5}">
      <text>
        <t>[线程批注]
你的Excel版本可读取此线程批注; 但如果在更新版本的Excel中打开文件，则对批注所作的任何改动都将被删除。了解详细信息: https://go.microsoft.com/fwlink/?linkid=870924
注释:
    12月15日，特斯拉在推特上分享了新的 产量 数据，特斯拉美国得克萨斯州奥斯汀新工厂的Model Y周产量已达到3000辆。</t>
      </text>
    </comment>
    <comment ref="H221" authorId="17" shapeId="0" xr:uid="{8D952100-4F42-4A4F-82CD-1B4BFFDB526F}">
      <text>
        <t>[线程批注]
你的Excel版本可读取此线程批注; 但如果在更新版本的Excel中打开文件，则对批注所作的任何改动都将被删除。了解详细信息: https://go.microsoft.com/fwlink/?linkid=870924
注释:
    Tesla could add a second shift of production by the beginning of Q2 2020 which would increase line capacity to approximately 3,500 vehicles per week</t>
      </text>
    </comment>
    <comment ref="J223" authorId="18" shapeId="0" xr:uid="{FBDF9683-38CF-48E8-A1C2-B67185570BCC}">
      <text>
        <t>[线程批注]
你的Excel版本可读取此线程批注; 但如果在更新版本的Excel中打开文件，则对批注所作的任何改动都将被删除。了解详细信息: https://go.microsoft.com/fwlink/?linkid=870924
注释:
    12月15日，特斯拉在推特上分享了新的 产量 数据，特斯拉美国得克萨斯州奥斯汀新工厂的Model Y周产量已达到3000辆。</t>
      </text>
    </comment>
    <comment ref="H272" authorId="19" shapeId="0" xr:uid="{BA42945A-E00D-42C4-BDA2-D9990AC89419}">
      <text>
        <t>[线程批注]
你的Excel版本可读取此线程批注; 但如果在更新版本的Excel中打开文件，则对批注所作的任何改动都将被删除。了解详细信息: https://go.microsoft.com/fwlink/?linkid=870924
注释:
    6m only 5%
答复:
    mainly due to decrease in CEO option expense, which is deemed to be related to falling stock price
答复:
    cut to 5%
答复:
    cut to 4.5</t>
      </text>
    </comment>
    <comment ref="G1659" authorId="20" shapeId="0" xr:uid="{834B1E0B-0E2C-4407-981F-831ACE0DA4EF}">
      <text>
        <t>[线程批注]
你的Excel版本可读取此线程批注; 但如果在更新版本的Excel中打开文件，则对批注所作的任何改动都将被删除。了解详细信息: https://go.microsoft.com/fwlink/?linkid=870924
注释:
    9m 29%</t>
      </text>
    </comment>
    <comment ref="G1660" authorId="21" shapeId="0" xr:uid="{CEE8BCB5-764D-459D-873B-31C760D53623}">
      <text>
        <t>[线程批注]
你的Excel版本可读取此线程批注; 但如果在更新版本的Excel中打开文件，则对批注所作的任何改动都将被删除。了解详细信息: https://go.microsoft.com/fwlink/?linkid=870924
注释:
    6m 19.5%</t>
      </text>
    </comment>
    <comment ref="B1667" authorId="22" shapeId="0" xr:uid="{720D9B35-1E22-4595-9F68-7D60B4BDCF43}">
      <text>
        <t>[线程批注]
你的Excel版本可读取此线程批注; 但如果在更新版本的Excel中打开文件，则对批注所作的任何改动都将被删除。了解详细信息: https://go.microsoft.com/fwlink/?linkid=870924
注释:
    9m 29%</t>
      </text>
    </comment>
    <comment ref="C1667" authorId="23" shapeId="0" xr:uid="{4BDA43AF-248B-4C21-A782-8BCA6A3514FA}">
      <text>
        <t>[线程批注]
你的Excel版本可读取此线程批注; 但如果在更新版本的Excel中打开文件，则对批注所作的任何改动都将被删除。了解详细信息: https://go.microsoft.com/fwlink/?linkid=870924
注释:
    6m 19.5%</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tc={83E686DB-E5D6-43DD-83DD-57CA9B991920}</author>
    <author>tc={E6284B3B-77F2-40AB-A332-20482CF7294F}</author>
    <author>tc={CB194EE9-55DD-48E8-9EAF-9951D2F31B09}</author>
    <author>tc={0362BB95-8DDB-45BE-87E5-EDB9D74535D5}</author>
  </authors>
  <commentList>
    <comment ref="A50" authorId="0" shapeId="0" xr:uid="{83E686DB-E5D6-43DD-83DD-57CA9B991920}">
      <text>
        <t>[线程批注]
你的Excel版本可读取此线程批注; 但如果在更新版本的Excel中打开文件，则对批注所作的任何改动都将被删除。了解详细信息: https://go.microsoft.com/fwlink/?linkid=870924
注释:
    new</t>
      </text>
    </comment>
    <comment ref="A84" authorId="1" shapeId="0" xr:uid="{E6284B3B-77F2-40AB-A332-20482CF7294F}">
      <text>
        <t>[线程批注]
你的Excel版本可读取此线程批注; 但如果在更新版本的Excel中打开文件，则对批注所作的任何改动都将被删除。了解详细信息: https://go.microsoft.com/fwlink/?linkid=870924
注释:
    Gain/loss Related to Solarcity Acquisition</t>
      </text>
    </comment>
    <comment ref="C87" authorId="2" shapeId="0" xr:uid="{CB194EE9-55DD-48E8-9EAF-9951D2F31B09}">
      <text>
        <t>[线程批注]
你的Excel版本可读取此线程批注; 但如果在更新版本的Excel中打开文件，则对批注所作的任何改动都将被删除。了解详细信息: https://go.microsoft.com/fwlink/?linkid=870924
注释:
    公式更改</t>
      </text>
    </comment>
    <comment ref="A92" authorId="3" shapeId="0" xr:uid="{0362BB95-8DDB-45BE-87E5-EDB9D74535D5}">
      <text>
        <t>[线程批注]
你的Excel版本可读取此线程批注; 但如果在更新版本的Excel中打开文件，则对批注所作的任何改动都将被删除。了解详细信息: https://go.microsoft.com/fwlink/?linkid=870924
注释:
    new</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tc={25E191F3-261A-4DEE-839B-1C4A4F854DD9}</author>
    <author>tc={BB82C08B-2309-4BC9-A544-C34B7993C9A1}</author>
    <author>tc={B6043EA9-159C-4D55-B693-FCDC34CC0583}</author>
    <author>tc={45B9B1FD-D538-4D99-893C-B13FC68DF2D2}</author>
    <author>tc={4E388E8B-A91F-45D3-89CF-DA2A41B16809}</author>
    <author>tc={EFAA3A04-1C14-4D67-88F8-67D4C66DED1C}</author>
  </authors>
  <commentList>
    <comment ref="Q82" authorId="0" shapeId="0" xr:uid="{25E191F3-261A-4DEE-839B-1C4A4F854DD9}">
      <text>
        <t>[线程批注]
你的Excel版本可读取此线程批注; 但如果在更新版本的Excel中打开文件，则对批注所作的任何改动都将被删除。了解详细信息: https://go.microsoft.com/fwlink/?linkid=870924
注释:
    6.08% from Half year report</t>
      </text>
    </comment>
    <comment ref="A90" authorId="1" shapeId="0" xr:uid="{BB82C08B-2309-4BC9-A544-C34B7993C9A1}">
      <text>
        <t>[线程批注]
你的Excel版本可读取此线程批注; 但如果在更新版本的Excel中打开文件，则对批注所作的任何改动都将被删除。了解详细信息: https://go.microsoft.com/fwlink/?linkid=870924
注释:
    Gain/loss Related to Solarcity Acquisition</t>
      </text>
    </comment>
    <comment ref="H94" authorId="2" shapeId="0" xr:uid="{B6043EA9-159C-4D55-B693-FCDC34CC0583}">
      <text>
        <t>[线程批注]
你的Excel版本可读取此线程批注; 但如果在更新版本的Excel中打开文件，则对批注所作的任何改动都将被删除。了解详细信息: https://go.microsoft.com/fwlink/?linkid=870924
注释:
    financial cost, estimated using gain from cash holding and loss from debt</t>
      </text>
    </comment>
    <comment ref="Q97" authorId="3" shapeId="0" xr:uid="{45B9B1FD-D538-4D99-893C-B13FC68DF2D2}">
      <text>
        <t>[线程批注]
你的Excel版本可读取此线程批注; 但如果在更新版本的Excel中打开文件，则对批注所作的任何改动都将被删除。了解详细信息: https://go.microsoft.com/fwlink/?linkid=870924
注释:
    24% from half year report</t>
      </text>
    </comment>
    <comment ref="A98" authorId="4" shapeId="0" xr:uid="{4E388E8B-A91F-45D3-89CF-DA2A41B16809}">
      <text>
        <t>[线程批注]
你的Excel版本可读取此线程批注; 但如果在更新版本的Excel中打开文件，则对批注所作的任何改动都将被删除。了解详细信息: https://go.microsoft.com/fwlink/?linkid=870924
注释:
    new</t>
      </text>
    </comment>
    <comment ref="H105" authorId="5" shapeId="0" xr:uid="{EFAA3A04-1C14-4D67-88F8-67D4C66DED1C}">
      <text>
        <t>[线程批注]
你的Excel版本可读取此线程批注; 但如果在更新版本的Excel中打开文件，则对批注所作的任何改动都将被删除。了解详细信息: https://go.microsoft.com/fwlink/?linkid=870924
注释:
    financial cost (row 94) and dividends</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tc={07DCD839-4DFE-41EB-8212-5BFBC3B765F8}</author>
    <author>tc={49447B18-9C38-497D-BE75-32FC7E37B177}</author>
    <author>tc={7936A3E0-75CE-4C24-A826-36A1A6DC1640}</author>
    <author>tc={DD5EB027-98B1-4B15-9396-88E7B6AAE5CB}</author>
    <author>tc={BF883AD9-6A8C-471B-BE92-AF0BA0C65294}</author>
    <author>tc={710C283E-C55A-46A0-B920-241A0AE60304}</author>
  </authors>
  <commentList>
    <comment ref="Q82" authorId="0" shapeId="0" xr:uid="{07DCD839-4DFE-41EB-8212-5BFBC3B765F8}">
      <text>
        <t>[线程批注]
你的Excel版本可读取此线程批注; 但如果在更新版本的Excel中打开文件，则对批注所作的任何改动都将被删除。了解详细信息: https://go.microsoft.com/fwlink/?linkid=870924
注释:
    6.08% from Half year report</t>
      </text>
    </comment>
    <comment ref="A90" authorId="1" shapeId="0" xr:uid="{49447B18-9C38-497D-BE75-32FC7E37B177}">
      <text>
        <t>[线程批注]
你的Excel版本可读取此线程批注; 但如果在更新版本的Excel中打开文件，则对批注所作的任何改动都将被删除。了解详细信息: https://go.microsoft.com/fwlink/?linkid=870924
注释:
    Gain/loss Related to Solarcity Acquisition</t>
      </text>
    </comment>
    <comment ref="H94" authorId="2" shapeId="0" xr:uid="{7936A3E0-75CE-4C24-A826-36A1A6DC1640}">
      <text>
        <t>[线程批注]
你的Excel版本可读取此线程批注; 但如果在更新版本的Excel中打开文件，则对批注所作的任何改动都将被删除。了解详细信息: https://go.microsoft.com/fwlink/?linkid=870924
注释:
    financial cost, estimated using gain from cash holding and loss from debt</t>
      </text>
    </comment>
    <comment ref="Q97" authorId="3" shapeId="0" xr:uid="{DD5EB027-98B1-4B15-9396-88E7B6AAE5CB}">
      <text>
        <t>[线程批注]
你的Excel版本可读取此线程批注; 但如果在更新版本的Excel中打开文件，则对批注所作的任何改动都将被删除。了解详细信息: https://go.microsoft.com/fwlink/?linkid=870924
注释:
    24% from half year report</t>
      </text>
    </comment>
    <comment ref="A98" authorId="4" shapeId="0" xr:uid="{BF883AD9-6A8C-471B-BE92-AF0BA0C65294}">
      <text>
        <t>[线程批注]
你的Excel版本可读取此线程批注; 但如果在更新版本的Excel中打开文件，则对批注所作的任何改动都将被删除。了解详细信息: https://go.microsoft.com/fwlink/?linkid=870924
注释:
    new</t>
      </text>
    </comment>
    <comment ref="H105" authorId="5" shapeId="0" xr:uid="{710C283E-C55A-46A0-B920-241A0AE60304}">
      <text>
        <t>[线程批注]
你的Excel版本可读取此线程批注; 但如果在更新版本的Excel中打开文件，则对批注所作的任何改动都将被删除。了解详细信息: https://go.microsoft.com/fwlink/?linkid=870924
注释:
    financial cost (row 94) and dividends</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tc={94B76D27-8EC6-47F8-8087-BF5F651A4D06}</author>
    <author>tc={CA4C1A3B-4F31-4532-ADA9-0AFA091F25F3}</author>
    <author>tc={6D23AAA7-004A-4937-B8E7-DF85C34A9DF4}</author>
    <author>tc={32DA1AAD-6902-49F5-896A-B579FA93F7A2}</author>
  </authors>
  <commentList>
    <comment ref="A50" authorId="0" shapeId="0" xr:uid="{94B76D27-8EC6-47F8-8087-BF5F651A4D06}">
      <text>
        <t>[线程批注]
你的Excel版本可读取此线程批注; 但如果在更新版本的Excel中打开文件，则对批注所作的任何改动都将被删除。了解详细信息: https://go.microsoft.com/fwlink/?linkid=870924
注释:
    new</t>
      </text>
    </comment>
    <comment ref="A84" authorId="1" shapeId="0" xr:uid="{CA4C1A3B-4F31-4532-ADA9-0AFA091F25F3}">
      <text>
        <t>[线程批注]
你的Excel版本可读取此线程批注; 但如果在更新版本的Excel中打开文件，则对批注所作的任何改动都将被删除。了解详细信息: https://go.microsoft.com/fwlink/?linkid=870924
注释:
    Gain/loss Related to Solarcity Acquisition</t>
      </text>
    </comment>
    <comment ref="C87" authorId="2" shapeId="0" xr:uid="{6D23AAA7-004A-4937-B8E7-DF85C34A9DF4}">
      <text>
        <t>[线程批注]
你的Excel版本可读取此线程批注; 但如果在更新版本的Excel中打开文件，则对批注所作的任何改动都将被删除。了解详细信息: https://go.microsoft.com/fwlink/?linkid=870924
注释:
    公式更改</t>
      </text>
    </comment>
    <comment ref="A92" authorId="3" shapeId="0" xr:uid="{32DA1AAD-6902-49F5-896A-B579FA93F7A2}">
      <text>
        <t>[线程批注]
你的Excel版本可读取此线程批注; 但如果在更新版本的Excel中打开文件，则对批注所作的任何改动都将被删除。了解详细信息: https://go.microsoft.com/fwlink/?linkid=870924
注释:
    new</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tc={76D43484-99C0-4B72-A674-F3423A2241A1}</author>
    <author>tc={D5E55E3A-1FD8-425F-ACF0-C71F663D0F5A}</author>
    <author>tc={00B52D82-BBF5-47F9-8175-30F128ABF22E}</author>
    <author>tc={10E65904-1E30-4E27-9D7C-9F196558A39C}</author>
    <author>tc={C3EE3175-EA74-4864-B848-2609DD57130B}</author>
    <author>tc={93B6C552-7561-419C-9A4F-9B0F9B6C71CC}</author>
    <author>tc={D909F199-013C-4C52-8953-54A589BAAAE4}</author>
    <author>tc={0DD40F8F-7EDF-4C0F-9159-2E0CD34B1D80}</author>
    <author>tc={FE93F0D4-BC30-4650-8623-786AF710A52C}</author>
    <author>tc={F4CDD2A9-65FE-40A0-8426-FFB843D6D70A}</author>
    <author>tc={FFB348FE-4F9F-4C31-81B1-58CFEC32C9C7}</author>
    <author>tc={1851B892-42C9-45B3-AB53-98DC82AB5B7C}</author>
    <author>tc={6BE3A6FE-2A92-45F0-ACE5-E128594488CB}</author>
    <author>tc={165F3108-D039-4B43-A441-1E2E8D65D361}</author>
  </authors>
  <commentList>
    <comment ref="J70" authorId="0" shapeId="0" xr:uid="{76D43484-99C0-4B72-A674-F3423A2241A1}">
      <text>
        <t>[线程批注]
你的Excel版本可读取此线程批注; 但如果在更新版本的Excel中打开文件，则对批注所作的任何改动都将被删除。了解详细信息: https://go.microsoft.com/fwlink/?linkid=870924
注释:
    上半年630</t>
      </text>
    </comment>
    <comment ref="J71" authorId="1" shapeId="0" xr:uid="{D5E55E3A-1FD8-425F-ACF0-C71F663D0F5A}">
      <text>
        <t>[线程批注]
你的Excel版本可读取此线程批注; 但如果在更新版本的Excel中打开文件，则对批注所作的任何改动都将被删除。了解详细信息: https://go.microsoft.com/fwlink/?linkid=870924
注释:
    上半年2611</t>
      </text>
    </comment>
    <comment ref="K96" authorId="2" shapeId="0" xr:uid="{00B52D82-BBF5-47F9-8175-30F128ABF22E}">
      <text>
        <t>[线程批注]
你的Excel版本可读取此线程批注; 但如果在更新版本的Excel中打开文件，则对批注所作的任何改动都将被删除。了解详细信息: https://go.microsoft.com/fwlink/?linkid=870924
注释:
    无销量数据</t>
      </text>
    </comment>
    <comment ref="I102" authorId="3" shapeId="0" xr:uid="{10E65904-1E30-4E27-9D7C-9F196558A39C}">
      <text>
        <t xml:space="preserve">[线程批注]
你的Excel版本可读取此线程批注; 但如果在更新版本的Excel中打开文件，则对批注所作的任何改动都将被删除。了解详细信息: https://go.microsoft.com/fwlink/?linkid=870924
注释:
    前九个月8230
</t>
      </text>
    </comment>
    <comment ref="J102" authorId="4" shapeId="0" xr:uid="{C3EE3175-EA74-4864-B848-2609DD57130B}">
      <text>
        <t xml:space="preserve">[线程批注]
你的Excel版本可读取此线程批注; 但如果在更新版本的Excel中打开文件，则对批注所作的任何改动都将被删除。了解详细信息: https://go.microsoft.com/fwlink/?linkid=870924
注释:
    上半年6785
</t>
      </text>
    </comment>
    <comment ref="D164" authorId="5" shapeId="0" xr:uid="{93B6C552-7561-419C-9A4F-9B0F9B6C71CC}">
      <text>
        <t>[线程批注]
你的Excel版本可读取此线程批注; 但如果在更新版本的Excel中打开文件，则对批注所作的任何改动都将被删除。了解详细信息: https://go.microsoft.com/fwlink/?linkid=870924
注释:
    starting period changed to 1H22</t>
      </text>
    </comment>
    <comment ref="B218" authorId="6" shapeId="0" xr:uid="{D909F199-013C-4C52-8953-54A589BAAAE4}">
      <text>
        <t>[线程批注]
你的Excel版本可读取此线程批注; 但如果在更新版本的Excel中打开文件，则对批注所作的任何改动都将被删除。了解详细信息: https://go.microsoft.com/fwlink/?linkid=870924
注释:
    由于S90和V90的销量数据是合并的。故在此合并，价格为V90价格</t>
      </text>
    </comment>
    <comment ref="A250" authorId="7" shapeId="0" xr:uid="{0DD40F8F-7EDF-4C0F-9159-2E0CD34B1D80}">
      <text>
        <t>[线程批注]
你的Excel版本可读取此线程批注; 但如果在更新版本的Excel中打开文件，则对批注所作的任何改动都将被删除。了解详细信息: https://go.microsoft.com/fwlink/?linkid=870924
注释:
    由于S90和V90的销量数据是合并的。故在此合并，价格为V90价格</t>
      </text>
    </comment>
    <comment ref="D286" authorId="8" shapeId="0" xr:uid="{FE93F0D4-BC30-4650-8623-786AF710A52C}">
      <text>
        <t>[线程批注]
你的Excel版本可读取此线程批注; 但如果在更新版本的Excel中打开文件，则对批注所作的任何改动都将被删除。了解详细信息: https://go.microsoft.com/fwlink/?linkid=870924
注释:
    延用21年的share</t>
      </text>
    </comment>
    <comment ref="D310" authorId="9" shapeId="0" xr:uid="{F4CDD2A9-65FE-40A0-8426-FFB843D6D70A}">
      <text>
        <t>[线程批注]
你的Excel版本可读取此线程批注; 但如果在更新版本的Excel中打开文件，则对批注所作的任何改动都将被删除。了解详细信息: https://go.microsoft.com/fwlink/?linkid=870924
注释:
    延用21年的share</t>
      </text>
    </comment>
    <comment ref="N338" authorId="10" shapeId="0" xr:uid="{FFB348FE-4F9F-4C31-81B1-58CFEC32C9C7}">
      <text>
        <t>[线程批注]
你的Excel版本可读取此线程批注; 但如果在更新版本的Excel中打开文件，则对批注所作的任何改动都将被删除。了解详细信息: https://go.microsoft.com/fwlink/?linkid=870924
注释:
    upward adj 1pct
答复:
    remodeled to add residual effect</t>
      </text>
    </comment>
    <comment ref="D383" authorId="11" shapeId="0" xr:uid="{1851B892-42C9-45B3-AB53-98DC82AB5B7C}">
      <text>
        <t>[线程批注]
你的Excel版本可读取此线程批注; 但如果在更新版本的Excel中打开文件，则对批注所作的任何改动都将被删除。了解详细信息: https://go.microsoft.com/fwlink/?linkid=870924
注释:
    starting period changed to 1H22</t>
      </text>
    </comment>
    <comment ref="D419" authorId="12" shapeId="0" xr:uid="{6BE3A6FE-2A92-45F0-ACE5-E128594488CB}">
      <text>
        <t>[线程批注]
你的Excel版本可读取此线程批注; 但如果在更新版本的Excel中打开文件，则对批注所作的任何改动都将被删除。了解详细信息: https://go.microsoft.com/fwlink/?linkid=870924
注释:
    starting period changed to 1H22</t>
      </text>
    </comment>
    <comment ref="D447" authorId="13" shapeId="0" xr:uid="{165F3108-D039-4B43-A441-1E2E8D65D361}">
      <text>
        <t>[线程批注]
你的Excel版本可读取此线程批注; 但如果在更新版本的Excel中打开文件，则对批注所作的任何改动都将被删除。了解详细信息: https://go.microsoft.com/fwlink/?linkid=870924
注释:
    starting period changed to 1H22</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tc={B0CF5001-7ED1-4AC2-9779-3859FFDD0037}</author>
    <author>tc={7B7789CD-3FC6-451D-B1DD-EEFC362843A8}</author>
    <author>tc={D6D74563-310F-4497-8A65-B8B0EEF06165}</author>
    <author>tc={A064501C-6D98-476E-92FE-6A5E82024BCD}</author>
    <author>tc={B05685DC-706F-4281-A39D-354FAFF2D5A0}</author>
    <author>tc={63042461-B6D4-4D93-A21D-F61C8FA76F79}</author>
    <author>tc={73992A92-6F65-4804-B7FB-B12DDDB452EF}</author>
    <author>tc={DED979FB-DE0D-406E-8177-CC0DDC52DBB5}</author>
    <author>tc={FF286AE1-B90A-43B2-B80A-9B444B719EF0}</author>
    <author>tc={633FCF6E-DEDF-474C-874F-A8F9804DCFCB}</author>
    <author>tc={B1A342B0-C5CE-4CF8-8981-462441FABD6F}</author>
    <author>tc={DB5008A9-CD25-434E-A706-AD423ACA2926}</author>
    <author>tc={C0821C59-95E5-4681-943F-EEE41E85BE0B}</author>
    <author>tc={5110230D-70D8-44BD-91B2-00CBF0C7ED0F}</author>
    <author>tc={D233967B-E151-4DA4-8EC8-EFC8D2B0525D}</author>
    <author>tc={A8BFE35A-ABAD-41A0-A899-F81107200964}</author>
    <author>tc={CEB936CB-F0ED-4B26-A6BD-E413AE8CE3FE}</author>
    <author>tc={BE1208E3-F814-42CC-99DE-F90E791F8811}</author>
  </authors>
  <commentList>
    <comment ref="D26" authorId="0" shapeId="0" xr:uid="{B0CF5001-7ED1-4AC2-9779-3859FFDD0037}">
      <text>
        <t>[线程批注]
你的Excel版本可读取此线程批注; 但如果在更新版本的Excel中打开文件，则对批注所作的任何改动都将被删除。了解详细信息: https://go.microsoft.com/fwlink/?linkid=870924
注释:
    updated: starting from 1H22 instead of 21</t>
      </text>
    </comment>
    <comment ref="B48" authorId="1" shapeId="0" xr:uid="{7B7789CD-3FC6-451D-B1DD-EEFC362843A8}">
      <text>
        <t>[线程批注]
你的Excel版本可读取此线程批注; 但如果在更新版本的Excel中打开文件，则对批注所作的任何改动都将被删除。了解详细信息: https://go.microsoft.com/fwlink/?linkid=870924
注释:
    how come share not the same with line 15?
答复:
    revised</t>
      </text>
    </comment>
    <comment ref="D65" authorId="2" shapeId="0" xr:uid="{D6D74563-310F-4497-8A65-B8B0EEF06165}">
      <text>
        <t>[线程批注]
你的Excel版本可读取此线程批注; 但如果在更新版本的Excel中打开文件，则对批注所作的任何改动都将被删除。了解详细信息: https://go.microsoft.com/fwlink/?linkid=870924
注释:
    updated: starting from 1H22 instead of 21</t>
      </text>
    </comment>
    <comment ref="A81" authorId="3" shapeId="0" xr:uid="{A064501C-6D98-476E-92FE-6A5E82024BCD}">
      <text>
        <t>[线程批注]
你的Excel版本可读取此线程批注; 但如果在更新版本的Excel中打开文件，则对批注所作的任何改动都将被删除。了解详细信息: https://go.microsoft.com/fwlink/?linkid=870924
注释:
    Pro?
答复:
    元EV，not 元pro
答复:
    Pro is BEV itself
答复:
    ok</t>
      </text>
    </comment>
    <comment ref="D109" authorId="4" shapeId="0" xr:uid="{B05685DC-706F-4281-A39D-354FAFF2D5A0}">
      <text>
        <t>[线程批注]
你的Excel版本可读取此线程批注; 但如果在更新版本的Excel中打开文件，则对批注所作的任何改动都将被删除。了解详细信息: https://go.microsoft.com/fwlink/?linkid=870924
注释:
    updated: starting from 1H22 instead of 21</t>
      </text>
    </comment>
    <comment ref="E134" authorId="5" shapeId="0" xr:uid="{63042461-B6D4-4D93-A21D-F61C8FA76F79}">
      <text>
        <t>[线程批注]
你的Excel版本可读取此线程批注; 但如果在更新版本的Excel中打开文件，则对批注所作的任何改动都将被删除。了解详细信息: https://go.microsoft.com/fwlink/?linkid=870924
注释:
    A?
答复:
    revised</t>
      </text>
    </comment>
    <comment ref="S135" authorId="6" shapeId="0" xr:uid="{73992A92-6F65-4804-B7FB-B12DDDB452EF}">
      <text>
        <t>[线程批注]
你的Excel版本可读取此线程批注; 但如果在更新版本的Excel中打开文件，则对批注所作的任何改动都将被删除。了解详细信息: https://go.microsoft.com/fwlink/?linkid=870924
注释:
    too large
答复:
    need more significant rivals
答复:
    revised</t>
      </text>
    </comment>
    <comment ref="D160" authorId="7" shapeId="0" xr:uid="{DED979FB-DE0D-406E-8177-CC0DDC52DBB5}">
      <text>
        <t>[线程批注]
你的Excel版本可读取此线程批注; 但如果在更新版本的Excel中打开文件，则对批注所作的任何改动都将被删除。了解详细信息: https://go.microsoft.com/fwlink/?linkid=870924
注释:
    updated: starting from 1H22 instead of 21</t>
      </text>
    </comment>
    <comment ref="D203" authorId="8" shapeId="0" xr:uid="{FF286AE1-B90A-43B2-B80A-9B444B719EF0}">
      <text>
        <t>[线程批注]
你的Excel版本可读取此线程批注; 但如果在更新版本的Excel中打开文件，则对批注所作的任何改动都将被删除。了解详细信息: https://go.microsoft.com/fwlink/?linkid=870924
注释:
    updated: starting from 1H22 instead of 21</t>
      </text>
    </comment>
    <comment ref="M210" authorId="9" shapeId="0" xr:uid="{633FCF6E-DEDF-474C-874F-A8F9804DCFCB}">
      <text>
        <t>[线程批注]
你的Excel版本可读取此线程批注; 但如果在更新版本的Excel中打开文件，则对批注所作的任何改动都将被删除。了解详细信息: https://go.microsoft.com/fwlink/?linkid=870924
注释:
    overwrited to 1/3</t>
      </text>
    </comment>
    <comment ref="A218" authorId="10" shapeId="0" xr:uid="{B1A342B0-C5CE-4CF8-8981-462441FABD6F}">
      <text>
        <t>[线程批注]
你的Excel版本可读取此线程批注; 但如果在更新版本的Excel中打开文件，则对批注所作的任何改动都将被删除。了解详细信息: https://go.microsoft.com/fwlink/?linkid=870924
注释:
    DM?
答复:
    yes
答复:
    I mean DM not DM-i</t>
      </text>
    </comment>
    <comment ref="D239" authorId="11" shapeId="0" xr:uid="{DB5008A9-CD25-434E-A706-AD423ACA2926}">
      <text>
        <t>[线程批注]
你的Excel版本可读取此线程批注; 但如果在更新版本的Excel中打开文件，则对批注所作的任何改动都将被删除。了解详细信息: https://go.microsoft.com/fwlink/?linkid=870924
注释:
    updated: starting from 1H22 instead of 21</t>
      </text>
    </comment>
    <comment ref="N329" authorId="12" shapeId="0" xr:uid="{C0821C59-95E5-4681-943F-EEE41E85BE0B}">
      <text>
        <t>[线程批注]
你的Excel版本可读取此线程批注; 但如果在更新版本的Excel中打开文件，则对批注所作的任何改动都将被删除。了解详细信息: https://go.microsoft.com/fwlink/?linkid=870924
注释:
    from 0.5 to 1</t>
      </text>
    </comment>
    <comment ref="A405" authorId="13" shapeId="0" xr:uid="{5110230D-70D8-44BD-91B2-00CBF0C7ED0F}">
      <text>
        <t>[线程批注]
你的Excel版本可读取此线程批注; 但如果在更新版本的Excel中打开文件，则对批注所作的任何改动都将被删除。了解详细信息: https://go.microsoft.com/fwlink/?linkid=870924
注释:
    sample unstable; add more rivals;
答复:
    because more rivals make sample more unstable
答复:
    Maiteng added</t>
      </text>
    </comment>
    <comment ref="R407" authorId="14" shapeId="0" xr:uid="{D233967B-E151-4DA4-8EC8-EFC8D2B0525D}">
      <text>
        <t>[线程批注]
你的Excel版本可读取此线程批注; 但如果在更新版本的Excel中打开文件，则对批注所作的任何改动都将被删除。了解详细信息: https://go.microsoft.com/fwlink/?linkid=870924
注释:
    excluding DM</t>
      </text>
    </comment>
    <comment ref="F410" authorId="15" shapeId="0" xr:uid="{A8BFE35A-ABAD-41A0-A899-F81107200964}">
      <text>
        <t>[线程批注]
你的Excel版本可读取此线程批注; 但如果在更新版本的Excel中打开文件，则对批注所作的任何改动都将被删除。了解详细信息: https://go.microsoft.com/fwlink/?linkid=870924
注释:
    Not Fuel?
答复:
    revised</t>
      </text>
    </comment>
    <comment ref="D427" authorId="16" shapeId="0" xr:uid="{CEB936CB-F0ED-4B26-A6BD-E413AE8CE3FE}">
      <text>
        <t>[线程批注]
你的Excel版本可读取此线程批注; 但如果在更新版本的Excel中打开文件，则对批注所作的任何改动都将被删除。了解详细信息: https://go.microsoft.com/fwlink/?linkid=870924
注释:
    starting period changed to 1H22</t>
      </text>
    </comment>
    <comment ref="D428" authorId="17" shapeId="0" xr:uid="{BE1208E3-F814-42CC-99DE-F90E791F8811}">
      <text>
        <t>[线程批注]
你的Excel版本可读取此线程批注; 但如果在更新版本的Excel中打开文件，则对批注所作的任何改动都将被删除。了解详细信息: https://go.microsoft.com/fwlink/?linkid=870924
注释:
    starting period changed to 1H22</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tc={D8A42D19-A7BF-4FA3-A191-26520A4D43EB}</author>
    <author>tc={7C621B86-F02E-4012-96F5-F9DAABBDDE4F}</author>
    <author>tc={5E1C14DB-BF3D-436C-8C7E-A2951995BABB}</author>
  </authors>
  <commentList>
    <comment ref="A48" authorId="0" shapeId="0" xr:uid="{D8A42D19-A7BF-4FA3-A191-26520A4D43EB}">
      <text>
        <t>[线程批注]
你的Excel版本可读取此线程批注; 但如果在更新版本的Excel中打开文件，则对批注所作的任何改动都将被删除。了解详细信息: https://go.microsoft.com/fwlink/?linkid=870924
注释:
    PP&amp;E + Solar Energy Systems + Operating Lease Vehicles</t>
      </text>
    </comment>
    <comment ref="A84" authorId="1" shapeId="0" xr:uid="{7C621B86-F02E-4012-96F5-F9DAABBDDE4F}">
      <text>
        <t>[线程批注]
你的Excel版本可读取此线程批注; 但如果在更新版本的Excel中打开文件，则对批注所作的任何改动都将被删除。了解详细信息: https://go.microsoft.com/fwlink/?linkid=870924
注释:
    Gain/loss Related to Solarcity Acquisition</t>
      </text>
    </comment>
    <comment ref="C87" authorId="2" shapeId="0" xr:uid="{5E1C14DB-BF3D-436C-8C7E-A2951995BABB}">
      <text>
        <t>[线程批注]
你的Excel版本可读取此线程批注; 但如果在更新版本的Excel中打开文件，则对批注所作的任何改动都将被删除。了解详细信息: https://go.microsoft.com/fwlink/?linkid=870924
注释:
    公式更改</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kacchan</author>
    <author>tc={716BE626-1C8E-4AD3-8F46-A539D8439851}</author>
    <author>tc={2E8A8CE5-FA95-49C2-80E4-7525DE94A3AA}</author>
  </authors>
  <commentList>
    <comment ref="A4" authorId="0" shapeId="0" xr:uid="{F6AA26FD-40BC-463C-A4C5-E33B80B3A3FE}">
      <text>
        <r>
          <rPr>
            <b/>
            <sz val="9"/>
            <color indexed="81"/>
            <rFont val="宋体"/>
            <family val="3"/>
            <charset val="134"/>
          </rPr>
          <t>Frank Chao:</t>
        </r>
        <r>
          <rPr>
            <sz val="9"/>
            <color indexed="81"/>
            <rFont val="宋体"/>
            <family val="3"/>
            <charset val="134"/>
          </rPr>
          <t xml:space="preserve">
口径为汽车产品收入，后续需将新能源汽车的收入单独分离出</t>
        </r>
      </text>
    </comment>
    <comment ref="A8" authorId="1" shapeId="0" xr:uid="{716BE626-1C8E-4AD3-8F46-A539D8439851}">
      <text>
        <t>[线程批注]
你的Excel版本可读取此线程批注; 但如果在更新版本的Excel中打开文件，则对批注所作的任何改动都将被删除。了解详细信息: https://go.microsoft.com/fwlink/?linkid=870924
注释:
    一致性预期中无产量相关的预测数据（21E~23E）</t>
      </text>
    </comment>
    <comment ref="E9" authorId="2" shapeId="0" xr:uid="{2E8A8CE5-FA95-49C2-80E4-7525DE94A3AA}">
      <text>
        <t>[线程批注]
你的Excel版本可读取此线程批注; 但如果在更新版本的Excel中打开文件，则对批注所作的任何改动都将被删除。了解详细信息: https://go.microsoft.com/fwlink/?linkid=870924
注释:
    与一致性预期的数据有差异</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tc={B538B004-1AEA-4A1B-98A0-D3B51D235FFF}</author>
  </authors>
  <commentList>
    <comment ref="A1" authorId="0" shapeId="0" xr:uid="{B538B004-1AEA-4A1B-98A0-D3B51D235FFF}">
      <text>
        <t>[线程批注]
你的Excel版本可读取此线程批注; 但如果在更新版本的Excel中打开文件，则对批注所作的任何改动都将被删除。了解详细信息: https://go.microsoft.com/fwlink/?linkid=870924
注释:
    全球电动汽车销量达292万辆，较去年同期上涨153%</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tc={7C291151-1DC9-4CF0-9D87-83401F80EE6D}</author>
    <author>tc={53575540-809A-4A1F-A61B-DC1E9988EC02}</author>
    <author>tc={F9A1F2D9-3881-413E-A52E-339DBF21C642}</author>
    <author>tc={8A5059EF-CDD6-4B84-985B-A85E81469872}</author>
    <author>tc={500C4252-A35F-4906-B681-F1C04193A9A8}</author>
    <author>tc={5E0D96AE-CED2-4E9D-BD63-9EFC2FD5457F}</author>
    <author>tc={DB7A3370-9023-4129-9D1A-428F569275BD}</author>
    <author>tc={64BD9A45-1597-49B6-A6A5-036862748D84}</author>
    <author>tc={5BE04BB3-8749-485D-A8E1-7E78AAA226AB}</author>
    <author>tc={DF1A1105-823C-44BB-B013-5DE0A309860C}</author>
    <author>tc={406DC923-AAF1-4657-BD28-A74ADDCAACEA}</author>
    <author>tc={1345C9D6-84DE-4454-ADC0-57969F9D5E1D}</author>
    <author>tc={80585BEC-D667-4961-9E97-4B6AD733A2D1}</author>
    <author>tc={BDB15D3C-C049-4276-86A8-223C7F889CE3}</author>
    <author>tc={1B3A9B80-E6A1-4859-AC7C-28B8A9987DE4}</author>
    <author>kacchan</author>
    <author>tc={9EA99481-E0EB-4698-B2C1-F6426A91266D}</author>
    <author>tc={7730037C-6605-4A96-AE8C-7DF9F7C028FA}</author>
    <author>tc={BFDACFBC-833E-4F43-94DF-8969E48A5F25}</author>
    <author>tc={BA25B9D3-7109-4046-B354-B3746413AB54}</author>
    <author>tc={6F9CC756-B0DE-4E27-9560-CE8314C2011B}</author>
    <author>tc={018273CA-D6E6-4A2A-BDC2-0A5876ED3E55}</author>
    <author>tc={DD5C9736-67AB-4B1E-901F-36220CD03FE4}</author>
    <author>tc={41F8F187-5776-4202-8D92-272704B9D666}</author>
    <author>tc={A11AE37B-0A7E-4F59-9D70-9A2562CAEE0B}</author>
  </authors>
  <commentList>
    <comment ref="S12" authorId="0" shapeId="0" xr:uid="{7C291151-1DC9-4CF0-9D87-83401F80EE6D}">
      <text>
        <t>[线程批注]
你的Excel版本可读取此线程批注; 但如果在更新版本的Excel中打开文件，则对批注所作的任何改动都将被删除。了解详细信息: https://go.microsoft.com/fwlink/?linkid=870924
注释:
    9m still in decline
答复:
    less than 20k</t>
      </text>
    </comment>
    <comment ref="J13" authorId="1" shapeId="0" xr:uid="{53575540-809A-4A1F-A61B-DC1E9988EC02}">
      <text>
        <t>[线程批注]
你的Excel版本可读取此线程批注; 但如果在更新版本的Excel中打开文件，则对批注所作的任何改动都将被删除。了解详细信息: https://go.microsoft.com/fwlink/?linkid=870924
注释:
    up to reflect price hike
答复:
    https://www.cargurus.com/Cars/price-trends/Tesla-Model-3-d2475</t>
      </text>
    </comment>
    <comment ref="S20" authorId="2" shapeId="0" xr:uid="{F9A1F2D9-3881-413E-A52E-339DBF21C642}">
      <text>
        <t>[线程批注]
你的Excel版本可读取此线程批注; 但如果在更新版本的Excel中打开文件，则对批注所作的任何改动都将被删除。了解详细信息: https://go.microsoft.com/fwlink/?linkid=870924
注释:
    Since April 2021, Tesla stopped selling Powerwalls for individual purchases. Instead, people interested in a Tesla Powerwall would now be required to install a brand new Tesla solar roof system or solar panel. In essence, there are no more retrofits for existing solar panels, a huge bummer for most folks.
答复:
    9m 6313</t>
      </text>
    </comment>
    <comment ref="X21" authorId="3" shapeId="0" xr:uid="{8A5059EF-CDD6-4B84-985B-A85E81469872}">
      <text>
        <t>[线程批注]
你的Excel版本可读取此线程批注; 但如果在更新版本的Excel中打开文件，则对批注所作的任何改动都将被删除。了解详细信息: https://go.microsoft.com/fwlink/?linkid=870924
注释:
    MA3 instead of 50% due to miss in 2021</t>
      </text>
    </comment>
    <comment ref="I26" authorId="4" shapeId="0" xr:uid="{500C4252-A35F-4906-B681-F1C04193A9A8}">
      <text>
        <t>[线程批注]
你的Excel版本可读取此线程批注; 但如果在更新版本的Excel中打开文件，则对批注所作的任何改动都将被删除。了解详细信息: https://go.microsoft.com/fwlink/?linkid=870924
注释:
    As of May 2021, Tesla lists the cost of one battery pack at $7,500 excluding $1,000 for the Gateway, a device that acts as the engine of the installation; and actual installation charges of about $3,500.</t>
      </text>
    </comment>
    <comment ref="S30" authorId="5" shapeId="0" xr:uid="{5E0D96AE-CED2-4E9D-BD63-9EFC2FD5457F}">
      <text>
        <t>[线程批注]
你的Excel版本可读取此线程批注; 但如果在更新版本的Excel中打开文件，则对批注所作的任何改动都将被删除。了解详细信息: https://go.microsoft.com/fwlink/?linkid=870924
注释:
    1-4月</t>
      </text>
    </comment>
    <comment ref="S37" authorId="6" shapeId="0" xr:uid="{DB7A3370-9023-4129-9D1A-428F569275BD}">
      <text>
        <t>[线程批注]
你的Excel版本可读取此线程批注; 但如果在更新版本的Excel中打开文件，则对批注所作的任何改动都将被删除。了解详细信息: https://go.microsoft.com/fwlink/?linkid=870924
注释:
    无1.5T</t>
      </text>
    </comment>
    <comment ref="S40" authorId="7" shapeId="0" xr:uid="{64BD9A45-1597-49B6-A6A5-036862748D84}">
      <text>
        <t>[线程批注]
你的Excel版本可读取此线程批注; 但如果在更新版本的Excel中打开文件，则对批注所作的任何改动都将被删除。了解详细信息: https://go.microsoft.com/fwlink/?linkid=870924
注释:
    停售</t>
      </text>
    </comment>
    <comment ref="S46" authorId="8" shapeId="0" xr:uid="{5BE04BB3-8749-485D-A8E1-7E78AAA226AB}">
      <text>
        <t>[线程批注]
你的Excel版本可读取此线程批注; 但如果在更新版本的Excel中打开文件，则对批注所作的任何改动都将被删除。了解详细信息: https://go.microsoft.com/fwlink/?linkid=870924
注释:
    数据到2021年8月</t>
      </text>
    </comment>
    <comment ref="S54" authorId="9" shapeId="0" xr:uid="{DF1A1105-823C-44BB-B013-5DE0A309860C}">
      <text>
        <t>[线程批注]
你的Excel版本可读取此线程批注; 但如果在更新版本的Excel中打开文件，则对批注所作的任何改动都将被删除。了解详细信息: https://go.microsoft.com/fwlink/?linkid=870924
注释:
    未发售</t>
      </text>
    </comment>
    <comment ref="S55" authorId="10" shapeId="0" xr:uid="{406DC923-AAF1-4657-BD28-A74ADDCAACEA}">
      <text>
        <t>[线程批注]
你的Excel版本可读取此线程批注; 但如果在更新版本的Excel中打开文件，则对批注所作的任何改动都将被删除。了解详细信息: https://go.microsoft.com/fwlink/?linkid=870924
注释:
    未发售</t>
      </text>
    </comment>
    <comment ref="B70" authorId="11" shapeId="0" xr:uid="{1345C9D6-84DE-4454-ADC0-57969F9D5E1D}">
      <text>
        <t>[线程批注]
你的Excel版本可读取此线程批注; 但如果在更新版本的Excel中打开文件，则对批注所作的任何改动都将被删除。了解详细信息: https://go.microsoft.com/fwlink/?linkid=870924
注释:
    宁德时代动力电池价格*0.8</t>
      </text>
    </comment>
    <comment ref="D71" authorId="12" shapeId="0" xr:uid="{80585BEC-D667-4961-9E97-4B6AD733A2D1}">
      <text>
        <t>[线程批注]
你的Excel版本可读取此线程批注; 但如果在更新版本的Excel中打开文件，则对批注所作的任何改动都将被删除。了解详细信息: https://go.microsoft.com/fwlink/?linkid=870924
注释:
    Source：https://finance.sina.com.cn/roll/2021-08-11/doc-ikqcfncc2144445.shtml</t>
      </text>
    </comment>
    <comment ref="D75" authorId="13" shapeId="0" xr:uid="{BDB15D3C-C049-4276-86A8-223C7F889CE3}">
      <text>
        <t>[线程批注]
你的Excel版本可读取此线程批注; 但如果在更新版本的Excel中打开文件，则对批注所作的任何改动都将被删除。了解详细信息: https://go.microsoft.com/fwlink/?linkid=870924
注释:
    Source：https://finance.sina.com.cn/roll/2021-08-11/doc-ikqcfncc2144445.shtml</t>
      </text>
    </comment>
    <comment ref="J76" authorId="14" shapeId="0" xr:uid="{1B3A9B80-E6A1-4859-AC7C-28B8A9987DE4}">
      <text>
        <t>[线程批注]
你的Excel版本可读取此线程批注; 但如果在更新版本的Excel中打开文件，则对批注所作的任何改动都将被删除。了解详细信息: https://go.microsoft.com/fwlink/?linkid=870924
注释:
    MA3</t>
      </text>
    </comment>
    <comment ref="A77" authorId="15" shapeId="0" xr:uid="{79CA0A73-6C3F-4645-BE3B-B0F1E5AD2DFA}">
      <text>
        <r>
          <rPr>
            <b/>
            <sz val="9"/>
            <color indexed="81"/>
            <rFont val="宋体"/>
            <family val="3"/>
            <charset val="134"/>
          </rPr>
          <t>Frank Chao:
On the 2021 All-China Young Entrepreneurs Summit held in Nanjing, East China's Jiangsu Province on Sunday, Li said the average price of NIO vehicles was 434,700 yuan ($68,258.90), which had exceeded the average price of BMW and Audi, and is several hundred thousand yuan more than Tesla vehicles.30 May 2021</t>
        </r>
        <r>
          <rPr>
            <sz val="9"/>
            <color indexed="81"/>
            <rFont val="宋体"/>
            <family val="3"/>
            <charset val="134"/>
          </rPr>
          <t xml:space="preserve">
</t>
        </r>
      </text>
    </comment>
    <comment ref="H79" authorId="16" shapeId="0" xr:uid="{9EA99481-E0EB-4698-B2C1-F6426A91266D}">
      <text>
        <t>[线程批注]
你的Excel版本可读取此线程批注; 但如果在更新版本的Excel中打开文件，则对批注所作的任何改动都将被删除。了解详细信息: https://go.microsoft.com/fwlink/?linkid=870924
注释:
    Average of $54,000 and $77,000(high-end model)</t>
      </text>
    </comment>
    <comment ref="I79" authorId="17" shapeId="0" xr:uid="{7730037C-6605-4A96-AE8C-7DF9F7C028FA}">
      <text>
        <t>[线程批注]
你的Excel版本可读取此线程批注; 但如果在更新版本的Excel中打开文件，则对批注所作的任何改动都将被删除。了解详细信息: https://go.microsoft.com/fwlink/?linkid=870924
注释:
    Average of $54,000 and $77,000(high-end model)</t>
      </text>
    </comment>
    <comment ref="J79" authorId="18" shapeId="0" xr:uid="{BFDACFBC-833E-4F43-94DF-8969E48A5F25}">
      <text>
        <t>[线程批注]
你的Excel版本可读取此线程批注; 但如果在更新版本的Excel中打开文件，则对批注所作的任何改动都将被删除。了解详细信息: https://go.microsoft.com/fwlink/?linkid=870924
注释:
    Average of $54,000 and $77,000(high-end model)</t>
      </text>
    </comment>
    <comment ref="K79" authorId="19" shapeId="0" xr:uid="{BA25B9D3-7109-4046-B354-B3746413AB54}">
      <text>
        <t>[线程批注]
你的Excel版本可读取此线程批注; 但如果在更新版本的Excel中打开文件，则对批注所作的任何改动都将被删除。了解详细信息: https://go.microsoft.com/fwlink/?linkid=870924
注释:
    Average of $54,000 and $77,000(high-end model)</t>
      </text>
    </comment>
    <comment ref="L79" authorId="20" shapeId="0" xr:uid="{6F9CC756-B0DE-4E27-9560-CE8314C2011B}">
      <text>
        <t>[线程批注]
你的Excel版本可读取此线程批注; 但如果在更新版本的Excel中打开文件，则对批注所作的任何改动都将被删除。了解详细信息: https://go.microsoft.com/fwlink/?linkid=870924
注释:
    Average of $54,000 and $77,000(high-end model)</t>
      </text>
    </comment>
    <comment ref="B80" authorId="21" shapeId="0" xr:uid="{018273CA-D6E6-4A2A-BDC2-0A5876ED3E55}">
      <text>
        <t>[线程批注]
你的Excel版本可读取此线程批注; 但如果在更新版本的Excel中打开文件，则对批注所作的任何改动都将被删除。了解详细信息: https://go.microsoft.com/fwlink/?linkid=870924
注释:
    ET7将于2022年3月28日开启交付</t>
      </text>
    </comment>
    <comment ref="I80" authorId="22" shapeId="0" xr:uid="{DD5C9736-67AB-4B1E-901F-36220CD03FE4}">
      <text>
        <t>[线程批注]
你的Excel版本可读取此线程批注; 但如果在更新版本的Excel中打开文件，则对批注所作的任何改动都将被删除。了解详细信息: https://go.microsoft.com/fwlink/?linkid=870924
注释:
    The NIO ET7 was unveiled in China on 9 January 2021 at the 'NIO Day' event in Chengdu, retaining many design cues of the 2019 NIO ET Preview concept car. It will be launched in early 2022 with a starting price of ¥448.000 (~$69,200 USD). It acts as a direct competitor to Tesla's Model S sedan in China.
答复:
    It acts as a direct competitor to Tesla's Model S sedan in China.</t>
      </text>
    </comment>
    <comment ref="B81" authorId="23" shapeId="0" xr:uid="{41F8F187-5776-4202-8D92-272704B9D666}">
      <text>
        <t>[线程批注]
你的Excel版本可读取此线程批注; 但如果在更新版本的Excel中打开文件，则对批注所作的任何改动都将被删除。了解详细信息: https://go.microsoft.com/fwlink/?linkid=870924
注释:
    ET5则会在2022年9月开启交付</t>
      </text>
    </comment>
    <comment ref="I87" authorId="24" shapeId="0" xr:uid="{A11AE37B-0A7E-4F59-9D70-9A2562CAEE0B}">
      <text>
        <t>[线程批注]
你的Excel版本可读取此线程批注; 但如果在更新版本的Excel中打开文件，则对批注所作的任何改动都将被删除。了解详细信息: https://go.microsoft.com/fwlink/?linkid=870924
注释:
    9m</t>
      </text>
    </comment>
  </commentList>
</comments>
</file>

<file path=xl/sharedStrings.xml><?xml version="1.0" encoding="utf-8"?>
<sst xmlns="http://schemas.openxmlformats.org/spreadsheetml/2006/main" count="40981" uniqueCount="2797">
  <si>
    <t>Company</t>
  </si>
  <si>
    <t>Factories</t>
  </si>
  <si>
    <t>Planning Capacity</t>
  </si>
  <si>
    <t>Operational capacity</t>
  </si>
  <si>
    <t>Building capacity</t>
  </si>
  <si>
    <t>Utilization rate</t>
  </si>
  <si>
    <t>Fixed Asset Turnover Rate</t>
  </si>
  <si>
    <t>Production</t>
  </si>
  <si>
    <t>Demand</t>
  </si>
  <si>
    <t>Deliveries</t>
  </si>
  <si>
    <t>Product</t>
  </si>
  <si>
    <t>2023E</t>
  </si>
  <si>
    <t>2024E</t>
  </si>
  <si>
    <t>2025E</t>
  </si>
  <si>
    <t>2022E</t>
  </si>
  <si>
    <t>Tesla</t>
  </si>
  <si>
    <t>Fremont</t>
  </si>
  <si>
    <t>Model S, Model 3,  Model X</t>
  </si>
  <si>
    <t>Shanghai, 3</t>
  </si>
  <si>
    <t>Model 3, Model Y</t>
  </si>
  <si>
    <t>Berlin, 4</t>
  </si>
  <si>
    <t>Model Y</t>
  </si>
  <si>
    <t>Austin, Texas, 5</t>
  </si>
  <si>
    <t>the main factory for the Tesla Cybertruck and the Tesla Semi</t>
  </si>
  <si>
    <t>Total</t>
  </si>
  <si>
    <t>BYD</t>
  </si>
  <si>
    <t xml:space="preserve">BYD </t>
  </si>
  <si>
    <t>Xi'an first period</t>
  </si>
  <si>
    <t>EV, PV(Qing, Song)</t>
  </si>
  <si>
    <t>Xi'an second period</t>
  </si>
  <si>
    <t>EV(DM-I)</t>
  </si>
  <si>
    <t>Xi'an third period</t>
  </si>
  <si>
    <t>Xi'an fourth period</t>
  </si>
  <si>
    <t>Changzhou first period</t>
  </si>
  <si>
    <t>Yuan Plus, Seal</t>
  </si>
  <si>
    <t>Changzhou second period</t>
  </si>
  <si>
    <t>EM2、SC2E、EK、UX</t>
  </si>
  <si>
    <t>Shenzhen Pingshan</t>
  </si>
  <si>
    <t>EV, PV(Tang, Han)</t>
  </si>
  <si>
    <t>Changsha first period</t>
  </si>
  <si>
    <t>EV(e series、Qingplus、DM-I), Dolphin</t>
  </si>
  <si>
    <t>比亚迪最近却因“空气污染事件”，5月长沙一期工厂部分产线停产整顿</t>
  </si>
  <si>
    <t>Changsha second period</t>
  </si>
  <si>
    <t>Xingsha</t>
  </si>
  <si>
    <t>Tang</t>
  </si>
  <si>
    <t>Hefei Changfeng first period</t>
  </si>
  <si>
    <t>EV, PV(top-of-the-range models)</t>
  </si>
  <si>
    <t>Hefei Changfeng second period</t>
  </si>
  <si>
    <t>Zhengzhou first period</t>
  </si>
  <si>
    <t>EV</t>
  </si>
  <si>
    <t>Zhengzhou second period</t>
  </si>
  <si>
    <t>Jinan</t>
  </si>
  <si>
    <t>Fuzhou</t>
  </si>
  <si>
    <t>Dolphin</t>
  </si>
  <si>
    <t>Shenshan</t>
  </si>
  <si>
    <t>source：https://xueqiu.com/5436386345/208436030</t>
  </si>
  <si>
    <t>xiangyang (undetermined)</t>
  </si>
  <si>
    <t>NIO</t>
  </si>
  <si>
    <t>JAC Hefei</t>
  </si>
  <si>
    <t>ES8, ES6, EC6, ET7 etc.</t>
  </si>
  <si>
    <t>NIOPark Hefei</t>
  </si>
  <si>
    <t>ET5 Sedan etc.</t>
  </si>
  <si>
    <t>Guangqi AION</t>
  </si>
  <si>
    <t>Li</t>
  </si>
  <si>
    <t xml:space="preserve">Changzhou </t>
  </si>
  <si>
    <t>One</t>
  </si>
  <si>
    <t>Beijing</t>
  </si>
  <si>
    <t>Chongqing</t>
  </si>
  <si>
    <t>Notes</t>
  </si>
  <si>
    <t>updated Giga Shanghai capacity and estimates</t>
  </si>
  <si>
    <t>Batteries（GWh）</t>
  </si>
  <si>
    <t>Guangdong Huizhou</t>
  </si>
  <si>
    <t>磷酸铁锂</t>
  </si>
  <si>
    <t>Shenzhen kengzi 1st</t>
  </si>
  <si>
    <t>Shenzhen kengzi 2st</t>
  </si>
  <si>
    <t>三元里</t>
  </si>
  <si>
    <t>Qinghai Xining 1st</t>
  </si>
  <si>
    <t>三元/磷酸</t>
  </si>
  <si>
    <t>Qinghai Xining 2st</t>
  </si>
  <si>
    <t>磷酸铁锂/刀片</t>
  </si>
  <si>
    <t>Chongqing Bishan  1st</t>
  </si>
  <si>
    <t>整车厂工厂概况:上海蔚来汽车有限公司 Shanghai NIO Automobile Co., Ltd.[中国] - MarkLines全球汽车产业平台</t>
  </si>
  <si>
    <t>source:Marklines</t>
  </si>
  <si>
    <t>Chongqing Bishan  2st</t>
  </si>
  <si>
    <t>刀片</t>
  </si>
  <si>
    <t>Chongqing Bishan  3st</t>
  </si>
  <si>
    <t>ShanXi Xian 1st</t>
  </si>
  <si>
    <t>2022年初受疫情影响曾停产</t>
  </si>
  <si>
    <t>ShanXi Xian 2st</t>
  </si>
  <si>
    <t>ShanXi Xian 3st</t>
  </si>
  <si>
    <t>Changsha Ningxiang 1st</t>
  </si>
  <si>
    <t>Changsha Ningxiang 2st</t>
  </si>
  <si>
    <t>刀片/磷酸</t>
  </si>
  <si>
    <t>Guiyang 1st</t>
  </si>
  <si>
    <t>Guiyang 2st</t>
  </si>
  <si>
    <t>Anhui Bengbu 1st</t>
  </si>
  <si>
    <t>Anhui Bengbu 2st</t>
  </si>
  <si>
    <t>Anhui Wuwei 1st</t>
  </si>
  <si>
    <t>Anhui Wuwei 2st</t>
  </si>
  <si>
    <t>Anhui Wuwei 3st</t>
  </si>
  <si>
    <t>Jiangsu Yancheng 1st</t>
  </si>
  <si>
    <t>Jiangsu Yancheng 2st</t>
  </si>
  <si>
    <t>Hubei Wuhan</t>
  </si>
  <si>
    <t>Zhejiang Shaoxing 1st</t>
  </si>
  <si>
    <t>Zhejiang Shaoxing 2st</t>
  </si>
  <si>
    <t>Shandong Jinan 1st</t>
  </si>
  <si>
    <t>Shandong Jinan 2st</t>
  </si>
  <si>
    <t>Zhejiang Ningbo</t>
  </si>
  <si>
    <t>Anhui Chuzhou 1st</t>
  </si>
  <si>
    <t>Anhui Chuzhou 2st</t>
  </si>
  <si>
    <t>Jiangxi Fuzhou</t>
  </si>
  <si>
    <t>Hubei Xiangyang（undetermined）</t>
  </si>
  <si>
    <t>Changchun（undetermined）</t>
  </si>
  <si>
    <t>Jiangxi Nanchang</t>
  </si>
  <si>
    <t>Chongqing Liangjiang</t>
  </si>
  <si>
    <t>Oversea</t>
  </si>
  <si>
    <t>source:https://xueqiu.com/5436386345/207940737</t>
  </si>
  <si>
    <t>EV sold</t>
  </si>
  <si>
    <t>kWh per unit</t>
  </si>
  <si>
    <t>from P&amp;Q</t>
  </si>
  <si>
    <t>Total（GWh）</t>
  </si>
  <si>
    <t>Production-Demand</t>
  </si>
  <si>
    <t>Original</t>
  </si>
  <si>
    <t>BYD installed</t>
  </si>
  <si>
    <t xml:space="preserve">China Installed
</t>
  </si>
  <si>
    <t>%</t>
  </si>
  <si>
    <t>China Production</t>
  </si>
  <si>
    <t>source：中国汽车动力电池产业创新联盟</t>
  </si>
  <si>
    <t>Price (after tax)</t>
  </si>
  <si>
    <t>Price (before tax)</t>
  </si>
  <si>
    <t>Subsidy per unit</t>
  </si>
  <si>
    <t>Volume (Unit)</t>
  </si>
  <si>
    <t>Sales (thousand)</t>
  </si>
  <si>
    <t>Battery size (kWh)</t>
  </si>
  <si>
    <t>Total battery installed (Gwh)</t>
  </si>
  <si>
    <t>CN</t>
  </si>
  <si>
    <t>US</t>
  </si>
  <si>
    <t>EU</t>
    <phoneticPr fontId="4" type="noConversion"/>
  </si>
  <si>
    <t>VAT</t>
  </si>
  <si>
    <t>VAT</t>
    <phoneticPr fontId="4" type="noConversion"/>
  </si>
  <si>
    <t>EU</t>
  </si>
  <si>
    <t>Rest of the World</t>
  </si>
  <si>
    <t>World</t>
  </si>
  <si>
    <t>Ratio in CN</t>
    <phoneticPr fontId="4" type="noConversion"/>
  </si>
  <si>
    <t>Germany</t>
    <phoneticPr fontId="4" type="noConversion"/>
  </si>
  <si>
    <t>Auto Sales</t>
  </si>
  <si>
    <t>Model S (including lease)</t>
  </si>
  <si>
    <t>Model S (net of lease)</t>
  </si>
  <si>
    <t>Model 3</t>
  </si>
  <si>
    <t xml:space="preserve">  Model 3 Standard</t>
  </si>
  <si>
    <t xml:space="preserve">  Model 3 Long Range/P</t>
  </si>
  <si>
    <t>Model X (including lease)</t>
  </si>
  <si>
    <t>Model X (net of lease)</t>
  </si>
  <si>
    <t xml:space="preserve">  Model Y Standard Range</t>
  </si>
  <si>
    <t xml:space="preserve">  Model Y Long Range</t>
    <phoneticPr fontId="4" type="noConversion"/>
  </si>
  <si>
    <t>Total auto sales</t>
  </si>
  <si>
    <t>Leasing</t>
  </si>
  <si>
    <t>book value fleet under lease/est. unit value; forecasting based on est. lease ratio</t>
  </si>
  <si>
    <t xml:space="preserve">  Est. book value per unit ($000)</t>
  </si>
  <si>
    <t xml:space="preserve">  as in auto sales units</t>
  </si>
  <si>
    <t>Regulatory Credits</t>
    <phoneticPr fontId="4" type="noConversion"/>
  </si>
  <si>
    <t xml:space="preserve">  Est. credit value per unit ($000)</t>
  </si>
  <si>
    <t>MA</t>
  </si>
  <si>
    <t xml:space="preserve">  as in auto business</t>
  </si>
  <si>
    <t>Others (balance item)</t>
  </si>
  <si>
    <t>Total auto business</t>
  </si>
  <si>
    <t>BYD (EV)</t>
  </si>
  <si>
    <t>宋Plus DM-i</t>
  </si>
  <si>
    <t>宋Plus EV</t>
  </si>
  <si>
    <t>宋Pro DM-i</t>
  </si>
  <si>
    <t>元Pro</t>
  </si>
  <si>
    <t>元Plus</t>
  </si>
  <si>
    <t>海豚</t>
  </si>
  <si>
    <t>唐DM-i</t>
  </si>
  <si>
    <t>唐EV</t>
  </si>
  <si>
    <t>秦Plus EV</t>
  </si>
  <si>
    <t>秦EV</t>
  </si>
  <si>
    <t>秦Plus DM-i</t>
  </si>
  <si>
    <t>e2</t>
  </si>
  <si>
    <t>护卫舰07</t>
  </si>
  <si>
    <t>驱逐舰</t>
  </si>
  <si>
    <t>汉DM-i</t>
  </si>
  <si>
    <t>汉EV</t>
  </si>
  <si>
    <t>海豹</t>
  </si>
  <si>
    <t>腾势D9</t>
    <phoneticPr fontId="4" type="noConversion"/>
  </si>
  <si>
    <t>海鸥</t>
  </si>
  <si>
    <t>Other Models</t>
  </si>
  <si>
    <t>International (Yuan plus)</t>
  </si>
  <si>
    <t>Balance item</t>
  </si>
  <si>
    <t>CNY</t>
  </si>
  <si>
    <t>including international</t>
    <phoneticPr fontId="4" type="noConversion"/>
  </si>
  <si>
    <t>Rechargeable Batteries (GWh)</t>
  </si>
  <si>
    <t>ES8</t>
  </si>
  <si>
    <t>ES7</t>
  </si>
  <si>
    <t>ES6</t>
  </si>
  <si>
    <t>EC6</t>
  </si>
  <si>
    <t>EC7</t>
  </si>
  <si>
    <t>ET7</t>
  </si>
  <si>
    <t>ET5</t>
  </si>
  <si>
    <t>ES8(%)</t>
  </si>
  <si>
    <t>ES6(%)</t>
  </si>
  <si>
    <t>EC6(%)</t>
  </si>
  <si>
    <t>ET7(%)</t>
  </si>
  <si>
    <t>ET5(%)</t>
  </si>
  <si>
    <t>Implied ASP</t>
  </si>
  <si>
    <t>International (ES8)</t>
  </si>
  <si>
    <t>exclusive of EU</t>
  </si>
  <si>
    <t>ONE/L8/L7</t>
    <phoneticPr fontId="4" type="noConversion"/>
  </si>
  <si>
    <t xml:space="preserve">  ONE</t>
  </si>
  <si>
    <t xml:space="preserve">  L8</t>
  </si>
  <si>
    <t xml:space="preserve">  L7</t>
  </si>
  <si>
    <t xml:space="preserve">  L9</t>
  </si>
  <si>
    <t>ONE/L8</t>
    <phoneticPr fontId="4" type="noConversion"/>
  </si>
  <si>
    <t>XPeng</t>
  </si>
  <si>
    <t>G3</t>
  </si>
  <si>
    <t>P7</t>
  </si>
  <si>
    <t>P5</t>
  </si>
  <si>
    <t>G9</t>
  </si>
  <si>
    <t>In reporting currency thousand, except indicated otherwise</t>
  </si>
  <si>
    <t>2023E</t>
    <phoneticPr fontId="4" type="noConversion"/>
  </si>
  <si>
    <t>Tesla</t>
    <phoneticPr fontId="4" type="noConversion"/>
  </si>
  <si>
    <t>Automotive Sales</t>
  </si>
  <si>
    <t>PPE net</t>
  </si>
  <si>
    <t>from FinSta and Model 21A</t>
  </si>
  <si>
    <t>Accumulated depreciation</t>
  </si>
  <si>
    <t>PPE, original value</t>
  </si>
  <si>
    <t>PPE net+accu. dep</t>
  </si>
  <si>
    <t>Annual Depreciation</t>
  </si>
  <si>
    <t>Annual Depreciation rate</t>
  </si>
  <si>
    <t>MA3</t>
  </si>
  <si>
    <t>By Components</t>
  </si>
  <si>
    <t>COGS (As Reported)</t>
  </si>
  <si>
    <t>COGS (estimated)</t>
  </si>
  <si>
    <t>FC+VC</t>
  </si>
  <si>
    <t xml:space="preserve">  Fixed cost (D&amp;A on PPE)</t>
  </si>
  <si>
    <t>equals Annual dep</t>
  </si>
  <si>
    <t xml:space="preserve">  Variable cost</t>
  </si>
  <si>
    <t>Materials+Salary</t>
  </si>
  <si>
    <t xml:space="preserve">     Materials-EV</t>
  </si>
  <si>
    <t>Batteries+Other Parts</t>
  </si>
  <si>
    <t xml:space="preserve">       Batteries Cost</t>
  </si>
  <si>
    <t>Cost per kWh*GWh</t>
  </si>
  <si>
    <t xml:space="preserve">          Batteries Installed (GWh)</t>
  </si>
  <si>
    <t>from Price&amp;Q</t>
  </si>
  <si>
    <t xml:space="preserve">          kWh per unit</t>
  </si>
  <si>
    <t xml:space="preserve">          Price per kWh-CATL ($)</t>
  </si>
  <si>
    <t xml:space="preserve">          Price per kWh-LG ($)</t>
  </si>
  <si>
    <t xml:space="preserve">          Price per kWh-Panasonic ($)</t>
  </si>
  <si>
    <t xml:space="preserve">          Cost per kWh ($)</t>
  </si>
  <si>
    <t>average above</t>
  </si>
  <si>
    <t xml:space="preserve">       Autonomous Driving Hardware Cost</t>
  </si>
  <si>
    <t xml:space="preserve">          Chip-Cost per unit ($)</t>
  </si>
  <si>
    <t>HW 3.0&amp;HW4.0</t>
  </si>
  <si>
    <t xml:space="preserve">       The Other Parts Cost</t>
  </si>
  <si>
    <t>unit cost*vol</t>
  </si>
  <si>
    <t xml:space="preserve">          Cost per unit ($)</t>
  </si>
  <si>
    <t xml:space="preserve">      Salary (Production Lines)</t>
  </si>
  <si>
    <t xml:space="preserve">        # of employees at Califonia (Giga 1)</t>
  </si>
  <si>
    <t xml:space="preserve">        # of employees at Fremont</t>
  </si>
  <si>
    <t xml:space="preserve">        # of employees at Shanghai</t>
  </si>
  <si>
    <t xml:space="preserve">        # of employees at Berlin</t>
  </si>
  <si>
    <t>simultaneously ramp up production at Gigafactory Texas and Gigafactory Berlin, both massive factories by any standard.
Tesla plans to have over 10,000 workers at each plant.</t>
  </si>
  <si>
    <t xml:space="preserve">        # of employees at Texas</t>
  </si>
  <si>
    <t>n December 2021, Elon Musk estimated that Giga Texas will require a total investment of at least $10B and may employ as much as 20,000 employees within the company.[32] Observers have spotted production cars in and outside of the factory.[33]</t>
  </si>
  <si>
    <t xml:space="preserve">        # of employees in total</t>
  </si>
  <si>
    <t xml:space="preserve">        # of employees in total (firm level)</t>
  </si>
  <si>
    <t xml:space="preserve">        Salary per head ($000)</t>
  </si>
  <si>
    <t xml:space="preserve">          Califonia (Giga 1)</t>
  </si>
  <si>
    <t xml:space="preserve">          Fremont</t>
  </si>
  <si>
    <t xml:space="preserve">          Shanghai</t>
  </si>
  <si>
    <t xml:space="preserve">          Berlin</t>
  </si>
  <si>
    <t xml:space="preserve">          Texas</t>
  </si>
  <si>
    <t>Tesla stated that the starting salary for its employees at the Gigafactory 5 in Austin would be $35,000 per annum. The average salary for all the employees will be $47,000 per year.</t>
  </si>
  <si>
    <t>Unit Sold</t>
  </si>
  <si>
    <t>from Capacity-Deliveries</t>
  </si>
  <si>
    <t>Unit cost</t>
  </si>
  <si>
    <t xml:space="preserve">  Battery</t>
  </si>
  <si>
    <t xml:space="preserve">  Battery%</t>
  </si>
  <si>
    <t>Unit price</t>
  </si>
  <si>
    <t>GP per unit</t>
  </si>
  <si>
    <t>GM%</t>
  </si>
  <si>
    <t>Automotive Leasing</t>
  </si>
  <si>
    <t>Operating Lease Vehicles Book Value</t>
  </si>
  <si>
    <t>Automotive Leasing COGS</t>
  </si>
  <si>
    <t>Dep. rate</t>
  </si>
  <si>
    <t>MA2</t>
  </si>
  <si>
    <t>By Factory</t>
  </si>
  <si>
    <t>COGS</t>
  </si>
  <si>
    <t>future values based on est. unit cost of respective factories</t>
  </si>
  <si>
    <t>COGS minus FC</t>
  </si>
  <si>
    <t xml:space="preserve">  Fremont</t>
  </si>
  <si>
    <t xml:space="preserve">  Shanghai</t>
  </si>
  <si>
    <t xml:space="preserve">  Berlin</t>
  </si>
  <si>
    <t xml:space="preserve">  Texas</t>
  </si>
  <si>
    <t xml:space="preserve">  Unit FC</t>
  </si>
  <si>
    <t xml:space="preserve">  Unit VC</t>
  </si>
  <si>
    <t>Unit cost reduction by factory</t>
  </si>
  <si>
    <t>A Model Y's 4680 pack, for instance, is US$3,600 cheaper to manufacture than one with 2170 cells, but even then Tesla is only halfway through with the cost reduction potential of the new technology. It has yet to master and scale the dry-coating cathode method which would bring the pack's cost down US$5,500 compared to the 2170 battery.</t>
  </si>
  <si>
    <t>Unit cost by factory</t>
  </si>
  <si>
    <t>PPE&amp;Intangibles net</t>
  </si>
  <si>
    <t>PPE&amp;Intangibles, original value</t>
  </si>
  <si>
    <t>book value added back</t>
  </si>
  <si>
    <t>changes of Accu. Dep</t>
  </si>
  <si>
    <t>from Capacity Details-Demand</t>
  </si>
  <si>
    <t xml:space="preserve">          Price per kWh-CATL (RMB)</t>
  </si>
  <si>
    <t xml:space="preserve">          Cost per kWh (RMB)</t>
  </si>
  <si>
    <t xml:space="preserve">          Cost per unit (000 RMB)</t>
  </si>
  <si>
    <t xml:space="preserve">     Materials-ICE</t>
  </si>
  <si>
    <t xml:space="preserve">          Price per unit-Geely (000 RMB)</t>
  </si>
  <si>
    <t xml:space="preserve">          Price per unit-Greatwall (000 RMB)</t>
  </si>
  <si>
    <t xml:space="preserve">         Cost per Unit</t>
  </si>
  <si>
    <t xml:space="preserve">      Salary </t>
  </si>
  <si>
    <t xml:space="preserve">        # of employees at production lines (Total)</t>
  </si>
  <si>
    <t xml:space="preserve">        # of employees at grass root (BYD Electronic)</t>
  </si>
  <si>
    <t xml:space="preserve">        # of employees at production lines (BYD Auto)</t>
  </si>
  <si>
    <t>Group-BYD Eletronics</t>
  </si>
  <si>
    <t xml:space="preserve">        Salary per head</t>
  </si>
  <si>
    <t xml:space="preserve">  EV</t>
  </si>
  <si>
    <t xml:space="preserve">  ICE</t>
  </si>
  <si>
    <t>Vehicle  Sales</t>
  </si>
  <si>
    <t xml:space="preserve">  Fixed cost %</t>
  </si>
  <si>
    <t xml:space="preserve">     Batteries Cost</t>
  </si>
  <si>
    <t xml:space="preserve">     Batteries cost %</t>
  </si>
  <si>
    <t xml:space="preserve">          Price per kWh-refer to CATL (RMB)</t>
  </si>
  <si>
    <t xml:space="preserve">     Cost of Sales from JAC</t>
  </si>
  <si>
    <t xml:space="preserve">          Unit bought from JAC (000)</t>
  </si>
  <si>
    <t xml:space="preserve">          Per unit cost from JAC</t>
  </si>
  <si>
    <t xml:space="preserve">     The Other Parts Cost</t>
  </si>
  <si>
    <t xml:space="preserve">             Millimeter-wave radar (Per unit, RMB)</t>
  </si>
  <si>
    <t xml:space="preserve">                  Radars Installed</t>
  </si>
  <si>
    <t xml:space="preserve">                 Price per radar（RMB）- Average 4D millimeter wave radar</t>
  </si>
  <si>
    <t xml:space="preserve">             Ultrasonic radar (Per unit, RMB)</t>
  </si>
  <si>
    <t>https://www.baolong.biz/news/info/129</t>
  </si>
  <si>
    <t xml:space="preserve">               Radars Installed</t>
    <phoneticPr fontId="4" type="noConversion"/>
  </si>
  <si>
    <t xml:space="preserve">               Price per radar（RMB）-博世 /23年10月与保隆科技签订协议设计雷达方面合作</t>
  </si>
  <si>
    <t xml:space="preserve">             Laser radar (Per unit, RMB)</t>
  </si>
  <si>
    <t>https://zhuanlan.zhihu.com/p/453432302#:~:text=Innovusi,度正式量产交付%E3%80%82</t>
  </si>
  <si>
    <t xml:space="preserve">               Price per radar（RMB）- Innovation图达通（2023.8拟在纳斯达克上市）</t>
  </si>
  <si>
    <t>https://cn.technode.com/post/2022-06-19/nio-es7-innovusion-aquila/</t>
  </si>
  <si>
    <t xml:space="preserve">               Price per radar（RMB）- 禾赛科技</t>
  </si>
  <si>
    <t xml:space="preserve">             Chip Cost (per unit, RMB)</t>
  </si>
  <si>
    <t xml:space="preserve">               Chips Installded</t>
  </si>
  <si>
    <t xml:space="preserve">               Price per chip (RMB)-英伟达 Drive Orin-X（2019年推出）</t>
  </si>
  <si>
    <t xml:space="preserve">             The rest of the other parts cost (Per unit, RMB)</t>
  </si>
  <si>
    <t>Unit sold</t>
  </si>
  <si>
    <t xml:space="preserve">  Cost of Sales from JAC</t>
  </si>
  <si>
    <t xml:space="preserve">  Chip</t>
  </si>
  <si>
    <t xml:space="preserve">  Radar</t>
  </si>
  <si>
    <t xml:space="preserve">  The rest of the other part</t>
  </si>
  <si>
    <t>Research and development expense</t>
    <phoneticPr fontId="4" type="noConversion"/>
  </si>
  <si>
    <t xml:space="preserve">    ONE</t>
    <phoneticPr fontId="4" type="noConversion"/>
  </si>
  <si>
    <t xml:space="preserve">      Materials-EV</t>
    <phoneticPr fontId="4" type="noConversion"/>
  </si>
  <si>
    <t xml:space="preserve">        Batteries Cost (Total)</t>
    <phoneticPr fontId="4" type="noConversion"/>
  </si>
  <si>
    <t xml:space="preserve">        Batteries Cost (per unit)</t>
    <phoneticPr fontId="4" type="noConversion"/>
  </si>
  <si>
    <t xml:space="preserve">          Batteries Installed (GWh)</t>
    <phoneticPr fontId="4" type="noConversion"/>
  </si>
  <si>
    <t xml:space="preserve">        The Other Parts Cost</t>
    <phoneticPr fontId="4" type="noConversion"/>
  </si>
  <si>
    <t xml:space="preserve">          Range Extender Cost (per unit)</t>
    <phoneticPr fontId="4" type="noConversion"/>
  </si>
  <si>
    <t>汽车之家|等车无聊，扒一扒理想one零部件供应商|理想ONE|论坛 (autohome.com.cn)</t>
  </si>
  <si>
    <t xml:space="preserve">             Price per range extender (RMB)-东安动力</t>
    <phoneticPr fontId="4" type="noConversion"/>
  </si>
  <si>
    <t>迫切要入手？先来看2021款理想ONE究竟升级了啥 - 知乎 (zhihu.com)</t>
  </si>
  <si>
    <t xml:space="preserve">          Drive Motor Cost (per unit)</t>
    <phoneticPr fontId="4" type="noConversion"/>
  </si>
  <si>
    <t xml:space="preserve">             drive motors installed</t>
    <phoneticPr fontId="4" type="noConversion"/>
  </si>
  <si>
    <t xml:space="preserve">             Price per motor (RMB)-BorgWarner</t>
    <phoneticPr fontId="4" type="noConversion"/>
  </si>
  <si>
    <t xml:space="preserve">             Price per motor (RMB)-average</t>
    <phoneticPr fontId="4" type="noConversion"/>
  </si>
  <si>
    <t>新能源汽车驱动电机行业研究：市场空间、发展趋势和产业链拆解__财经头条 (sina.com.cn)</t>
    <phoneticPr fontId="4" type="noConversion"/>
  </si>
  <si>
    <t xml:space="preserve">          Autonomous-Vehicle Hardware Cost (per unit)</t>
    <phoneticPr fontId="4" type="noConversion"/>
  </si>
  <si>
    <r>
      <t xml:space="preserve">           ADAS Chip Cost</t>
    </r>
    <r>
      <rPr>
        <b/>
        <sz val="11"/>
        <color theme="1"/>
        <rFont val="Times New Roman"/>
        <family val="1"/>
      </rPr>
      <t xml:space="preserve"> (per unit)</t>
    </r>
  </si>
  <si>
    <t xml:space="preserve">             ADAS Chips Installded</t>
    <phoneticPr fontId="4" type="noConversion"/>
  </si>
  <si>
    <t xml:space="preserve">             Price per chip (RMB)-地平线征程3</t>
    <phoneticPr fontId="4" type="noConversion"/>
  </si>
  <si>
    <r>
      <t xml:space="preserve">           Camera Cost </t>
    </r>
    <r>
      <rPr>
        <b/>
        <sz val="11"/>
        <color theme="1"/>
        <rFont val="Times New Roman"/>
        <family val="1"/>
      </rPr>
      <t>(per unit)</t>
    </r>
  </si>
  <si>
    <t xml:space="preserve">             Cameras Installed-舜宇智领</t>
    <phoneticPr fontId="4" type="noConversion"/>
  </si>
  <si>
    <t xml:space="preserve">             Cameras Installed-欧菲光</t>
    <phoneticPr fontId="4" type="noConversion"/>
  </si>
  <si>
    <t xml:space="preserve">             Price per camera (RMB)-舜宇智领</t>
    <phoneticPr fontId="4" type="noConversion"/>
  </si>
  <si>
    <t xml:space="preserve">             Price per camera (RMB)-欧菲光</t>
    <phoneticPr fontId="4" type="noConversion"/>
  </si>
  <si>
    <r>
      <t xml:space="preserve">           Radar Cost </t>
    </r>
    <r>
      <rPr>
        <b/>
        <sz val="11"/>
        <color theme="1"/>
        <rFont val="Times New Roman"/>
        <family val="1"/>
      </rPr>
      <t>(per unit)</t>
    </r>
  </si>
  <si>
    <t xml:space="preserve">             Millimeter-wave radar</t>
  </si>
  <si>
    <t xml:space="preserve">               Price per radar（RMB）-博世5代</t>
    <phoneticPr fontId="4" type="noConversion"/>
  </si>
  <si>
    <t>2022年超声波雷达行业研究报告 - 知乎 (zhihu.com)</t>
  </si>
  <si>
    <t xml:space="preserve">             Ultrasonic radar</t>
    <phoneticPr fontId="4" type="noConversion"/>
  </si>
  <si>
    <t xml:space="preserve">               Price per radar（RMB）-博世 5代</t>
    <phoneticPr fontId="4" type="noConversion"/>
  </si>
  <si>
    <t xml:space="preserve">           Rest of the other parts cost (total)</t>
    <phoneticPr fontId="4" type="noConversion"/>
  </si>
  <si>
    <t xml:space="preserve">           Rest of the other parts cost (per unit)</t>
    <phoneticPr fontId="4" type="noConversion"/>
  </si>
  <si>
    <t xml:space="preserve">          Owner Repurchase Benefits (RMB)</t>
    <phoneticPr fontId="4" type="noConversion"/>
  </si>
  <si>
    <t xml:space="preserve">            Probability of ONE 2020 owners repurchasing ONE</t>
    <phoneticPr fontId="4" type="noConversion"/>
  </si>
  <si>
    <t xml:space="preserve">            Discount for repurchase of ONE by ONE 2020 owners </t>
    <phoneticPr fontId="4" type="noConversion"/>
  </si>
  <si>
    <t xml:space="preserve">          Warranty Policy (RMB)</t>
    <phoneticPr fontId="4" type="noConversion"/>
  </si>
  <si>
    <t xml:space="preserve">            Battery</t>
    <phoneticPr fontId="4" type="noConversion"/>
  </si>
  <si>
    <t xml:space="preserve">            Drive Motor</t>
    <phoneticPr fontId="4" type="noConversion"/>
  </si>
  <si>
    <t xml:space="preserve">            Assumed warranty rate</t>
    <phoneticPr fontId="4" type="noConversion"/>
  </si>
  <si>
    <t xml:space="preserve">    Cost per unit-ONE</t>
    <phoneticPr fontId="4" type="noConversion"/>
  </si>
  <si>
    <t xml:space="preserve">    L7</t>
    <phoneticPr fontId="4" type="noConversion"/>
  </si>
  <si>
    <t xml:space="preserve">      Weights given by models according to "车fans"</t>
    <phoneticPr fontId="4" type="noConversion"/>
  </si>
  <si>
    <t xml:space="preserve">         L7 Air</t>
    <phoneticPr fontId="4" type="noConversion"/>
  </si>
  <si>
    <t xml:space="preserve">         L7 Pro</t>
    <phoneticPr fontId="4" type="noConversion"/>
  </si>
  <si>
    <t xml:space="preserve">         L7 Max</t>
    <phoneticPr fontId="4" type="noConversion"/>
  </si>
  <si>
    <t>Cost per kWh*GWh installed</t>
  </si>
  <si>
    <t xml:space="preserve">          Range Extender Cost (Total)</t>
    <phoneticPr fontId="4" type="noConversion"/>
  </si>
  <si>
    <t xml:space="preserve">             Price per range extender (RMB)-POWER XINCHEN</t>
    <phoneticPr fontId="4" type="noConversion"/>
  </si>
  <si>
    <t>from POWER XINCHEN's AR</t>
    <phoneticPr fontId="4" type="noConversion"/>
  </si>
  <si>
    <t xml:space="preserve">          Drive Motor Cost (Total)</t>
    <phoneticPr fontId="4" type="noConversion"/>
  </si>
  <si>
    <t xml:space="preserve">             Price per motor (RMB)</t>
    <phoneticPr fontId="4" type="noConversion"/>
  </si>
  <si>
    <t xml:space="preserve">          Autonomous-Vehicle Hardware Cost (Total)</t>
    <phoneticPr fontId="4" type="noConversion"/>
  </si>
  <si>
    <r>
      <t xml:space="preserve">           ADAS Chip Cost</t>
    </r>
    <r>
      <rPr>
        <b/>
        <sz val="11"/>
        <color theme="1"/>
        <rFont val="Times New Roman"/>
        <family val="1"/>
      </rPr>
      <t xml:space="preserve"> (Total)</t>
    </r>
  </si>
  <si>
    <t xml:space="preserve">             Price per chip (RMB)-地平线征程5</t>
    <phoneticPr fontId="4" type="noConversion"/>
  </si>
  <si>
    <t>自主品牌转型7大分歧，看十余位车圈大佬高质量互怼_懂车帝 (dongchedi.com)</t>
    <phoneticPr fontId="4" type="noConversion"/>
  </si>
  <si>
    <t xml:space="preserve">             Price per chip (RMB)-NVIDIA Drive Orin x2</t>
    <phoneticPr fontId="4" type="noConversion"/>
  </si>
  <si>
    <r>
      <t xml:space="preserve">           Camera Cost </t>
    </r>
    <r>
      <rPr>
        <b/>
        <sz val="11"/>
        <color theme="1"/>
        <rFont val="Times New Roman"/>
        <family val="1"/>
      </rPr>
      <t>(Total)</t>
    </r>
  </si>
  <si>
    <t xml:space="preserve">               Air &amp; Pro</t>
    <phoneticPr fontId="4" type="noConversion"/>
  </si>
  <si>
    <t xml:space="preserve">                 Cameras Installed-舜宇智领</t>
    <phoneticPr fontId="4" type="noConversion"/>
  </si>
  <si>
    <t xml:space="preserve">                 Cameras Installed-欧菲光</t>
    <phoneticPr fontId="4" type="noConversion"/>
  </si>
  <si>
    <t xml:space="preserve">               MAX</t>
    <phoneticPr fontId="4" type="noConversion"/>
  </si>
  <si>
    <r>
      <t xml:space="preserve">           Radar Cost </t>
    </r>
    <r>
      <rPr>
        <b/>
        <sz val="11"/>
        <color theme="1"/>
        <rFont val="Times New Roman"/>
        <family val="1"/>
      </rPr>
      <t>(Total)</t>
    </r>
  </si>
  <si>
    <t xml:space="preserve">             Millimeter-wave radar</t>
    <phoneticPr fontId="4" type="noConversion"/>
  </si>
  <si>
    <t>森思泰克4D成像雷达搭载理想L7正式上市！ - 知乎 (zhihu.com)</t>
  </si>
  <si>
    <t xml:space="preserve">               Price per radar（RMB）</t>
    <phoneticPr fontId="4" type="noConversion"/>
  </si>
  <si>
    <t>4D毫米波雷达专家交流纪要 本文0222 首发:基本面投资$特斯拉(TSLA)$ $晋拓股份(SH603211)$ $欧菲光(SZ002456)$ ... - 雪球 (xueqiu.com)</t>
  </si>
  <si>
    <t xml:space="preserve">             Laser radar</t>
    <phoneticPr fontId="4" type="noConversion"/>
  </si>
  <si>
    <t xml:space="preserve">           Air Suspensions Cost (Total)</t>
    <phoneticPr fontId="4" type="noConversion"/>
  </si>
  <si>
    <t xml:space="preserve">           Air Suspensions Cost (per unit)</t>
    <phoneticPr fontId="4" type="noConversion"/>
  </si>
  <si>
    <t xml:space="preserve">               Price per air suspensions (RMB)-威巴克</t>
    <phoneticPr fontId="4" type="noConversion"/>
  </si>
  <si>
    <t xml:space="preserve">           Rest of the other parts cost (Total)</t>
    <phoneticPr fontId="4" type="noConversion"/>
  </si>
  <si>
    <t xml:space="preserve">        Vehicle Purchase Benefits (Total)</t>
    <phoneticPr fontId="4" type="noConversion"/>
  </si>
  <si>
    <t xml:space="preserve">            Probability of ONE (2020/2021) owners repurchasing L7/L8/L9</t>
    <phoneticPr fontId="4" type="noConversion"/>
  </si>
  <si>
    <t xml:space="preserve">            Discount for repurchase of L7 by ONE 2020 owners </t>
    <phoneticPr fontId="4" type="noConversion"/>
  </si>
  <si>
    <t xml:space="preserve">            Discount for repurchase of L7 by ONE 2021 owners</t>
    <phoneticPr fontId="4" type="noConversion"/>
  </si>
  <si>
    <t xml:space="preserve">            Air Suspenssion</t>
    <phoneticPr fontId="4" type="noConversion"/>
  </si>
  <si>
    <t xml:space="preserve">          Free home charging post and foundation installation service (RMB)</t>
    <phoneticPr fontId="4" type="noConversion"/>
  </si>
  <si>
    <t xml:space="preserve">            Unit cost of a charging post and its installation (RMB)</t>
    <phoneticPr fontId="4" type="noConversion"/>
  </si>
  <si>
    <t xml:space="preserve">          3 Yrs of 5G Data Free Access (RMB)</t>
    <phoneticPr fontId="4" type="noConversion"/>
  </si>
  <si>
    <t xml:space="preserve">            Monthly cost of 20G 5G Data (RMB)</t>
    <phoneticPr fontId="4" type="noConversion"/>
  </si>
  <si>
    <t xml:space="preserve">    Cost per unit-L7 </t>
    <phoneticPr fontId="4" type="noConversion"/>
  </si>
  <si>
    <t xml:space="preserve">    L8</t>
    <phoneticPr fontId="4" type="noConversion"/>
  </si>
  <si>
    <t xml:space="preserve">         L8 Air</t>
    <phoneticPr fontId="4" type="noConversion"/>
  </si>
  <si>
    <t xml:space="preserve">         L8 Pro</t>
    <phoneticPr fontId="4" type="noConversion"/>
  </si>
  <si>
    <t xml:space="preserve">         L8 Max</t>
    <phoneticPr fontId="4" type="noConversion"/>
  </si>
  <si>
    <t xml:space="preserve">     Materials-EV</t>
    <phoneticPr fontId="4" type="noConversion"/>
  </si>
  <si>
    <t xml:space="preserve">       Batteries Cost (Total)</t>
    <phoneticPr fontId="4" type="noConversion"/>
  </si>
  <si>
    <t xml:space="preserve">       Batteries Cost (per unit)</t>
    <phoneticPr fontId="4" type="noConversion"/>
  </si>
  <si>
    <r>
      <t xml:space="preserve">             ADAS Chip Cost</t>
    </r>
    <r>
      <rPr>
        <b/>
        <sz val="11"/>
        <color theme="1"/>
        <rFont val="Times New Roman"/>
        <family val="1"/>
      </rPr>
      <t xml:space="preserve"> (Total)</t>
    </r>
  </si>
  <si>
    <t xml:space="preserve">               Price per chip (RMB)-地平线征程5</t>
    <phoneticPr fontId="4" type="noConversion"/>
  </si>
  <si>
    <t xml:space="preserve">               Price per chip (RMB)-NVIDIA Drive Orin x2</t>
    <phoneticPr fontId="4" type="noConversion"/>
  </si>
  <si>
    <r>
      <t xml:space="preserve">             Camera Cost</t>
    </r>
    <r>
      <rPr>
        <b/>
        <sz val="11"/>
        <color theme="1"/>
        <rFont val="Times New Roman"/>
        <family val="1"/>
      </rPr>
      <t xml:space="preserve"> (Total)</t>
    </r>
  </si>
  <si>
    <r>
      <t xml:space="preserve">             Radar Cost</t>
    </r>
    <r>
      <rPr>
        <b/>
        <sz val="11"/>
        <color theme="1"/>
        <rFont val="Times New Roman"/>
        <family val="1"/>
      </rPr>
      <t xml:space="preserve"> (Total)</t>
    </r>
  </si>
  <si>
    <t xml:space="preserve">               Millimeter-wave radar</t>
    <phoneticPr fontId="4" type="noConversion"/>
  </si>
  <si>
    <t xml:space="preserve">                 Radars Installed</t>
    <phoneticPr fontId="4" type="noConversion"/>
  </si>
  <si>
    <t xml:space="preserve">                 Price per radar（RMB）</t>
    <phoneticPr fontId="4" type="noConversion"/>
  </si>
  <si>
    <t xml:space="preserve">               Ultrasonic radar</t>
    <phoneticPr fontId="4" type="noConversion"/>
  </si>
  <si>
    <t xml:space="preserve">               Laser radar</t>
    <phoneticPr fontId="4" type="noConversion"/>
  </si>
  <si>
    <t xml:space="preserve">          Rest of the other parts cost (Total)</t>
    <phoneticPr fontId="4" type="noConversion"/>
  </si>
  <si>
    <t xml:space="preserve">          Rest of the other parts cost (per unit)</t>
    <phoneticPr fontId="4" type="noConversion"/>
  </si>
  <si>
    <t xml:space="preserve">            Discount for repurchase of L8 by ONE 2020 owners </t>
    <phoneticPr fontId="4" type="noConversion"/>
  </si>
  <si>
    <t xml:space="preserve">            Discount for repurchase of L8 by ONE 2021 owners</t>
    <phoneticPr fontId="4" type="noConversion"/>
  </si>
  <si>
    <t xml:space="preserve">    Cost per unit-L8</t>
    <phoneticPr fontId="4" type="noConversion"/>
  </si>
  <si>
    <t xml:space="preserve">   L9</t>
  </si>
  <si>
    <t xml:space="preserve">         L9 Pro</t>
    <phoneticPr fontId="4" type="noConversion"/>
  </si>
  <si>
    <t xml:space="preserve">         L9 Max</t>
    <phoneticPr fontId="4" type="noConversion"/>
  </si>
  <si>
    <t xml:space="preserve">           ADAS Chip Cost</t>
    <phoneticPr fontId="4" type="noConversion"/>
  </si>
  <si>
    <t xml:space="preserve">             ADAS chips installed-L9 MAX</t>
    <phoneticPr fontId="4" type="noConversion"/>
  </si>
  <si>
    <t xml:space="preserve">             ADAS chips installed-L9 Pro</t>
    <phoneticPr fontId="4" type="noConversion"/>
  </si>
  <si>
    <t xml:space="preserve">             Price per chip (USD)-NVIDIA Drive Orin</t>
    <phoneticPr fontId="4" type="noConversion"/>
  </si>
  <si>
    <t>Amazon.com: NVIDIA Jetson Orin Nano Developer Kit : Electronics</t>
  </si>
  <si>
    <t xml:space="preserve">             Price per chip (RMB)-NVIDIA Drive Orin</t>
    <phoneticPr fontId="4" type="noConversion"/>
  </si>
  <si>
    <t xml:space="preserve">            Period-end exchange rate</t>
    <phoneticPr fontId="4" type="noConversion"/>
  </si>
  <si>
    <t xml:space="preserve">           Camera Cost</t>
    <phoneticPr fontId="4" type="noConversion"/>
  </si>
  <si>
    <t>理想L9视觉感知系统全面升级，欧菲光发力智能驾驶系统级解决方案 #欧菲光# 理想L9一经问世便被推到风口浪尖，受到市场的广泛关注。据悉，该车型上市3天订单即突破30000台，成绩亮眼。... - 雪球 (xueqiu.com)</t>
  </si>
  <si>
    <t>进击吧！高端ADAS车载镜头之王！ $联创电子(SZ002036)$ $舜宇光学科技(02382)$ 自动驾驶向快车道并线 汽车智能化浪潮汹涌而来，行业迎来... - 雪球 (xueqiu.com)</t>
  </si>
  <si>
    <t xml:space="preserve">           Radar Cost</t>
    <phoneticPr fontId="4" type="noConversion"/>
  </si>
  <si>
    <t xml:space="preserve">               Price per radar (RMB)-森斯泰克</t>
    <phoneticPr fontId="4" type="noConversion"/>
  </si>
  <si>
    <t xml:space="preserve">               Price per radar (RMB)-豪恩汽电</t>
    <phoneticPr fontId="4" type="noConversion"/>
  </si>
  <si>
    <t>ADAS超声波雷达 - 知乎 (zhihu.com)</t>
  </si>
  <si>
    <t xml:space="preserve">          Air Suspensions Cost (Total)</t>
    <phoneticPr fontId="4" type="noConversion"/>
  </si>
  <si>
    <t xml:space="preserve">          Air Suspensions Cost (per unit)</t>
    <phoneticPr fontId="4" type="noConversion"/>
  </si>
  <si>
    <t>https://xueqiu.com/1451303364/252409581</t>
    <phoneticPr fontId="4" type="noConversion"/>
  </si>
  <si>
    <t xml:space="preserve">            Discount for repurchase of L9 by ONE 2020 owners </t>
    <phoneticPr fontId="4" type="noConversion"/>
  </si>
  <si>
    <t xml:space="preserve">            Discount for repurchase of L9 by ONE 2021 owners</t>
    <phoneticPr fontId="4" type="noConversion"/>
  </si>
  <si>
    <t xml:space="preserve">    Cost per unit-L9 </t>
    <phoneticPr fontId="4" type="noConversion"/>
  </si>
  <si>
    <t xml:space="preserve">      Salary</t>
  </si>
  <si>
    <t xml:space="preserve">        # of employees at production lines (Changzhou)</t>
  </si>
  <si>
    <t xml:space="preserve">        # of employees at production line (Beijing)</t>
  </si>
  <si>
    <t xml:space="preserve">        # of employees at production lines (Chongqing)</t>
  </si>
  <si>
    <t xml:space="preserve">        Salary per head (k)</t>
  </si>
  <si>
    <t>(Changzhou)</t>
  </si>
  <si>
    <t>(Beijing)</t>
  </si>
  <si>
    <t xml:space="preserve">  Range Extender</t>
    <phoneticPr fontId="4" type="noConversion"/>
  </si>
  <si>
    <t xml:space="preserve">  Drive Motor</t>
    <phoneticPr fontId="4" type="noConversion"/>
  </si>
  <si>
    <t xml:space="preserve">  Autonomous-Vehicle Hardware Cost</t>
    <phoneticPr fontId="4" type="noConversion"/>
  </si>
  <si>
    <t xml:space="preserve">  Air Suspensions Cost </t>
    <phoneticPr fontId="4" type="noConversion"/>
  </si>
  <si>
    <t xml:space="preserve">  Rest of Other Parts</t>
    <phoneticPr fontId="4" type="noConversion"/>
  </si>
  <si>
    <t>Cost per unit (000 RMB)-the other parts cost</t>
    <phoneticPr fontId="4" type="noConversion"/>
  </si>
  <si>
    <t>Impairment charges</t>
  </si>
  <si>
    <t xml:space="preserve">        # of employees at production lines (Zhaoqing)</t>
  </si>
  <si>
    <t xml:space="preserve">        # of employees at production line (Guangzhou)</t>
  </si>
  <si>
    <t xml:space="preserve">        # of employees at production lines (Wuhan)</t>
  </si>
  <si>
    <t xml:space="preserve">      （Zhaoqing）</t>
  </si>
  <si>
    <t xml:space="preserve">      （Guangzhou）</t>
  </si>
  <si>
    <t>from Rival Models</t>
  </si>
  <si>
    <t>In reporting currency thousand, except for shares and per share data</t>
  </si>
  <si>
    <t>列1</t>
  </si>
  <si>
    <t>列2</t>
  </si>
  <si>
    <t>列3</t>
  </si>
  <si>
    <t>列4</t>
  </si>
  <si>
    <t>列5</t>
  </si>
  <si>
    <t>列6</t>
  </si>
  <si>
    <t>列7</t>
  </si>
  <si>
    <t>列8</t>
  </si>
  <si>
    <t>列9</t>
  </si>
  <si>
    <t>列10</t>
  </si>
  <si>
    <t>Automotive Sales&amp;Leasing</t>
    <phoneticPr fontId="4" type="noConversion"/>
  </si>
  <si>
    <t>Revenue</t>
  </si>
  <si>
    <t>from price&amp;quan</t>
  </si>
  <si>
    <t>yoy</t>
    <phoneticPr fontId="4" type="noConversion"/>
  </si>
  <si>
    <t>Gross profit</t>
  </si>
  <si>
    <t>from CA</t>
  </si>
  <si>
    <t>Gross margin</t>
  </si>
  <si>
    <t>GM as in total GM</t>
  </si>
  <si>
    <t>Services &amp; Other</t>
  </si>
  <si>
    <t>correlated with auto segment</t>
  </si>
  <si>
    <t>as in auto sales</t>
  </si>
  <si>
    <t>MA3 due to correlation with fleet growth</t>
  </si>
  <si>
    <t>yearly increase</t>
  </si>
  <si>
    <t>Energy Generation &amp; Storage</t>
  </si>
  <si>
    <t>eco of scale</t>
  </si>
  <si>
    <t>FSD (only be considered in forecast)</t>
  </si>
  <si>
    <t>NP as in total NP</t>
  </si>
  <si>
    <t xml:space="preserve">  :Solar Deployed</t>
  </si>
  <si>
    <t>Consolidated</t>
    <phoneticPr fontId="4" type="noConversion"/>
  </si>
  <si>
    <t>yoy</t>
  </si>
  <si>
    <t>Period cost</t>
  </si>
  <si>
    <t>Period cost%</t>
  </si>
  <si>
    <t>eco of scale; assuming decline rate</t>
  </si>
  <si>
    <t>R&amp;D cost</t>
  </si>
  <si>
    <t>R&amp;D cost%</t>
  </si>
  <si>
    <t>Operating income</t>
  </si>
  <si>
    <t>Operating margin%</t>
  </si>
  <si>
    <t>Interest expenses</t>
  </si>
  <si>
    <t>given CFO sufficient to cover deleverage</t>
  </si>
  <si>
    <t>long-term equity investment</t>
  </si>
  <si>
    <t>Profit attributable to shareholding companies</t>
  </si>
  <si>
    <t>long-term equity investment ROIC</t>
  </si>
  <si>
    <t>Other net expenses</t>
  </si>
  <si>
    <t>EBT</t>
  </si>
  <si>
    <t>Income tax</t>
  </si>
  <si>
    <t>Income tax rate</t>
  </si>
  <si>
    <t>Net income</t>
  </si>
  <si>
    <t>Net income attri. to minorities</t>
  </si>
  <si>
    <t>Net income attri. to minorities%</t>
  </si>
  <si>
    <t>MA3; given fixed rate nature</t>
  </si>
  <si>
    <t>Net income to shareholders</t>
  </si>
  <si>
    <t># of diluted outstanding shares (000)</t>
  </si>
  <si>
    <t>assuming stablizing</t>
  </si>
  <si>
    <t>EPS($)</t>
  </si>
  <si>
    <t>Cash from Operations</t>
  </si>
  <si>
    <t>CFO/NI</t>
  </si>
  <si>
    <t>CFO per share($)</t>
  </si>
  <si>
    <t>BYD</t>
    <phoneticPr fontId="4" type="noConversion"/>
  </si>
  <si>
    <t>Automobiles and related products and other products</t>
  </si>
  <si>
    <t>sum of below</t>
  </si>
  <si>
    <t>% as in COGS</t>
  </si>
  <si>
    <t>%as in revenue</t>
  </si>
  <si>
    <t>%as in gross margin</t>
  </si>
  <si>
    <t xml:space="preserve">  Automobiles &amp; Related Products</t>
  </si>
  <si>
    <t xml:space="preserve">  Rechargeable Batteries &amp; Photovoltaic Business</t>
  </si>
  <si>
    <t xml:space="preserve">  Revenue(Rechargeable Batteries)</t>
  </si>
  <si>
    <t xml:space="preserve">  yoy</t>
  </si>
  <si>
    <t>MA3</t>
    <phoneticPr fontId="4" type="noConversion"/>
  </si>
  <si>
    <t xml:space="preserve">  Revenue(Power  Batteries)</t>
  </si>
  <si>
    <t>Mobile Handset Components &amp; Assembly Service</t>
  </si>
  <si>
    <t>MA3;cut to 10% from 2022 due to macro</t>
  </si>
  <si>
    <t>Corporate &amp; Other</t>
  </si>
  <si>
    <t>Consolidated</t>
  </si>
  <si>
    <t>Other income and gains</t>
  </si>
  <si>
    <t>Government grants and subsidies</t>
  </si>
  <si>
    <t>Impairment losses on financial and contract assets</t>
  </si>
  <si>
    <t>Loss on derecognition of financial assets measured at amortised cost</t>
  </si>
  <si>
    <t>Other expenses</t>
  </si>
  <si>
    <t>Finance costs</t>
  </si>
  <si>
    <t>from Model 21A</t>
  </si>
  <si>
    <t>MA5: mild capacity on construction</t>
  </si>
  <si>
    <t>Long-term investment</t>
  </si>
  <si>
    <t>Share of profits and losses of joint ventures and associates</t>
  </si>
  <si>
    <t>ROIC-Income from affiliates</t>
  </si>
  <si>
    <t>Other unusual expense items</t>
  </si>
  <si>
    <t>EPS</t>
  </si>
  <si>
    <t>Gross profit(disclosed)</t>
  </si>
  <si>
    <t>Net income(disclosed)</t>
  </si>
  <si>
    <t>Net income attri. to minorities(disclosed)</t>
  </si>
  <si>
    <t>Net income attri. to minorities%(disclosed)</t>
  </si>
  <si>
    <t>Net income to shareholders(disclosed)</t>
  </si>
  <si>
    <t>EPS(disclosed)</t>
  </si>
  <si>
    <t>NIO (in USD)</t>
  </si>
  <si>
    <t>Vehicle Sales</t>
    <phoneticPr fontId="4" type="noConversion"/>
  </si>
  <si>
    <t>scaling</t>
  </si>
  <si>
    <t>%GM as in total GM</t>
  </si>
  <si>
    <t>% as in revenue</t>
  </si>
  <si>
    <t>Others Sales</t>
    <phoneticPr fontId="4" type="noConversion"/>
  </si>
  <si>
    <t>% as in auto sales</t>
  </si>
  <si>
    <t>Operating Income</t>
  </si>
  <si>
    <t>Interest income</t>
  </si>
  <si>
    <t>38b cash pile to burn slowly</t>
  </si>
  <si>
    <t>no much demand for debt</t>
  </si>
  <si>
    <t>Share of income/losses of equity investees</t>
  </si>
  <si>
    <t>Investment income</t>
  </si>
  <si>
    <t>Other income/(loss), net</t>
  </si>
  <si>
    <t>MA3 due to foreign currency flutuations</t>
  </si>
  <si>
    <t>Income tax expense</t>
  </si>
  <si>
    <t>Income tax expense%</t>
  </si>
  <si>
    <t>assuming high-tech qualification</t>
  </si>
  <si>
    <t>Net income attri. to minorities&amp;others</t>
  </si>
  <si>
    <t>Net income attri. to minorities&amp;others%</t>
  </si>
  <si>
    <t>Accretion on convertible redeemable preferred shares to redemption value</t>
  </si>
  <si>
    <t>Accretion on redeemable non-controlling interests to redemption value</t>
  </si>
  <si>
    <t>Net loss attributable to non-controlling interests</t>
  </si>
  <si>
    <t>Net income to ordinary shareholders</t>
  </si>
  <si>
    <t>NIO (in CNY)</t>
  </si>
  <si>
    <t>% as in vehicle sales</t>
  </si>
  <si>
    <t>Other operating expenses</t>
  </si>
  <si>
    <t>Total operating expenses</t>
  </si>
  <si>
    <t>Interest Expense</t>
  </si>
  <si>
    <t>Interest and Investment Income</t>
  </si>
  <si>
    <t>NA</t>
  </si>
  <si>
    <t>Share of (loss)/income of Equity Investees</t>
  </si>
  <si>
    <t>Other Income (Loss), Net</t>
  </si>
  <si>
    <t>Gain on Extinguishments of Debt</t>
  </si>
  <si>
    <t>COGS+Opex+Other income/loss (not include interest expense)</t>
  </si>
  <si>
    <t>Others</t>
  </si>
  <si>
    <t>Less: Net loss attributable to non-controlling interests</t>
  </si>
  <si>
    <t>EPS(CNY)</t>
  </si>
  <si>
    <t>EPS(USD)</t>
  </si>
  <si>
    <t>Li Auto</t>
  </si>
  <si>
    <t>based on %</t>
  </si>
  <si>
    <t>Interest income and investment income</t>
  </si>
  <si>
    <t>Financial expenses</t>
  </si>
  <si>
    <t>Share of income/(loss) of equity investees</t>
  </si>
  <si>
    <t>Foreign exchange (loss)/gain, net</t>
  </si>
  <si>
    <t>Changes in fair value of warrants and derivative liabilities</t>
  </si>
  <si>
    <t>Income tax benefit/(expense)</t>
  </si>
  <si>
    <t>Income tax benefit/(expense) %</t>
  </si>
  <si>
    <t>Net income/(loss) from continuing operations</t>
  </si>
  <si>
    <t>Net income/(loss) from discontinued operations, net of tax</t>
  </si>
  <si>
    <t>Net income/(loss)</t>
  </si>
  <si>
    <t>others</t>
  </si>
  <si>
    <t>Less: Net loss attributable to noncontrolling interests</t>
  </si>
  <si>
    <t>Net income/(loss) to shareholders</t>
  </si>
  <si>
    <t>Weighted average number of ordinary shares (Basic and diluted）(000)</t>
  </si>
  <si>
    <t>Price&amp;Q</t>
  </si>
  <si>
    <t>CA</t>
  </si>
  <si>
    <t>Services and Others</t>
  </si>
  <si>
    <t>Other income, net</t>
  </si>
  <si>
    <t>Fair value gain on derivative liabilities</t>
  </si>
  <si>
    <t>Fair value gain on long-term investments</t>
  </si>
  <si>
    <t>Other non-operating (loss) income, net</t>
  </si>
  <si>
    <t>Share of results of equity method investees</t>
  </si>
  <si>
    <t>Tesla, Incorporated | Income Statement (As Reported)</t>
  </si>
  <si>
    <t>Recommended: S&amp;P Capital IQ - Standardized As Reported</t>
  </si>
  <si>
    <t>Translation</t>
  </si>
  <si>
    <t>2016 FY</t>
  </si>
  <si>
    <t>2017 FY</t>
  </si>
  <si>
    <t>2018 FY</t>
  </si>
  <si>
    <t>2019 FY</t>
  </si>
  <si>
    <t>2020 FY</t>
  </si>
  <si>
    <t>2021 FY</t>
  </si>
  <si>
    <t>2022 FY</t>
  </si>
  <si>
    <t>Period Ended</t>
  </si>
  <si>
    <t>Currency</t>
  </si>
  <si>
    <t>USD</t>
  </si>
  <si>
    <t>Units</t>
  </si>
  <si>
    <t>Thousands</t>
  </si>
  <si>
    <t>Revenues</t>
  </si>
  <si>
    <t>Automotive</t>
  </si>
  <si>
    <t>Energy Generation and Storage</t>
  </si>
  <si>
    <t>Services and Other</t>
  </si>
  <si>
    <t>Total Revenues</t>
  </si>
  <si>
    <t>Expenses</t>
  </si>
  <si>
    <t>Cost of Revenues Automotive Sales</t>
  </si>
  <si>
    <t>Selling, General and Administrative</t>
  </si>
  <si>
    <t>Research and Development</t>
  </si>
  <si>
    <t>Restructuring and Other</t>
  </si>
  <si>
    <t>Interest Income</t>
  </si>
  <si>
    <t>Other Income/expense-net</t>
  </si>
  <si>
    <t>Earnings before Taxes</t>
  </si>
  <si>
    <t>Taxes and Other Expenses</t>
  </si>
  <si>
    <t>Provision for Income Tax</t>
  </si>
  <si>
    <t>Minority Interest (After Tax)</t>
  </si>
  <si>
    <t>Net Income (Loss)</t>
  </si>
  <si>
    <t>Charges on Net Income</t>
  </si>
  <si>
    <t>Other Adjustments to Net Income</t>
  </si>
  <si>
    <t>Net Income Available to Common Shareholders</t>
  </si>
  <si>
    <t>Supplementary Info</t>
  </si>
  <si>
    <t>Gross Profit/loss</t>
  </si>
  <si>
    <t>Operating Income (Loss)</t>
  </si>
  <si>
    <t>Basic EPS - Continuing Operations</t>
  </si>
  <si>
    <t>Diluted EPS - Continuing Operations</t>
  </si>
  <si>
    <t>Tesla, Incorporated | Balance Sheet (As Reported)</t>
  </si>
  <si>
    <t>Current Assets</t>
  </si>
  <si>
    <t>Cash and Cash Equivalents</t>
  </si>
  <si>
    <t>Accounts Receivables</t>
  </si>
  <si>
    <t>Inventory</t>
  </si>
  <si>
    <t>Prepaid Expenses and Other Current Assets</t>
  </si>
  <si>
    <t>Restricted Cash</t>
  </si>
  <si>
    <t>Total Current Assets</t>
  </si>
  <si>
    <t>Noncurrent Assets</t>
  </si>
  <si>
    <t>Operating Lease Right-of-use Assets</t>
  </si>
  <si>
    <t>PPE</t>
  </si>
  <si>
    <t>Property, Plant and Equipment, Net</t>
  </si>
  <si>
    <t xml:space="preserve">  Accumulated Depreciation</t>
  </si>
  <si>
    <t>Operating Leases-net (dulplicate)</t>
  </si>
  <si>
    <t>Duplicate</t>
  </si>
  <si>
    <t>Operating Lease Vehicles</t>
  </si>
  <si>
    <t>Operating lease</t>
  </si>
  <si>
    <t>Solar Energy Systems (dulplicate)</t>
  </si>
  <si>
    <t>Solar Energy Systems, Leased and to be Leased Net</t>
  </si>
  <si>
    <t>Mypower Customer Notes Receivable, Net of Current Portion</t>
  </si>
  <si>
    <t>Mypower</t>
  </si>
  <si>
    <t>Goodwill</t>
  </si>
  <si>
    <t>Digital Assets</t>
  </si>
  <si>
    <t>Intangible</t>
  </si>
  <si>
    <t>Intangible Assets, Net</t>
  </si>
  <si>
    <t>Other asset</t>
  </si>
  <si>
    <t>Restricted Cash, Net of Current Portion</t>
  </si>
  <si>
    <t>Other Assets</t>
  </si>
  <si>
    <t>Other Non-current Assets</t>
  </si>
  <si>
    <t>Total Assets</t>
  </si>
  <si>
    <t>Current Liabilities</t>
  </si>
  <si>
    <t>Accounts Payable</t>
  </si>
  <si>
    <t>Account Payable</t>
  </si>
  <si>
    <t>Accrued Liabilities</t>
  </si>
  <si>
    <t>Other current Liablities</t>
  </si>
  <si>
    <t>Accrued Liabilities Other</t>
  </si>
  <si>
    <t>Current Portion of Long-term Debt and Capital Leases</t>
  </si>
  <si>
    <t>Debt due within 1 year</t>
  </si>
  <si>
    <t>Convertible Senior Notes</t>
  </si>
  <si>
    <t>Current Portion of Solar Bonds and Promissory Notes Issued to Related Parties</t>
  </si>
  <si>
    <t>Current Portion of Promissory Notes Issued to Related Parties</t>
  </si>
  <si>
    <t>Current Portion of Debt and Fi0nce Leases</t>
  </si>
  <si>
    <t>Deferred Revenue</t>
  </si>
  <si>
    <t>Customer Deposits</t>
  </si>
  <si>
    <t>Resale Value Guarantee</t>
  </si>
  <si>
    <t>Total Current Liabilities</t>
  </si>
  <si>
    <t>Noncurrent Liabilities</t>
  </si>
  <si>
    <t>Long-term Debt and Capital Leases-net of Current Portion</t>
  </si>
  <si>
    <t>Long-term debt</t>
  </si>
  <si>
    <t>Solar Bonds Issued to Related Parties, Net of Current Portion</t>
  </si>
  <si>
    <t>Convertible Senior Notes Issued to Related Parties</t>
  </si>
  <si>
    <t>Debt and Fi0nce Leases, Net of Current Portion</t>
  </si>
  <si>
    <t>Deferred Revenues Less Current Portion</t>
  </si>
  <si>
    <t>Other liabilities</t>
  </si>
  <si>
    <t>Deferred Revenue, Net of Current Portion</t>
  </si>
  <si>
    <t>Other Long-term Liabilities</t>
  </si>
  <si>
    <t>Resale Value Guarantees, Less Current Portion</t>
  </si>
  <si>
    <t>Resale Value Guarantees, Net of Current Portion</t>
  </si>
  <si>
    <t>Total Non-current Liabilities</t>
  </si>
  <si>
    <t>Total Liabilities</t>
  </si>
  <si>
    <t>Redeemable Non-controlling Interests in Subsidiaries</t>
  </si>
  <si>
    <t>Shareholders' Equity</t>
  </si>
  <si>
    <t>Common Stock - Par Value</t>
  </si>
  <si>
    <t>Common stock &amp; add'tl PIC</t>
  </si>
  <si>
    <t>Additio0l Paid in Capital</t>
  </si>
  <si>
    <t>Accumulated Deficit</t>
  </si>
  <si>
    <t>Retained earnings</t>
  </si>
  <si>
    <t>Accumulated Other Comprehensive Loss</t>
  </si>
  <si>
    <t>Accum. other comp. (loss) income</t>
  </si>
  <si>
    <t>Accumulated Other Comprehensive Income (Loss)</t>
  </si>
  <si>
    <t>Returned earnings</t>
  </si>
  <si>
    <t>Total Shareholders Equity</t>
  </si>
  <si>
    <t>Noncontrolling interests in subsidiaries</t>
  </si>
  <si>
    <t>Prefered shares &amp; minority</t>
  </si>
  <si>
    <t>Total Liabilities &amp; Shareholders Equity</t>
  </si>
  <si>
    <t>Tesla, Incorporated | Cash Flow (As Reported)</t>
  </si>
  <si>
    <t>Operating Activities</t>
  </si>
  <si>
    <t>Depreciation, amortization and Impairment</t>
  </si>
  <si>
    <t>Depreciation &amp; Amort.</t>
  </si>
  <si>
    <t>Amortization of Debt Discount and Issuance Costs</t>
  </si>
  <si>
    <t>Loss on Disposals of Fixed Assets</t>
  </si>
  <si>
    <t>(Gain) Loss From Sale Of Assets or Inves.</t>
  </si>
  <si>
    <t>Gain/loss Related to Solarcity Acquisition</t>
  </si>
  <si>
    <t>Gain/Loss on Equity Investment</t>
  </si>
  <si>
    <t>Loss Related to Solarcity Acquisition</t>
  </si>
  <si>
    <t>Stock based Compensation</t>
  </si>
  <si>
    <t>Stock-based compensation</t>
  </si>
  <si>
    <t>Foreign Currency Transaction Gain/loss</t>
  </si>
  <si>
    <t>Other items or adj.</t>
  </si>
  <si>
    <t>Foreign Currency Transaction Net Gain/loss</t>
  </si>
  <si>
    <t>Inventory and Purchase Commitment Write-down</t>
  </si>
  <si>
    <t>Non-cash Interest and Other Operating Activities</t>
  </si>
  <si>
    <t>Digital assets loss (gain), net</t>
  </si>
  <si>
    <t>Other Assets and Mypower Notes Receivable</t>
  </si>
  <si>
    <t>Operating Cash Flow Related to Repayment of Discounted Convertible Senior Notes</t>
  </si>
  <si>
    <t>Accounts Receivable</t>
  </si>
  <si>
    <t>Accounts receivable</t>
  </si>
  <si>
    <t>Inventories</t>
  </si>
  <si>
    <t>Accounts Payable and Accrued Liabilities</t>
  </si>
  <si>
    <t>Accounts payable</t>
  </si>
  <si>
    <t>Cash Flow from Operating Activities</t>
  </si>
  <si>
    <t>Investing Activities</t>
  </si>
  <si>
    <t>Payments for the Cost of Solar Energy Systems, Leased and to be Leased</t>
  </si>
  <si>
    <t>Investment in solar and leased vehicles</t>
  </si>
  <si>
    <t>Purchases of Property and Equipment Excluding Capital Leases, Net of Sales</t>
  </si>
  <si>
    <t>Purchases of PP&amp;E</t>
  </si>
  <si>
    <t>Purchases of Property and Equipment Excluding Fi0nce Leases, Net of Sales (duplicate)</t>
  </si>
  <si>
    <t>Purchases of Solar Energy Systems</t>
  </si>
  <si>
    <t>Purchases of Solar Energy Systems, Net of Sales (duplicate)</t>
  </si>
  <si>
    <t>Purchases of digital assets</t>
  </si>
  <si>
    <t>Proceeds from sales of digital assets</t>
  </si>
  <si>
    <t>Business Combi0tion-net of Cash Acquired</t>
  </si>
  <si>
    <t>Business acq. &amp; equity inv.</t>
  </si>
  <si>
    <t>Cash Acquired through (used In) Business Combi0tion (duplicate)</t>
  </si>
  <si>
    <t>(Purchases) of Intangible Assets</t>
  </si>
  <si>
    <t>Other items</t>
  </si>
  <si>
    <t>Purchases of investments</t>
  </si>
  <si>
    <t>Proceeds from maturities of investments</t>
  </si>
  <si>
    <t>Maturities of Short-term Marketable Securities</t>
  </si>
  <si>
    <t>Receipt of Government Grants</t>
  </si>
  <si>
    <t>Increase in other restricted cash</t>
  </si>
  <si>
    <t>Cash Flow from Investing Activities</t>
  </si>
  <si>
    <t>Fi0ncing Activities</t>
  </si>
  <si>
    <t>Repayment of Convertible and Other Debt</t>
  </si>
  <si>
    <t>Borrowings (repayments) of LTD, net</t>
  </si>
  <si>
    <t>Proceeds from Issuance of Convertible and Other Debt</t>
  </si>
  <si>
    <t>Repayments of Borrowings Under Solar Bonds Issued to Related Parties</t>
  </si>
  <si>
    <t>Repayments of Borrowings Issued to Related Parties</t>
  </si>
  <si>
    <t>Principal Payments on Capital Leases and Other Debt</t>
  </si>
  <si>
    <t>Principal Payments on Fi0nce Lease</t>
  </si>
  <si>
    <t>Collateralized Lease Borrowings/payments</t>
  </si>
  <si>
    <t>Collateralized Lease Repayments</t>
  </si>
  <si>
    <t>Proceeds from Issuance of Common Stock in Public offerings</t>
  </si>
  <si>
    <t>Distributions to stockholders and preferred dividends</t>
  </si>
  <si>
    <t>Proceeds from Issuance of Common Stock in Public offering, Net of Issuance Costs</t>
  </si>
  <si>
    <t>Proceeds from Issuances of Common Stock in Public Offerings, Net of Underwriting Discounts</t>
  </si>
  <si>
    <t>Proceeds from Exercise of Stock Options and Other Stock Issuance</t>
  </si>
  <si>
    <t>Proceeds from Investment By Noncontrolling Interests in Subsidiaries</t>
  </si>
  <si>
    <t>Common Stock and Convertible Debt Issuance Costs</t>
  </si>
  <si>
    <t>Common Stock and Debt Issuance Costs</t>
  </si>
  <si>
    <t>Debt Issuance Costs</t>
  </si>
  <si>
    <t>Proceeds from Issuance of Warrants</t>
  </si>
  <si>
    <t>Net settlement to minorities and prefered</t>
  </si>
  <si>
    <t>Payment for Settlement of Warrants</t>
  </si>
  <si>
    <t>Purchase of Convertible Notes Hedge</t>
  </si>
  <si>
    <t>Other items(mainly repurchase and LP distri)</t>
  </si>
  <si>
    <t>Distributions Paid to Non-controlling Interests in Subsidiaries</t>
  </si>
  <si>
    <t>Proceeds from Settlement of Convertible Note Hedges</t>
  </si>
  <si>
    <t>Payments for Buy-outs of Noncontrolling Interests in Subsidiaries</t>
  </si>
  <si>
    <t>Cash Flow from Fi0ncing Activities</t>
  </si>
  <si>
    <t>Other Adjustments</t>
  </si>
  <si>
    <t>Foreign Exchange Rate Effect on Cash and Cash Equivalents</t>
  </si>
  <si>
    <t>Cash Flow Net Changes in Cash</t>
  </si>
  <si>
    <t>BYD Company Limited - 比亚迪股份有限公司 | Income Statement (As Reported)</t>
  </si>
  <si>
    <t>Absolute</t>
  </si>
  <si>
    <t>Main Operations</t>
  </si>
  <si>
    <t>Main Business</t>
  </si>
  <si>
    <t>Other Operations</t>
  </si>
  <si>
    <t>Other Business</t>
  </si>
  <si>
    <t>Operating Costs</t>
  </si>
  <si>
    <t>Including : Operating Cost</t>
  </si>
  <si>
    <t>Tax and Surcharges</t>
  </si>
  <si>
    <t>Selling and Distribution Cost</t>
  </si>
  <si>
    <t>General and Administrative Expenses</t>
  </si>
  <si>
    <t>Research and Development Expenses</t>
  </si>
  <si>
    <t>Other Income</t>
  </si>
  <si>
    <t>Impairment Loss on Assets</t>
  </si>
  <si>
    <t>Loss on Impairment of Assets (Loss By - Fill and List)</t>
  </si>
  <si>
    <t>Credit Impairment Loss (loss Is Indicated as -)</t>
  </si>
  <si>
    <t>Credit Impairment Loss (loss Is Denoted By "-" Sign)</t>
  </si>
  <si>
    <t>Asset Impairment Loss (loss Is Indicated with "-")</t>
  </si>
  <si>
    <t>Investment Income/(Loss)</t>
  </si>
  <si>
    <t>Investment Income (loss Is Indicated with “-“)</t>
  </si>
  <si>
    <t>Investment Income (loss Indicated with "-" Sign)</t>
  </si>
  <si>
    <t>Gains from Changes in Fair Value (loss)</t>
  </si>
  <si>
    <t>Gain on Changes in Fair Value (loss Indicated with "-" Sign)</t>
  </si>
  <si>
    <t>Non-operating Expenses</t>
  </si>
  <si>
    <t>Fi0nce Costs</t>
  </si>
  <si>
    <t>Non-operating Income</t>
  </si>
  <si>
    <t>Fi0ncial Costs</t>
  </si>
  <si>
    <t>Non-operating Expenditure</t>
  </si>
  <si>
    <t>Gain/loss on Disposal of Assets</t>
  </si>
  <si>
    <t>Gain on Disposal of Assets (loss Is Indicated with "-")</t>
  </si>
  <si>
    <t>Gain on Disposal of Assets (loss Indicated with -)</t>
  </si>
  <si>
    <t>BYD Company Limited - 比亚迪股份有限公司 | Balance Sheet (As Reported)</t>
  </si>
  <si>
    <t>Cash, equivalents, &amp; securities</t>
  </si>
  <si>
    <t>Trading Fi0ncial Assets</t>
  </si>
  <si>
    <t>Fi0ncial Assets Held for Trading</t>
  </si>
  <si>
    <t>Receivables Assets</t>
  </si>
  <si>
    <t>Notes Receivable</t>
  </si>
  <si>
    <t>Fi0ncing Receivables</t>
  </si>
  <si>
    <t>Contract Asset</t>
  </si>
  <si>
    <t>Other Receivables</t>
  </si>
  <si>
    <t>Other Current Assets</t>
  </si>
  <si>
    <t>Prepayments</t>
  </si>
  <si>
    <t>Current Portion of Non-Current Assets</t>
  </si>
  <si>
    <t>Non-current Assets Maturing within 1-year</t>
  </si>
  <si>
    <t>Construction in Progress</t>
  </si>
  <si>
    <t>Projects Under Construction</t>
  </si>
  <si>
    <t>Right to Use Assets</t>
  </si>
  <si>
    <t>Property, Plant and Equipment</t>
  </si>
  <si>
    <t>Engineering Material</t>
  </si>
  <si>
    <t>Long-term Equity Investments</t>
  </si>
  <si>
    <t>Investments</t>
  </si>
  <si>
    <t>Other Non-current Fi0ncial Assets</t>
  </si>
  <si>
    <t>Available-for-sale Fi0ncial Assets</t>
  </si>
  <si>
    <t>Investment in Other Equity Instruments</t>
  </si>
  <si>
    <t>Deferred Income Tax Asset</t>
  </si>
  <si>
    <t>Long-term Receivables</t>
  </si>
  <si>
    <t>Intangible Assets</t>
  </si>
  <si>
    <t>Intangible assets</t>
  </si>
  <si>
    <t>Development Costs</t>
  </si>
  <si>
    <t>Long-term Deferred Expenses</t>
  </si>
  <si>
    <t>Reported Amount of Long-term Deferred Expenses</t>
  </si>
  <si>
    <t>Investment Properties</t>
  </si>
  <si>
    <t>Notes Payable</t>
  </si>
  <si>
    <t>Notes Payable and Accounts Payable</t>
  </si>
  <si>
    <t>Amounts Payable</t>
  </si>
  <si>
    <t>Derivative Fi0ncial Liabilities Notes Payable</t>
  </si>
  <si>
    <t>Interest Payable</t>
  </si>
  <si>
    <t>Staff Remuneration Payable</t>
  </si>
  <si>
    <t>Employee Salaries Payable</t>
  </si>
  <si>
    <t>Estimated Liabilities - Flowing</t>
  </si>
  <si>
    <t>Taxes and Dues Expense Payable</t>
  </si>
  <si>
    <t>Short-term Borrowings</t>
  </si>
  <si>
    <t>Fi0ncial Liabilities Held for Trading</t>
  </si>
  <si>
    <t>Fi0ncial Liabilities Measured At Fair Value with Its Changes Accounted in the Profit/loss of the Current Period</t>
  </si>
  <si>
    <t>Taxes Payable</t>
  </si>
  <si>
    <t>Contract Liabilities</t>
  </si>
  <si>
    <t>Other Current Liabilities</t>
  </si>
  <si>
    <t>Dividend Payable</t>
  </si>
  <si>
    <t>Other Payables</t>
  </si>
  <si>
    <t>Payments Received in Advance</t>
  </si>
  <si>
    <t>Non-current Liabilities Due Within One Year</t>
  </si>
  <si>
    <t>Bond Payable</t>
  </si>
  <si>
    <t>Long-term Borrowings</t>
  </si>
  <si>
    <t>Long-term Loans</t>
  </si>
  <si>
    <t>Insurance Contract Reserve Long-term Loans</t>
  </si>
  <si>
    <t>Lease Liabilities</t>
  </si>
  <si>
    <t>Deferred Tax Liabilities</t>
  </si>
  <si>
    <t>Deferred Income Tax Liabilities</t>
  </si>
  <si>
    <t>Other Non-current Liabilities</t>
  </si>
  <si>
    <t>Surplus Reserves</t>
  </si>
  <si>
    <t>U0ppropriated Profits</t>
  </si>
  <si>
    <t>Minority Interest</t>
  </si>
  <si>
    <t>Retained Profits</t>
  </si>
  <si>
    <t>General Risk Reserve Retained Profit</t>
  </si>
  <si>
    <t>Other Comprehensive Income</t>
  </si>
  <si>
    <t>Treasury Stock and Other Comprehensive Income</t>
  </si>
  <si>
    <t>Special Reserve</t>
  </si>
  <si>
    <t>Perpetual Bonds</t>
  </si>
  <si>
    <t>Other Equity Instruments</t>
  </si>
  <si>
    <t>BYD Company Limited - 比亚迪股份有限公司 | Cash Flow (As Reported)</t>
  </si>
  <si>
    <t>Depreciation and Amortization</t>
  </si>
  <si>
    <t>Depreciation of Investment Properties</t>
  </si>
  <si>
    <t>Depreciation of Investment Property</t>
  </si>
  <si>
    <t>Depreciation of Fixed Assets, Depletion of Oil and Gas Assets, Depreciation of Biological Productive Assets</t>
  </si>
  <si>
    <t>Depreciation of the Right to Use Assets</t>
  </si>
  <si>
    <t>Amortization of Intangible Assets</t>
  </si>
  <si>
    <t>Amortization of intangibles</t>
  </si>
  <si>
    <t>Amortization of Development Costs</t>
  </si>
  <si>
    <t>Gain/loss on Disposal of Fixed Assets, Intangible Assets and Other Long-term Assets</t>
  </si>
  <si>
    <t>Loss on Disposal of Fixed Assets, Intangible Assets and Other Long-term Assets (gain Indicated with "-" Sign)</t>
  </si>
  <si>
    <t>Loss from Disposal of Fixed Assets, Intangible Assets, and Other Long-term Assets (gain Indicated with "-")</t>
  </si>
  <si>
    <t>Gain/loss Arising from Investments</t>
  </si>
  <si>
    <t>Loss from Investments (gain Is Expressed with “-“)</t>
  </si>
  <si>
    <t>Asset Impairment Reserve</t>
  </si>
  <si>
    <t>Provisions for Impairment of Assets</t>
  </si>
  <si>
    <t>Gain/loss on Changes in Fair Value</t>
  </si>
  <si>
    <t>Losses from Changes in Fair Value (gains Indicated with "-")</t>
  </si>
  <si>
    <t>Credit Impairment Loss</t>
  </si>
  <si>
    <t>Government Subsidies</t>
  </si>
  <si>
    <t>Fincial Costs/(gains)</t>
  </si>
  <si>
    <t>Fincial Expense (income Is Denoted By “-“ Sign)</t>
  </si>
  <si>
    <t>Operating Receivables</t>
  </si>
  <si>
    <t>Operating Receivables (increase Is Expressed with “-“)</t>
  </si>
  <si>
    <t>Inventories (increase Indicated By “-“)</t>
  </si>
  <si>
    <t>Inventories (increase Indicated By “-” Sign)</t>
  </si>
  <si>
    <t>Operating Payables</t>
  </si>
  <si>
    <t>Increase in Operating Payables (decrease Indicated With"-")</t>
  </si>
  <si>
    <t>Deferred Tax Assets</t>
  </si>
  <si>
    <t>Change in Deferred Income Tax Liabilities</t>
  </si>
  <si>
    <t>Deferred Income Tax Assets (increase Is Indicated with “-“)</t>
  </si>
  <si>
    <t>Acquisition of Property, Plant and Equipment</t>
  </si>
  <si>
    <t>Cash Paid for Acquisition and Construction of Fixed Assets, Intangible Assets and Other Long-term Assets</t>
  </si>
  <si>
    <t>Proceeds from Disposals of Property, Plant and Equipment</t>
  </si>
  <si>
    <t>Net Cash Recovered from the Disposal of Fixed Assets, Intangible Assets, and Other Long-term Assets</t>
  </si>
  <si>
    <t>Net Cash Paid for Acquire of Subsidiary and Other Business Units</t>
  </si>
  <si>
    <t>Net Cash Received from Disposal of Subsidiary and Other Operating Unit</t>
  </si>
  <si>
    <t>Net Cash Received from Disposal of Subsidiaries and Other Operating Entities</t>
  </si>
  <si>
    <t>Net Cash Received from the Disposal of Subsidiaries and Other Operating Activities</t>
  </si>
  <si>
    <t>Cash Received from Disposal of Joint Venture or Associated Company</t>
  </si>
  <si>
    <t>Cash Paid for Investments</t>
  </si>
  <si>
    <t>Cash Received from Return on Investments</t>
  </si>
  <si>
    <t>Cash Paid Relating to Other Investment Activities</t>
  </si>
  <si>
    <t>Cash Payments Relating to Other Investing Activities</t>
  </si>
  <si>
    <t>Cash Receipts Relating to Other Investing Activities</t>
  </si>
  <si>
    <t>Other Cash Paid Related to Investing Activities</t>
  </si>
  <si>
    <t>Cash Paid Related to Other Investing Activities</t>
  </si>
  <si>
    <t>Cash Received Related to Other Investing Activities</t>
  </si>
  <si>
    <t>Cash Receipts Related to Other Investing Activities</t>
  </si>
  <si>
    <t>Interest Received</t>
  </si>
  <si>
    <t>Cash Received from Acquisition of Investment Income</t>
  </si>
  <si>
    <t>Fincing Activities</t>
  </si>
  <si>
    <t>Cash Received from Loans</t>
  </si>
  <si>
    <t>Cash Received from Issuance of Bonds</t>
  </si>
  <si>
    <t>Cash Repayment of Debts</t>
  </si>
  <si>
    <t>Cash Paid for the Repayment of Debt</t>
  </si>
  <si>
    <t>Cash Received from Loan Obtained</t>
  </si>
  <si>
    <t>Cash Received from the Issuance of Bonds</t>
  </si>
  <si>
    <t>Cash Received from Capital Contribution</t>
  </si>
  <si>
    <t>Capital contribution</t>
  </si>
  <si>
    <t>Cash Received from the Absorption of Investment</t>
  </si>
  <si>
    <t>Cash Received from Issuing Other Equity Instruments</t>
  </si>
  <si>
    <t>Cash Received from Issued of Other Equity Instruments</t>
  </si>
  <si>
    <t>Cash Issued By Other Equity Instrument Holders</t>
  </si>
  <si>
    <t>Cash Redeemed By Holders of Other Equity Instrument</t>
  </si>
  <si>
    <t>Redemption of Cash Paid By Other Equity Instruments</t>
  </si>
  <si>
    <t>Cash Paid for Distribution of Dividends, Profit and Repayment of Interest</t>
  </si>
  <si>
    <t>Cash Paid for Dividend/profit Distribution or Repayment of Interest</t>
  </si>
  <si>
    <t>Cash Payments for Distribution of Dividends or Profits or Settlement of Interest Expenses</t>
  </si>
  <si>
    <t>Cash Paid for the Distribution of Dividends and Profits or for the Payment of Interests</t>
  </si>
  <si>
    <t>Cash Payment Relating to Other Fi0ncing Activities</t>
  </si>
  <si>
    <t>Cash Received Relating to Other Fi0ncing Activities</t>
  </si>
  <si>
    <t>Other Cash Paid Related to Fi0ncing Activities</t>
  </si>
  <si>
    <t>Cash Paid Related to Other Fi0ncing Activities</t>
  </si>
  <si>
    <t>Li Auto Inc - 理想汽车 | Income Statement (As Reported)</t>
    <phoneticPr fontId="4" type="noConversion"/>
  </si>
  <si>
    <t>Recommended: S&amp;P Capital IQ - Standard</t>
  </si>
  <si>
    <t>2023 FY</t>
  </si>
  <si>
    <t>Vehicle sales</t>
  </si>
  <si>
    <t>Other sales and services</t>
  </si>
  <si>
    <t>Total revenues</t>
  </si>
  <si>
    <t>Cost of sales</t>
  </si>
  <si>
    <t>Total cost of sales</t>
  </si>
  <si>
    <t>Operating expenses</t>
  </si>
  <si>
    <t>Research and development</t>
  </si>
  <si>
    <t>Selling, general and administrative</t>
  </si>
  <si>
    <t>Income/(Loss) from operations</t>
  </si>
  <si>
    <t>Other (expense)/income</t>
  </si>
  <si>
    <t>Interest expense</t>
  </si>
  <si>
    <t>Investment income, net</t>
  </si>
  <si>
    <t>Interest income and investment income, net</t>
  </si>
  <si>
    <t>Share of loss of equity method investees</t>
  </si>
  <si>
    <t>Others, net</t>
  </si>
  <si>
    <t>Income/(Loss) before income tax expense</t>
  </si>
  <si>
    <t>Net loss from continuing operations</t>
  </si>
  <si>
    <t>Net (loss)/income from discontinued operations, net of tax</t>
  </si>
  <si>
    <t>Less: Net (loss)/income attributable to noncontrolling interests</t>
  </si>
  <si>
    <t>Deemed dividend to preferred shareholders upon extinguishment, net</t>
  </si>
  <si>
    <t>Effect of exchange rate changes on convertible redeemable preferred _x000D_shares</t>
  </si>
  <si>
    <t>Net loss attributable to ordi0ry shareholders of Li Auto Inc.</t>
  </si>
  <si>
    <t>Net loss from continuing operations attributable to ordi0ry_x000D_ shareholders</t>
  </si>
  <si>
    <t>Net (loss)/income from discontinued operations attributable _x000D_to ordi0ry shareholders</t>
  </si>
  <si>
    <t>Other comprehensive income/(loss), net of tax</t>
  </si>
  <si>
    <t>Foreign currency translation adjustment, net of tax</t>
  </si>
  <si>
    <t>Total other comprehensive income/(loss), net of tax</t>
  </si>
  <si>
    <t>Total comprehensive income/(loss), net of tax</t>
  </si>
  <si>
    <t>Accretion on convertible redeemable preferred shares to redemption_x000D_ value</t>
  </si>
  <si>
    <t>Comprehensive loss attributable to ordi0ry shareholders of Li Auto_x000D_ Inc.</t>
  </si>
  <si>
    <t>Weighted average number of ADSs</t>
  </si>
  <si>
    <t>Basic</t>
  </si>
  <si>
    <t>Diluted</t>
  </si>
  <si>
    <t>Net earnings/(loss) per ADS attributable to ordi0ry shareholders</t>
  </si>
  <si>
    <t>Weighted average number of ordi0ry shares</t>
  </si>
  <si>
    <t>Net earnings/(loss) per share attributable to ordi0ry shareholders</t>
  </si>
  <si>
    <t>Continued operations</t>
  </si>
  <si>
    <t>Discontinued operations</t>
  </si>
  <si>
    <t>Net loss per share</t>
  </si>
  <si>
    <t>Li Auto Inc - 理想汽车 | Balance Sheet (As Reported)</t>
  </si>
  <si>
    <t>ASSETS</t>
  </si>
  <si>
    <t>Current assets</t>
  </si>
  <si>
    <t>Cash and cash equivalents</t>
  </si>
  <si>
    <t>Restricted cash</t>
  </si>
  <si>
    <t>Time deposits and short-term investments</t>
  </si>
  <si>
    <t>Trade receivable</t>
  </si>
  <si>
    <t>Receivable Assets</t>
  </si>
  <si>
    <t>Prepayments and other current assets</t>
  </si>
  <si>
    <t>Other current assets</t>
  </si>
  <si>
    <t>Assets held for sale, current</t>
  </si>
  <si>
    <t>Total current assets</t>
  </si>
  <si>
    <t>check</t>
  </si>
  <si>
    <t>Non-current assets</t>
  </si>
  <si>
    <t>Long-term investments</t>
  </si>
  <si>
    <t>Property, plant and equipment, net</t>
  </si>
  <si>
    <t>PP&amp;E, net</t>
  </si>
  <si>
    <t>Operating lease right-of-use assets, net</t>
  </si>
  <si>
    <t>Operating leased assets</t>
  </si>
  <si>
    <t>Intangible assets, net</t>
  </si>
  <si>
    <t>Other non-current assets</t>
  </si>
  <si>
    <t>Other assets</t>
  </si>
  <si>
    <t>Deferred tax assets</t>
  </si>
  <si>
    <t>Assets held for sale, non-current</t>
  </si>
  <si>
    <t>Total non-current assets</t>
  </si>
  <si>
    <t>Total assets</t>
  </si>
  <si>
    <t>LIABILITIES</t>
  </si>
  <si>
    <t>Current liabilities</t>
  </si>
  <si>
    <t>Short-term borrowings</t>
  </si>
  <si>
    <t>Trade and notes payable</t>
  </si>
  <si>
    <t>Amounts due to related parties</t>
  </si>
  <si>
    <t>Other current liabilities</t>
  </si>
  <si>
    <t>Deferred revenue, current</t>
  </si>
  <si>
    <t>Operating lease liabilities, current</t>
  </si>
  <si>
    <t>Fi0nce lease liabilities, current</t>
  </si>
  <si>
    <t>Warrants and derivative liabilities</t>
  </si>
  <si>
    <t>Accruals and other current liabilities</t>
  </si>
  <si>
    <t>Convertible debts, current</t>
  </si>
  <si>
    <t>Liabilities held for sale, current</t>
  </si>
  <si>
    <t>Total current liabilities</t>
  </si>
  <si>
    <t>Non-current liabilities</t>
  </si>
  <si>
    <t>Long-term borrowings</t>
  </si>
  <si>
    <t>Deferred revenue, non-current</t>
  </si>
  <si>
    <t>Operating lease liabilities, non-current</t>
  </si>
  <si>
    <t>Fi0nce lease liabilities, non-current</t>
  </si>
  <si>
    <t>Deferred tax liabilities</t>
  </si>
  <si>
    <t>Other non-current liabilities</t>
  </si>
  <si>
    <t>Total non-current liabilities</t>
  </si>
  <si>
    <t>Total liabilities</t>
  </si>
  <si>
    <t>Commitments and contingencies</t>
  </si>
  <si>
    <t>MEZZANINE EQUITY</t>
  </si>
  <si>
    <t>Series Pre-A convertible redeemable preferred shares</t>
  </si>
  <si>
    <t>Series A-1 convertible redeemable preferred shares</t>
  </si>
  <si>
    <t>Series A-2 convertible redeemable preferred shares</t>
  </si>
  <si>
    <t>Series A-3 convertible redeemable preferred shares</t>
  </si>
  <si>
    <t>Series B-1 convertible redeemable preferred shares</t>
  </si>
  <si>
    <t>Series B-2 convertible redeemable preferred shares</t>
  </si>
  <si>
    <t>Series B-3 convertible redeemable preferred shares</t>
  </si>
  <si>
    <t>Series C convertible redeemable preferred shares</t>
  </si>
  <si>
    <t>Total mezzanine equity</t>
  </si>
  <si>
    <t>other equity</t>
  </si>
  <si>
    <t>SHAREHOLDERS’ (DEFICIT)/EQUITY</t>
  </si>
  <si>
    <t>Class A Ordi0ry shares</t>
  </si>
  <si>
    <t>Class B Ordi0ry shares</t>
  </si>
  <si>
    <t>Treasury Shares</t>
  </si>
  <si>
    <t>Treasury shares</t>
  </si>
  <si>
    <t>Additio0l paid-in capital</t>
  </si>
  <si>
    <t>Accumulated other comprehensive income/(loss)</t>
  </si>
  <si>
    <t>Accumulated deficit</t>
  </si>
  <si>
    <t>Total Li Auto Inc. shareholders’ equity</t>
  </si>
  <si>
    <t>Noncontrolling interests</t>
  </si>
  <si>
    <t>Total shareholders’ (deficit)/equity</t>
  </si>
  <si>
    <t>Total liabilities, mezzanine equity and shareholders’ (deficit)/equity</t>
  </si>
  <si>
    <t>Li Auto Inc - 理想汽车 | Cash Flows (As Reported)</t>
  </si>
  <si>
    <t>CASH FLOWS FROM OPERATING ACTIVITIES</t>
  </si>
  <si>
    <t>Net loss</t>
  </si>
  <si>
    <t>Net loss/(income) from discontinued operations, net of tax</t>
  </si>
  <si>
    <t>Adjustments to reconcile net loss to net cash (used in)/provided by _x000D_operating activities</t>
  </si>
  <si>
    <t>Depreciation and amortization</t>
  </si>
  <si>
    <t>D&amp;A</t>
  </si>
  <si>
    <t>Share-based compensation expenses</t>
  </si>
  <si>
    <t>Foreign exchange loss/(gain)</t>
  </si>
  <si>
    <t>Unrealized investment loss/(income)</t>
  </si>
  <si>
    <t>Impairment loss</t>
  </si>
  <si>
    <t>Inventory write-downs and losses on purchase commitments relating to inventory and loss on inventory obsolescence</t>
  </si>
  <si>
    <t>Allowance for credit losses</t>
  </si>
  <si>
    <t>other current liabilities</t>
  </si>
  <si>
    <t>Deferred income tax</t>
  </si>
  <si>
    <t>Loss on disposal of property, plant and equipment</t>
  </si>
  <si>
    <t>Changes in operating assets and liabilities</t>
  </si>
  <si>
    <t>Changes of operating lease right-of-use assets</t>
  </si>
  <si>
    <t>operating lease asset</t>
  </si>
  <si>
    <t>Changes of operating lease liabilities</t>
  </si>
  <si>
    <t>Deferred revenue</t>
  </si>
  <si>
    <t>Net cash (used in)/provided by continuing operating activities</t>
  </si>
  <si>
    <t>Net cash (used in)/provided by discontinued operating activities</t>
  </si>
  <si>
    <t>Net cash (used in)/provided by operating activities</t>
  </si>
  <si>
    <t>CASH FLOWS FROM INVESTING ACTIVITIES</t>
  </si>
  <si>
    <t>Purchase of property, plant and equipment and intangible assets</t>
  </si>
  <si>
    <t>Disposal of property, plant and equipment</t>
  </si>
  <si>
    <t>Purchase of long-term investments</t>
  </si>
  <si>
    <t>Placement of time deposits</t>
  </si>
  <si>
    <t>Withdraw of time deposits</t>
  </si>
  <si>
    <t>Placement of long-term fi0ncial instruments</t>
  </si>
  <si>
    <t>Placement of short-term investments</t>
  </si>
  <si>
    <t>Withdraw of short-term investments</t>
  </si>
  <si>
    <t>Loan to Chongqing Lifan Holdings Ltd. (“Lifan Holdings”) and a _x000D_supplier</t>
  </si>
  <si>
    <t>Collection of loan principal from Lifan Holdings</t>
  </si>
  <si>
    <t>Cash paid related to purchase Changzhou Manufacturing Base Phase I and Phase II through acquisition of_x000D_Changzhou Chehejin Standard Factory Construction Co., Ltd. (“Changzhou Chehejin”), net of cash acquired</t>
  </si>
  <si>
    <t>Invesment in solar and leased vehicles</t>
  </si>
  <si>
    <t>Cash paid related to acquisition of Chongqing Zhizao Automobile Co.,_x000D_Ltd. (“Chongqing Zhizao”), net of cash acquired</t>
  </si>
  <si>
    <t>Acquisition of Changzhou Huixiang New Energy Auto Parts Co., Ltd. (“Changzhou Huixiang”, net of cash acquired</t>
  </si>
  <si>
    <t>Net cash used in continuing investing activities</t>
  </si>
  <si>
    <t>Net cash (used in)/provided by discontinued investing activities</t>
  </si>
  <si>
    <t>Net cash used in investing activities</t>
  </si>
  <si>
    <t>CASH FLOWS FROM FI0NCING ACTIVITIES</t>
  </si>
  <si>
    <t>Proceeds from share issuance through an at-the-market equity offering program (the “ATM Offering”), net of issuance cost</t>
  </si>
  <si>
    <t>Proceeds from borrowings</t>
  </si>
  <si>
    <t>Repayment of short-term borrowings</t>
  </si>
  <si>
    <t>Proceeds from collection of receivables from holders of Series B-1convertible redeemable preferred shares</t>
  </si>
  <si>
    <t>Proceeds from issuance of Series B-2 convertible redeemable preferred_x000D_shares</t>
  </si>
  <si>
    <t>Proceeds from collection of receivables from holders of Series B-2_x000D_convertible redeemable preferred shares</t>
  </si>
  <si>
    <t>Proceeds from issuance of Series B-3 convertible redeemable preferred_x000D_shares</t>
  </si>
  <si>
    <t>Proceeds from issuance of Series C convertible redeemable preferred_x000D_shares</t>
  </si>
  <si>
    <t>Proceeds from issuance of Series D convertible redeemable preferred_x000D_shares</t>
  </si>
  <si>
    <t>Payment of convertible redeemable preferred shares issuance costs</t>
  </si>
  <si>
    <t>Proceeds from issuance of convertible debts</t>
  </si>
  <si>
    <t>Capital injection from noncontrolling interest</t>
  </si>
  <si>
    <t>Proceeds from US IPO and concurrent private placements, net of issuance cost</t>
  </si>
  <si>
    <t>Proceeds from HK IPO, net of issuance cost</t>
  </si>
  <si>
    <t>Proceeds from exercise of share options</t>
  </si>
  <si>
    <t>Proceeds from issuance of ordi0ry shares</t>
  </si>
  <si>
    <t>Proceeds from follow-on offering, net of issuance cost</t>
  </si>
  <si>
    <t>Net cash provided by continuing fi0ncing activities</t>
  </si>
  <si>
    <t>Net cash provided by fi0ncing activities</t>
  </si>
  <si>
    <t>Effects of exchange rate changes on cash and cash equivalents and_x000D_restricted cash</t>
  </si>
  <si>
    <t>Net (decrease)/ increase in cash, cash equivalents and restricted cash</t>
  </si>
  <si>
    <t>Cash, cash equivalents and restricted cash at beginning of the year</t>
  </si>
  <si>
    <t>Cash, cash equivalents and restricted cash at end of the year</t>
  </si>
  <si>
    <t>Less: Cash, cash equivalents and restricted cash of discontinued_x000D_operations at end of the year</t>
  </si>
  <si>
    <t>Cash, cash equivalents and restricted cash of continuing operations_x000D_at end of the year</t>
  </si>
  <si>
    <t>Supplemental schedule of non-cash investing and fi0ncing activities</t>
  </si>
  <si>
    <t>Payable related to acquisition of Chongqing Zhizao</t>
  </si>
  <si>
    <t>Receivable from holders of Series B-2 convertible redeemable_x000D_preferred shares</t>
  </si>
  <si>
    <t>Payable related to purchase of property, plant and equipment</t>
  </si>
  <si>
    <t>Payables for issuance costs</t>
  </si>
  <si>
    <t>XPeng Inc - 小鹏汽车 | Income Statement (As Reported)</t>
  </si>
  <si>
    <t>Services and others</t>
  </si>
  <si>
    <t>Gross (loss) profit</t>
  </si>
  <si>
    <t>Research and development expenses</t>
  </si>
  <si>
    <t>Selling, general and administrative expenses</t>
  </si>
  <si>
    <t>Loss from operations</t>
  </si>
  <si>
    <t>Loss before income tax expenses</t>
  </si>
  <si>
    <t>Income tax expenses</t>
  </si>
  <si>
    <t>Accretion on Preferred Shares to redemption value</t>
  </si>
  <si>
    <t>Deemed dividend due to extinguishment of Preferred Shares</t>
  </si>
  <si>
    <t>Deemed dividend due to modification of Preferred Shares</t>
  </si>
  <si>
    <t>Deemed dividend due to reclassification from mezzanine equity to_x000D_ordi0ry shares upon extinguishment of Redeemable Shares</t>
  </si>
  <si>
    <t>Deemed contribution from repurchase of Preferred Shares</t>
  </si>
  <si>
    <t>Net loss attributable to ordi0ry shareholders of XPeng Inc.</t>
  </si>
  <si>
    <t>Other comprehensive loss</t>
  </si>
  <si>
    <t>Foreign currency translation adjustment, net of nil tax</t>
  </si>
  <si>
    <t>Total comprehensive loss attributable to XPeng Inc.</t>
  </si>
  <si>
    <t>Comprehensive loss attributable to ordi0ry shareholders of XPeng_x000D_Inc.</t>
  </si>
  <si>
    <t>Weighted average number of ordi0ry shares used in computing net_x000D_loss per ordi0ry share</t>
  </si>
  <si>
    <t>Basic and diluted</t>
  </si>
  <si>
    <t>Net loss per ordi0ry share attributable to ordi0ry shareholders</t>
  </si>
  <si>
    <t>XPeng Inc - 小鹏汽车 | Balance Sheet (As Reported)</t>
  </si>
  <si>
    <t>Short-term deposits</t>
  </si>
  <si>
    <t>Short-term investments</t>
  </si>
  <si>
    <t>Long-term deposits, current portion</t>
  </si>
  <si>
    <t>Accounts and notes receivable, net</t>
  </si>
  <si>
    <t>Current portion of installment payment receivables, net</t>
  </si>
  <si>
    <t>Amounts due from related parties</t>
  </si>
  <si>
    <t>Derivative assets</t>
  </si>
  <si>
    <t>Right-of-use assets</t>
  </si>
  <si>
    <t>Land use rights, net</t>
  </si>
  <si>
    <t>Installment payment receivables, net</t>
  </si>
  <si>
    <t>Long-term deposits</t>
  </si>
  <si>
    <t>Accounts and notes payable</t>
  </si>
  <si>
    <t>Current portion of lease liabilities</t>
  </si>
  <si>
    <t>Current portion of deferred revenue</t>
  </si>
  <si>
    <t>Current portion of long-term borrowings</t>
  </si>
  <si>
    <t>Fi0nce lease liabilities, current portion</t>
  </si>
  <si>
    <t>Accruals and other liabilities</t>
  </si>
  <si>
    <t>Income taxes payable</t>
  </si>
  <si>
    <t>Operating lease liabilities</t>
  </si>
  <si>
    <t>Fi0nce lease liabilities</t>
  </si>
  <si>
    <t>Derivative liabilities</t>
  </si>
  <si>
    <t>Series A convertible redeemable preferred shares</t>
  </si>
  <si>
    <t>Series B convertible redeemable preferred shares</t>
  </si>
  <si>
    <t>SHAREHOLDERS’ (DEFICIT) EQUITY</t>
  </si>
  <si>
    <t>Class C Ordi0ry shares</t>
  </si>
  <si>
    <t>Statutory reserve</t>
  </si>
  <si>
    <t>Total shareholders’ (deficit) equity</t>
  </si>
  <si>
    <t>Total liabilities, mezzanine equity and shareholders’ (deficit) equity</t>
  </si>
  <si>
    <t>XPeng Inc - 小鹏汽车 | Cash Flow (As Reported)</t>
  </si>
  <si>
    <t>Cash flows from operating activities</t>
  </si>
  <si>
    <t>Adjustments to reconcile net loss to net cash used in operating activities:</t>
  </si>
  <si>
    <t>Depreciation of property, plant and equipment</t>
  </si>
  <si>
    <t>Amortization of intangible assets</t>
  </si>
  <si>
    <t>Amortization of right-of-use assets</t>
  </si>
  <si>
    <t>Amortization of land use right</t>
  </si>
  <si>
    <t>Loss of disposal of property, plant and equipment</t>
  </si>
  <si>
    <t>Impairment of property, plant and equipment</t>
  </si>
  <si>
    <t>Impairment of accounts receivable</t>
  </si>
  <si>
    <t>Impairment of fi0nce lease receivables</t>
  </si>
  <si>
    <t>Impairment of other current assets</t>
  </si>
  <si>
    <t>Inventory write-downs</t>
  </si>
  <si>
    <t>Foreign exchange losses (gains)</t>
  </si>
  <si>
    <t>Share-based compensation</t>
  </si>
  <si>
    <t>Fair value gain on derivative assets or derivative liabilities</t>
  </si>
  <si>
    <t>Changes in operating assets and liabilities, net of business acquisition:</t>
  </si>
  <si>
    <t>Lease liabilities</t>
  </si>
  <si>
    <t>Fi0nce lease receivables</t>
  </si>
  <si>
    <t>Net cash used in operating activities</t>
  </si>
  <si>
    <t>Cash flows from investing activities</t>
  </si>
  <si>
    <t>(Placement) maturities of term deposits</t>
  </si>
  <si>
    <t>(Placement) maturities of short-term investments</t>
  </si>
  <si>
    <t>Placement of long-term deposits</t>
  </si>
  <si>
    <t>Purchase of property, plant and equipment</t>
  </si>
  <si>
    <t>Receipt of government subsidy related to assets</t>
  </si>
  <si>
    <t>Maturities of derivative assets or derivative liabilities</t>
  </si>
  <si>
    <t>Purchase of intangible assets</t>
  </si>
  <si>
    <t>Purchase of land use right</t>
  </si>
  <si>
    <t>Prepayment for acquisition of assets</t>
  </si>
  <si>
    <t>Prepayments for subscription of equity securities</t>
  </si>
  <si>
    <t>Prepayment for acquisition of land use rights</t>
  </si>
  <si>
    <t>Disposal of equity investment in a company</t>
  </si>
  <si>
    <t>Cash paid for long-term investment</t>
  </si>
  <si>
    <t>Net cash (used in) provided by investing activities</t>
  </si>
  <si>
    <t>Cash flows from fi0ncing activities</t>
  </si>
  <si>
    <t>Proceeds from issuance of convertible redeemable Preferred Shares</t>
  </si>
  <si>
    <t>Proceeds from IPO, net of issurance cost</t>
  </si>
  <si>
    <t>Proceeds from FO, net of issurance cost</t>
  </si>
  <si>
    <t>Proceeds from Global Offering, net of issuance costs</t>
  </si>
  <si>
    <t>Repayment of borrowings</t>
  </si>
  <si>
    <t>Loans from a related party</t>
  </si>
  <si>
    <t>Repayment of loans to a related party</t>
  </si>
  <si>
    <t>Repurchase of Preferred Shares</t>
  </si>
  <si>
    <t>Proceeds from noncontrolling interests</t>
  </si>
  <si>
    <t>Payments of listing expenses</t>
  </si>
  <si>
    <t>Effects of exchange rate changes on cash, cash equivalents and restricted cash</t>
  </si>
  <si>
    <t>Net increase in cash, cash equivalents and restricted cash</t>
  </si>
  <si>
    <t>Supplemental disclosure of cash flows information</t>
  </si>
  <si>
    <t>Cash paid for interest, net of amounts capitalized</t>
  </si>
  <si>
    <t>Acquisition of property, plant and equipment included in liabilities</t>
  </si>
  <si>
    <t>NIO Inc. - 蔚来集团 | Income Statement (As Reported)</t>
  </si>
  <si>
    <t>Revenues - Vehicle Sales</t>
  </si>
  <si>
    <t>Revenue-other Sales</t>
  </si>
  <si>
    <t>Other Sales</t>
  </si>
  <si>
    <t>Cost of Sales Other Sales</t>
  </si>
  <si>
    <t>Cost of Sales - Vehicle Sales</t>
  </si>
  <si>
    <t>Total Expenses</t>
  </si>
  <si>
    <t>Other Operating (Loss) Income, Net</t>
  </si>
  <si>
    <t>Accretion on Convertible Redeemable Preferred Shares to Redemption Value</t>
  </si>
  <si>
    <t>Accretion on Redeemable Non-controlling Interests to Redemption Value</t>
  </si>
  <si>
    <t>NIO Inc. - 蔚来集团 | Balance Sheet (As Reported)</t>
  </si>
  <si>
    <t>Short-term Investments</t>
  </si>
  <si>
    <t>Trade Receivables</t>
  </si>
  <si>
    <t>Trade Notes Receivable</t>
  </si>
  <si>
    <t>Trade Notes Receivable, Net</t>
  </si>
  <si>
    <t>Amounts Due from Related Parties</t>
  </si>
  <si>
    <t>Amount Due from Related Parties, Net</t>
  </si>
  <si>
    <t>Prepayments and Other Current Assets</t>
  </si>
  <si>
    <t>Prepayments and Other Current Assets, net</t>
  </si>
  <si>
    <t>Expected Credit Loss Provision Current</t>
  </si>
  <si>
    <t>Right of Use Assets - Operating Leases</t>
  </si>
  <si>
    <t>Long-term Investments</t>
  </si>
  <si>
    <t>Land Use Rights, Net</t>
  </si>
  <si>
    <t>Long-term Restricted Cash</t>
  </si>
  <si>
    <t>Other Non-current Assets (Net)</t>
  </si>
  <si>
    <t>Expected Credit Loss Provision Non-current</t>
  </si>
  <si>
    <t>Trade Payables</t>
  </si>
  <si>
    <t>Trade Notes and Payables</t>
  </si>
  <si>
    <t>Accruals and Other Liabilities</t>
  </si>
  <si>
    <t>Current Portion of Long-term Borrowings</t>
  </si>
  <si>
    <t>Current Portion of Operating Lease Liabilities</t>
  </si>
  <si>
    <t>Amounts Due to Related-parties</t>
  </si>
  <si>
    <t>Noncurrent Operating Lease Liabilities</t>
  </si>
  <si>
    <t>Redeemable Noncontrolling Interests</t>
  </si>
  <si>
    <t>Additional Paid in Capital</t>
  </si>
  <si>
    <t>Treasury Stock - Common</t>
  </si>
  <si>
    <t>Accumulated Other Comprehensive (Loss) income</t>
  </si>
  <si>
    <t>NIO Inc. - 蔚来集团 | Cash Flow (As Reported)</t>
  </si>
  <si>
    <t>Supplyment</t>
  </si>
  <si>
    <t>Net Loss</t>
  </si>
  <si>
    <t>D&amp;A for PP&amp;E</t>
  </si>
  <si>
    <t>Amort. Of Intangible Asset</t>
  </si>
  <si>
    <t>Marginal depreciation</t>
  </si>
  <si>
    <t>Amortization of Right of Use Assets</t>
  </si>
  <si>
    <t>Operating Lease Asset</t>
  </si>
  <si>
    <t>Loss on Disposals of Property, Plant, and Equipment</t>
  </si>
  <si>
    <t>Gain from Disposal of an Equity Investee</t>
  </si>
  <si>
    <t>Share of Profit/losses of Equity Investees, Net of Tax</t>
  </si>
  <si>
    <t>Share of Losses/(profits) of Equity Investees, Net of Tax</t>
  </si>
  <si>
    <t>Share of loss/(income) of equity investees, net of tax</t>
  </si>
  <si>
    <t>Share-based Compensation Expense</t>
  </si>
  <si>
    <t>Impairment on Long-term Assets</t>
  </si>
  <si>
    <t>Expected Credit Loss Expense</t>
  </si>
  <si>
    <t>Allowance Against Receivables</t>
  </si>
  <si>
    <t>Foreign Exchange Loss</t>
  </si>
  <si>
    <t>Foreign Exchange Gain/loss</t>
  </si>
  <si>
    <t>Gain on Extinguishment of Debt</t>
  </si>
  <si>
    <t>Operating Lease Liabilities</t>
  </si>
  <si>
    <t>Impairment on Other Assets</t>
  </si>
  <si>
    <t>Inventory Write-down</t>
  </si>
  <si>
    <t>Trade Notes Payable</t>
  </si>
  <si>
    <t>Amounts Due to Related Parties</t>
  </si>
  <si>
    <t>Purchase of Property, Plant and Equipment and Intangible Assets</t>
  </si>
  <si>
    <t>Purchases of Property, Plant and Equipment, Land Use Rights and Intangible Assets</t>
  </si>
  <si>
    <t>Proceeds from Sales of Short-term Investments</t>
  </si>
  <si>
    <t>Purchases of Short-term Investment</t>
  </si>
  <si>
    <t>Acquisition of Equity Investee</t>
  </si>
  <si>
    <t>Proceeds from Disposal of Equity Investees</t>
  </si>
  <si>
    <t>Proceeds from Disposal of an Equity Investee</t>
  </si>
  <si>
    <t>Acquisitions of Equity Investees and Equity Security Investments</t>
  </si>
  <si>
    <t>Purchases of Held-to-maturity Debt Investments</t>
  </si>
  <si>
    <t>Proceeds from Disposal of Available for Sale Debt Investments</t>
  </si>
  <si>
    <t>Purchases of Available for Sale Debt Investments</t>
  </si>
  <si>
    <t>Loans to Related Parties</t>
  </si>
  <si>
    <t>Loans (Repayments) from Related Parties</t>
  </si>
  <si>
    <t>Financing Activities</t>
  </si>
  <si>
    <t>Repayments of Non-recourse Loans</t>
  </si>
  <si>
    <t>Proceeds from Borrowings from Third Parties</t>
  </si>
  <si>
    <t>Repayment of Borrowings-third Parties</t>
  </si>
  <si>
    <t>Repayment of Borrowings from Third Parties</t>
  </si>
  <si>
    <t>Proceeds from Borrowing from Related Parties</t>
  </si>
  <si>
    <t>Repayment of Borrowing from Related Parties</t>
  </si>
  <si>
    <t>Principal Payments on Finance Lease</t>
  </si>
  <si>
    <t>Proceeds from Issuance of Convertible Promissory Notes - Related Parties</t>
  </si>
  <si>
    <t>Proceeds from Issuance of Convertible Promissory Note - Third Parties</t>
  </si>
  <si>
    <t>Proceeds from Issuance of Ordi0ry Shares, Net</t>
  </si>
  <si>
    <t>Proceeds from Issuance of Ordinary Shares, Net</t>
  </si>
  <si>
    <t>Proceeds from Issuance of Ordi0ry Shares, Net of Issuance Costs</t>
  </si>
  <si>
    <t>Proceeds from Issuance of Ordinary Shares, Net of Issuance Costs</t>
  </si>
  <si>
    <t>Proceeds from Exercise of Stock Options</t>
  </si>
  <si>
    <t>Repurchase of Restricted Shares</t>
  </si>
  <si>
    <t>Proceeds from Collection of Receivable from a Holder of Series D Convertible Redeemable Preferred Shares</t>
  </si>
  <si>
    <t>Capital Injection from Non-controlling Interests</t>
  </si>
  <si>
    <t>Proceeds from Issuance of Redeemable Non Controlling Interest</t>
  </si>
  <si>
    <t>Capital Withdrawal By Non-controlling Interest</t>
  </si>
  <si>
    <t>Capital Injection from Redeemable Non-controlling Interests</t>
  </si>
  <si>
    <t>Redemption and Repurchase of Redeemable Non-controlling Interests</t>
  </si>
  <si>
    <t>Deposit from Non Controlling Interest</t>
  </si>
  <si>
    <t>Distribution to Non-controlling Interests</t>
  </si>
  <si>
    <t>Cash Flow from Financing Activities</t>
  </si>
  <si>
    <t>Adjustment</t>
  </si>
  <si>
    <t>Concerns</t>
  </si>
  <si>
    <t>TSLA</t>
  </si>
  <si>
    <t>Price actual</t>
  </si>
  <si>
    <t>CFO almost triple NI since 2020</t>
  </si>
  <si>
    <t>PE actual</t>
  </si>
  <si>
    <t>Required rate of return (own)</t>
  </si>
  <si>
    <t>Required rate of return (market)</t>
  </si>
  <si>
    <t>PE reasonable</t>
  </si>
  <si>
    <t>Buying price</t>
  </si>
  <si>
    <t>Pt-1=Pt/(1+Rmin)</t>
  </si>
  <si>
    <t>reasonable value</t>
  </si>
  <si>
    <t>Pt-1=Pt/(1+Rm)</t>
  </si>
  <si>
    <t>Upside:</t>
  </si>
  <si>
    <t>%GM</t>
  </si>
  <si>
    <t>Auto</t>
  </si>
  <si>
    <t>Services</t>
  </si>
  <si>
    <t>Energy</t>
  </si>
  <si>
    <t>FSD</t>
  </si>
  <si>
    <t>booming; global market leader</t>
  </si>
  <si>
    <t>Auto driven; loss making</t>
  </si>
  <si>
    <t xml:space="preserve"> </t>
  </si>
  <si>
    <t>booming; USA only; low margin</t>
  </si>
  <si>
    <t>BYD (1211.HK)</t>
  </si>
  <si>
    <t>EPS (HKD)</t>
  </si>
  <si>
    <t>market price/EPS</t>
  </si>
  <si>
    <t>reasonable price/EPS</t>
  </si>
  <si>
    <t>EPS*PE_Reasonable/(1+25%)</t>
  </si>
  <si>
    <t>EPS*PE_Reasonable/(1+10%)</t>
  </si>
  <si>
    <t>Batteries</t>
  </si>
  <si>
    <t>Assembly</t>
  </si>
  <si>
    <t>booming; medium margin; catcher up</t>
  </si>
  <si>
    <t>low margin</t>
  </si>
  <si>
    <t>booming; brand not outstanding; regional player</t>
  </si>
  <si>
    <t xml:space="preserve">EPS($) </t>
  </si>
  <si>
    <t>2021收盘</t>
  </si>
  <si>
    <t>2022收盘</t>
  </si>
  <si>
    <t>required rate of return</t>
  </si>
  <si>
    <t>PE</t>
  </si>
  <si>
    <t>required rate of return (market)</t>
  </si>
  <si>
    <t>booming; niche player; execution questionable</t>
  </si>
  <si>
    <t>Auto driven</t>
  </si>
  <si>
    <t>EPS (CNY)</t>
  </si>
  <si>
    <t>EPS (USD)</t>
  </si>
  <si>
    <t>exchange rate</t>
  </si>
  <si>
    <t>Buying price (USD)</t>
  </si>
  <si>
    <t>reasonable value (USD)</t>
  </si>
  <si>
    <t>booming; SUV market leader</t>
  </si>
  <si>
    <t>BPS</t>
  </si>
  <si>
    <t>DPS</t>
  </si>
  <si>
    <t>million $</t>
  </si>
  <si>
    <t>Financial cost</t>
  </si>
  <si>
    <t>thousand $</t>
  </si>
  <si>
    <t>Delivery</t>
  </si>
  <si>
    <t>ROE</t>
  </si>
  <si>
    <t>P/E</t>
  </si>
  <si>
    <t>117.27​</t>
  </si>
  <si>
    <t>104.02​</t>
  </si>
  <si>
    <t>Ressonable price</t>
  </si>
  <si>
    <t>Note</t>
  </si>
  <si>
    <t>Added CA, updated est. for ASP, capacity, period cost</t>
  </si>
  <si>
    <t>Upward adj. 2022 deliveries</t>
  </si>
  <si>
    <t>thousand ￥</t>
  </si>
  <si>
    <t>NP per car (CNY)</t>
  </si>
  <si>
    <t>Subsidy per car (CNY)</t>
  </si>
  <si>
    <t>Reasonable price</t>
  </si>
  <si>
    <t>Li</t>
    <phoneticPr fontId="4" type="noConversion"/>
  </si>
  <si>
    <t>至12月31日</t>
  </si>
  <si>
    <t>单位：百万，RMB</t>
  </si>
  <si>
    <t>资产负债表</t>
  </si>
  <si>
    <t>现金流量表</t>
  </si>
  <si>
    <t>流动资产</t>
  </si>
  <si>
    <t>净利润</t>
  </si>
  <si>
    <t>现金、等价物和证券</t>
  </si>
  <si>
    <t>折旧和摊销</t>
  </si>
  <si>
    <t>应收帐款</t>
  </si>
  <si>
    <t>应收账款</t>
  </si>
  <si>
    <t>存货</t>
  </si>
  <si>
    <t>其他流动资产</t>
  </si>
  <si>
    <t>非流动资产</t>
  </si>
  <si>
    <t>应付账款</t>
  </si>
  <si>
    <t>固定资产</t>
  </si>
  <si>
    <t>股权投资损益</t>
  </si>
  <si>
    <t>累计折旧摊销</t>
  </si>
  <si>
    <t>经营租赁车辆</t>
  </si>
  <si>
    <t>经营租赁资产</t>
  </si>
  <si>
    <t>股权激励</t>
  </si>
  <si>
    <t>投资</t>
  </si>
  <si>
    <t>其他流动负债</t>
  </si>
  <si>
    <t>商誉</t>
  </si>
  <si>
    <t>其他事项或调整</t>
  </si>
  <si>
    <t>无形资产</t>
  </si>
  <si>
    <t>经营活动现金流量</t>
  </si>
  <si>
    <t>其他资产</t>
  </si>
  <si>
    <t>购买固定资产</t>
  </si>
  <si>
    <t>总资产</t>
  </si>
  <si>
    <t>太阳能和租赁车辆投资</t>
  </si>
  <si>
    <t>流动负债</t>
  </si>
  <si>
    <t>企业收购和股权投资</t>
  </si>
  <si>
    <t>其他事项</t>
  </si>
  <si>
    <t>一年内到期债务</t>
  </si>
  <si>
    <t>投资活动现金流量</t>
  </si>
  <si>
    <t>有限公司的借款</t>
  </si>
  <si>
    <t>非流动负债</t>
  </si>
  <si>
    <t>股东出资</t>
  </si>
  <si>
    <t>长期贷款</t>
  </si>
  <si>
    <t>其他事项(回购和LP发行)</t>
  </si>
  <si>
    <t>其他负债</t>
  </si>
  <si>
    <t>股东分红及优先股股息</t>
  </si>
  <si>
    <t>总负债</t>
  </si>
  <si>
    <t>筹资活动现金流量</t>
  </si>
  <si>
    <t>普通股</t>
  </si>
  <si>
    <t>汇率变动对现金的影响</t>
  </si>
  <si>
    <t>库存股</t>
  </si>
  <si>
    <t>现金净增加额</t>
  </si>
  <si>
    <t>留存收益</t>
  </si>
  <si>
    <t>期初现金余额</t>
  </si>
  <si>
    <t>优先股和少数股东权益</t>
  </si>
  <si>
    <t>期末现金余额</t>
  </si>
  <si>
    <t>累计其他综合收入</t>
  </si>
  <si>
    <t>股东权益</t>
  </si>
  <si>
    <t>主要财务比率</t>
  </si>
  <si>
    <t>总负债和股东权益</t>
  </si>
  <si>
    <t>成长能力</t>
  </si>
  <si>
    <t>营业收入增长</t>
  </si>
  <si>
    <t>利润表</t>
  </si>
  <si>
    <t>营业利润增长</t>
  </si>
  <si>
    <t>营业收入</t>
  </si>
  <si>
    <t>归母净利润增长</t>
  </si>
  <si>
    <t>汽车业务</t>
  </si>
  <si>
    <t>获利能力</t>
  </si>
  <si>
    <t>其他业务</t>
  </si>
  <si>
    <t>毛利率</t>
  </si>
  <si>
    <t>营业成本</t>
  </si>
  <si>
    <t>净利率</t>
  </si>
  <si>
    <t>ROA</t>
  </si>
  <si>
    <t>总利润</t>
  </si>
  <si>
    <t>偿债能力</t>
  </si>
  <si>
    <t>营业费用</t>
  </si>
  <si>
    <t>资产负债率</t>
  </si>
  <si>
    <t>一般销售和管理费用</t>
  </si>
  <si>
    <t>净负债比率</t>
  </si>
  <si>
    <t>研发投入</t>
  </si>
  <si>
    <t>流动比率</t>
  </si>
  <si>
    <t>其他费用</t>
  </si>
  <si>
    <t>速动比率</t>
  </si>
  <si>
    <t>营业利润</t>
  </si>
  <si>
    <t>营运能力</t>
  </si>
  <si>
    <t>财务成本</t>
  </si>
  <si>
    <t>总资产周转率</t>
  </si>
  <si>
    <t>营业外收支</t>
  </si>
  <si>
    <t>应收帐款周转率</t>
  </si>
  <si>
    <t>税前利润</t>
  </si>
  <si>
    <t>存货周转率</t>
  </si>
  <si>
    <t>税费</t>
  </si>
  <si>
    <t>每股指标（元）</t>
  </si>
  <si>
    <t>归属股东净利润</t>
  </si>
  <si>
    <t>每股收益</t>
  </si>
  <si>
    <t>每股经营现金流</t>
  </si>
  <si>
    <t>每股净资产</t>
  </si>
  <si>
    <t>估值比率</t>
  </si>
  <si>
    <t>P/B</t>
  </si>
  <si>
    <t>EBIT Margin</t>
  </si>
  <si>
    <t>EBITDA Margin</t>
  </si>
  <si>
    <t>[NIO] Financial Forecast</t>
  </si>
  <si>
    <t>(All amounts in thousands, except for share and per share data)</t>
  </si>
  <si>
    <t>ver. 1.0</t>
  </si>
  <si>
    <t>￥</t>
  </si>
  <si>
    <t>Actual</t>
  </si>
  <si>
    <t>Forecast</t>
  </si>
  <si>
    <t>Income Statement</t>
  </si>
  <si>
    <t>Vehical sales</t>
  </si>
  <si>
    <t>Other sales</t>
  </si>
  <si>
    <t>Total COGS</t>
  </si>
  <si>
    <t>-</t>
  </si>
  <si>
    <t>Operating expense</t>
  </si>
  <si>
    <t>Selling General &amp; Admin Exp.</t>
  </si>
  <si>
    <t>Manual Adjustments</t>
  </si>
  <si>
    <t>Total operating expense</t>
  </si>
  <si>
    <t>including: Interest income and investment income, net</t>
  </si>
  <si>
    <t>Tax benefit/ (expense)</t>
  </si>
  <si>
    <t>Net income attr. To owner</t>
  </si>
  <si>
    <t>Weighted average number of ordinary shares (Basic and diluted）</t>
  </si>
  <si>
    <t>Balance Sheet</t>
  </si>
  <si>
    <t>From CF</t>
  </si>
  <si>
    <t>LY * seq. revenue growth</t>
  </si>
  <si>
    <t>LY * seq. COGS growth</t>
  </si>
  <si>
    <t>LY * seq. OpEx growth</t>
  </si>
  <si>
    <t>LY - depreciation - CapEx</t>
  </si>
  <si>
    <t xml:space="preserve">       Accumulated D&amp;A</t>
  </si>
  <si>
    <t>check item</t>
  </si>
  <si>
    <t>PP&amp;E, original value</t>
  </si>
  <si>
    <t>LY - lease purchase</t>
  </si>
  <si>
    <t>LY</t>
  </si>
  <si>
    <t>LY - amortization of intangibles</t>
  </si>
  <si>
    <t>Total noncurrent assets</t>
  </si>
  <si>
    <t>From Other Assets</t>
  </si>
  <si>
    <t>LY + SBC</t>
  </si>
  <si>
    <t>LY + other items/2</t>
  </si>
  <si>
    <t>LY + NI+distribution to shareholders</t>
  </si>
  <si>
    <t>LY + Net settlement to minorities and prefered</t>
  </si>
  <si>
    <t>LY+other items/2</t>
  </si>
  <si>
    <t>Other equity</t>
  </si>
  <si>
    <t>Total shareholders’ equity</t>
  </si>
  <si>
    <t>Total liabilities and shareholders’ equity</t>
  </si>
  <si>
    <t>Cash Flow Statement</t>
  </si>
  <si>
    <t>Assumptions:</t>
  </si>
  <si>
    <t xml:space="preserve">   Depreciation &amp; Amort. For PP&amp;E</t>
  </si>
  <si>
    <t>D&amp;A % of revenue</t>
  </si>
  <si>
    <t>Appropriate downward adjustment of levels</t>
  </si>
  <si>
    <t>Change in B/S</t>
  </si>
  <si>
    <t>OLA</t>
  </si>
  <si>
    <t>SBC</t>
  </si>
  <si>
    <t>Cash from operating activities</t>
  </si>
  <si>
    <t>Capex % of revenue</t>
  </si>
  <si>
    <r>
      <t xml:space="preserve">Change in B/S: </t>
    </r>
    <r>
      <rPr>
        <i/>
        <sz val="10"/>
        <color theme="1"/>
        <rFont val="Calibri (Body)"/>
      </rPr>
      <t>LT+ST</t>
    </r>
  </si>
  <si>
    <t>Cash from financing activities</t>
  </si>
  <si>
    <t>Effect of exch. rate changes on cash</t>
  </si>
  <si>
    <t>Net (decrease) increase in cash</t>
  </si>
  <si>
    <t>Cash and equiv. at beginning of period</t>
  </si>
  <si>
    <t>Cash and equiv. at end of period</t>
  </si>
  <si>
    <t>[Li] Financial Forecast</t>
  </si>
  <si>
    <t>Other/Manual Adjustments</t>
  </si>
  <si>
    <t>(￥)</t>
  </si>
  <si>
    <t>Revenue Y/Y growth</t>
  </si>
  <si>
    <t>COGS %</t>
  </si>
  <si>
    <t>GM %</t>
  </si>
  <si>
    <t>OpEx %</t>
  </si>
  <si>
    <t>OI %</t>
  </si>
  <si>
    <t>Pre-tax margin</t>
  </si>
  <si>
    <t>Tax rate %</t>
  </si>
  <si>
    <t>Net margin</t>
  </si>
  <si>
    <t>LY + change in other assets</t>
  </si>
  <si>
    <t>Net cash provided by discontinued operating activities</t>
  </si>
  <si>
    <t>Net cash provided by operating activities</t>
  </si>
  <si>
    <t>Cap. Lease %</t>
  </si>
  <si>
    <t>Net Cash from investing activities</t>
  </si>
  <si>
    <r>
      <t xml:space="preserve">Change in B/S: </t>
    </r>
    <r>
      <rPr>
        <i/>
        <sz val="10"/>
        <color rgb="FFFF0000"/>
        <rFont val="Calibri (Body)"/>
      </rPr>
      <t>LT+ST</t>
    </r>
  </si>
  <si>
    <t>Prefered shares &amp; minority average annual decline</t>
  </si>
  <si>
    <t>Li Auto Summary Table</t>
  </si>
  <si>
    <t>CNY in Thousands, Except Per Share Data</t>
  </si>
  <si>
    <t>2019A</t>
  </si>
  <si>
    <t>2020A</t>
  </si>
  <si>
    <t>2021A</t>
  </si>
  <si>
    <t>2022A</t>
  </si>
  <si>
    <t xml:space="preserve">Revenue </t>
  </si>
  <si>
    <t xml:space="preserve">   % chg y/y</t>
  </si>
  <si>
    <t>Vehical Gross Margin</t>
  </si>
  <si>
    <t>Total Gross Margin</t>
  </si>
  <si>
    <t>Total Opex</t>
  </si>
  <si>
    <t xml:space="preserve">   as % of sales</t>
  </si>
  <si>
    <t xml:space="preserve">   EBT MARGIN</t>
  </si>
  <si>
    <t>Net Income</t>
  </si>
  <si>
    <t>Cash</t>
  </si>
  <si>
    <t>Debt</t>
  </si>
  <si>
    <t>Net Debt</t>
  </si>
  <si>
    <t>Net Leverage (ttm)</t>
  </si>
  <si>
    <t>Operating Cash Flow</t>
  </si>
  <si>
    <t>Capital Expenditure</t>
  </si>
  <si>
    <t>Free Cash Flow</t>
  </si>
  <si>
    <t>Dividends</t>
  </si>
  <si>
    <t>Share reupurchases</t>
  </si>
  <si>
    <t>[BYD] Financial Forecast</t>
  </si>
  <si>
    <t>ver. 2.0</t>
  </si>
  <si>
    <t>Rechargeable Batteries &amp; Photovoltaic Business</t>
  </si>
  <si>
    <t>Automobiles &amp; Related Products</t>
  </si>
  <si>
    <t>Implementation</t>
  </si>
  <si>
    <t>Fixed</t>
  </si>
  <si>
    <t>R&amp;D</t>
  </si>
  <si>
    <t>Financial Cost</t>
  </si>
  <si>
    <t>1h turned negative</t>
  </si>
  <si>
    <t>Other income/(expense), net</t>
  </si>
  <si>
    <t>Pre-tax income</t>
  </si>
  <si>
    <t>Tax expense</t>
  </si>
  <si>
    <t>Minority interest+Prefered share dividend</t>
  </si>
  <si>
    <t>Operating leased vehicles</t>
  </si>
  <si>
    <t>Amt. of software %</t>
  </si>
  <si>
    <t>Cash from investing activities</t>
  </si>
  <si>
    <t>Translate</t>
  </si>
  <si>
    <t>assumed variable type</t>
  </si>
  <si>
    <t>Formula &amp; Assumptions</t>
  </si>
  <si>
    <t>thosand</t>
  </si>
  <si>
    <t>Financial expense</t>
  </si>
  <si>
    <t>Net loss attributable to ordinary shareholders of Li Auto Inc.</t>
  </si>
  <si>
    <t>Net loss from continuing operations attributable to ordinary_x000D_ shareholders</t>
  </si>
  <si>
    <t>Net (loss)/income from discontinued operations attributable _x000D_to ordinary shareholders</t>
  </si>
  <si>
    <t>Comprehensive loss attributable to ordinary shareholders of Li Auto_x000D_ Inc.</t>
  </si>
  <si>
    <t>Net earnings/(loss) per ADS attributable to ordinary shareholders</t>
  </si>
  <si>
    <t>Weighted average number of ordinary shares</t>
  </si>
  <si>
    <t>Net earnings/(loss) per share attributable to ordinary shareholders</t>
  </si>
  <si>
    <t>thousand</t>
  </si>
  <si>
    <t xml:space="preserve">dependent </t>
  </si>
  <si>
    <t xml:space="preserve">C,E,&amp;Q at beginning+C,E this year
assume no change in securities </t>
  </si>
  <si>
    <t>independent</t>
  </si>
  <si>
    <r>
      <t xml:space="preserve">assume increase rate same as </t>
    </r>
    <r>
      <rPr>
        <b/>
        <sz val="11"/>
        <color theme="1"/>
        <rFont val="等线"/>
        <family val="2"/>
        <scheme val="minor"/>
      </rPr>
      <t>revenue</t>
    </r>
    <r>
      <rPr>
        <sz val="11"/>
        <color theme="1"/>
        <rFont val="等线"/>
        <family val="2"/>
        <scheme val="minor"/>
      </rPr>
      <t xml:space="preserve"> increase rate</t>
    </r>
  </si>
  <si>
    <r>
      <t xml:space="preserve">assume increase rate same as </t>
    </r>
    <r>
      <rPr>
        <b/>
        <sz val="11"/>
        <color theme="1"/>
        <rFont val="等线"/>
        <family val="2"/>
        <scheme val="minor"/>
      </rPr>
      <t>COGS</t>
    </r>
    <r>
      <rPr>
        <sz val="11"/>
        <color theme="1"/>
        <rFont val="等线"/>
        <family val="2"/>
        <scheme val="minor"/>
      </rPr>
      <t xml:space="preserve"> increase rate</t>
    </r>
  </si>
  <si>
    <r>
      <t xml:space="preserve">assume increase rate same as </t>
    </r>
    <r>
      <rPr>
        <b/>
        <sz val="11"/>
        <color theme="1"/>
        <rFont val="等线"/>
        <family val="2"/>
        <scheme val="minor"/>
      </rPr>
      <t>Opex</t>
    </r>
    <r>
      <rPr>
        <sz val="11"/>
        <color theme="1"/>
        <rFont val="等线"/>
        <family val="2"/>
        <scheme val="minor"/>
      </rPr>
      <t xml:space="preserve"> increase rate</t>
    </r>
  </si>
  <si>
    <t>dependent</t>
  </si>
  <si>
    <t>BS (Investments at beginning) - CF (Business acq.&amp;equity inv.) - CF (Gain/Loss on Equity Investment)</t>
  </si>
  <si>
    <t>BS (PP&amp;E, net at beginning) - CF (D&amp;A for PP&amp;E) - CF (Purchases of PP&amp;E)
assume no disposal of PP&amp;E</t>
  </si>
  <si>
    <t>BS (OLA at the beginning)-CF (OLA)</t>
  </si>
  <si>
    <t>BS (Intangible assets at beginning) - CF (amortization of intangible assets)
assume no increase in intangible asset</t>
  </si>
  <si>
    <t>assume no change as last year</t>
  </si>
  <si>
    <r>
      <t>assume increase rate same as</t>
    </r>
    <r>
      <rPr>
        <b/>
        <sz val="11"/>
        <color theme="1"/>
        <rFont val="等线"/>
        <family val="2"/>
        <scheme val="minor"/>
      </rPr>
      <t xml:space="preserve"> Opex</t>
    </r>
    <r>
      <rPr>
        <sz val="11"/>
        <color theme="1"/>
        <rFont val="等线"/>
        <family val="2"/>
        <scheme val="minor"/>
      </rPr>
      <t xml:space="preserve"> increase rate</t>
    </r>
  </si>
  <si>
    <t>Finance lease liabilities, current</t>
  </si>
  <si>
    <t>assume a decrease rate at 0.9 per year</t>
  </si>
  <si>
    <r>
      <t>BS (Other liabilities at beginning)+BS</t>
    </r>
    <r>
      <rPr>
        <b/>
        <sz val="11"/>
        <color theme="1"/>
        <rFont val="等线"/>
        <family val="2"/>
        <scheme val="minor"/>
      </rPr>
      <t xml:space="preserve"> change</t>
    </r>
    <r>
      <rPr>
        <sz val="11"/>
        <color theme="1"/>
        <rFont val="等线"/>
        <family val="2"/>
        <scheme val="minor"/>
      </rPr>
      <t xml:space="preserve"> in (Other assets)</t>
    </r>
  </si>
  <si>
    <t>Finance lease liabilities, non-current</t>
  </si>
  <si>
    <t>EQUITY</t>
  </si>
  <si>
    <t>Class A Ordinary shares</t>
  </si>
  <si>
    <t>BS (Common stock &amp; add"tl PIC at beginning) + CF ( Stock-based compensation)</t>
  </si>
  <si>
    <t>Class B Ordinary shares</t>
  </si>
  <si>
    <t>Additional paid-in capital</t>
  </si>
  <si>
    <t>BS (Treasury shares at beginning) + CF (Other items(mainly repurchase and LP distri)/2</t>
  </si>
  <si>
    <t>BS (Accum. other comp. (loss) income) + CF (Other items(mainly repurchase and LP distri)/2</t>
  </si>
  <si>
    <t>BS (Retaned earnings at beginning) + CF (Net income)+CF (Other items or adj. from operating CF)+CF (Distributions to stock holders and preferred dividentds)</t>
  </si>
  <si>
    <t>IS (Net income/(loss))</t>
  </si>
  <si>
    <t>Total D&amp;A/Total revenue refer to 2023Q3, and D&amp;A for PP&amp;E=Total D&amp;A-Amort. For intangible</t>
  </si>
  <si>
    <t>Amortization for intangible assets</t>
  </si>
  <si>
    <t>assume the ratio Amort. for intangible/Total D&amp;A=MA3</t>
  </si>
  <si>
    <t>Inverse of BS Other current liabilities (at end-at beginning)</t>
  </si>
  <si>
    <t>would change as disposal of PP&amp;E change, and we assume no disposal of PP&amp;E</t>
  </si>
  <si>
    <t>Inverse of BS Other current assets (at end-at beginning)</t>
  </si>
  <si>
    <t>Inverse of BS Inventory (at end-at beginning)</t>
  </si>
  <si>
    <t>Inverse of BS Accounts receivable (at end-at beginning)</t>
  </si>
  <si>
    <t>BS Accounts payable (at end-at beginning)</t>
  </si>
  <si>
    <t>Inverse of IS (financial expenses)
assume that merely financial expenses change in Other items</t>
  </si>
  <si>
    <t xml:space="preserve">assume capex % of revenue refer to 2023Q3 </t>
  </si>
  <si>
    <t>Placement of long-term financial instruments</t>
  </si>
  <si>
    <t>assume zero</t>
  </si>
  <si>
    <t>CASH FLOWS FROM FINANCING ACTIVITIES</t>
  </si>
  <si>
    <t>BS debt due within 1 year (at end-at beginning)+BS long-term debt (at end-at beginning)</t>
  </si>
  <si>
    <t>Proceeds from issuance of ordinary shares</t>
  </si>
  <si>
    <t>Net cash provided by continuing financing activities</t>
  </si>
  <si>
    <t>Net cash provided by financing activities</t>
  </si>
  <si>
    <t>FSD unit sales by region</t>
  </si>
  <si>
    <t>Q4 2016</t>
  </si>
  <si>
    <t>Q1 2017</t>
  </si>
  <si>
    <t>Q2 2017</t>
  </si>
  <si>
    <t>Q3 2017</t>
  </si>
  <si>
    <t>Q4 2017</t>
  </si>
  <si>
    <t>Q1 2018</t>
  </si>
  <si>
    <t>Q2 2018</t>
  </si>
  <si>
    <t>Q3 2018</t>
  </si>
  <si>
    <t>Q4 2018</t>
  </si>
  <si>
    <t>Q1 2019</t>
  </si>
  <si>
    <t>Q2 2019</t>
  </si>
  <si>
    <t>Q3 2019</t>
  </si>
  <si>
    <t>Q4 2019</t>
  </si>
  <si>
    <t>Q1 2020</t>
  </si>
  <si>
    <t>Q2 2020</t>
  </si>
  <si>
    <t>Q3 2020</t>
  </si>
  <si>
    <t>Q4 2020</t>
  </si>
  <si>
    <t>Q1 2021</t>
  </si>
  <si>
    <t>Q2 2021</t>
  </si>
  <si>
    <t>Q3 2021</t>
  </si>
  <si>
    <t>Q4 2021</t>
  </si>
  <si>
    <t>Q1 2022</t>
  </si>
  <si>
    <t>Q2 2022</t>
  </si>
  <si>
    <t>Q3 2022</t>
  </si>
  <si>
    <t>Q4 2022</t>
  </si>
  <si>
    <t>Q1 2023</t>
  </si>
  <si>
    <t>Q2 2023</t>
  </si>
  <si>
    <t>Q3 2023</t>
  </si>
  <si>
    <t>Asia-Pacific</t>
  </si>
  <si>
    <t>Europe</t>
  </si>
  <si>
    <t>North America</t>
  </si>
  <si>
    <t>Global</t>
  </si>
  <si>
    <t>FSD take rate by region</t>
  </si>
  <si>
    <t>FSD take rate by model (North America)</t>
  </si>
  <si>
    <t>Model S/X</t>
  </si>
  <si>
    <t xml:space="preserve">Total </t>
  </si>
  <si>
    <t xml:space="preserve">Tesla Car Deliveries </t>
  </si>
  <si>
    <t>Model 3/Y</t>
  </si>
  <si>
    <t>3/Y占比</t>
  </si>
  <si>
    <t>S/X占比</t>
  </si>
  <si>
    <t>FSD Revenue by region (in millions $)</t>
  </si>
  <si>
    <t>买断用户估算</t>
  </si>
  <si>
    <t>订阅用户估算（按照(199+99)/2=149$计)</t>
  </si>
  <si>
    <t>买断用户占有率</t>
  </si>
  <si>
    <t>FSD Purchase Price</t>
  </si>
  <si>
    <t>FSD ($)</t>
  </si>
  <si>
    <t>Note:</t>
  </si>
  <si>
    <t>All data supported by Troy Teslike.</t>
  </si>
  <si>
    <t>Charts  Draft</t>
  </si>
  <si>
    <t>亚太</t>
  </si>
  <si>
    <t>欧洲</t>
  </si>
  <si>
    <t>北美</t>
  </si>
  <si>
    <t>全球</t>
  </si>
  <si>
    <t xml:space="preserve">Q1 2020 </t>
  </si>
  <si>
    <t xml:space="preserve">Q2 2020 </t>
  </si>
  <si>
    <t>整体</t>
  </si>
  <si>
    <t>Model 3/Y占比</t>
  </si>
  <si>
    <t>Model S/X占比</t>
  </si>
  <si>
    <t>TSLA合理价值</t>
  </si>
  <si>
    <t>合理PE倍数</t>
  </si>
  <si>
    <t>单季度驾驶里程数据</t>
  </si>
  <si>
    <t>总累计行驶里程数据</t>
  </si>
  <si>
    <t>[TSLA] Financial Forecast</t>
  </si>
  <si>
    <t>ver. 3.0</t>
  </si>
  <si>
    <t>$ Thousands</t>
  </si>
  <si>
    <t>Automotive Sales&amp;Leasing</t>
  </si>
  <si>
    <t>Other Revenue</t>
  </si>
  <si>
    <t>($)</t>
  </si>
  <si>
    <t>1h20 quite down</t>
  </si>
  <si>
    <t>1h20 is mostly unchanged</t>
  </si>
  <si>
    <t>Cash, equivalents</t>
  </si>
  <si>
    <t>sufficient CF to deleverage</t>
  </si>
  <si>
    <t>2021 remodelled; 21-23 in decline to 18-19 normal with 0.95 cofficient</t>
  </si>
  <si>
    <t>1h down 1/3; 2023 remodelled to capture scale</t>
  </si>
  <si>
    <t>no dividend</t>
  </si>
  <si>
    <t>dist to LP half in 1h20</t>
  </si>
  <si>
    <t xml:space="preserve">Income Statement - Common Size </t>
  </si>
  <si>
    <t>Gross margin %</t>
  </si>
  <si>
    <t>Operating expense %</t>
  </si>
  <si>
    <t>Operating income %</t>
  </si>
  <si>
    <t>Effective tax rate</t>
  </si>
  <si>
    <t>Net income %</t>
  </si>
  <si>
    <t>Income Statement - YoY Growth</t>
  </si>
  <si>
    <t>Minority interest</t>
  </si>
  <si>
    <t>FFO</t>
  </si>
  <si>
    <t>Simplified Financial Statement</t>
  </si>
  <si>
    <t>营业收入(千美元）</t>
  </si>
  <si>
    <t>归母净利润（千美元）</t>
  </si>
  <si>
    <t>在外股份（000）</t>
  </si>
  <si>
    <t>摊薄每股EPS（$）</t>
  </si>
  <si>
    <t>每股BPS（$）</t>
  </si>
  <si>
    <t>摊薄股本回报率（%）</t>
  </si>
  <si>
    <t>年末股价</t>
  </si>
  <si>
    <t>市盈率(P/E)</t>
  </si>
  <si>
    <t>市净率(P/B)</t>
  </si>
  <si>
    <t>对股东的分配和优先股息</t>
  </si>
  <si>
    <t>2023Q2</t>
  </si>
  <si>
    <t>Price</t>
  </si>
  <si>
    <t>唐DM</t>
  </si>
  <si>
    <t>Price Q3 2023</t>
  </si>
  <si>
    <t>Price Q1 2022</t>
  </si>
  <si>
    <t>2022Q1</t>
  </si>
  <si>
    <t>2022Q2</t>
  </si>
  <si>
    <t>2022Q3</t>
  </si>
  <si>
    <t>2022Q4</t>
  </si>
  <si>
    <t>2023Q1</t>
  </si>
  <si>
    <t>2023Q3</t>
  </si>
  <si>
    <t>宋MAX DM</t>
  </si>
  <si>
    <t>分季度销量（万辆）</t>
  </si>
  <si>
    <t>宋</t>
  </si>
  <si>
    <t>YoY</t>
  </si>
  <si>
    <t>汉DM</t>
  </si>
  <si>
    <t>总营收（亿元）</t>
  </si>
  <si>
    <t>宋Pro DM</t>
  </si>
  <si>
    <t>汽车+电池（亿元）</t>
  </si>
  <si>
    <t>e3</t>
  </si>
  <si>
    <t>比亚迪电子（亿元）</t>
  </si>
  <si>
    <t>宋Plus Ev</t>
  </si>
  <si>
    <t>D1</t>
  </si>
  <si>
    <t>营业成本（亿元）</t>
  </si>
  <si>
    <t>元pro</t>
  </si>
  <si>
    <t>驱逐舰05</t>
  </si>
  <si>
    <t>出口</t>
  </si>
  <si>
    <t>毛利率（%）</t>
  </si>
  <si>
    <t>ASP</t>
  </si>
  <si>
    <t>-0.2pct</t>
  </si>
  <si>
    <t>1.5pct</t>
  </si>
  <si>
    <t>5.6pct</t>
  </si>
  <si>
    <t>5.9pct</t>
  </si>
  <si>
    <t>5.5pct</t>
  </si>
  <si>
    <t>4.3pct</t>
  </si>
  <si>
    <t>3.2pct</t>
  </si>
  <si>
    <t>汽车+电池（%）</t>
  </si>
  <si>
    <t>-2.8pct</t>
  </si>
  <si>
    <t>-0.6pct</t>
  </si>
  <si>
    <t>6.4pct</t>
  </si>
  <si>
    <t>5.2pct</t>
  </si>
  <si>
    <t>3.8pct</t>
  </si>
  <si>
    <t>3.4pct</t>
  </si>
  <si>
    <t>海豹Dmi</t>
  </si>
  <si>
    <t>比亚迪电子（归母口径，%）</t>
  </si>
  <si>
    <t>腾势D9</t>
  </si>
  <si>
    <t>-1.0pct</t>
  </si>
  <si>
    <t>-2.0pct</t>
  </si>
  <si>
    <t>-0.7pct</t>
  </si>
  <si>
    <t>0.0pct</t>
  </si>
  <si>
    <t>2.2pct</t>
  </si>
  <si>
    <t>2.8pct</t>
  </si>
  <si>
    <t>0.8pct</t>
  </si>
  <si>
    <t>腾势N7</t>
  </si>
  <si>
    <t>腾势N8</t>
  </si>
  <si>
    <t>归母净利润（亿元）</t>
  </si>
  <si>
    <t>净利润率（%）</t>
  </si>
  <si>
    <t>0.6pct</t>
  </si>
  <si>
    <t>1.4pct</t>
  </si>
  <si>
    <t>2.5pct</t>
  </si>
  <si>
    <t>1.7pct</t>
  </si>
  <si>
    <t>2.9pct</t>
  </si>
  <si>
    <t>3.1pct</t>
  </si>
  <si>
    <t>4.7pct</t>
  </si>
  <si>
    <t>2.6pct</t>
  </si>
  <si>
    <t>1.6pct</t>
  </si>
  <si>
    <t>-2.1pct</t>
  </si>
  <si>
    <t>-0.9pct</t>
  </si>
  <si>
    <t>-0.1pct</t>
  </si>
  <si>
    <t>0.7pct</t>
  </si>
  <si>
    <t>1.0pct</t>
  </si>
  <si>
    <t>单车 ASP（万元）</t>
  </si>
  <si>
    <t>单车净利润提高</t>
  </si>
  <si>
    <t>单车净利润（万元）</t>
  </si>
  <si>
    <t>出口量</t>
  </si>
  <si>
    <t>单车扣非净利润（万元）</t>
  </si>
  <si>
    <t>磷酸铁锂价格</t>
  </si>
  <si>
    <t>单车成本（不包括电池）</t>
  </si>
  <si>
    <t>单车折旧及摊销（万元）</t>
  </si>
  <si>
    <t>中高端车型</t>
  </si>
  <si>
    <t>单车研发费用（万元）</t>
  </si>
  <si>
    <t>出口营收</t>
  </si>
  <si>
    <t>其占比</t>
  </si>
  <si>
    <t>不考虑因素：</t>
  </si>
  <si>
    <t>研发费用、D&amp;A都在升高</t>
  </si>
  <si>
    <t>ASP相对降低</t>
  </si>
  <si>
    <t>国补退坡</t>
  </si>
  <si>
    <t>总</t>
  </si>
  <si>
    <t>弹性分析</t>
  </si>
  <si>
    <t>营收汽车+电池（亿元）</t>
  </si>
  <si>
    <t>毛利同比</t>
  </si>
  <si>
    <t>单车COGS</t>
  </si>
  <si>
    <t>期间费用</t>
  </si>
  <si>
    <t>销售收入</t>
  </si>
  <si>
    <t>研发费用</t>
  </si>
  <si>
    <t>汽车业务销售成本</t>
  </si>
  <si>
    <t>销量</t>
  </si>
  <si>
    <t>销量在COGS节省上</t>
  </si>
  <si>
    <t>销量在Auto营收上</t>
  </si>
  <si>
    <t>汽车业务毛利</t>
  </si>
  <si>
    <t>Auto COGS</t>
  </si>
  <si>
    <t>其他(电池业务毛利+其他）</t>
  </si>
  <si>
    <t>2022H1</t>
  </si>
  <si>
    <t>2023H1</t>
  </si>
  <si>
    <t>单车毛利润（万元）</t>
  </si>
  <si>
    <t>单车毛利</t>
  </si>
  <si>
    <t>单车期间费用摊销</t>
  </si>
  <si>
    <t>单车研发费用</t>
  </si>
  <si>
    <t>单车成本</t>
  </si>
  <si>
    <t>单车收入（按年估算）</t>
  </si>
  <si>
    <t xml:space="preserve"> - </t>
  </si>
  <si>
    <t>电池业务</t>
  </si>
  <si>
    <t>手机组装业务</t>
  </si>
  <si>
    <t>其他</t>
  </si>
  <si>
    <t>少数股权和优先股红利</t>
  </si>
  <si>
    <r>
      <rPr>
        <b/>
        <sz val="12"/>
        <color rgb="FF000000"/>
        <rFont val="SimSun"/>
        <family val="3"/>
        <charset val="134"/>
      </rPr>
      <t>单位：百万，</t>
    </r>
    <r>
      <rPr>
        <b/>
        <sz val="12"/>
        <color rgb="FF000000"/>
        <rFont val="Times New Roman"/>
        <family val="1"/>
      </rPr>
      <t>USD</t>
    </r>
  </si>
  <si>
    <t>分季度销量 （万辆）</t>
  </si>
  <si>
    <t>主营业务收入</t>
  </si>
  <si>
    <t>单车ASP（万元）</t>
  </si>
  <si>
    <t>汽车销售和租赁</t>
  </si>
  <si>
    <t>服务和其他</t>
  </si>
  <si>
    <t>能源生产和储存</t>
  </si>
  <si>
    <t>主营业务成本</t>
  </si>
  <si>
    <t>每股指标（美元）</t>
  </si>
  <si>
    <t>2021Q1</t>
  </si>
  <si>
    <t>2021Q2</t>
  </si>
  <si>
    <t>2021Q3</t>
  </si>
  <si>
    <t>2021Q4</t>
  </si>
  <si>
    <t>YOY</t>
  </si>
  <si>
    <t>净利润率</t>
  </si>
  <si>
    <t>单车ASP（元）</t>
  </si>
  <si>
    <t>单车净利润（元）</t>
  </si>
  <si>
    <t>单车扣非净利润（元）</t>
  </si>
  <si>
    <t>单车折旧及摊销（元）</t>
  </si>
  <si>
    <t>单车研发费用（元）</t>
  </si>
  <si>
    <t xml:space="preserve">In 2020, BYD sold nearly 427,000 vehicles, a 7.5% drop on 2019’s figure. </t>
  </si>
  <si>
    <t>Source: https://www.just-auto.com/features/byd-a-look-at-chinas-key-ev-and-battery-player/</t>
  </si>
  <si>
    <t>汽车销售占比</t>
    <phoneticPr fontId="4" type="noConversion"/>
  </si>
  <si>
    <t>净利润同比变化</t>
    <phoneticPr fontId="4" type="noConversion"/>
  </si>
  <si>
    <t>研发费用占总期间费用比例</t>
    <phoneticPr fontId="4" type="noConversion"/>
  </si>
  <si>
    <t>2021年1-9月动力电池市场格局</t>
    <phoneticPr fontId="4" type="noConversion"/>
  </si>
  <si>
    <t>品牌</t>
    <phoneticPr fontId="4" type="noConversion"/>
  </si>
  <si>
    <t>装车量(GWh)</t>
    <phoneticPr fontId="4" type="noConversion"/>
  </si>
  <si>
    <t>占比</t>
    <phoneticPr fontId="4" type="noConversion"/>
  </si>
  <si>
    <t>宁德时代</t>
    <phoneticPr fontId="4" type="noConversion"/>
  </si>
  <si>
    <t>比亚迪</t>
    <phoneticPr fontId="4" type="noConversion"/>
  </si>
  <si>
    <t>中航锂电</t>
    <phoneticPr fontId="4" type="noConversion"/>
  </si>
  <si>
    <t>LG新能源</t>
    <phoneticPr fontId="4" type="noConversion"/>
  </si>
  <si>
    <t>国轩高科</t>
    <phoneticPr fontId="4" type="noConversion"/>
  </si>
  <si>
    <t>蜂巢能源</t>
    <phoneticPr fontId="4" type="noConversion"/>
  </si>
  <si>
    <t>亿纬锂能</t>
    <phoneticPr fontId="4" type="noConversion"/>
  </si>
  <si>
    <t>塔菲尔新能源</t>
    <phoneticPr fontId="4" type="noConversion"/>
  </si>
  <si>
    <t>孚能科技</t>
    <phoneticPr fontId="4" type="noConversion"/>
  </si>
  <si>
    <t>捷威动力</t>
    <phoneticPr fontId="4" type="noConversion"/>
  </si>
  <si>
    <t>其他</t>
    <phoneticPr fontId="4" type="noConversion"/>
  </si>
  <si>
    <t>2021年1-6月Top10乘用车电驱动系统企业</t>
    <phoneticPr fontId="4" type="noConversion"/>
  </si>
  <si>
    <t>特斯拉</t>
    <phoneticPr fontId="4" type="noConversion"/>
  </si>
  <si>
    <t>弗迪动力</t>
    <phoneticPr fontId="4" type="noConversion"/>
  </si>
  <si>
    <t>蔚来驱动科技</t>
    <phoneticPr fontId="4" type="noConversion"/>
  </si>
  <si>
    <t>日本电产</t>
    <phoneticPr fontId="4" type="noConversion"/>
  </si>
  <si>
    <t>上海变速器</t>
    <phoneticPr fontId="4" type="noConversion"/>
  </si>
  <si>
    <t>上海电驱动</t>
    <phoneticPr fontId="4" type="noConversion"/>
  </si>
  <si>
    <t>小鹏汽车</t>
    <phoneticPr fontId="4" type="noConversion"/>
  </si>
  <si>
    <t>蜂巢电驱动</t>
    <phoneticPr fontId="4" type="noConversion"/>
  </si>
  <si>
    <t>零跑科技</t>
    <phoneticPr fontId="4" type="noConversion"/>
  </si>
  <si>
    <t>汇川技术</t>
    <phoneticPr fontId="4" type="noConversion"/>
  </si>
  <si>
    <t>2019年Top10IGBT模块</t>
    <phoneticPr fontId="4" type="noConversion"/>
  </si>
  <si>
    <t>电装</t>
    <phoneticPr fontId="4" type="noConversion"/>
  </si>
  <si>
    <t>法雷奥</t>
    <phoneticPr fontId="4" type="noConversion"/>
  </si>
  <si>
    <t>德尔福</t>
    <phoneticPr fontId="4" type="noConversion"/>
  </si>
  <si>
    <t>中车时代</t>
    <phoneticPr fontId="4" type="noConversion"/>
  </si>
  <si>
    <t>东芝</t>
    <phoneticPr fontId="4" type="noConversion"/>
  </si>
  <si>
    <t>英飞凌</t>
    <phoneticPr fontId="4" type="noConversion"/>
  </si>
  <si>
    <t>比亚迪微电子</t>
    <phoneticPr fontId="4" type="noConversion"/>
  </si>
  <si>
    <t>三菱电机</t>
    <phoneticPr fontId="4" type="noConversion"/>
  </si>
  <si>
    <t>赛米控</t>
    <phoneticPr fontId="4" type="noConversion"/>
  </si>
  <si>
    <t>斯达</t>
    <phoneticPr fontId="4" type="noConversion"/>
  </si>
  <si>
    <t>NIO power charger quant</t>
  </si>
  <si>
    <t>2021H1</t>
  </si>
  <si>
    <t>Model</t>
  </si>
  <si>
    <t>Brand</t>
  </si>
  <si>
    <t>Type</t>
  </si>
  <si>
    <t>Class</t>
  </si>
  <si>
    <t>Power Type</t>
  </si>
  <si>
    <t>Price Range</t>
  </si>
  <si>
    <t>2020 Sales Volume</t>
  </si>
  <si>
    <t>2021 Sales Volume</t>
  </si>
  <si>
    <t>2022 M6 Sales Volume</t>
  </si>
  <si>
    <t>2020 share</t>
  </si>
  <si>
    <t>2021 share</t>
  </si>
  <si>
    <t>2022 M6 share</t>
  </si>
  <si>
    <t>2021-2020 share change</t>
  </si>
  <si>
    <t>2022-2021 share change</t>
  </si>
  <si>
    <t>2022-2020 share change</t>
  </si>
  <si>
    <t>Average annual rivals share changes</t>
  </si>
  <si>
    <t>Average annual residual effect</t>
  </si>
  <si>
    <t>Average annual share change</t>
  </si>
  <si>
    <t>Volume</t>
  </si>
  <si>
    <t>轿车</t>
  </si>
  <si>
    <t>A</t>
  </si>
  <si>
    <t>PHEV</t>
  </si>
  <si>
    <t>16000-18000</t>
  </si>
  <si>
    <t>吉利</t>
  </si>
  <si>
    <t>星瑞</t>
  </si>
  <si>
    <t>Fuel</t>
  </si>
  <si>
    <t>长安马自达</t>
  </si>
  <si>
    <t>昂克塞拉</t>
  </si>
  <si>
    <t>广汽丰田</t>
  </si>
  <si>
    <t>雷凌双擎</t>
  </si>
  <si>
    <t>HEV</t>
  </si>
  <si>
    <t>北京现代</t>
  </si>
  <si>
    <t>伊兰特</t>
  </si>
  <si>
    <t>上汽乘用车</t>
  </si>
  <si>
    <t>名爵6</t>
  </si>
  <si>
    <t>长安福特</t>
  </si>
  <si>
    <t>福克斯三厢</t>
  </si>
  <si>
    <t>荣威</t>
  </si>
  <si>
    <t>i6</t>
  </si>
  <si>
    <t>上汽大众</t>
  </si>
  <si>
    <t>朗逸</t>
  </si>
  <si>
    <t>雷凌</t>
  </si>
  <si>
    <t>BEV</t>
  </si>
  <si>
    <t>14000-16000</t>
  </si>
  <si>
    <t>思皓</t>
  </si>
  <si>
    <t>思皓曜</t>
  </si>
  <si>
    <t>东风本田</t>
  </si>
  <si>
    <t>享域</t>
  </si>
  <si>
    <t>上汽通用别克</t>
  </si>
  <si>
    <t>威朗</t>
  </si>
  <si>
    <t>广汽传祺</t>
  </si>
  <si>
    <t>影豹</t>
  </si>
  <si>
    <t>缤瑞</t>
  </si>
  <si>
    <t>广汽本田</t>
  </si>
  <si>
    <t>凌派</t>
  </si>
  <si>
    <t>一汽丰田</t>
  </si>
  <si>
    <t>卡罗拉</t>
  </si>
  <si>
    <t>18000-20000</t>
  </si>
  <si>
    <t>Qin Plus DMi</t>
  </si>
  <si>
    <t>Corolla</t>
  </si>
  <si>
    <t>Lavida</t>
  </si>
  <si>
    <t>2022E</t>
    <phoneticPr fontId="4" type="noConversion"/>
  </si>
  <si>
    <t>*图表3</t>
  </si>
  <si>
    <t>*图表6</t>
  </si>
  <si>
    <t>*图表5</t>
  </si>
  <si>
    <t>日期</t>
  </si>
  <si>
    <t>收盘价</t>
  </si>
  <si>
    <t>PS</t>
  </si>
  <si>
    <t>observation_date</t>
  </si>
  <si>
    <t>PPI：Semiconductor and Other Electronic Component</t>
  </si>
  <si>
    <t>$M</t>
  </si>
  <si>
    <t>太阳能营业收入</t>
  </si>
  <si>
    <t>总营业收入</t>
  </si>
  <si>
    <t>Share of Total Revenue</t>
  </si>
  <si>
    <t>solar deployed（MW）</t>
  </si>
  <si>
    <t>storage deployed（MWh）</t>
  </si>
  <si>
    <t>Q2 2016</t>
  </si>
  <si>
    <t>Q3 2016</t>
  </si>
  <si>
    <t>average</t>
  </si>
  <si>
    <t>Date</t>
  </si>
  <si>
    <t>Lithium Carbonate - EXW China Battery ($/tonne)</t>
  </si>
  <si>
    <t>Lithium Hydroxide - EXW China ($/tonne)</t>
  </si>
  <si>
    <t>Tesla Battery%</t>
  </si>
  <si>
    <t>BYD Battery%</t>
  </si>
  <si>
    <t>Li Battery%</t>
  </si>
  <si>
    <t>XPeng Battery%</t>
  </si>
  <si>
    <t>Industry Average</t>
  </si>
  <si>
    <t>Industry Average - Battery%</t>
  </si>
  <si>
    <t>更新时间</t>
  </si>
  <si>
    <t>中国:富宝价格指数:电解液（元/吨）</t>
  </si>
  <si>
    <t>中国:富宝价格指数:负极材料（元/吨）</t>
  </si>
  <si>
    <t>中国:富宝价格指数:负极材料(元/吨)</t>
  </si>
  <si>
    <t>数据来源：Wind</t>
  </si>
  <si>
    <t>中国:价格:隔膜:陶瓷涂覆:9+3μm:国产中端（元/平方米）</t>
  </si>
  <si>
    <t>中国:价格:隔膜:陶瓷涂覆:7+2μm:国产中端（元/平方米）</t>
  </si>
  <si>
    <t>中国:价格:隔膜:陶瓷涂覆:12+4μm:国产中端（元/平方米）</t>
  </si>
  <si>
    <t>Lithium Carbonate - CIF Europe ($/tonne)</t>
  </si>
  <si>
    <t>Lithium Carbonate - CIF N. America ($/tonne)</t>
  </si>
  <si>
    <t>Lithium Hydroxide - CIF Europe ($/tonne)</t>
  </si>
  <si>
    <t>Lithium Hydroxide - FOB North America ($/tonne)</t>
  </si>
  <si>
    <t>Tesla Gross margin</t>
  </si>
  <si>
    <t>BYD Gross margin</t>
  </si>
  <si>
    <t>Li Gross margin</t>
  </si>
  <si>
    <t>XPeng Gross margin</t>
  </si>
  <si>
    <t>Industry Average - Gross Porfit Margin</t>
  </si>
  <si>
    <t>中国:富宝价格指数:电解液</t>
  </si>
  <si>
    <t>中国:富宝价格指数:负极材料</t>
  </si>
  <si>
    <t>PQ * seq. revenue growth</t>
  </si>
  <si>
    <t xml:space="preserve"> 21-23 in decline to 18-19 normal with 0.8 cofficient</t>
  </si>
  <si>
    <t>PQ * seq. COGS growth</t>
  </si>
  <si>
    <t>PQ * seq. OpEx growth</t>
  </si>
  <si>
    <t>PQ - depreciation - CapEx</t>
  </si>
  <si>
    <t>Solar energy systems and operating leased vehicles</t>
  </si>
  <si>
    <t>PQ - SW amortization - SW development</t>
  </si>
  <si>
    <t>PQ</t>
  </si>
  <si>
    <t>PQ - amortization of intangibles</t>
  </si>
  <si>
    <t>2021 in declining</t>
  </si>
  <si>
    <t>PQ + change in other assets</t>
  </si>
  <si>
    <t>PQ + SBC</t>
  </si>
  <si>
    <r>
      <t xml:space="preserve">PQ + </t>
    </r>
    <r>
      <rPr>
        <i/>
        <sz val="11"/>
        <color rgb="FFFF0000"/>
        <rFont val="Calibri (Body)"/>
      </rPr>
      <t>other items/2</t>
    </r>
  </si>
  <si>
    <r>
      <t>PQ + NI+</t>
    </r>
    <r>
      <rPr>
        <i/>
        <sz val="11"/>
        <color rgb="FFFF0000"/>
        <rFont val="Calibri (Body)"/>
      </rPr>
      <t>distribution to shareholders</t>
    </r>
  </si>
  <si>
    <r>
      <t xml:space="preserve">PQ + </t>
    </r>
    <r>
      <rPr>
        <i/>
        <sz val="11"/>
        <color rgb="FFFF0000"/>
        <rFont val="Calibri (Body)"/>
      </rPr>
      <t>Net settlement to minorities and prefered</t>
    </r>
  </si>
  <si>
    <r>
      <t>PQ+</t>
    </r>
    <r>
      <rPr>
        <i/>
        <sz val="11"/>
        <color rgb="FFFF0000"/>
        <rFont val="Calibri (Body)"/>
      </rPr>
      <t>other items/2</t>
    </r>
  </si>
  <si>
    <t>Strait-line rent</t>
  </si>
  <si>
    <t>Accounted for in other assets</t>
  </si>
  <si>
    <t>1h down 1/3</t>
  </si>
  <si>
    <t>Cap. Software %</t>
  </si>
  <si>
    <t>investment philosiphy</t>
  </si>
  <si>
    <r>
      <t xml:space="preserve">Change in B/S: </t>
    </r>
    <r>
      <rPr>
        <i/>
        <sz val="11"/>
        <color rgb="FFFF0000"/>
        <rFont val="Calibri (Body)"/>
      </rPr>
      <t>LT+ST</t>
    </r>
  </si>
  <si>
    <t>return normal in 2022;down from 2/2.3;q2 21 updated 2021 from 1.5b to 2b due to dividend surprise</t>
  </si>
  <si>
    <t>Shanghai</t>
  </si>
  <si>
    <t>Berlin</t>
  </si>
  <si>
    <t>Texas</t>
  </si>
  <si>
    <t>All models</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</si>
  <si>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</si>
  <si>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</si>
  <si>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</si>
  <si>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</si>
  <si>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</si>
  <si>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</si>
  <si>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</si>
  <si>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</si>
  <si>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</si>
  <si>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</si>
  <si>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</si>
  <si>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</si>
  <si>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</si>
  <si>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</si>
  <si>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</si>
  <si>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</si>
  <si>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</si>
  <si>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</si>
  <si>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</si>
  <si>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</si>
  <si>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</si>
  <si>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</si>
  <si>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</si>
  <si>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</si>
  <si>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</si>
  <si>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</si>
  <si>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</si>
  <si>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</si>
  <si>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</si>
  <si>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</si>
  <si>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</si>
  <si>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</si>
  <si>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</si>
  <si>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</si>
  <si>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</si>
  <si>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</si>
  <si>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</si>
  <si>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</si>
  <si>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</si>
  <si>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</si>
  <si>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</si>
  <si>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</si>
  <si>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Source： Teslike</t>
  </si>
  <si>
    <t>Total Fremont</t>
  </si>
  <si>
    <t>Total Shanghai</t>
  </si>
  <si>
    <t>China</t>
  </si>
  <si>
    <t>Premium</t>
  </si>
  <si>
    <t>SUV</t>
  </si>
  <si>
    <t>B</t>
  </si>
  <si>
    <t>42000-44000</t>
  </si>
  <si>
    <t>BMW</t>
  </si>
  <si>
    <t>X3</t>
  </si>
  <si>
    <t>46000-48000</t>
  </si>
  <si>
    <t>Cadillac</t>
  </si>
  <si>
    <t>XT5</t>
  </si>
  <si>
    <t>Mercedes-Benz</t>
  </si>
  <si>
    <t>GLC</t>
  </si>
  <si>
    <t>英菲尼迪</t>
  </si>
  <si>
    <t>QX50</t>
  </si>
  <si>
    <t>汉兰达</t>
  </si>
  <si>
    <t>40000-42000</t>
  </si>
  <si>
    <t>沃尔沃亚太</t>
  </si>
  <si>
    <t>XC60</t>
  </si>
  <si>
    <t>一汽奥迪</t>
  </si>
  <si>
    <t>Q5L</t>
  </si>
  <si>
    <t>48000-50000</t>
  </si>
  <si>
    <t>Forecasting</t>
  </si>
  <si>
    <t>B class SUV</t>
  </si>
  <si>
    <t>2026E</t>
  </si>
  <si>
    <t>2027E</t>
  </si>
  <si>
    <t>2028E</t>
  </si>
  <si>
    <t>2029E</t>
  </si>
  <si>
    <t>2030E</t>
  </si>
  <si>
    <t>Factor</t>
  </si>
  <si>
    <t>Est. annual change</t>
  </si>
  <si>
    <t>Segment sales</t>
  </si>
  <si>
    <t>Shares</t>
  </si>
  <si>
    <t>your loss my gain</t>
  </si>
  <si>
    <t>share*seg total</t>
  </si>
  <si>
    <t>Price as of Dec 21</t>
  </si>
  <si>
    <t>北京奔驰</t>
  </si>
  <si>
    <t>C级</t>
  </si>
  <si>
    <t>E950</t>
  </si>
  <si>
    <t>38000-40000</t>
  </si>
  <si>
    <t>一汽大众</t>
  </si>
  <si>
    <t>迈腾GTE</t>
  </si>
  <si>
    <t>CC</t>
  </si>
  <si>
    <t>帕萨特PHEV</t>
  </si>
  <si>
    <t>36000-38000</t>
  </si>
  <si>
    <t>林肯</t>
  </si>
  <si>
    <t>林肯Z</t>
  </si>
  <si>
    <t>XiaoP</t>
  </si>
  <si>
    <t>Volvo</t>
  </si>
  <si>
    <t>S60</t>
  </si>
  <si>
    <t>CT4</t>
  </si>
  <si>
    <t>3系</t>
  </si>
  <si>
    <t>迈腾</t>
  </si>
  <si>
    <t>CT5</t>
  </si>
  <si>
    <t>B class Saloon</t>
  </si>
  <si>
    <t>Model S</t>
  </si>
  <si>
    <t>Luxury</t>
  </si>
  <si>
    <t>C</t>
  </si>
  <si>
    <t>132000-134000</t>
  </si>
  <si>
    <t>Audi</t>
  </si>
  <si>
    <t>A8L</t>
  </si>
  <si>
    <t>130000-132000</t>
  </si>
  <si>
    <t>7-series</t>
  </si>
  <si>
    <t>D</t>
  </si>
  <si>
    <t>128000-130000</t>
  </si>
  <si>
    <t xml:space="preserve">BMW </t>
  </si>
  <si>
    <t>8-Series</t>
  </si>
  <si>
    <t>148000-150000</t>
  </si>
  <si>
    <t>Lexus</t>
  </si>
  <si>
    <t>LS</t>
  </si>
  <si>
    <t>124000-126000</t>
  </si>
  <si>
    <t xml:space="preserve">Mercedes-Benz </t>
  </si>
  <si>
    <t>S-Class</t>
  </si>
  <si>
    <t>142000-146000</t>
  </si>
  <si>
    <t>Porsche</t>
  </si>
  <si>
    <t>Panamera</t>
  </si>
  <si>
    <t>150000-152000</t>
  </si>
  <si>
    <t xml:space="preserve">Porsche </t>
  </si>
  <si>
    <t>Taycan</t>
  </si>
  <si>
    <t>luxury</t>
  </si>
  <si>
    <t>136000-138000</t>
  </si>
  <si>
    <t>C/D class Saloon</t>
  </si>
  <si>
    <t>C Segment sales</t>
  </si>
  <si>
    <t>D Segment sales</t>
  </si>
  <si>
    <t>total</t>
  </si>
  <si>
    <t>Model X</t>
  </si>
  <si>
    <t>118000-120000</t>
  </si>
  <si>
    <t>XC90新能源</t>
  </si>
  <si>
    <t>138000-140000</t>
  </si>
  <si>
    <t>Q8</t>
  </si>
  <si>
    <t>X6</t>
  </si>
  <si>
    <t>GLE</t>
  </si>
  <si>
    <t>108000-110000</t>
  </si>
  <si>
    <t>路虎</t>
  </si>
  <si>
    <t>卫士</t>
  </si>
  <si>
    <t>112000-114000</t>
  </si>
  <si>
    <t>GLS</t>
  </si>
  <si>
    <t>164000-166000</t>
  </si>
  <si>
    <t>Cayenne</t>
  </si>
  <si>
    <t>140000-142000</t>
  </si>
  <si>
    <t>X5</t>
  </si>
  <si>
    <t>C class Saloon</t>
  </si>
  <si>
    <t>2022 H1 Sales Volume</t>
  </si>
  <si>
    <t>2022 H1 share</t>
  </si>
  <si>
    <t>midsized</t>
  </si>
  <si>
    <t>74000-76000</t>
  </si>
  <si>
    <t>iX3</t>
  </si>
  <si>
    <t>80000-82000</t>
  </si>
  <si>
    <t>Macan</t>
  </si>
  <si>
    <t xml:space="preserve">Volvo </t>
  </si>
  <si>
    <t>C40</t>
  </si>
  <si>
    <t>78000-80000</t>
  </si>
  <si>
    <t>EQB</t>
  </si>
  <si>
    <t>72000-74000</t>
  </si>
  <si>
    <t xml:space="preserve">Jaguar </t>
  </si>
  <si>
    <t>I-Pace</t>
  </si>
  <si>
    <t>84000-86000</t>
  </si>
  <si>
    <t xml:space="preserve">Jeep </t>
  </si>
  <si>
    <t>Wrangler</t>
  </si>
  <si>
    <t>66000-68000</t>
  </si>
  <si>
    <t>X4</t>
  </si>
  <si>
    <t>62000-64000</t>
  </si>
  <si>
    <t>58000-60000</t>
  </si>
  <si>
    <t>F-Pace</t>
  </si>
  <si>
    <t>Alfa Romeo</t>
  </si>
  <si>
    <t>Stelvio</t>
  </si>
  <si>
    <t>60000-62000</t>
  </si>
  <si>
    <t xml:space="preserve">Audi </t>
  </si>
  <si>
    <t>Q5</t>
  </si>
  <si>
    <t>Land Rover</t>
  </si>
  <si>
    <t>Range Rover Velar</t>
  </si>
  <si>
    <t>54000-56000</t>
  </si>
  <si>
    <t>Volkswagen</t>
  </si>
  <si>
    <t>ID.4</t>
  </si>
  <si>
    <t>Ford</t>
  </si>
  <si>
    <t>Mustang Mach-E</t>
  </si>
  <si>
    <t>56000-58000</t>
  </si>
  <si>
    <t>EQC</t>
  </si>
  <si>
    <t>88000-90000</t>
  </si>
  <si>
    <t>Suzuki</t>
  </si>
  <si>
    <t>Across</t>
  </si>
  <si>
    <t xml:space="preserve">Land Rover </t>
  </si>
  <si>
    <t>Discovery Sport</t>
  </si>
  <si>
    <t>Q7</t>
  </si>
  <si>
    <t>large</t>
  </si>
  <si>
    <t>e-tron</t>
  </si>
  <si>
    <t xml:space="preserve">Genesis </t>
  </si>
  <si>
    <t>GV80</t>
  </si>
  <si>
    <t>Defender</t>
  </si>
  <si>
    <t>Touareg</t>
  </si>
  <si>
    <t>Discovery</t>
  </si>
  <si>
    <t>70000-72000</t>
  </si>
  <si>
    <t>XC90</t>
  </si>
  <si>
    <t>RX</t>
  </si>
  <si>
    <t>midsized SUV</t>
  </si>
  <si>
    <t>large SUV</t>
  </si>
  <si>
    <t>mid+large</t>
  </si>
  <si>
    <t>Saloon</t>
  </si>
  <si>
    <t xml:space="preserve">Toyota </t>
  </si>
  <si>
    <t>Mirai</t>
  </si>
  <si>
    <t>FCV</t>
  </si>
  <si>
    <t>68000-70000</t>
  </si>
  <si>
    <t xml:space="preserve"> 3-series</t>
  </si>
  <si>
    <t>C-Class</t>
  </si>
  <si>
    <t>i4</t>
  </si>
  <si>
    <t xml:space="preserve">Polestar </t>
  </si>
  <si>
    <t xml:space="preserve"> 4-series</t>
  </si>
  <si>
    <t>52000-54000</t>
  </si>
  <si>
    <t>50000-52000</t>
  </si>
  <si>
    <t>V60</t>
  </si>
  <si>
    <t>A5/S5/RS5</t>
  </si>
  <si>
    <t xml:space="preserve">Alfa Romeo </t>
  </si>
  <si>
    <t>Giulia</t>
  </si>
  <si>
    <t>A4/S4/RS4</t>
  </si>
  <si>
    <t>G70</t>
  </si>
  <si>
    <t>44000-46000</t>
  </si>
  <si>
    <t>Kia</t>
  </si>
  <si>
    <t>Stinger</t>
  </si>
  <si>
    <t>RC</t>
  </si>
  <si>
    <t>IS</t>
  </si>
  <si>
    <t>7 Series</t>
  </si>
  <si>
    <t>A7/S7/RS7</t>
  </si>
  <si>
    <t>S90/V90</t>
  </si>
  <si>
    <t>A6/S6/RS6/Allroad</t>
  </si>
  <si>
    <t xml:space="preserve">Mercedes </t>
  </si>
  <si>
    <t>E-Class</t>
  </si>
  <si>
    <t xml:space="preserve"> 5-series</t>
  </si>
  <si>
    <t>G80</t>
  </si>
  <si>
    <t>CLS</t>
  </si>
  <si>
    <t>6 Series</t>
  </si>
  <si>
    <t>midsized Saloon</t>
  </si>
  <si>
    <t>large Saloon</t>
  </si>
  <si>
    <t>Polestar 2</t>
  </si>
  <si>
    <t>126000-128000</t>
  </si>
  <si>
    <t>120000-122000</t>
  </si>
  <si>
    <t>EQS</t>
  </si>
  <si>
    <t>A8/S8</t>
  </si>
  <si>
    <t>92000-94000</t>
  </si>
  <si>
    <t>E-Tron GT</t>
  </si>
  <si>
    <t xml:space="preserve">Maserati </t>
  </si>
  <si>
    <t>Quattroporte</t>
  </si>
  <si>
    <t>Ghibli</t>
  </si>
  <si>
    <t>100000-102000</t>
  </si>
  <si>
    <t>G-Class</t>
  </si>
  <si>
    <t>X7</t>
  </si>
  <si>
    <t>98000-100000</t>
  </si>
  <si>
    <t>Range Rover</t>
  </si>
  <si>
    <t>110000-112000</t>
  </si>
  <si>
    <t>iX</t>
  </si>
  <si>
    <t>96000-98000</t>
  </si>
  <si>
    <t>104000-106000</t>
  </si>
  <si>
    <t>Compact</t>
  </si>
  <si>
    <t>Jaguar</t>
  </si>
  <si>
    <t>Infiniti</t>
  </si>
  <si>
    <t>QX55</t>
  </si>
  <si>
    <t>Acura</t>
  </si>
  <si>
    <t>RDX</t>
  </si>
  <si>
    <t>NX</t>
  </si>
  <si>
    <t xml:space="preserve">Discovery Sport </t>
  </si>
  <si>
    <t>GLB</t>
  </si>
  <si>
    <t xml:space="preserve">Lincoln </t>
  </si>
  <si>
    <t>Corsair</t>
  </si>
  <si>
    <t xml:space="preserve">Cadillac </t>
  </si>
  <si>
    <t>XT4</t>
  </si>
  <si>
    <t>SUV	compact</t>
  </si>
  <si>
    <t>fuel</t>
  </si>
  <si>
    <t>A-Class</t>
  </si>
  <si>
    <t>34000-36000</t>
  </si>
  <si>
    <t>3-series</t>
  </si>
  <si>
    <t>A4/S4</t>
  </si>
  <si>
    <t>A3/S3</t>
  </si>
  <si>
    <t>CLA</t>
  </si>
  <si>
    <t xml:space="preserve">Lexus </t>
  </si>
  <si>
    <t>XE</t>
  </si>
  <si>
    <t xml:space="preserve">Infiniti </t>
  </si>
  <si>
    <t>Q50</t>
  </si>
  <si>
    <t>HEV/Fuel</t>
  </si>
  <si>
    <t>Q60</t>
  </si>
  <si>
    <t>TLX</t>
  </si>
  <si>
    <t>Saloon	midsized</t>
  </si>
  <si>
    <t>94000-96000</t>
  </si>
  <si>
    <t>A7</t>
  </si>
  <si>
    <t>5 Series</t>
  </si>
  <si>
    <t>G90</t>
  </si>
  <si>
    <t>GS</t>
  </si>
  <si>
    <t>V90</t>
  </si>
  <si>
    <t>90000-92000</t>
  </si>
  <si>
    <t>82000-84000</t>
  </si>
  <si>
    <t>Lincoln</t>
  </si>
  <si>
    <t>Aviator</t>
  </si>
  <si>
    <t>Range Rover Sport</t>
  </si>
  <si>
    <t>GX</t>
  </si>
  <si>
    <t>SUV	midsized</t>
  </si>
  <si>
    <t>Share</t>
  </si>
  <si>
    <t>note: the combined share of midsized+large SUV</t>
  </si>
  <si>
    <t>note: the combined share of midsized+large Saloon</t>
  </si>
  <si>
    <t>World total</t>
  </si>
  <si>
    <t>source:https://new.qq.com/rain/a/20220114A07BT100;https://www.qianzhan.com/analyst/detail/220/210202-309290b1.html#:~:text=%E6%8D%AE%E4%B8%AD%E6%B1%BD%E5%8D%8F%E7%BB%9F%E8%AE%A1%E6%95%B0%E6%8D%AE%E6%98%BE%E7%A4%BA%EF%BC%8C2020%E5%B9%B4%EF%BC%8C%E6%88%91%E5%9B%BD%E4%B9%98%E7%94%A8%E8%BD%A6%E7%BB%86%E5%88%86%E5%B8%82%E5%9C%BA%E4%B8%AD%EF%BC%8C%E8%BD%BF%E8%BD%A6%E9%94%80%E9%87%8F%E4%B8%BA927.5%E4%B8%87%E8%BE%86%EF%BC%8C%E5%90%8C%E6%AF%94%E4%B8%8B%E9%99%8D9.9%25%EF%BC%8C%E5%8D%A0%E4%B9%98%E7%94%A8%E8%BD%A6%E6%80%BB%E9%94%80%E9%87%8F%E7%9A%8445.97%25%3B,SUV%E9%94%80%E9%87%8F%E4%B8%BA946.1%E4%B8%87%E8%BE%86%EF%BC%8C%E5%90%8C%E6%AF%94%E5%A2%9E%E9%95%BF0.7%25%EF%BC%8C%E6%98%AF%E6%89%80%E6%9C%89%E4%B9%98%E7%94%A8%E8%BD%A6%E5%9E%8B%E4%B8%AD%E5%94%AF%E4%B8%80%E9%94%80%E9%87%8F%E4%B8%8A%E6%B6%A8%E8%BD%A6%E5%9E%8B%EF%BC%8C%E5%8D%A0%E4%B9%98%E7%94%A8%E8%BD%A6%E6%80%BB%E9%94%80%E9%87%8F%E7%9A%8446.89%25%E3%80%82</t>
  </si>
  <si>
    <t>source:https://www.autohome.com.cn/news/202201/1236567.html;https://carsalesbase.com/car-sales-europe-home-main/car-sales-by-segment-europe/</t>
  </si>
  <si>
    <t>source:https://www.goodcarbadcar.net/2020-us-suv-sales-figures-by-model/</t>
  </si>
  <si>
    <t>2022 6M Sales Volume</t>
  </si>
  <si>
    <t>2022 6M share</t>
  </si>
  <si>
    <t>22000-24000</t>
  </si>
  <si>
    <t>威马</t>
  </si>
  <si>
    <t>威马EX5</t>
  </si>
  <si>
    <t>eRX5</t>
  </si>
  <si>
    <t>星越PHEV</t>
  </si>
  <si>
    <t>24000-26000</t>
  </si>
  <si>
    <t>天际</t>
  </si>
  <si>
    <t>ME5</t>
  </si>
  <si>
    <t>东风日产</t>
  </si>
  <si>
    <t>逍客</t>
  </si>
  <si>
    <t>起亚</t>
  </si>
  <si>
    <t>智跑</t>
  </si>
  <si>
    <t>CX-4</t>
  </si>
  <si>
    <t>昂科拉GX</t>
  </si>
  <si>
    <t>CR-V</t>
  </si>
  <si>
    <t>皓影</t>
  </si>
  <si>
    <t>广汽三菱</t>
  </si>
  <si>
    <t>欧蓝德</t>
  </si>
  <si>
    <t>20000-22000</t>
  </si>
  <si>
    <t>威兰达</t>
  </si>
  <si>
    <t>WEY</t>
  </si>
  <si>
    <t>VV6</t>
  </si>
  <si>
    <t>锐际</t>
  </si>
  <si>
    <t>A class SUV</t>
  </si>
  <si>
    <t>Rivals for others if any</t>
  </si>
  <si>
    <t>Yuan Plus</t>
  </si>
  <si>
    <t>Song Plus EV, Yuan Plus</t>
  </si>
  <si>
    <t>28000-30000</t>
  </si>
  <si>
    <t>ID.4 CROZZ</t>
  </si>
  <si>
    <t>30000-32000</t>
  </si>
  <si>
    <t>长城汽车</t>
  </si>
  <si>
    <t>坦克300</t>
  </si>
  <si>
    <t>上汽集团</t>
  </si>
  <si>
    <t>名爵HS新能源</t>
  </si>
  <si>
    <t>广汽埃安</t>
  </si>
  <si>
    <t>Aion V</t>
  </si>
  <si>
    <t>26000-28000</t>
  </si>
  <si>
    <t>奇骏</t>
  </si>
  <si>
    <t>ID.4 X</t>
  </si>
  <si>
    <t>RAV4荣放</t>
  </si>
  <si>
    <t>上海通用凯迪拉克</t>
  </si>
  <si>
    <t>MG</t>
  </si>
  <si>
    <t>HS新能源</t>
  </si>
  <si>
    <t>领克</t>
  </si>
  <si>
    <t>领克01</t>
  </si>
  <si>
    <t>领克05</t>
  </si>
  <si>
    <t>reference from duplicate</t>
  </si>
  <si>
    <t>bev</t>
  </si>
  <si>
    <t>A0</t>
  </si>
  <si>
    <t>12000-14000</t>
  </si>
  <si>
    <t>ZS</t>
  </si>
  <si>
    <t>缤越</t>
  </si>
  <si>
    <t>缤智</t>
  </si>
  <si>
    <t>上汽通用五菱</t>
  </si>
  <si>
    <t>宝骏RS-3</t>
  </si>
  <si>
    <t>10000-12000</t>
  </si>
  <si>
    <t>长安汽车</t>
  </si>
  <si>
    <t>CS35</t>
  </si>
  <si>
    <t>GS3</t>
  </si>
  <si>
    <t>ix25</t>
  </si>
  <si>
    <t>昂科拉</t>
  </si>
  <si>
    <t>东风日产启辰</t>
  </si>
  <si>
    <t>T60</t>
  </si>
  <si>
    <t>东风悦达起亚</t>
  </si>
  <si>
    <t>傲跑</t>
  </si>
  <si>
    <t>劲客</t>
  </si>
  <si>
    <t>凯翼汽车</t>
  </si>
  <si>
    <t>凯翼X3</t>
  </si>
  <si>
    <t>奕跑</t>
  </si>
  <si>
    <t>江淮汽车</t>
  </si>
  <si>
    <t>瑞风S4</t>
  </si>
  <si>
    <t>东南汽车</t>
  </si>
  <si>
    <t>东南DX5</t>
  </si>
  <si>
    <t>合众新能源</t>
  </si>
  <si>
    <t>哪吒N01</t>
  </si>
  <si>
    <t>东风标致</t>
  </si>
  <si>
    <t>东风雪铁龙</t>
  </si>
  <si>
    <t>C3-XR</t>
  </si>
  <si>
    <t>大运新能源</t>
  </si>
  <si>
    <t>悦虎</t>
  </si>
  <si>
    <t>几何汽车</t>
  </si>
  <si>
    <t>几何E</t>
  </si>
  <si>
    <t>A0 class SUV</t>
  </si>
  <si>
    <t>皓影 (CR-V)</t>
  </si>
  <si>
    <t>江铃福特</t>
  </si>
  <si>
    <t>领界</t>
  </si>
  <si>
    <t>ix35</t>
  </si>
  <si>
    <t>上汽大众斯柯达</t>
  </si>
  <si>
    <t>柯珞克</t>
  </si>
  <si>
    <t>领克02</t>
  </si>
  <si>
    <t>Song Plus DM-i</t>
  </si>
  <si>
    <t>威驰</t>
  </si>
  <si>
    <t>威驰FS</t>
  </si>
  <si>
    <t>YARiS L 致享</t>
  </si>
  <si>
    <t>YARiS L 致炫</t>
  </si>
  <si>
    <t>飞度</t>
  </si>
  <si>
    <t>POLO</t>
  </si>
  <si>
    <t>欧拉</t>
  </si>
  <si>
    <t>好猫</t>
  </si>
  <si>
    <t>LIFE</t>
  </si>
  <si>
    <t>悦纳</t>
  </si>
  <si>
    <t>零跑</t>
  </si>
  <si>
    <t>S01</t>
  </si>
  <si>
    <t>雷丁</t>
  </si>
  <si>
    <t>I5</t>
  </si>
  <si>
    <t>哪吒V</t>
  </si>
  <si>
    <t>A0 class 轿车</t>
  </si>
  <si>
    <t>W6</t>
  </si>
  <si>
    <t>一汽奔腾</t>
  </si>
  <si>
    <t>E01</t>
  </si>
  <si>
    <t>WEY摩卡</t>
  </si>
  <si>
    <t>探岳</t>
  </si>
  <si>
    <t>昂科威</t>
  </si>
  <si>
    <t>胜达</t>
  </si>
  <si>
    <t>东风标志</t>
  </si>
  <si>
    <t>GS8</t>
  </si>
  <si>
    <t>途观L</t>
  </si>
  <si>
    <t>32000-34000</t>
  </si>
  <si>
    <t>红旗</t>
  </si>
  <si>
    <t>HS5</t>
  </si>
  <si>
    <t>KX7</t>
  </si>
  <si>
    <t>北京汽车</t>
  </si>
  <si>
    <t>北京X7PHEV</t>
  </si>
  <si>
    <t xml:space="preserve">B SUV </t>
  </si>
  <si>
    <t>UR-V</t>
  </si>
  <si>
    <t>广汽菲克Jeep</t>
  </si>
  <si>
    <t>大指挥官</t>
  </si>
  <si>
    <t>探岳GTE</t>
  </si>
  <si>
    <t>途观LPHEV</t>
  </si>
  <si>
    <t>ARCFOX极狐</t>
  </si>
  <si>
    <t>αT</t>
  </si>
  <si>
    <t>途观X</t>
  </si>
  <si>
    <t>撼路者</t>
  </si>
  <si>
    <t>指挥官</t>
  </si>
  <si>
    <t>CX-8</t>
  </si>
  <si>
    <t>自由光</t>
  </si>
  <si>
    <t>SERES赛力斯</t>
  </si>
  <si>
    <t>SF5</t>
  </si>
  <si>
    <t>威马汽车</t>
  </si>
  <si>
    <t>EX6</t>
  </si>
  <si>
    <t>秦Plus EV/秦EV</t>
  </si>
  <si>
    <t>Aion S</t>
  </si>
  <si>
    <t>北汽新能源</t>
  </si>
  <si>
    <t>EU系列</t>
  </si>
  <si>
    <t>宝来EV</t>
  </si>
  <si>
    <t>帝豪EV</t>
  </si>
  <si>
    <t>Ei5</t>
  </si>
  <si>
    <t>D60EV</t>
  </si>
  <si>
    <t>长安新能源</t>
  </si>
  <si>
    <t>逸动EV460</t>
  </si>
  <si>
    <t>东风</t>
  </si>
  <si>
    <t>风神E70</t>
  </si>
  <si>
    <t>东风风行</t>
  </si>
  <si>
    <t>S50EV</t>
  </si>
  <si>
    <t>享域混合动力</t>
  </si>
  <si>
    <t>高尔夫</t>
  </si>
  <si>
    <t>全新福克斯</t>
  </si>
  <si>
    <t>思域</t>
  </si>
  <si>
    <t>速腾</t>
  </si>
  <si>
    <t>凌渡</t>
  </si>
  <si>
    <t>UNI-V</t>
  </si>
  <si>
    <t>型格</t>
  </si>
  <si>
    <t>宝来</t>
  </si>
  <si>
    <t>卡罗拉双擎</t>
  </si>
  <si>
    <t>Ei6</t>
  </si>
  <si>
    <t>轩逸纯电</t>
  </si>
  <si>
    <t>上汽通用雪佛兰</t>
  </si>
  <si>
    <t>畅巡</t>
  </si>
  <si>
    <t>A 轿车</t>
  </si>
  <si>
    <t>Rival for others</t>
  </si>
  <si>
    <t>Qin Plus DM-i</t>
  </si>
  <si>
    <t>秦Plus DM-i/e2</t>
  </si>
  <si>
    <t>3昂克塞拉</t>
  </si>
  <si>
    <t>汉 EV/DM</t>
  </si>
  <si>
    <t>北京</t>
  </si>
  <si>
    <t>北京D80</t>
  </si>
  <si>
    <t>雅阁</t>
  </si>
  <si>
    <t>亚洲龙</t>
  </si>
  <si>
    <t>帕萨特</t>
  </si>
  <si>
    <t>金牛座</t>
  </si>
  <si>
    <t>凯美瑞双擎</t>
  </si>
  <si>
    <t>英仕派</t>
  </si>
  <si>
    <t>君越</t>
  </si>
  <si>
    <t>君威</t>
  </si>
  <si>
    <t>C6</t>
  </si>
  <si>
    <t>蒙迪欧</t>
  </si>
  <si>
    <t>哪吒S</t>
  </si>
  <si>
    <t>B&amp;C 轿车</t>
  </si>
  <si>
    <t>TOTAL</t>
  </si>
  <si>
    <t>Volume (CN)</t>
  </si>
  <si>
    <t>International</t>
  </si>
  <si>
    <t>Market size</t>
  </si>
  <si>
    <t>America</t>
  </si>
  <si>
    <t>Australia</t>
  </si>
  <si>
    <t>SEA</t>
  </si>
  <si>
    <t>CQ + 3</t>
  </si>
  <si>
    <t>CQ + 4</t>
  </si>
  <si>
    <t>2021 flat given rising rev, offset by increasing acquired properties; 22-23 gradually back to 18-19 normal with 0.95 coefficent</t>
  </si>
  <si>
    <t>1h20 flat</t>
  </si>
  <si>
    <t>equity income from TRG and brands contributed 3.6m in 1h20</t>
  </si>
  <si>
    <t>rise due to brands investment</t>
  </si>
  <si>
    <t>1h20 down 1/3</t>
  </si>
  <si>
    <t>Software development/Intangible assets</t>
  </si>
  <si>
    <t>Profitability</t>
  </si>
  <si>
    <t>Gross Margin</t>
  </si>
  <si>
    <t>period cost/revenue</t>
  </si>
  <si>
    <t>Earning Quality</t>
  </si>
  <si>
    <t>net operating cash flow/net income</t>
  </si>
  <si>
    <t>Annual depreciation/initial book value of fiexed asset</t>
  </si>
  <si>
    <t>annual depreciation/initial book value of fixed asset</t>
  </si>
  <si>
    <t>Solvency</t>
  </si>
  <si>
    <t>Gearing ratio</t>
  </si>
  <si>
    <t>Net gearin ratio</t>
  </si>
  <si>
    <t>Debt yoy</t>
  </si>
  <si>
    <t>Financial leverage</t>
  </si>
  <si>
    <t>net operating cash flow/net debt</t>
  </si>
  <si>
    <t>EBIT/financial cost</t>
  </si>
  <si>
    <t>Turnover</t>
  </si>
  <si>
    <t>total asset turnover rate</t>
  </si>
  <si>
    <t>inventory turnover rate</t>
  </si>
  <si>
    <t>fixed asset turnover rate</t>
  </si>
  <si>
    <t>Sustainability</t>
  </si>
  <si>
    <t>recurring capex/total capex</t>
  </si>
  <si>
    <t>recurring capex/net operating cash flow</t>
  </si>
  <si>
    <t>2021E</t>
    <phoneticPr fontId="4" type="noConversion"/>
  </si>
  <si>
    <r>
      <rPr>
        <b/>
        <i/>
        <sz val="10"/>
        <color rgb="FF000000"/>
        <rFont val="微软雅黑"/>
        <family val="2"/>
        <charset val="134"/>
      </rPr>
      <t>汽车产品收入</t>
    </r>
    <r>
      <rPr>
        <b/>
        <i/>
        <sz val="10"/>
        <color rgb="FF000000"/>
        <rFont val="Arial"/>
        <family val="2"/>
      </rPr>
      <t>($000)</t>
    </r>
    <phoneticPr fontId="4" type="noConversion"/>
  </si>
  <si>
    <t>NIO</t>
    <phoneticPr fontId="4" type="noConversion"/>
  </si>
  <si>
    <r>
      <rPr>
        <b/>
        <i/>
        <sz val="10"/>
        <color rgb="FF000000"/>
        <rFont val="微软雅黑"/>
        <family val="2"/>
        <charset val="134"/>
      </rPr>
      <t>产量</t>
    </r>
    <r>
      <rPr>
        <b/>
        <i/>
        <sz val="10"/>
        <color rgb="FF000000"/>
        <rFont val="Arial"/>
        <family val="2"/>
        <charset val="134"/>
      </rPr>
      <t>(</t>
    </r>
    <r>
      <rPr>
        <b/>
        <i/>
        <sz val="10"/>
        <color rgb="FF000000"/>
        <rFont val="宋体"/>
        <family val="2"/>
        <charset val="134"/>
      </rPr>
      <t>辆</t>
    </r>
    <r>
      <rPr>
        <b/>
        <i/>
        <sz val="10"/>
        <color rgb="FF000000"/>
        <rFont val="Arial"/>
        <family val="2"/>
        <charset val="134"/>
      </rPr>
      <t>)</t>
    </r>
    <phoneticPr fontId="4" type="noConversion"/>
  </si>
  <si>
    <t>产量合计</t>
    <phoneticPr fontId="4" type="noConversion"/>
  </si>
  <si>
    <r>
      <rPr>
        <b/>
        <i/>
        <sz val="10"/>
        <color rgb="FF000000"/>
        <rFont val="宋体"/>
        <family val="2"/>
        <charset val="134"/>
      </rPr>
      <t>产能利用率</t>
    </r>
    <r>
      <rPr>
        <b/>
        <i/>
        <sz val="10"/>
        <color rgb="FF000000"/>
        <rFont val="Arial"/>
        <family val="2"/>
      </rPr>
      <t>(</t>
    </r>
    <r>
      <rPr>
        <b/>
        <i/>
        <sz val="10"/>
        <color rgb="FF000000"/>
        <rFont val="宋体"/>
        <family val="2"/>
        <charset val="134"/>
      </rPr>
      <t>辆</t>
    </r>
    <r>
      <rPr>
        <b/>
        <i/>
        <sz val="10"/>
        <color rgb="FF000000"/>
        <rFont val="Arial"/>
        <family val="2"/>
      </rPr>
      <t>)</t>
    </r>
    <phoneticPr fontId="4" type="noConversion"/>
  </si>
  <si>
    <t>Tesla产量</t>
    <phoneticPr fontId="4" type="noConversion"/>
  </si>
  <si>
    <t>Tesla有效产能</t>
    <phoneticPr fontId="4" type="noConversion"/>
  </si>
  <si>
    <t>Tesla产能利用率</t>
    <phoneticPr fontId="4" type="noConversion"/>
  </si>
  <si>
    <t>Tesla产量预估增长率</t>
    <phoneticPr fontId="4" type="noConversion"/>
  </si>
  <si>
    <t>Tesla一致性预期增长率</t>
    <phoneticPr fontId="4" type="noConversion"/>
  </si>
  <si>
    <t>BYD产量</t>
    <phoneticPr fontId="4" type="noConversion"/>
  </si>
  <si>
    <t>BYD一致性预期销量</t>
    <phoneticPr fontId="4" type="noConversion"/>
  </si>
  <si>
    <t>BYD有效产能</t>
    <phoneticPr fontId="4" type="noConversion"/>
  </si>
  <si>
    <t>BYD预测产能利用率-一致性预期销量</t>
    <phoneticPr fontId="4" type="noConversion"/>
  </si>
  <si>
    <t>BYD预测增长率</t>
    <phoneticPr fontId="4" type="noConversion"/>
  </si>
  <si>
    <t>NIO销量</t>
    <phoneticPr fontId="4" type="noConversion"/>
  </si>
  <si>
    <t>NIO有效产能</t>
    <phoneticPr fontId="4" type="noConversion"/>
  </si>
  <si>
    <t>NIO设计产能</t>
    <phoneticPr fontId="4" type="noConversion"/>
  </si>
  <si>
    <t>NIO预测产能利用率-有效产能口径</t>
    <phoneticPr fontId="4" type="noConversion"/>
  </si>
  <si>
    <t>NIO预测产能利用率-设计产能口径</t>
    <phoneticPr fontId="4" type="noConversion"/>
  </si>
  <si>
    <t>NIO预测增长率</t>
    <phoneticPr fontId="4" type="noConversion"/>
  </si>
  <si>
    <t>2021 1-9m</t>
  </si>
  <si>
    <t>品牌</t>
  </si>
  <si>
    <t>市占率</t>
  </si>
  <si>
    <t>Wulin Hongguang</t>
  </si>
  <si>
    <t>大众汽车</t>
  </si>
  <si>
    <t>Price(in reported currency)</t>
  </si>
  <si>
    <t>Quantity Delivered</t>
  </si>
  <si>
    <t>Batteries capacity（KWh）</t>
  </si>
  <si>
    <t xml:space="preserve">  Model S</t>
  </si>
  <si>
    <t>Battery Electric</t>
  </si>
  <si>
    <t xml:space="preserve">  Model S Tri</t>
  </si>
  <si>
    <t xml:space="preserve">  Model 3 </t>
  </si>
  <si>
    <t xml:space="preserve">  Model 3 Long Range Dual Motor All-Wheel Drive</t>
  </si>
  <si>
    <t xml:space="preserve">  Model 3 Performance Dual Motor All-Wheel Drive</t>
  </si>
  <si>
    <t xml:space="preserve">  Model X Dual Motor All-Wheel Drive</t>
  </si>
  <si>
    <t xml:space="preserve">  Model X Plaid Tri Motor All-Wheel Drive</t>
  </si>
  <si>
    <t xml:space="preserve">  Model Y Long Range Dual Motor All-Wheel Drive</t>
  </si>
  <si>
    <t xml:space="preserve">  Model Y Performance Dual Motor All-Wheel Drive</t>
  </si>
  <si>
    <t>Cybertruck</t>
  </si>
  <si>
    <t>Model S/X(%)</t>
  </si>
  <si>
    <t>phasing out; assuming decline rate</t>
  </si>
  <si>
    <t>Model 3/Y(%)</t>
  </si>
  <si>
    <t>Implied ASP($)</t>
  </si>
  <si>
    <t>Total auto</t>
  </si>
  <si>
    <t>Solar deployed(MW)</t>
  </si>
  <si>
    <t>Storage deployed (MWh)</t>
  </si>
  <si>
    <t>Price per kwh</t>
  </si>
  <si>
    <t xml:space="preserve">  Powerwall capacity(kwh)</t>
  </si>
  <si>
    <t xml:space="preserve">  Estimated # of Powerwall sold</t>
  </si>
  <si>
    <t xml:space="preserve">  Powerwall price</t>
  </si>
  <si>
    <t>BYD（EV）</t>
  </si>
  <si>
    <t>QinEV</t>
  </si>
  <si>
    <t>QinEV1.5T</t>
  </si>
  <si>
    <t>Plug-in Hybrid Electric</t>
  </si>
  <si>
    <t>QinProEV</t>
  </si>
  <si>
    <t>QinProEV1.5T</t>
  </si>
  <si>
    <t>QinPlusEV</t>
  </si>
  <si>
    <t>QinPlusEV1.5T</t>
  </si>
  <si>
    <t>HanEV</t>
  </si>
  <si>
    <t>HanEV1.5T</t>
  </si>
  <si>
    <t>HanEV2.0T</t>
  </si>
  <si>
    <t>TangEV</t>
  </si>
  <si>
    <t>TangEV1.5T</t>
  </si>
  <si>
    <t>TangEV2.0T</t>
  </si>
  <si>
    <t>SongEV</t>
  </si>
  <si>
    <t>SongEV1.5T</t>
  </si>
  <si>
    <t>SongMAXEV1.5T</t>
  </si>
  <si>
    <t>续航里程</t>
  </si>
  <si>
    <t>SongMAXEV</t>
  </si>
  <si>
    <t>SongPLUSEV</t>
  </si>
  <si>
    <t>SongPLUSEV1.5T</t>
  </si>
  <si>
    <t>SongPROEV</t>
  </si>
  <si>
    <t>SongPROEV1.5T</t>
  </si>
  <si>
    <t>SongPro</t>
  </si>
  <si>
    <t>Song</t>
  </si>
  <si>
    <t>SongMax</t>
  </si>
  <si>
    <t>YuanEV1.5T</t>
  </si>
  <si>
    <t>YuanEV</t>
  </si>
  <si>
    <t>YuanPRO</t>
  </si>
  <si>
    <t>YuanPlus</t>
  </si>
  <si>
    <t>海豚EV</t>
  </si>
  <si>
    <t>海豹EV</t>
  </si>
  <si>
    <t>e9EV</t>
  </si>
  <si>
    <t>e1EV</t>
  </si>
  <si>
    <t>e2EV</t>
  </si>
  <si>
    <t>e3EV</t>
  </si>
  <si>
    <t>e5EV</t>
  </si>
  <si>
    <t>e6EV</t>
  </si>
  <si>
    <t>F3EV</t>
  </si>
  <si>
    <t>Average</t>
    <phoneticPr fontId="4" type="noConversion"/>
  </si>
  <si>
    <t>Average by  actual sales</t>
  </si>
  <si>
    <t>=(Q28*H28+Q30*H30+H34*Q34+Q37*H37+Q39*H39+Q43*H42+H46*Q46+Q47*H48+H49*Q49+H50*Q50+H52*Q52+H60*Q60+Q61*H61+H62*Q62)/</t>
  </si>
  <si>
    <t>BYD(Batteries)</t>
  </si>
  <si>
    <t>CATL revenue(000)</t>
  </si>
  <si>
    <t>Batteries capacity per unit (KWh)</t>
  </si>
  <si>
    <t>historical based batteries product/EV production; future based on 10% growth rate</t>
  </si>
  <si>
    <t>CATL revenue(￥）</t>
  </si>
  <si>
    <t>base on 10% yoy from 2021</t>
  </si>
  <si>
    <t>Internal consumptions (GWh)</t>
  </si>
  <si>
    <t>units*capacity per unit</t>
  </si>
  <si>
    <t>CATK sales volume(GWh)</t>
  </si>
  <si>
    <t>Supply (GWh)</t>
  </si>
  <si>
    <t>from Capacity Detail</t>
  </si>
  <si>
    <t>External supplies (GWh)</t>
  </si>
  <si>
    <t>Supply minus Internal consumptions</t>
  </si>
  <si>
    <t>Implied market price (¥/GWh)</t>
  </si>
  <si>
    <t>Total deliveries‘batteries(GWh)</t>
  </si>
  <si>
    <t>weighted average</t>
  </si>
  <si>
    <t>actual sales of battery capacity</t>
  </si>
  <si>
    <t>Average weighted</t>
  </si>
  <si>
    <t>Important Notice</t>
  </si>
  <si>
    <t>Do not copy or redistribute without prior consent of GFHK.</t>
  </si>
  <si>
    <t>@Copyright by GFHK 2022. All rights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</si>
</sst>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 #,##0_ ;_ * \-#,##0_ ;_ * &quot;-&quot;_ ;_ @_ "/>
    <numFmt numFmtId="43" formatCode="_ * #,##0.00_ ;_ * \-#,##0.00_ ;_ * &quot;-&quot;??_ ;_ @_ "/>
    <numFmt numFmtId="176" formatCode="_(* #,##0_);_(* \(#,##0\);_(* &quot;-&quot;_);_(@_)"/>
    <numFmt numFmtId="177" formatCode="_(* #,##0.00_);_(* \(#,##0.00\);_(* &quot;-&quot;??_);_(@_)"/>
    <numFmt numFmtId="178" formatCode="0.0%"/>
    <numFmt numFmtId="179" formatCode="#,##0_ "/>
    <numFmt numFmtId="180" formatCode="0_ "/>
    <numFmt numFmtId="181" formatCode="#,##0.00_ "/>
    <numFmt numFmtId="182" formatCode="0.00_);[Red]\(0.00\)"/>
    <numFmt numFmtId="183" formatCode="_ * #,##0_ ;_ * \-#,##0_ ;_ * &quot;-&quot;??_ ;_ @_ "/>
    <numFmt numFmtId="184" formatCode="#,##0.##;[Red]\(#,##0.##\)"/>
    <numFmt numFmtId="185" formatCode="_(* #,##0_);_(* \(#,##0\);_(* &quot;-&quot;??_);_(@_)"/>
    <numFmt numFmtId="186" formatCode="0.00_ "/>
    <numFmt numFmtId="187" formatCode="0_);[Red]\(0\)"/>
    <numFmt numFmtId="188" formatCode="yyyy\-mm\-dd;@"/>
    <numFmt numFmtId="189" formatCode="0.0"/>
    <numFmt numFmtId="190" formatCode="#,##0.0"/>
    <numFmt numFmtId="191" formatCode="_-[$$-409]* #,##0.00_ ;_-[$$-409]* \-#,##0.00\ ;_-[$$-409]* &quot;-&quot;??_ ;_-@_ "/>
    <numFmt numFmtId="192" formatCode="0.00_ ;[Red]\-0.00\ "/>
    <numFmt numFmtId="193" formatCode="#,##0_ ;[Red]\-#,##0\ "/>
    <numFmt numFmtId="194" formatCode="#,##0.00_ ;[Red]\-#,##0.00\ "/>
    <numFmt numFmtId="195" formatCode="_(* #,##0.0_);_(* \(#,##0.0\);_(* &quot;-&quot;?_);_(@_)"/>
    <numFmt numFmtId="196" formatCode="_(* #,##0_);_(* \(#,##0\);_(* &quot;-&quot;?_);_(@_)"/>
    <numFmt numFmtId="197" formatCode="#,##0.0_ ;[Red]\-#,##0.0\ "/>
    <numFmt numFmtId="198" formatCode="_ * #,##0.0_ ;_ * \-#,##0.0_ ;_ * &quot;-&quot;?_ ;_ @_ "/>
    <numFmt numFmtId="199" formatCode="_(* #,##0.00_);_(* \(#,##0.00\);_(* &quot;-&quot;?_);_(@_)"/>
    <numFmt numFmtId="200" formatCode="_ * #,##0.0_ ;_ * \-#,##0.0_ ;_ * &quot;-&quot;??_ ;_ @_ "/>
    <numFmt numFmtId="201" formatCode="_(* #,##0.0_);_(* \(#,##0.0\);_(* &quot;-&quot;??_);_(@_)"/>
    <numFmt numFmtId="202" formatCode="0_);\(0\)"/>
    <numFmt numFmtId="203" formatCode="0.00\p\c\t"/>
    <numFmt numFmtId="204" formatCode="0.000"/>
    <numFmt numFmtId="205" formatCode="#,##0.#;[Red]\(#,##0.#\)"/>
  </numFmts>
  <fonts count="229">
    <font>
      <sz val="11"/>
      <color theme="1"/>
      <name val="等线"/>
      <family val="2"/>
      <scheme val="minor"/>
    </font>
    <font>
      <sz val="12"/>
      <color theme="1"/>
      <name val="等线"/>
      <family val="2"/>
      <scheme val="minor"/>
    </font>
    <font>
      <b/>
      <i/>
      <sz val="10"/>
      <color rgb="FF000000"/>
      <name val="Arial"/>
      <family val="2"/>
    </font>
    <font>
      <sz val="11"/>
      <color rgb="FF444444"/>
      <name val="Calibri"/>
      <family val="2"/>
      <charset val="1"/>
    </font>
    <font>
      <sz val="9"/>
      <name val="等线"/>
      <family val="3"/>
      <charset val="134"/>
      <scheme val="minor"/>
    </font>
    <font>
      <sz val="9"/>
      <color indexed="81"/>
      <name val="宋体"/>
      <family val="3"/>
      <charset val="134"/>
    </font>
    <font>
      <b/>
      <sz val="9"/>
      <color indexed="81"/>
      <name val="宋体"/>
      <family val="3"/>
      <charset val="134"/>
    </font>
    <font>
      <b/>
      <i/>
      <sz val="10"/>
      <color rgb="FF000000"/>
      <name val="微软雅黑"/>
      <family val="2"/>
      <charset val="134"/>
    </font>
    <font>
      <b/>
      <i/>
      <sz val="10"/>
      <color rgb="FF000000"/>
      <name val="Arial"/>
      <family val="2"/>
      <charset val="134"/>
    </font>
    <font>
      <b/>
      <i/>
      <sz val="10"/>
      <color rgb="FF000000"/>
      <name val="宋体"/>
      <family val="2"/>
      <charset val="134"/>
    </font>
    <font>
      <sz val="10"/>
      <color indexed="8"/>
      <name val="Arial"/>
      <family val="2"/>
    </font>
    <font>
      <b/>
      <i/>
      <sz val="12"/>
      <color rgb="FF000000"/>
      <name val="Arial"/>
      <family val="2"/>
    </font>
    <font>
      <sz val="11"/>
      <color rgb="FF000000"/>
      <name val="等线"/>
      <family val="3"/>
      <charset val="134"/>
      <scheme val="minor"/>
    </font>
    <font>
      <b/>
      <sz val="11"/>
      <color rgb="FF000000"/>
      <name val="等线"/>
      <family val="3"/>
      <charset val="134"/>
      <scheme val="minor"/>
    </font>
    <font>
      <sz val="9"/>
      <color rgb="FF000000"/>
      <name val="Tahoma"/>
      <family val="2"/>
    </font>
    <font>
      <sz val="11"/>
      <name val="Calibri"/>
      <family val="2"/>
    </font>
    <font>
      <sz val="11"/>
      <color rgb="FFFF0000"/>
      <name val="等线"/>
      <family val="2"/>
      <scheme val="minor"/>
    </font>
    <font>
      <sz val="12"/>
      <color rgb="FF3F3F76"/>
      <name val="Times New Roman"/>
      <family val="1"/>
    </font>
    <font>
      <b/>
      <sz val="12"/>
      <color rgb="FFFA7D00"/>
      <name val="Times New Roman"/>
      <family val="1"/>
    </font>
    <font>
      <b/>
      <sz val="11"/>
      <color theme="1"/>
      <name val="等线"/>
      <family val="2"/>
      <charset val="134"/>
      <scheme val="minor"/>
    </font>
    <font>
      <b/>
      <sz val="11"/>
      <color theme="1"/>
      <name val="等线"/>
      <family val="2"/>
      <scheme val="minor"/>
    </font>
    <font>
      <sz val="11"/>
      <color theme="1"/>
      <name val="等线"/>
      <family val="2"/>
      <scheme val="minor"/>
    </font>
    <font>
      <sz val="11"/>
      <color rgb="FF5B9BD5"/>
      <name val="等线"/>
      <family val="2"/>
      <scheme val="minor"/>
    </font>
    <font>
      <sz val="12"/>
      <color rgb="FFED7D31"/>
      <name val="Times New Roman"/>
      <family val="1"/>
    </font>
    <font>
      <sz val="11"/>
      <color rgb="FF00B0F0"/>
      <name val="等线"/>
      <family val="2"/>
      <scheme val="minor"/>
    </font>
    <font>
      <sz val="11"/>
      <color rgb="FFED7D31"/>
      <name val="等线"/>
      <family val="2"/>
      <scheme val="minor"/>
    </font>
    <font>
      <sz val="11"/>
      <color rgb="FFC00000"/>
      <name val="等线"/>
      <family val="2"/>
      <scheme val="minor"/>
    </font>
    <font>
      <sz val="11"/>
      <color rgb="FF000000"/>
      <name val="等线"/>
      <family val="2"/>
      <scheme val="minor"/>
    </font>
    <font>
      <b/>
      <sz val="12"/>
      <color rgb="FF00B0F0"/>
      <name val="Times New Roman"/>
      <family val="1"/>
    </font>
    <font>
      <sz val="11"/>
      <color rgb="FF00B050"/>
      <name val="等线"/>
      <family val="2"/>
      <scheme val="minor"/>
    </font>
    <font>
      <b/>
      <sz val="11"/>
      <color rgb="FF00B0F0"/>
      <name val="等线"/>
      <family val="2"/>
      <scheme val="minor"/>
    </font>
    <font>
      <sz val="11"/>
      <color rgb="FF0070C0"/>
      <name val="等线"/>
      <family val="2"/>
      <charset val="134"/>
      <scheme val="minor"/>
    </font>
    <font>
      <sz val="11"/>
      <color rgb="FF000000"/>
      <name val="Calibri"/>
      <family val="2"/>
    </font>
    <font>
      <sz val="12"/>
      <color rgb="FF00B0F0"/>
      <name val="Times New Roman"/>
      <family val="1"/>
    </font>
    <font>
      <sz val="12"/>
      <color rgb="FF000000"/>
      <name val="Times New Roman"/>
      <family val="1"/>
    </font>
    <font>
      <b/>
      <sz val="10"/>
      <name val="Arial"/>
      <family val="2"/>
    </font>
    <font>
      <b/>
      <sz val="14"/>
      <name val="Arial"/>
      <family val="2"/>
    </font>
    <font>
      <sz val="10"/>
      <name val="Arial"/>
      <family val="2"/>
    </font>
    <font>
      <sz val="11"/>
      <color rgb="FF9C0006"/>
      <name val="等线"/>
      <family val="2"/>
      <charset val="134"/>
      <scheme val="minor"/>
    </font>
    <font>
      <sz val="11"/>
      <color rgb="FFFF0000"/>
      <name val="等线"/>
      <family val="2"/>
      <charset val="134"/>
      <scheme val="minor"/>
    </font>
    <font>
      <sz val="11"/>
      <name val="等线"/>
      <family val="2"/>
      <scheme val="minor"/>
    </font>
    <font>
      <b/>
      <sz val="14"/>
      <color theme="1"/>
      <name val="等线"/>
      <family val="2"/>
      <scheme val="minor"/>
    </font>
    <font>
      <b/>
      <sz val="14"/>
      <name val="等线"/>
      <family val="2"/>
      <scheme val="minor"/>
    </font>
    <font>
      <b/>
      <sz val="14"/>
      <color rgb="FF0070C0"/>
      <name val="等线"/>
      <family val="2"/>
      <scheme val="minor"/>
    </font>
    <font>
      <b/>
      <sz val="11"/>
      <color rgb="FF000000"/>
      <name val="等线"/>
      <family val="2"/>
      <scheme val="minor"/>
    </font>
    <font>
      <b/>
      <sz val="11"/>
      <color rgb="FFFF0000"/>
      <name val="等线"/>
      <family val="2"/>
      <scheme val="minor"/>
    </font>
    <font>
      <b/>
      <sz val="11"/>
      <color theme="0"/>
      <name val="等线"/>
      <family val="2"/>
      <scheme val="minor"/>
    </font>
    <font>
      <sz val="9"/>
      <name val="等线"/>
      <family val="2"/>
      <scheme val="minor"/>
    </font>
    <font>
      <b/>
      <sz val="11"/>
      <color theme="3" tint="0.39997558519241921"/>
      <name val="等线"/>
      <family val="2"/>
      <scheme val="minor"/>
    </font>
    <font>
      <sz val="11"/>
      <color rgb="FF0070C0"/>
      <name val="等线"/>
      <family val="2"/>
      <scheme val="minor"/>
    </font>
    <font>
      <b/>
      <sz val="16"/>
      <color theme="3" tint="0.39997558519241921"/>
      <name val="等线"/>
      <family val="2"/>
      <scheme val="minor"/>
    </font>
    <font>
      <b/>
      <sz val="14"/>
      <color rgb="FFFF0000"/>
      <name val="等线"/>
      <family val="2"/>
      <scheme val="minor"/>
    </font>
    <font>
      <b/>
      <sz val="11"/>
      <color rgb="FF0070C0"/>
      <name val="等线"/>
      <family val="2"/>
      <scheme val="minor"/>
    </font>
    <font>
      <b/>
      <sz val="11"/>
      <color rgb="FFFF00FF"/>
      <name val="等线"/>
      <family val="2"/>
      <scheme val="minor"/>
    </font>
    <font>
      <b/>
      <sz val="11"/>
      <name val="等线"/>
      <family val="2"/>
      <scheme val="minor"/>
    </font>
    <font>
      <b/>
      <sz val="11"/>
      <color rgb="FF000000"/>
      <name val="Calibri"/>
      <family val="2"/>
    </font>
    <font>
      <sz val="11"/>
      <name val="等线"/>
      <family val="2"/>
      <charset val="134"/>
      <scheme val="minor"/>
    </font>
    <font>
      <i/>
      <sz val="11"/>
      <color rgb="FFFF0000"/>
      <name val="等线"/>
      <family val="2"/>
      <scheme val="minor"/>
    </font>
    <font>
      <i/>
      <sz val="11"/>
      <name val="等线"/>
      <family val="2"/>
      <scheme val="minor"/>
    </font>
    <font>
      <i/>
      <sz val="11"/>
      <color rgb="FFFF0000"/>
      <name val="Calibri (Body)"/>
    </font>
    <font>
      <sz val="11"/>
      <color theme="0"/>
      <name val="等线"/>
      <family val="2"/>
      <scheme val="minor"/>
    </font>
    <font>
      <sz val="12"/>
      <color rgb="FF0070C0"/>
      <name val="等线"/>
      <family val="2"/>
      <scheme val="minor"/>
    </font>
    <font>
      <sz val="12"/>
      <color rgb="FF4472C4"/>
      <name val="等线"/>
      <family val="2"/>
      <scheme val="minor"/>
    </font>
    <font>
      <b/>
      <sz val="14"/>
      <color theme="0" tint="-0.249977111117893"/>
      <name val="等线"/>
      <family val="2"/>
      <scheme val="minor"/>
    </font>
    <font>
      <sz val="11"/>
      <color rgb="FFBFBFBF"/>
      <name val="Calibri"/>
      <family val="2"/>
    </font>
    <font>
      <sz val="11"/>
      <color theme="0" tint="-0.249977111117893"/>
      <name val="等线"/>
      <family val="2"/>
      <scheme val="minor"/>
    </font>
    <font>
      <b/>
      <sz val="11"/>
      <color rgb="FF0070C0"/>
      <name val="等线"/>
      <family val="2"/>
      <charset val="134"/>
      <scheme val="minor"/>
    </font>
    <font>
      <b/>
      <sz val="16"/>
      <color rgb="FF8497B0"/>
      <name val="Calibri"/>
      <family val="2"/>
    </font>
    <font>
      <sz val="11"/>
      <color rgb="FFFF0000"/>
      <name val="Calibri"/>
      <family val="2"/>
      <charset val="1"/>
    </font>
    <font>
      <sz val="11"/>
      <color rgb="FF00B0F0"/>
      <name val="等线"/>
      <family val="2"/>
      <charset val="134"/>
      <scheme val="minor"/>
    </font>
    <font>
      <b/>
      <sz val="12"/>
      <color rgb="FF000000"/>
      <name val="等线"/>
      <family val="3"/>
      <charset val="134"/>
    </font>
    <font>
      <b/>
      <sz val="12"/>
      <color theme="1"/>
      <name val="等线"/>
      <family val="2"/>
      <charset val="134"/>
      <scheme val="minor"/>
    </font>
    <font>
      <sz val="12"/>
      <color rgb="FF000000"/>
      <name val="等线"/>
      <family val="3"/>
      <charset val="134"/>
    </font>
    <font>
      <sz val="11"/>
      <color rgb="FFFFC000"/>
      <name val="等线"/>
      <family val="2"/>
      <scheme val="minor"/>
    </font>
    <font>
      <sz val="11"/>
      <color rgb="FF000000"/>
      <name val="Times New Roman"/>
      <family val="1"/>
    </font>
    <font>
      <b/>
      <sz val="11"/>
      <color rgb="FF000000"/>
      <name val="Times New Roman"/>
      <family val="1"/>
    </font>
    <font>
      <u/>
      <sz val="11"/>
      <color theme="10"/>
      <name val="等线"/>
      <family val="2"/>
      <scheme val="minor"/>
    </font>
    <font>
      <b/>
      <sz val="12"/>
      <color rgb="FFFFC000"/>
      <name val="Times New Roman"/>
      <family val="1"/>
    </font>
    <font>
      <sz val="11"/>
      <color rgb="FF333333"/>
      <name val="微软雅黑"/>
      <family val="2"/>
      <charset val="134"/>
    </font>
    <font>
      <sz val="11"/>
      <color rgb="FF444444"/>
      <name val="Calibri"/>
      <family val="2"/>
    </font>
    <font>
      <b/>
      <sz val="11"/>
      <color rgb="FF444444"/>
      <name val="Calibri"/>
      <family val="2"/>
      <charset val="1"/>
    </font>
    <font>
      <b/>
      <sz val="12"/>
      <color rgb="FF305496"/>
      <name val="等线"/>
      <family val="2"/>
      <charset val="134"/>
      <scheme val="minor"/>
    </font>
    <font>
      <b/>
      <sz val="12"/>
      <color rgb="FF305496"/>
      <name val="等线"/>
      <family val="2"/>
      <scheme val="minor"/>
    </font>
    <font>
      <sz val="11"/>
      <color rgb="FFC00000"/>
      <name val="等线"/>
      <family val="3"/>
      <charset val="134"/>
    </font>
    <font>
      <sz val="12"/>
      <color rgb="FFFFC000"/>
      <name val="Times New Roman"/>
      <family val="1"/>
    </font>
    <font>
      <sz val="11"/>
      <color rgb="FF000000"/>
      <name val="等线"/>
      <family val="4"/>
      <charset val="134"/>
    </font>
    <font>
      <sz val="9"/>
      <color rgb="FF333333"/>
      <name val="Microsoft YaHei"/>
      <family val="2"/>
      <charset val="134"/>
    </font>
    <font>
      <b/>
      <i/>
      <sz val="12"/>
      <color rgb="FF000000"/>
      <name val="Times New Roman"/>
      <family val="1"/>
    </font>
    <font>
      <b/>
      <i/>
      <sz val="10"/>
      <color rgb="FF000000"/>
      <name val="Times New Roman"/>
      <family val="1"/>
    </font>
    <font>
      <sz val="11"/>
      <color theme="1"/>
      <name val="Times New Roman"/>
      <family val="1"/>
    </font>
    <font>
      <i/>
      <sz val="11"/>
      <color theme="1"/>
      <name val="等线"/>
      <family val="2"/>
      <scheme val="minor"/>
    </font>
    <font>
      <sz val="11"/>
      <color theme="1"/>
      <name val="Times New Roman"/>
      <family val="1"/>
    </font>
    <font>
      <b/>
      <sz val="11"/>
      <color theme="1"/>
      <name val="Times New Roman"/>
      <family val="1"/>
    </font>
    <font>
      <sz val="11"/>
      <color rgb="FFC00000"/>
      <name val="Times New Roman"/>
      <family val="1"/>
    </font>
    <font>
      <sz val="11"/>
      <color rgb="FF00B050"/>
      <name val="Times New Roman"/>
      <family val="1"/>
    </font>
    <font>
      <b/>
      <sz val="11"/>
      <color rgb="FF00B050"/>
      <name val="等线"/>
      <family val="2"/>
      <scheme val="minor"/>
    </font>
    <font>
      <b/>
      <sz val="11"/>
      <color rgb="FF00B050"/>
      <name val="Times New Roman"/>
      <family val="1"/>
    </font>
    <font>
      <b/>
      <sz val="15"/>
      <color theme="3"/>
      <name val="Times New Roman"/>
      <family val="1"/>
    </font>
    <font>
      <b/>
      <sz val="11"/>
      <color theme="3"/>
      <name val="Times New Roman"/>
      <family val="1"/>
    </font>
    <font>
      <sz val="11"/>
      <color rgb="FF444444"/>
      <name val="Times New Roman"/>
      <family val="1"/>
    </font>
    <font>
      <sz val="10"/>
      <color rgb="FF000000"/>
      <name val="Times New Roman"/>
      <family val="1"/>
    </font>
    <font>
      <b/>
      <sz val="11"/>
      <color rgb="FF00B0F0"/>
      <name val="Times New Roman"/>
      <family val="1"/>
    </font>
    <font>
      <sz val="11"/>
      <color rgb="FF00B0F0"/>
      <name val="Times New Roman"/>
      <family val="1"/>
    </font>
    <font>
      <sz val="11"/>
      <color rgb="FFFFC000"/>
      <name val="Times New Roman"/>
      <family val="1"/>
    </font>
    <font>
      <b/>
      <sz val="11"/>
      <color rgb="FFFFC000"/>
      <name val="等线"/>
      <family val="2"/>
      <scheme val="minor"/>
    </font>
    <font>
      <sz val="18"/>
      <color theme="3"/>
      <name val="等线 Light"/>
      <family val="3"/>
      <charset val="134"/>
      <scheme val="major"/>
    </font>
    <font>
      <sz val="18"/>
      <color theme="3"/>
      <name val="等线 Light"/>
      <family val="1"/>
      <scheme val="major"/>
    </font>
    <font>
      <b/>
      <sz val="13"/>
      <color theme="3"/>
      <name val="Times New Roman"/>
      <family val="1"/>
    </font>
    <font>
      <b/>
      <sz val="11"/>
      <color rgb="FFC00000"/>
      <name val="Times New Roman"/>
      <family val="1"/>
    </font>
    <font>
      <sz val="11"/>
      <color rgb="FFFFC000"/>
      <name val="等线"/>
      <family val="4"/>
      <charset val="134"/>
    </font>
    <font>
      <sz val="11"/>
      <color rgb="FF00B050"/>
      <name val="宋体"/>
      <family val="3"/>
      <charset val="134"/>
    </font>
    <font>
      <sz val="9"/>
      <color rgb="FF333333"/>
      <name val="Segoe UI"/>
      <family val="2"/>
    </font>
    <font>
      <b/>
      <sz val="12"/>
      <name val="Arial"/>
      <family val="2"/>
    </font>
    <font>
      <sz val="10"/>
      <color rgb="FF00B050"/>
      <name val="等线"/>
      <family val="2"/>
      <scheme val="minor"/>
    </font>
    <font>
      <sz val="11"/>
      <color rgb="FF000000"/>
      <name val="等线"/>
      <family val="4"/>
      <charset val="134"/>
      <scheme val="minor"/>
    </font>
    <font>
      <b/>
      <sz val="9"/>
      <color rgb="FF000000"/>
      <name val="宋体"/>
      <family val="3"/>
      <charset val="134"/>
    </font>
    <font>
      <sz val="9"/>
      <color rgb="FF000000"/>
      <name val="宋体"/>
      <family val="3"/>
      <charset val="134"/>
    </font>
    <font>
      <i/>
      <sz val="10"/>
      <color rgb="FF000000"/>
      <name val="Arial"/>
      <family val="2"/>
    </font>
    <font>
      <sz val="10"/>
      <color theme="1"/>
      <name val="Roboto"/>
    </font>
    <font>
      <sz val="10"/>
      <color rgb="FFFFFFFF"/>
      <name val="Roboto"/>
    </font>
    <font>
      <sz val="10"/>
      <color rgb="FF00B0F0"/>
      <name val="Roboto"/>
    </font>
    <font>
      <i/>
      <sz val="11"/>
      <color rgb="FF00B0F0"/>
      <name val="等线"/>
      <family val="2"/>
      <scheme val="minor"/>
    </font>
    <font>
      <b/>
      <i/>
      <sz val="11"/>
      <color rgb="FF000000"/>
      <name val="Times New Roman"/>
      <family val="1"/>
    </font>
    <font>
      <b/>
      <sz val="10"/>
      <color theme="1"/>
      <name val="等线"/>
      <family val="2"/>
      <scheme val="minor"/>
    </font>
    <font>
      <sz val="10"/>
      <color theme="1"/>
      <name val="等线"/>
      <family val="2"/>
      <scheme val="minor"/>
    </font>
    <font>
      <sz val="10"/>
      <color rgb="FF00B0F0"/>
      <name val="等线"/>
      <family val="2"/>
      <scheme val="minor"/>
    </font>
    <font>
      <b/>
      <sz val="12"/>
      <color theme="1"/>
      <name val="等线"/>
      <family val="2"/>
      <scheme val="minor"/>
    </font>
    <font>
      <sz val="11"/>
      <color rgb="FF000000"/>
      <name val="宋体"/>
      <family val="3"/>
      <charset val="134"/>
    </font>
    <font>
      <sz val="12"/>
      <color rgb="FF000000"/>
      <name val="宋体"/>
      <family val="3"/>
      <charset val="134"/>
    </font>
    <font>
      <sz val="11"/>
      <color rgb="FF00B050"/>
      <name val="等线"/>
      <family val="2"/>
      <charset val="134"/>
      <scheme val="minor"/>
    </font>
    <font>
      <sz val="12"/>
      <color rgb="FF000000"/>
      <name val="SimSun"/>
      <family val="3"/>
      <charset val="134"/>
    </font>
    <font>
      <b/>
      <sz val="12"/>
      <color rgb="FF000000"/>
      <name val="SimSun"/>
      <family val="3"/>
      <charset val="134"/>
    </font>
    <font>
      <sz val="12"/>
      <color rgb="FF000000"/>
      <name val="等线"/>
      <family val="2"/>
      <scheme val="minor"/>
    </font>
    <font>
      <b/>
      <sz val="12"/>
      <color rgb="FF000000"/>
      <name val="Times New Roman"/>
      <family val="1"/>
    </font>
    <font>
      <sz val="10"/>
      <name val="等线"/>
      <family val="2"/>
      <scheme val="minor"/>
    </font>
    <font>
      <sz val="10"/>
      <color rgb="FF0070C0"/>
      <name val="等线"/>
      <family val="2"/>
      <charset val="134"/>
      <scheme val="minor"/>
    </font>
    <font>
      <b/>
      <sz val="10"/>
      <name val="等线"/>
      <family val="2"/>
      <scheme val="minor"/>
    </font>
    <font>
      <b/>
      <sz val="10"/>
      <color rgb="FF0070C0"/>
      <name val="等线"/>
      <family val="2"/>
      <scheme val="minor"/>
    </font>
    <font>
      <b/>
      <sz val="10"/>
      <color rgb="FF000000"/>
      <name val="等线"/>
      <family val="2"/>
      <scheme val="minor"/>
    </font>
    <font>
      <b/>
      <sz val="10"/>
      <color rgb="FFFF0000"/>
      <name val="等线"/>
      <family val="2"/>
      <scheme val="minor"/>
    </font>
    <font>
      <b/>
      <sz val="10"/>
      <color theme="0"/>
      <name val="等线"/>
      <family val="2"/>
      <scheme val="minor"/>
    </font>
    <font>
      <b/>
      <sz val="10"/>
      <color theme="3" tint="0.39997558519241921"/>
      <name val="等线"/>
      <family val="2"/>
      <scheme val="minor"/>
    </font>
    <font>
      <sz val="10"/>
      <color rgb="FF0070C0"/>
      <name val="等线"/>
      <family val="2"/>
      <scheme val="minor"/>
    </font>
    <font>
      <b/>
      <sz val="10"/>
      <color rgb="FF00B0F0"/>
      <name val="等线"/>
      <family val="2"/>
      <scheme val="minor"/>
    </font>
    <font>
      <b/>
      <sz val="10"/>
      <color rgb="FFFF00FF"/>
      <name val="等线"/>
      <family val="2"/>
      <scheme val="minor"/>
    </font>
    <font>
      <b/>
      <sz val="10"/>
      <color rgb="FF000000"/>
      <name val="Calibri"/>
      <family val="2"/>
    </font>
    <font>
      <sz val="10"/>
      <color rgb="FF000000"/>
      <name val="Calibri"/>
      <family val="2"/>
    </font>
    <font>
      <i/>
      <sz val="10"/>
      <color rgb="FFFF0000"/>
      <name val="等线"/>
      <family val="2"/>
      <scheme val="minor"/>
    </font>
    <font>
      <sz val="10"/>
      <name val="等线"/>
      <family val="2"/>
      <charset val="134"/>
      <scheme val="minor"/>
    </font>
    <font>
      <sz val="10"/>
      <color rgb="FF000000"/>
      <name val="等线"/>
      <family val="2"/>
      <scheme val="minor"/>
    </font>
    <font>
      <sz val="10"/>
      <color rgb="FF00B050"/>
      <name val="等线"/>
      <family val="2"/>
      <charset val="134"/>
      <scheme val="minor"/>
    </font>
    <font>
      <i/>
      <sz val="10"/>
      <name val="等线"/>
      <family val="2"/>
      <scheme val="minor"/>
    </font>
    <font>
      <sz val="10"/>
      <color rgb="FFFFC000"/>
      <name val="等线"/>
      <family val="2"/>
      <charset val="134"/>
      <scheme val="minor"/>
    </font>
    <font>
      <sz val="10"/>
      <color rgb="FFFF0000"/>
      <name val="等线"/>
      <family val="2"/>
      <charset val="134"/>
      <scheme val="minor"/>
    </font>
    <font>
      <sz val="10"/>
      <color rgb="FF444444"/>
      <name val="Calibri"/>
      <family val="2"/>
      <charset val="1"/>
    </font>
    <font>
      <sz val="10"/>
      <color rgb="FFFF0000"/>
      <name val="等线"/>
      <family val="2"/>
      <scheme val="minor"/>
    </font>
    <font>
      <b/>
      <sz val="10"/>
      <color rgb="FF00B050"/>
      <name val="等线"/>
      <family val="2"/>
      <scheme val="minor"/>
    </font>
    <font>
      <sz val="10"/>
      <color theme="0"/>
      <name val="等线"/>
      <family val="2"/>
      <scheme val="minor"/>
    </font>
    <font>
      <sz val="10"/>
      <color rgb="FF3F3F76"/>
      <name val="Times New Roman"/>
      <family val="1"/>
    </font>
    <font>
      <sz val="10"/>
      <color rgb="FF000000"/>
      <name val="等线"/>
      <family val="4"/>
      <charset val="134"/>
    </font>
    <font>
      <i/>
      <sz val="10"/>
      <color rgb="FFFF0000"/>
      <name val="Calibri (Body)"/>
    </font>
    <font>
      <b/>
      <sz val="10"/>
      <color theme="0" tint="-0.249977111117893"/>
      <name val="等线"/>
      <family val="2"/>
      <scheme val="minor"/>
    </font>
    <font>
      <sz val="10"/>
      <color rgb="FFBFBFBF"/>
      <name val="Calibri"/>
      <family val="2"/>
    </font>
    <font>
      <sz val="10"/>
      <color theme="0" tint="-0.249977111117893"/>
      <name val="等线"/>
      <family val="2"/>
      <scheme val="minor"/>
    </font>
    <font>
      <b/>
      <sz val="10"/>
      <color rgb="FF0070C0"/>
      <name val="等线"/>
      <family val="2"/>
      <charset val="134"/>
      <scheme val="minor"/>
    </font>
    <font>
      <b/>
      <sz val="10"/>
      <color rgb="FF8497B0"/>
      <name val="Calibri"/>
      <family val="2"/>
    </font>
    <font>
      <sz val="10"/>
      <color rgb="FFC00000"/>
      <name val="等线"/>
      <family val="2"/>
      <scheme val="minor"/>
    </font>
    <font>
      <sz val="10"/>
      <color rgb="FFFFC000"/>
      <name val="等线"/>
      <family val="2"/>
      <scheme val="minor"/>
    </font>
    <font>
      <i/>
      <sz val="11"/>
      <color rgb="FF000000"/>
      <name val="Times New Roman"/>
      <family val="1"/>
    </font>
    <font>
      <i/>
      <sz val="9"/>
      <color rgb="FF000000"/>
      <name val="Tahoma"/>
      <family val="2"/>
    </font>
    <font>
      <sz val="11"/>
      <color rgb="FFFFC000"/>
      <name val="等线"/>
      <family val="2"/>
      <charset val="134"/>
      <scheme val="minor"/>
    </font>
    <font>
      <sz val="11"/>
      <color rgb="FF3F3F76"/>
      <name val="Times New Roman"/>
      <family val="1"/>
    </font>
    <font>
      <sz val="11"/>
      <color rgb="FFFF0000"/>
      <name val="Calibri"/>
      <family val="2"/>
      <charset val="134"/>
    </font>
    <font>
      <b/>
      <sz val="11"/>
      <color rgb="FFFFC000"/>
      <name val="等线"/>
      <family val="2"/>
      <charset val="134"/>
      <scheme val="minor"/>
    </font>
    <font>
      <sz val="11"/>
      <color theme="7"/>
      <name val="等线"/>
      <family val="2"/>
      <scheme val="minor"/>
    </font>
    <font>
      <sz val="11"/>
      <color theme="5"/>
      <name val="等线"/>
      <family val="2"/>
      <scheme val="minor"/>
    </font>
    <font>
      <i/>
      <sz val="14"/>
      <color theme="1"/>
      <name val="Times New Roman"/>
      <family val="1"/>
    </font>
    <font>
      <sz val="10"/>
      <color rgb="FF00B050"/>
      <name val="Times New Roman"/>
      <family val="1"/>
    </font>
    <font>
      <sz val="11"/>
      <color rgb="FF000000"/>
      <name val="等线"/>
      <family val="3"/>
      <charset val="134"/>
    </font>
    <font>
      <sz val="11"/>
      <color rgb="FFFF0000"/>
      <name val="Calibri"/>
      <family val="2"/>
    </font>
    <font>
      <sz val="11"/>
      <color rgb="FF00B0F0"/>
      <name val="等线"/>
      <family val="3"/>
      <charset val="134"/>
    </font>
    <font>
      <b/>
      <i/>
      <sz val="9"/>
      <color rgb="FF000000"/>
      <name val="Times New Roman"/>
      <family val="1"/>
    </font>
    <font>
      <b/>
      <sz val="11"/>
      <color rgb="FF00B0F0"/>
      <name val="等线"/>
      <family val="3"/>
      <charset val="134"/>
    </font>
    <font>
      <sz val="11"/>
      <color rgb="FF444444"/>
      <name val="SimSun"/>
      <family val="3"/>
      <charset val="134"/>
    </font>
    <font>
      <sz val="9"/>
      <color rgb="FF000000"/>
      <name val="等线"/>
      <family val="2"/>
      <scheme val="minor"/>
    </font>
    <font>
      <b/>
      <sz val="11"/>
      <color theme="0"/>
      <name val="Times New Roman"/>
      <family val="1"/>
    </font>
    <font>
      <sz val="11"/>
      <color theme="1"/>
      <name val="楷体"/>
      <family val="3"/>
      <charset val="134"/>
    </font>
    <font>
      <sz val="11"/>
      <color rgb="FF000000"/>
      <name val="楷体"/>
      <family val="3"/>
      <charset val="134"/>
    </font>
    <font>
      <sz val="8"/>
      <name val="等线"/>
      <family val="2"/>
      <scheme val="minor"/>
    </font>
    <font>
      <sz val="11"/>
      <color theme="7"/>
      <name val="Times New Roman"/>
      <family val="1"/>
    </font>
    <font>
      <b/>
      <i/>
      <sz val="10"/>
      <color theme="0"/>
      <name val="Times New Roman"/>
      <family val="1"/>
    </font>
    <font>
      <b/>
      <i/>
      <sz val="11"/>
      <color theme="1"/>
      <name val="Times New Roman"/>
      <family val="1"/>
    </font>
    <font>
      <sz val="10"/>
      <color rgb="FF000000"/>
      <name val="Tahoma"/>
      <family val="2"/>
    </font>
    <font>
      <b/>
      <sz val="10"/>
      <color rgb="FF000000"/>
      <name val="Tahoma"/>
      <family val="2"/>
    </font>
    <font>
      <sz val="11"/>
      <color rgb="FFFF00FF"/>
      <name val="等线"/>
      <family val="2"/>
      <scheme val="minor"/>
    </font>
    <font>
      <sz val="11"/>
      <color theme="4"/>
      <name val="等线"/>
      <family val="2"/>
      <scheme val="minor"/>
    </font>
    <font>
      <b/>
      <sz val="12"/>
      <color theme="1"/>
      <name val="Arial"/>
      <family val="2"/>
    </font>
    <font>
      <sz val="11"/>
      <color rgb="FFFF0000"/>
      <name val="Calibri (Body)"/>
    </font>
    <font>
      <b/>
      <i/>
      <sz val="12"/>
      <color theme="1"/>
      <name val="Arial"/>
      <family val="2"/>
    </font>
    <font>
      <sz val="11"/>
      <color theme="1"/>
      <name val="Arial"/>
      <family val="2"/>
    </font>
    <font>
      <sz val="11"/>
      <color theme="1"/>
      <name val="Helvetica"/>
      <family val="2"/>
    </font>
    <font>
      <sz val="11"/>
      <color rgb="FFB90000"/>
      <name val="等线"/>
      <family val="2"/>
      <scheme val="minor"/>
    </font>
    <font>
      <i/>
      <sz val="11"/>
      <color theme="1"/>
      <name val="Times New Roman"/>
      <family val="1"/>
    </font>
    <font>
      <sz val="11"/>
      <color rgb="FF0D71C6"/>
      <name val="Helvetica"/>
      <family val="2"/>
    </font>
    <font>
      <sz val="12"/>
      <color rgb="FF000000"/>
      <name val="KaiTi"/>
      <family val="1"/>
    </font>
    <font>
      <sz val="12"/>
      <color theme="1"/>
      <name val="Times New Roman"/>
      <family val="1"/>
    </font>
    <font>
      <sz val="12"/>
      <color rgb="FF00B0F0"/>
      <name val="等线"/>
      <family val="2"/>
      <scheme val="minor"/>
    </font>
    <font>
      <b/>
      <sz val="12"/>
      <color theme="0"/>
      <name val="Times New Roman"/>
      <family val="1"/>
    </font>
    <font>
      <sz val="8"/>
      <color rgb="FF000000"/>
      <name val="Tahoma"/>
      <family val="2"/>
    </font>
    <font>
      <sz val="8"/>
      <color rgb="FF000000"/>
      <name val="Calibri"/>
      <family val="2"/>
    </font>
    <font>
      <sz val="11"/>
      <color rgb="FF00B0F0"/>
      <name val="Helvetica"/>
      <family val="2"/>
    </font>
    <font>
      <i/>
      <sz val="10"/>
      <color theme="1"/>
      <name val="Calibri (Body)"/>
    </font>
    <font>
      <i/>
      <sz val="10"/>
      <color theme="1"/>
      <name val="等线"/>
      <family val="2"/>
      <scheme val="minor"/>
    </font>
    <font>
      <sz val="12"/>
      <color rgb="FF000000"/>
      <name val="SimSun"/>
      <charset val="134"/>
    </font>
    <font>
      <sz val="11"/>
      <color theme="7"/>
      <name val="等线"/>
      <family val="2"/>
      <charset val="134"/>
      <scheme val="minor"/>
    </font>
    <font>
      <b/>
      <i/>
      <sz val="12"/>
      <color theme="1"/>
      <name val="Times New Roman"/>
      <family val="1"/>
    </font>
    <font>
      <sz val="11"/>
      <color rgb="FFFF0000"/>
      <name val="Times New Roman"/>
      <family val="1"/>
    </font>
    <font>
      <b/>
      <sz val="10"/>
      <color theme="1"/>
      <name val="Times New Roman"/>
      <family val="1"/>
    </font>
    <font>
      <sz val="10"/>
      <color theme="1"/>
      <name val="Times New Roman"/>
      <family val="1"/>
    </font>
    <font>
      <sz val="10"/>
      <color rgb="FF00B0F0"/>
      <name val="Times New Roman"/>
      <family val="1"/>
    </font>
    <font>
      <i/>
      <sz val="11"/>
      <color rgb="FF00B050"/>
      <name val="Times New Roman"/>
      <family val="1"/>
    </font>
    <font>
      <i/>
      <sz val="11"/>
      <color rgb="FF00B0F0"/>
      <name val="Times New Roman"/>
      <family val="1"/>
    </font>
    <font>
      <i/>
      <sz val="11"/>
      <color rgb="FFFFC000"/>
      <name val="Times New Roman"/>
      <family val="1"/>
    </font>
    <font>
      <b/>
      <sz val="12"/>
      <color theme="1"/>
      <name val="Times New Roman"/>
      <family val="1"/>
    </font>
    <font>
      <b/>
      <sz val="11"/>
      <color rgb="FFFFC000"/>
      <name val="Times New Roman"/>
      <family val="1"/>
    </font>
    <font>
      <u/>
      <sz val="11"/>
      <color rgb="FF00B050"/>
      <name val="Times New Roman"/>
      <family val="1"/>
    </font>
    <font>
      <u/>
      <sz val="11"/>
      <color theme="10"/>
      <name val="Times New Roman"/>
      <family val="1"/>
    </font>
    <font>
      <i/>
      <sz val="11"/>
      <color theme="5" tint="0.39997558519241921"/>
      <name val="Times New Roman"/>
      <family val="1"/>
    </font>
    <font>
      <sz val="18"/>
      <color rgb="FF000000"/>
      <name val="Calibri"/>
      <family val="2"/>
    </font>
  </fonts>
  <fills count="49">
    <fill>
      <patternFill patternType="none"/>
    </fill>
    <fill>
      <patternFill patternType="gray125"/>
    </fill>
    <fill>
      <patternFill patternType="solid">
        <fgColor rgb="FFE0E0E0"/>
        <bgColor rgb="FF000000"/>
      </patternFill>
    </fill>
    <fill>
      <patternFill patternType="solid">
        <fgColor rgb="FFFFC000"/>
        <bgColor indexed="64"/>
      </patternFill>
    </fill>
    <fill>
      <patternFill patternType="solid">
        <fgColor rgb="FFFFFF00"/>
        <bgColor indexed="64"/>
      </patternFill>
    </fill>
    <fill>
      <patternFill patternType="solid">
        <fgColor rgb="FFFFFFFF"/>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FFCC99"/>
      </patternFill>
    </fill>
    <fill>
      <patternFill patternType="solid">
        <fgColor rgb="FFF2F2F2"/>
      </patternFill>
    </fill>
    <fill>
      <patternFill patternType="solid">
        <fgColor rgb="FFFFC7CE"/>
      </patternFill>
    </fill>
    <fill>
      <patternFill patternType="solid">
        <fgColor theme="0"/>
        <bgColor indexed="64"/>
      </patternFill>
    </fill>
    <fill>
      <patternFill patternType="solid">
        <fgColor theme="0" tint="-0.249977111117893"/>
        <bgColor indexed="64"/>
      </patternFill>
    </fill>
    <fill>
      <patternFill patternType="solid">
        <fgColor rgb="FF0070C0"/>
        <bgColor indexed="64"/>
      </patternFill>
    </fill>
    <fill>
      <patternFill patternType="solid">
        <fgColor theme="3"/>
        <bgColor indexed="64"/>
      </patternFill>
    </fill>
    <fill>
      <patternFill patternType="solid">
        <fgColor rgb="FFFFFF99"/>
        <bgColor indexed="64"/>
      </patternFill>
    </fill>
    <fill>
      <patternFill patternType="solid">
        <fgColor rgb="FF92D050"/>
        <bgColor indexed="64"/>
      </patternFill>
    </fill>
    <fill>
      <patternFill patternType="solid">
        <fgColor rgb="FFE7E6E6"/>
        <bgColor indexed="64"/>
      </patternFill>
    </fill>
    <fill>
      <patternFill patternType="solid">
        <fgColor rgb="FFF4B084"/>
        <bgColor indexed="64"/>
      </patternFill>
    </fill>
    <fill>
      <patternFill patternType="solid">
        <fgColor rgb="FF5B9BD5"/>
        <bgColor indexed="64"/>
      </patternFill>
    </fill>
    <fill>
      <patternFill patternType="solid">
        <fgColor rgb="FFDBDBDB"/>
        <bgColor indexed="64"/>
      </patternFill>
    </fill>
    <fill>
      <patternFill patternType="solid">
        <fgColor rgb="FF00B050"/>
        <bgColor indexed="64"/>
      </patternFill>
    </fill>
    <fill>
      <patternFill patternType="solid">
        <fgColor rgb="FF9BC2E6"/>
        <bgColor indexed="64"/>
      </patternFill>
    </fill>
    <fill>
      <patternFill patternType="solid">
        <fgColor rgb="FF1C4587"/>
        <bgColor indexed="64"/>
      </patternFill>
    </fill>
    <fill>
      <patternFill patternType="solid">
        <fgColor rgb="FF3C78D8"/>
        <bgColor indexed="64"/>
      </patternFill>
    </fill>
    <fill>
      <patternFill patternType="solid">
        <fgColor rgb="FFFFD966"/>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0070C0"/>
        <bgColor rgb="FF000000"/>
      </patternFill>
    </fill>
    <fill>
      <patternFill patternType="solid">
        <fgColor rgb="FFFFFFFF"/>
        <bgColor rgb="FF000000"/>
      </patternFill>
    </fill>
    <fill>
      <patternFill patternType="solid">
        <fgColor theme="0" tint="-0.14999847407452621"/>
        <bgColor indexed="64"/>
      </patternFill>
    </fill>
    <fill>
      <patternFill patternType="solid">
        <fgColor theme="2"/>
        <bgColor indexed="64"/>
      </patternFill>
    </fill>
    <fill>
      <patternFill patternType="solid">
        <fgColor theme="8" tint="0.79998168889431442"/>
        <bgColor indexed="64"/>
      </patternFill>
    </fill>
    <fill>
      <patternFill patternType="solid">
        <fgColor rgb="FFFFF2CC"/>
        <bgColor rgb="FF000000"/>
      </patternFill>
    </fill>
    <fill>
      <patternFill patternType="solid">
        <fgColor rgb="FFFFFF00"/>
        <bgColor rgb="FF000000"/>
      </patternFill>
    </fill>
    <fill>
      <patternFill patternType="solid">
        <fgColor theme="7" tint="0.79998168889431442"/>
        <bgColor indexed="64"/>
      </patternFill>
    </fill>
    <fill>
      <patternFill patternType="solid">
        <fgColor theme="4" tint="-0.249977111117893"/>
        <bgColor indexed="64"/>
      </patternFill>
    </fill>
    <fill>
      <patternFill patternType="solid">
        <fgColor rgb="FF305496"/>
        <bgColor rgb="FF000000"/>
      </patternFill>
    </fill>
    <fill>
      <patternFill patternType="solid">
        <fgColor rgb="FFDDEBF7"/>
        <bgColor rgb="FF000000"/>
      </patternFill>
    </fill>
    <fill>
      <patternFill patternType="solid">
        <fgColor theme="0"/>
        <bgColor rgb="FF000000"/>
      </patternFill>
    </fill>
    <fill>
      <patternFill patternType="solid">
        <fgColor theme="4" tint="0.59999389629810485"/>
        <bgColor indexed="64"/>
      </patternFill>
    </fill>
    <fill>
      <patternFill patternType="solid">
        <fgColor theme="0" tint="-0.499984740745262"/>
        <bgColor indexed="64"/>
      </patternFill>
    </fill>
    <fill>
      <patternFill patternType="solid">
        <fgColor rgb="FFFFFF9A"/>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E0E0E0"/>
        <bgColor indexed="64"/>
      </patternFill>
    </fill>
    <fill>
      <patternFill patternType="solid">
        <fgColor rgb="FFE8E6E6"/>
        <bgColor indexed="64"/>
      </patternFill>
    </fill>
  </fills>
  <borders count="1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rgb="FFDEDEDE"/>
      </left>
      <right style="thin">
        <color rgb="FFDEDEDE"/>
      </right>
      <top style="thin">
        <color rgb="FFDEDEDE"/>
      </top>
      <bottom style="thin">
        <color rgb="FFDEDEDE"/>
      </bottom>
      <diagonal/>
    </border>
    <border>
      <left/>
      <right style="thin">
        <color rgb="FF000000"/>
      </right>
      <top/>
      <bottom/>
      <diagonal/>
    </border>
    <border>
      <left style="thin">
        <color rgb="FF7F7F7F"/>
      </left>
      <right style="thin">
        <color rgb="FF7F7F7F"/>
      </right>
      <top style="thin">
        <color rgb="FF7F7F7F"/>
      </top>
      <bottom style="thin">
        <color rgb="FF7F7F7F"/>
      </bottom>
      <diagonal/>
    </border>
    <border>
      <left/>
      <right style="thin">
        <color rgb="FF7F7F7F"/>
      </right>
      <top style="thin">
        <color rgb="FF7F7F7F"/>
      </top>
      <bottom style="thin">
        <color rgb="FF7F7F7F"/>
      </bottom>
      <diagonal/>
    </border>
    <border>
      <left/>
      <right/>
      <top style="medium">
        <color indexed="64"/>
      </top>
      <bottom/>
      <diagonal/>
    </border>
    <border>
      <left/>
      <right/>
      <top style="thin">
        <color indexed="64"/>
      </top>
      <bottom style="double">
        <color indexed="64"/>
      </bottom>
      <diagonal/>
    </border>
    <border>
      <left/>
      <right/>
      <top/>
      <bottom style="thin">
        <color rgb="FF000000"/>
      </bottom>
      <diagonal/>
    </border>
    <border>
      <left/>
      <right/>
      <top/>
      <bottom style="thin">
        <color indexed="64"/>
      </bottom>
      <diagonal/>
    </border>
    <border>
      <left style="thin">
        <color rgb="FF7F7F7F"/>
      </left>
      <right/>
      <top style="thin">
        <color rgb="FF7F7F7F"/>
      </top>
      <bottom style="thin">
        <color rgb="FF7F7F7F"/>
      </bottom>
      <diagonal/>
    </border>
    <border>
      <left/>
      <right/>
      <top/>
      <bottom style="medium">
        <color rgb="FF8EA9DB"/>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B0F0"/>
      </left>
      <right/>
      <top/>
      <bottom/>
      <diagonal/>
    </border>
    <border>
      <left/>
      <right/>
      <top/>
      <bottom style="thick">
        <color theme="4"/>
      </bottom>
      <diagonal/>
    </border>
    <border>
      <left/>
      <right/>
      <top/>
      <bottom style="medium">
        <color theme="4" tint="0.39997558519241921"/>
      </bottom>
      <diagonal/>
    </border>
    <border>
      <left/>
      <right/>
      <top/>
      <bottom style="thick">
        <color theme="4" tint="0.499984740745262"/>
      </bottom>
      <diagonal/>
    </border>
    <border>
      <left/>
      <right/>
      <top style="medium">
        <color rgb="FF000000"/>
      </top>
      <bottom/>
      <diagonal/>
    </border>
    <border>
      <left/>
      <right/>
      <top/>
      <bottom style="medium">
        <color rgb="FF000000"/>
      </bottom>
      <diagonal/>
    </border>
    <border>
      <left/>
      <right style="thin">
        <color rgb="FF000000"/>
      </right>
      <top/>
      <bottom style="medium">
        <color rgb="FF000000"/>
      </bottom>
      <diagonal/>
    </border>
    <border>
      <left style="thin">
        <color rgb="FF1C4587"/>
      </left>
      <right style="thin">
        <color rgb="FF000000"/>
      </right>
      <top style="thin">
        <color rgb="FF1C4587"/>
      </top>
      <bottom style="thin">
        <color rgb="FF1C4587"/>
      </bottom>
      <diagonal/>
    </border>
    <border>
      <left/>
      <right style="thin">
        <color rgb="FF000000"/>
      </right>
      <top style="thin">
        <color rgb="FF1C4587"/>
      </top>
      <bottom style="thin">
        <color rgb="FF1C4587"/>
      </bottom>
      <diagonal/>
    </border>
    <border>
      <left/>
      <right style="thin">
        <color rgb="FF1C4587"/>
      </right>
      <top style="thin">
        <color rgb="FF1C4587"/>
      </top>
      <bottom style="thin">
        <color rgb="FF1C4587"/>
      </bottom>
      <diagonal/>
    </border>
    <border>
      <left style="thin">
        <color rgb="FF1C4587"/>
      </left>
      <right style="thin">
        <color rgb="FF1C4587"/>
      </right>
      <top/>
      <bottom style="thin">
        <color rgb="FF1C4587"/>
      </bottom>
      <diagonal/>
    </border>
    <border>
      <left/>
      <right style="thin">
        <color rgb="FF1C4587"/>
      </right>
      <top/>
      <bottom style="thin">
        <color rgb="FF1C4587"/>
      </bottom>
      <diagonal/>
    </border>
    <border>
      <left/>
      <right/>
      <top style="thin">
        <color rgb="FF7F7F7F"/>
      </top>
      <bottom style="thin">
        <color rgb="FF7F7F7F"/>
      </bottom>
      <diagonal/>
    </border>
    <border>
      <left/>
      <right style="thin">
        <color rgb="FF000000"/>
      </right>
      <top style="thin">
        <color rgb="FF7F7F7F"/>
      </top>
      <bottom style="thin">
        <color rgb="FF7F7F7F"/>
      </bottom>
      <diagonal/>
    </border>
    <border>
      <left style="thin">
        <color rgb="FF7F7F7F"/>
      </left>
      <right style="thin">
        <color rgb="FF000000"/>
      </right>
      <top style="thin">
        <color rgb="FF7F7F7F"/>
      </top>
      <bottom style="thin">
        <color rgb="FF7F7F7F"/>
      </bottom>
      <diagonal/>
    </border>
    <border>
      <left style="thin">
        <color indexed="64"/>
      </left>
      <right style="thin">
        <color indexed="64"/>
      </right>
      <top style="thin">
        <color indexed="64"/>
      </top>
      <bottom style="thin">
        <color rgb="FF000000"/>
      </bottom>
      <diagonal/>
    </border>
    <border>
      <left/>
      <right style="medium">
        <color indexed="64"/>
      </right>
      <top/>
      <bottom/>
      <diagonal/>
    </border>
    <border>
      <left/>
      <right/>
      <top/>
      <bottom style="medium">
        <color indexed="64"/>
      </bottom>
      <diagonal/>
    </border>
    <border>
      <left style="medium">
        <color theme="0"/>
      </left>
      <right/>
      <top/>
      <bottom/>
      <diagonal/>
    </border>
    <border>
      <left/>
      <right/>
      <top style="thin">
        <color theme="1"/>
      </top>
      <bottom/>
      <diagonal/>
    </border>
    <border>
      <left/>
      <right/>
      <top/>
      <bottom style="thin">
        <color theme="1"/>
      </bottom>
      <diagonal/>
    </border>
    <border>
      <left/>
      <right/>
      <top style="medium">
        <color theme="1"/>
      </top>
      <bottom/>
      <diagonal/>
    </border>
    <border>
      <left/>
      <right/>
      <top/>
      <bottom style="medium">
        <color theme="1"/>
      </bottom>
      <diagonal/>
    </border>
    <border>
      <left/>
      <right/>
      <top style="medium">
        <color theme="1"/>
      </top>
      <bottom style="medium">
        <color theme="1"/>
      </bottom>
      <diagonal/>
    </border>
    <border>
      <left/>
      <right/>
      <top style="thin">
        <color theme="1"/>
      </top>
      <bottom style="medium">
        <color theme="1"/>
      </bottom>
      <diagonal/>
    </border>
    <border>
      <left/>
      <right/>
      <top style="thin">
        <color indexed="64"/>
      </top>
      <bottom style="thin">
        <color theme="0"/>
      </bottom>
      <diagonal/>
    </border>
    <border>
      <left/>
      <right/>
      <top style="thin">
        <color theme="0"/>
      </top>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indexed="64"/>
      </top>
      <bottom style="thin">
        <color theme="0"/>
      </bottom>
      <diagonal/>
    </border>
    <border>
      <left style="thin">
        <color theme="0"/>
      </left>
      <right/>
      <top style="thin">
        <color theme="1"/>
      </top>
      <bottom style="thin">
        <color theme="0"/>
      </bottom>
      <diagonal/>
    </border>
    <border>
      <left/>
      <right/>
      <top style="thin">
        <color theme="1"/>
      </top>
      <bottom style="thin">
        <color theme="0"/>
      </bottom>
      <diagonal/>
    </border>
    <border>
      <left style="thin">
        <color theme="0"/>
      </left>
      <right/>
      <top style="thin">
        <color theme="0"/>
      </top>
      <bottom/>
      <diagonal/>
    </border>
    <border>
      <left style="thin">
        <color theme="0"/>
      </left>
      <right style="thin">
        <color theme="0"/>
      </right>
      <top style="thin">
        <color theme="1"/>
      </top>
      <bottom/>
      <diagonal/>
    </border>
    <border>
      <left style="thin">
        <color theme="0"/>
      </left>
      <right style="thin">
        <color theme="0"/>
      </right>
      <top style="thin">
        <color theme="1"/>
      </top>
      <bottom style="thin">
        <color theme="0"/>
      </bottom>
      <diagonal/>
    </border>
    <border>
      <left style="thin">
        <color theme="0"/>
      </left>
      <right style="thin">
        <color theme="0"/>
      </right>
      <top/>
      <bottom/>
      <diagonal/>
    </border>
    <border>
      <left/>
      <right/>
      <top style="medium">
        <color indexed="64"/>
      </top>
      <bottom style="thin">
        <color theme="0"/>
      </bottom>
      <diagonal/>
    </border>
    <border>
      <left style="thin">
        <color theme="0"/>
      </left>
      <right style="thin">
        <color theme="0"/>
      </right>
      <top/>
      <bottom style="medium">
        <color indexed="64"/>
      </bottom>
      <diagonal/>
    </border>
    <border>
      <left style="thin">
        <color theme="0"/>
      </left>
      <right/>
      <top style="medium">
        <color indexed="64"/>
      </top>
      <bottom style="thin">
        <color theme="0"/>
      </bottom>
      <diagonal/>
    </border>
    <border>
      <left style="thin">
        <color theme="0"/>
      </left>
      <right/>
      <top style="medium">
        <color theme="1"/>
      </top>
      <bottom style="thin">
        <color theme="0"/>
      </bottom>
      <diagonal/>
    </border>
    <border>
      <left style="thin">
        <color theme="0"/>
      </left>
      <right style="thin">
        <color theme="0"/>
      </right>
      <top style="medium">
        <color theme="1"/>
      </top>
      <bottom style="thin">
        <color theme="0"/>
      </bottom>
      <diagonal/>
    </border>
    <border>
      <left style="thin">
        <color theme="0"/>
      </left>
      <right/>
      <top style="medium">
        <color theme="1"/>
      </top>
      <bottom/>
      <diagonal/>
    </border>
    <border>
      <left style="thin">
        <color theme="0"/>
      </left>
      <right/>
      <top/>
      <bottom style="medium">
        <color theme="1"/>
      </bottom>
      <diagonal/>
    </border>
    <border>
      <left style="thin">
        <color theme="0"/>
      </left>
      <right/>
      <top/>
      <bottom/>
      <diagonal/>
    </border>
    <border>
      <left/>
      <right/>
      <top style="medium">
        <color theme="1"/>
      </top>
      <bottom style="thin">
        <color theme="0"/>
      </bottom>
      <diagonal/>
    </border>
    <border>
      <left style="thin">
        <color theme="0"/>
      </left>
      <right/>
      <top/>
      <bottom style="medium">
        <color indexed="64"/>
      </bottom>
      <diagonal/>
    </border>
    <border>
      <left style="thin">
        <color theme="0"/>
      </left>
      <right style="thin">
        <color theme="0"/>
      </right>
      <top/>
      <bottom style="medium">
        <color theme="1"/>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style="thin">
        <color theme="0"/>
      </top>
      <bottom style="thin">
        <color theme="0"/>
      </bottom>
      <diagonal/>
    </border>
    <border>
      <left/>
      <right/>
      <top style="thin">
        <color theme="0"/>
      </top>
      <bottom style="thin">
        <color indexed="64"/>
      </bottom>
      <diagonal/>
    </border>
    <border>
      <left/>
      <right/>
      <top/>
      <bottom style="thin">
        <color theme="0"/>
      </bottom>
      <diagonal/>
    </border>
    <border>
      <left style="thin">
        <color theme="0"/>
      </left>
      <right/>
      <top/>
      <bottom style="thin">
        <color theme="0"/>
      </bottom>
      <diagonal/>
    </border>
    <border>
      <left style="thin">
        <color theme="0"/>
      </left>
      <right style="thin">
        <color theme="0"/>
      </right>
      <top style="thin">
        <color theme="0"/>
      </top>
      <bottom style="medium">
        <color theme="1"/>
      </bottom>
      <diagonal/>
    </border>
    <border>
      <left/>
      <right/>
      <top style="thin">
        <color theme="0"/>
      </top>
      <bottom style="thin">
        <color theme="1"/>
      </bottom>
      <diagonal/>
    </border>
    <border>
      <left style="thin">
        <color theme="0"/>
      </left>
      <right/>
      <top style="thin">
        <color theme="0"/>
      </top>
      <bottom style="thin">
        <color theme="1"/>
      </bottom>
      <diagonal/>
    </border>
    <border>
      <left style="thin">
        <color theme="0"/>
      </left>
      <right style="thin">
        <color theme="0"/>
      </right>
      <top style="thin">
        <color theme="0"/>
      </top>
      <bottom style="thin">
        <color theme="1"/>
      </bottom>
      <diagonal/>
    </border>
    <border>
      <left style="thin">
        <color rgb="FF000000"/>
      </left>
      <right style="thin">
        <color rgb="FF000000"/>
      </right>
      <top style="thin">
        <color theme="1"/>
      </top>
      <bottom style="thin">
        <color theme="1"/>
      </bottom>
      <diagonal/>
    </border>
    <border>
      <left style="thin">
        <color rgb="FF000000"/>
      </left>
      <right/>
      <top style="thin">
        <color rgb="FF000000"/>
      </top>
      <bottom style="thin">
        <color rgb="FF000000"/>
      </bottom>
      <diagonal/>
    </border>
    <border>
      <left style="thin">
        <color theme="1"/>
      </left>
      <right style="thin">
        <color theme="1"/>
      </right>
      <top style="thin">
        <color theme="1"/>
      </top>
      <bottom style="thin">
        <color theme="1"/>
      </bottom>
      <diagonal/>
    </border>
    <border>
      <left/>
      <right style="thin">
        <color indexed="64"/>
      </right>
      <top/>
      <bottom style="thin">
        <color indexed="64"/>
      </bottom>
      <diagonal/>
    </border>
    <border>
      <left style="thin">
        <color rgb="FF000000"/>
      </left>
      <right style="thin">
        <color indexed="64"/>
      </right>
      <top style="thin">
        <color rgb="FF000000"/>
      </top>
      <bottom/>
      <diagonal/>
    </border>
    <border>
      <left style="thin">
        <color rgb="FF000000"/>
      </left>
      <right/>
      <top/>
      <bottom style="thin">
        <color indexed="64"/>
      </bottom>
      <diagonal/>
    </border>
    <border>
      <left/>
      <right style="thin">
        <color indexed="64"/>
      </right>
      <top style="thin">
        <color rgb="FF000000"/>
      </top>
      <bottom/>
      <diagonal/>
    </border>
    <border>
      <left/>
      <right style="thin">
        <color indexed="64"/>
      </right>
      <top/>
      <bottom style="thin">
        <color rgb="FF000000"/>
      </bottom>
      <diagonal/>
    </border>
    <border>
      <left/>
      <right style="thin">
        <color rgb="FF000000"/>
      </right>
      <top style="thin">
        <color rgb="FF000000"/>
      </top>
      <bottom style="thin">
        <color indexed="64"/>
      </bottom>
      <diagonal/>
    </border>
    <border>
      <left style="thin">
        <color indexed="64"/>
      </left>
      <right/>
      <top/>
      <bottom style="thin">
        <color indexed="64"/>
      </bottom>
      <diagonal/>
    </border>
    <border>
      <left/>
      <right style="thin">
        <color rgb="FF000000"/>
      </right>
      <top/>
      <bottom style="thin">
        <color indexed="64"/>
      </bottom>
      <diagonal/>
    </border>
    <border>
      <left style="thin">
        <color indexed="64"/>
      </left>
      <right/>
      <top/>
      <bottom/>
      <diagonal/>
    </border>
    <border>
      <left style="thin">
        <color theme="0"/>
      </left>
      <right/>
      <top style="thin">
        <color theme="0"/>
      </top>
      <bottom style="thin">
        <color theme="0"/>
      </bottom>
      <diagonal/>
    </border>
    <border>
      <left/>
      <right style="thin">
        <color theme="1"/>
      </right>
      <top/>
      <bottom style="thin">
        <color theme="1"/>
      </bottom>
      <diagonal/>
    </border>
    <border>
      <left/>
      <right/>
      <top style="thin">
        <color indexed="64"/>
      </top>
      <bottom style="medium">
        <color indexed="64"/>
      </bottom>
      <diagonal/>
    </border>
    <border>
      <left style="thin">
        <color theme="0"/>
      </left>
      <right style="thin">
        <color theme="0"/>
      </right>
      <top style="thin">
        <color indexed="64"/>
      </top>
      <bottom style="thin">
        <color theme="1"/>
      </bottom>
      <diagonal/>
    </border>
    <border>
      <left/>
      <right style="thin">
        <color theme="0"/>
      </right>
      <top style="thin">
        <color theme="0"/>
      </top>
      <bottom style="thin">
        <color theme="0"/>
      </bottom>
      <diagonal/>
    </border>
    <border>
      <left/>
      <right style="thin">
        <color theme="0"/>
      </right>
      <top style="thin">
        <color theme="0"/>
      </top>
      <bottom style="medium">
        <color theme="1"/>
      </bottom>
      <diagonal/>
    </border>
    <border>
      <left/>
      <right style="thin">
        <color theme="0"/>
      </right>
      <top/>
      <bottom style="thin">
        <color theme="0"/>
      </bottom>
      <diagonal/>
    </border>
    <border>
      <left style="thin">
        <color theme="0"/>
      </left>
      <right/>
      <top style="thin">
        <color theme="1"/>
      </top>
      <bottom/>
      <diagonal/>
    </border>
    <border>
      <left style="thin">
        <color theme="0"/>
      </left>
      <right/>
      <top style="thin">
        <color theme="0"/>
      </top>
      <bottom style="medium">
        <color theme="1"/>
      </bottom>
      <diagonal/>
    </border>
    <border>
      <left style="thin">
        <color theme="0"/>
      </left>
      <right/>
      <top style="thin">
        <color indexed="64"/>
      </top>
      <bottom style="thin">
        <color theme="1"/>
      </bottom>
      <diagonal/>
    </border>
    <border>
      <left style="thin">
        <color theme="0"/>
      </left>
      <right style="thin">
        <color theme="0"/>
      </right>
      <top style="thin">
        <color indexed="64"/>
      </top>
      <bottom style="thin">
        <color theme="0"/>
      </bottom>
      <diagonal/>
    </border>
    <border>
      <left/>
      <right style="thin">
        <color theme="0"/>
      </right>
      <top style="thin">
        <color theme="0"/>
      </top>
      <bottom style="thin">
        <color theme="1"/>
      </bottom>
      <diagonal/>
    </border>
    <border>
      <left/>
      <right style="thin">
        <color theme="0"/>
      </right>
      <top/>
      <bottom style="medium">
        <color theme="0"/>
      </bottom>
      <diagonal/>
    </border>
    <border>
      <left style="thin">
        <color theme="0"/>
      </left>
      <right style="thin">
        <color theme="0"/>
      </right>
      <top style="thin">
        <color theme="0"/>
      </top>
      <bottom style="medium">
        <color theme="0"/>
      </bottom>
      <diagonal/>
    </border>
    <border>
      <left/>
      <right/>
      <top/>
      <bottom style="medium">
        <color theme="0"/>
      </bottom>
      <diagonal/>
    </border>
    <border>
      <left/>
      <right style="thin">
        <color theme="0"/>
      </right>
      <top style="thin">
        <color theme="0"/>
      </top>
      <bottom style="medium">
        <color theme="0"/>
      </bottom>
      <diagonal/>
    </border>
    <border>
      <left style="thin">
        <color rgb="FF000000"/>
      </left>
      <right style="thin">
        <color indexed="64"/>
      </right>
      <top/>
      <bottom/>
      <diagonal/>
    </border>
  </borders>
  <cellStyleXfs count="14">
    <xf numFmtId="0" fontId="0" fillId="0" borderId="0"/>
    <xf numFmtId="4" fontId="10" fillId="5" borderId="10"/>
    <xf numFmtId="0" fontId="17" fillId="9" borderId="16" applyNumberFormat="0" applyAlignment="0" applyProtection="0"/>
    <xf numFmtId="0" fontId="18" fillId="10" borderId="16" applyNumberFormat="0" applyAlignment="0" applyProtection="0">
      <alignment vertical="center"/>
    </xf>
    <xf numFmtId="9" fontId="21" fillId="0" borderId="0" applyFont="0" applyFill="0" applyBorder="0" applyAlignment="0" applyProtection="0">
      <alignment vertical="center"/>
    </xf>
    <xf numFmtId="0" fontId="37" fillId="0" borderId="0"/>
    <xf numFmtId="0" fontId="38" fillId="11" borderId="0" applyNumberFormat="0" applyBorder="0" applyAlignment="0" applyProtection="0">
      <alignment vertical="center"/>
    </xf>
    <xf numFmtId="0" fontId="39" fillId="0" borderId="0" applyNumberFormat="0" applyFill="0" applyBorder="0" applyAlignment="0" applyProtection="0">
      <alignment vertical="center"/>
    </xf>
    <xf numFmtId="0" fontId="97" fillId="0" borderId="28" applyNumberFormat="0" applyFill="0" applyAlignment="0" applyProtection="0"/>
    <xf numFmtId="0" fontId="98" fillId="0" borderId="29" applyNumberFormat="0" applyFill="0" applyAlignment="0" applyProtection="0"/>
    <xf numFmtId="0" fontId="105" fillId="0" borderId="0" applyNumberFormat="0" applyFill="0" applyBorder="0" applyAlignment="0" applyProtection="0">
      <alignment vertical="center"/>
    </xf>
    <xf numFmtId="0" fontId="107" fillId="0" borderId="30" applyNumberFormat="0" applyFill="0" applyAlignment="0" applyProtection="0"/>
    <xf numFmtId="177" fontId="21" fillId="0" borderId="0" applyFont="0" applyFill="0" applyBorder="0" applyAlignment="0" applyProtection="0">
      <alignment vertical="center"/>
    </xf>
    <xf numFmtId="0" fontId="76" fillId="0" borderId="0" applyNumberFormat="0" applyFill="0" applyBorder="0" applyAlignment="0" applyProtection="0"/>
  </cellStyleXfs>
  <cellXfs count="2012">
    <xf numFmtId="0" fontId="0" fillId="0" borderId="0" xfId="0"/>
    <xf numFmtId="0" fontId="20" fillId="0" borderId="6" xfId="0" applyFont="1" applyBorder="1" applyAlignment="1">
      <alignment horizontal="center"/>
    </xf>
    <xf numFmtId="0" fontId="0" fillId="0" borderId="1" xfId="0" applyBorder="1"/>
    <xf numFmtId="38" fontId="0" fillId="0" borderId="2" xfId="0" applyNumberFormat="1" applyBorder="1"/>
    <xf numFmtId="0" fontId="2" fillId="2" borderId="4" xfId="0" applyFont="1" applyFill="1" applyBorder="1" applyAlignment="1">
      <alignment wrapText="1"/>
    </xf>
    <xf numFmtId="0" fontId="0" fillId="4" borderId="0" xfId="0" applyFill="1"/>
    <xf numFmtId="0" fontId="0" fillId="0" borderId="5" xfId="0" applyBorder="1"/>
    <xf numFmtId="0" fontId="0" fillId="0" borderId="6" xfId="0" applyBorder="1"/>
    <xf numFmtId="0" fontId="0" fillId="0" borderId="9" xfId="0" applyBorder="1"/>
    <xf numFmtId="38" fontId="0" fillId="0" borderId="8" xfId="0" applyNumberFormat="1" applyBorder="1"/>
    <xf numFmtId="0" fontId="8" fillId="2" borderId="3" xfId="0" applyFont="1" applyFill="1" applyBorder="1" applyAlignment="1">
      <alignment wrapText="1"/>
    </xf>
    <xf numFmtId="0" fontId="0" fillId="6" borderId="0" xfId="0" applyFill="1"/>
    <xf numFmtId="0" fontId="0" fillId="7" borderId="0" xfId="0" applyFill="1"/>
    <xf numFmtId="0" fontId="0" fillId="8" borderId="0" xfId="0" applyFill="1"/>
    <xf numFmtId="0" fontId="0" fillId="6" borderId="11" xfId="0" applyFill="1" applyBorder="1"/>
    <xf numFmtId="0" fontId="0" fillId="7" borderId="11" xfId="0" applyFill="1" applyBorder="1"/>
    <xf numFmtId="0" fontId="0" fillId="8" borderId="11" xfId="0" applyFill="1" applyBorder="1"/>
    <xf numFmtId="0" fontId="0" fillId="6" borderId="13" xfId="0" applyFill="1" applyBorder="1"/>
    <xf numFmtId="179" fontId="0" fillId="6" borderId="0" xfId="0" applyNumberFormat="1" applyFill="1"/>
    <xf numFmtId="38" fontId="0" fillId="0" borderId="0" xfId="0" applyNumberFormat="1"/>
    <xf numFmtId="38" fontId="0" fillId="0" borderId="7" xfId="0" applyNumberFormat="1" applyBorder="1"/>
    <xf numFmtId="38" fontId="0" fillId="0" borderId="9" xfId="0" applyNumberFormat="1" applyBorder="1"/>
    <xf numFmtId="38" fontId="0" fillId="6" borderId="12" xfId="0" applyNumberFormat="1" applyFill="1" applyBorder="1"/>
    <xf numFmtId="178" fontId="0" fillId="6" borderId="0" xfId="0" applyNumberFormat="1" applyFill="1"/>
    <xf numFmtId="38" fontId="0" fillId="7" borderId="0" xfId="0" applyNumberFormat="1" applyFill="1"/>
    <xf numFmtId="180" fontId="0" fillId="7" borderId="0" xfId="0" applyNumberFormat="1" applyFill="1"/>
    <xf numFmtId="179" fontId="0" fillId="7" borderId="0" xfId="0" applyNumberFormat="1" applyFill="1"/>
    <xf numFmtId="178" fontId="0" fillId="7" borderId="0" xfId="0" applyNumberFormat="1" applyFill="1"/>
    <xf numFmtId="179" fontId="0" fillId="8" borderId="0" xfId="0" applyNumberFormat="1" applyFill="1"/>
    <xf numFmtId="178" fontId="0" fillId="8" borderId="0" xfId="0" applyNumberFormat="1" applyFill="1"/>
    <xf numFmtId="179" fontId="0" fillId="0" borderId="0" xfId="0" applyNumberFormat="1"/>
    <xf numFmtId="178" fontId="0" fillId="0" borderId="0" xfId="0" applyNumberFormat="1"/>
    <xf numFmtId="3" fontId="0" fillId="0" borderId="0" xfId="0" applyNumberFormat="1"/>
    <xf numFmtId="182" fontId="0" fillId="0" borderId="0" xfId="0" applyNumberFormat="1"/>
    <xf numFmtId="0" fontId="14" fillId="5" borderId="14" xfId="0" applyFont="1" applyFill="1" applyBorder="1" applyAlignment="1">
      <alignment wrapText="1"/>
    </xf>
    <xf numFmtId="3" fontId="15" fillId="0" borderId="0" xfId="0" applyNumberFormat="1" applyFont="1"/>
    <xf numFmtId="3" fontId="14" fillId="5" borderId="14" xfId="0" applyNumberFormat="1" applyFont="1" applyFill="1" applyBorder="1" applyAlignment="1">
      <alignment wrapText="1"/>
    </xf>
    <xf numFmtId="0" fontId="2" fillId="2" borderId="0" xfId="0" applyFont="1" applyFill="1" applyAlignment="1">
      <alignment horizontal="center" vertical="center" wrapText="1"/>
    </xf>
    <xf numFmtId="0" fontId="2" fillId="2" borderId="0" xfId="0" applyFont="1" applyFill="1" applyAlignment="1">
      <alignment wrapText="1"/>
    </xf>
    <xf numFmtId="0" fontId="0" fillId="0" borderId="0" xfId="0" applyAlignment="1">
      <alignment vertical="center"/>
    </xf>
    <xf numFmtId="38" fontId="0" fillId="5" borderId="0" xfId="0" applyNumberFormat="1" applyFill="1"/>
    <xf numFmtId="38" fontId="0" fillId="4" borderId="0" xfId="0" applyNumberFormat="1" applyFill="1"/>
    <xf numFmtId="0" fontId="0" fillId="3" borderId="0" xfId="0" applyFill="1" applyAlignment="1">
      <alignment vertical="center"/>
    </xf>
    <xf numFmtId="38" fontId="0" fillId="3" borderId="0" xfId="0" applyNumberFormat="1" applyFill="1"/>
    <xf numFmtId="0" fontId="0" fillId="3" borderId="0" xfId="0" applyFill="1"/>
    <xf numFmtId="38" fontId="0" fillId="5" borderId="15" xfId="0" applyNumberFormat="1" applyFill="1" applyBorder="1"/>
    <xf numFmtId="38" fontId="0" fillId="0" borderId="15" xfId="0" applyNumberFormat="1" applyBorder="1"/>
    <xf numFmtId="38" fontId="0" fillId="3" borderId="15" xfId="0" applyNumberFormat="1" applyFill="1" applyBorder="1"/>
    <xf numFmtId="0" fontId="0" fillId="0" borderId="15" xfId="0" applyBorder="1"/>
    <xf numFmtId="0" fontId="0" fillId="5" borderId="0" xfId="0" applyFill="1"/>
    <xf numFmtId="178" fontId="17" fillId="9" borderId="16" xfId="2" applyNumberFormat="1"/>
    <xf numFmtId="0" fontId="0" fillId="0" borderId="5" xfId="0" applyBorder="1" applyAlignment="1">
      <alignment vertical="center"/>
    </xf>
    <xf numFmtId="0" fontId="0" fillId="3" borderId="5" xfId="0" applyFill="1" applyBorder="1" applyAlignment="1">
      <alignment vertical="center"/>
    </xf>
    <xf numFmtId="38" fontId="0" fillId="0" borderId="6" xfId="0" applyNumberFormat="1" applyBorder="1"/>
    <xf numFmtId="0" fontId="15" fillId="0" borderId="0" xfId="0" applyFont="1"/>
    <xf numFmtId="0" fontId="19" fillId="0" borderId="0" xfId="0" applyFont="1" applyAlignment="1">
      <alignment vertical="center"/>
    </xf>
    <xf numFmtId="2" fontId="0" fillId="0" borderId="0" xfId="0" applyNumberFormat="1" applyAlignment="1">
      <alignment vertical="center"/>
    </xf>
    <xf numFmtId="9" fontId="0" fillId="0" borderId="0" xfId="0" applyNumberFormat="1" applyAlignment="1">
      <alignment vertical="center"/>
    </xf>
    <xf numFmtId="0" fontId="20" fillId="0" borderId="0" xfId="0" applyFont="1" applyAlignment="1">
      <alignment vertical="center"/>
    </xf>
    <xf numFmtId="2" fontId="0" fillId="0" borderId="0" xfId="0" applyNumberFormat="1"/>
    <xf numFmtId="10" fontId="0" fillId="0" borderId="0" xfId="0" applyNumberFormat="1"/>
    <xf numFmtId="4" fontId="0" fillId="0" borderId="0" xfId="0" applyNumberFormat="1"/>
    <xf numFmtId="0" fontId="2" fillId="2" borderId="0" xfId="0" applyFont="1" applyFill="1" applyAlignment="1">
      <alignment horizontal="right" wrapText="1"/>
    </xf>
    <xf numFmtId="0" fontId="2" fillId="2" borderId="15" xfId="0" applyFont="1" applyFill="1" applyBorder="1" applyAlignment="1">
      <alignment horizontal="right" wrapText="1"/>
    </xf>
    <xf numFmtId="0" fontId="20" fillId="0" borderId="0" xfId="0" applyFont="1"/>
    <xf numFmtId="0" fontId="20" fillId="5" borderId="0" xfId="0" applyFont="1" applyFill="1"/>
    <xf numFmtId="9" fontId="0" fillId="0" borderId="0" xfId="4" applyFont="1" applyAlignment="1"/>
    <xf numFmtId="38" fontId="22" fillId="0" borderId="0" xfId="0" applyNumberFormat="1" applyFont="1"/>
    <xf numFmtId="38" fontId="22" fillId="0" borderId="15" xfId="0" applyNumberFormat="1" applyFont="1" applyBorder="1"/>
    <xf numFmtId="178" fontId="17" fillId="0" borderId="16" xfId="2" applyNumberFormat="1" applyFill="1"/>
    <xf numFmtId="178" fontId="23" fillId="0" borderId="16" xfId="2" applyNumberFormat="1" applyFont="1" applyFill="1"/>
    <xf numFmtId="38" fontId="24" fillId="3" borderId="0" xfId="0" applyNumberFormat="1" applyFont="1" applyFill="1"/>
    <xf numFmtId="38" fontId="24" fillId="3" borderId="15" xfId="0" applyNumberFormat="1" applyFont="1" applyFill="1" applyBorder="1"/>
    <xf numFmtId="178" fontId="24" fillId="3" borderId="0" xfId="0" applyNumberFormat="1" applyFont="1" applyFill="1"/>
    <xf numFmtId="178" fontId="24" fillId="3" borderId="15" xfId="0" applyNumberFormat="1" applyFont="1" applyFill="1" applyBorder="1"/>
    <xf numFmtId="38" fontId="24" fillId="0" borderId="0" xfId="0" applyNumberFormat="1" applyFont="1"/>
    <xf numFmtId="38" fontId="24" fillId="0" borderId="15" xfId="0" applyNumberFormat="1" applyFont="1" applyBorder="1"/>
    <xf numFmtId="38" fontId="25" fillId="0" borderId="0" xfId="0" applyNumberFormat="1" applyFont="1"/>
    <xf numFmtId="38" fontId="26" fillId="0" borderId="0" xfId="0" applyNumberFormat="1" applyFont="1"/>
    <xf numFmtId="38" fontId="26" fillId="0" borderId="15" xfId="0" applyNumberFormat="1" applyFont="1" applyBorder="1"/>
    <xf numFmtId="38" fontId="25" fillId="0" borderId="15" xfId="0" applyNumberFormat="1" applyFont="1" applyBorder="1"/>
    <xf numFmtId="178" fontId="25" fillId="0" borderId="0" xfId="0" applyNumberFormat="1" applyFont="1"/>
    <xf numFmtId="178" fontId="24" fillId="0" borderId="0" xfId="0" applyNumberFormat="1" applyFont="1"/>
    <xf numFmtId="38" fontId="27" fillId="0" borderId="0" xfId="0" applyNumberFormat="1" applyFont="1"/>
    <xf numFmtId="38" fontId="28" fillId="10" borderId="16" xfId="3" applyNumberFormat="1" applyFont="1" applyAlignment="1"/>
    <xf numFmtId="38" fontId="29" fillId="0" borderId="0" xfId="0" applyNumberFormat="1" applyFont="1"/>
    <xf numFmtId="9" fontId="17" fillId="9" borderId="17" xfId="2" applyNumberFormat="1" applyBorder="1"/>
    <xf numFmtId="0" fontId="23" fillId="0" borderId="16" xfId="2" applyFont="1" applyFill="1" applyAlignment="1">
      <alignment vertical="center"/>
    </xf>
    <xf numFmtId="2" fontId="24" fillId="0" borderId="0" xfId="0" applyNumberFormat="1" applyFont="1" applyAlignment="1">
      <alignment vertical="center"/>
    </xf>
    <xf numFmtId="2" fontId="29" fillId="0" borderId="0" xfId="0" applyNumberFormat="1" applyFont="1" applyAlignment="1">
      <alignment vertical="center"/>
    </xf>
    <xf numFmtId="2" fontId="18" fillId="0" borderId="16" xfId="3" applyNumberFormat="1" applyFill="1" applyAlignment="1">
      <alignment vertical="center"/>
    </xf>
    <xf numFmtId="9" fontId="28" fillId="0" borderId="16" xfId="3" applyNumberFormat="1" applyFont="1" applyFill="1" applyAlignment="1">
      <alignment vertical="center"/>
    </xf>
    <xf numFmtId="9" fontId="29" fillId="0" borderId="0" xfId="0" applyNumberFormat="1" applyFont="1" applyAlignment="1">
      <alignment vertical="center"/>
    </xf>
    <xf numFmtId="0" fontId="24" fillId="0" borderId="0" xfId="0" applyFont="1" applyAlignment="1">
      <alignment vertical="center"/>
    </xf>
    <xf numFmtId="9" fontId="23" fillId="0" borderId="16" xfId="2" applyNumberFormat="1" applyFont="1" applyFill="1" applyAlignment="1">
      <alignment vertical="center"/>
    </xf>
    <xf numFmtId="2" fontId="23" fillId="0" borderId="16" xfId="2" applyNumberFormat="1" applyFont="1" applyFill="1" applyAlignment="1">
      <alignment vertical="center"/>
    </xf>
    <xf numFmtId="0" fontId="0" fillId="0" borderId="0" xfId="0" applyAlignment="1">
      <alignment horizontal="left" vertical="top"/>
    </xf>
    <xf numFmtId="14" fontId="0" fillId="0" borderId="0" xfId="0" applyNumberFormat="1" applyAlignment="1">
      <alignment horizontal="right" vertical="top"/>
    </xf>
    <xf numFmtId="0" fontId="0" fillId="0" borderId="0" xfId="0" applyAlignment="1">
      <alignment horizontal="right" vertical="top"/>
    </xf>
    <xf numFmtId="0" fontId="35" fillId="0" borderId="0" xfId="0" applyFont="1" applyAlignment="1">
      <alignment horizontal="left" vertical="top"/>
    </xf>
    <xf numFmtId="184" fontId="0" fillId="0" borderId="0" xfId="0" applyNumberFormat="1" applyAlignment="1">
      <alignment horizontal="right" vertical="top"/>
    </xf>
    <xf numFmtId="0" fontId="11" fillId="2" borderId="1" xfId="5" applyFont="1" applyFill="1" applyBorder="1" applyAlignment="1">
      <alignment horizontal="left" vertical="top" wrapText="1"/>
    </xf>
    <xf numFmtId="0" fontId="11" fillId="2" borderId="1" xfId="5" applyFont="1" applyFill="1" applyBorder="1" applyAlignment="1">
      <alignment horizontal="right" vertical="top" wrapText="1"/>
    </xf>
    <xf numFmtId="0" fontId="0" fillId="12" borderId="0" xfId="0" applyFill="1"/>
    <xf numFmtId="0" fontId="40" fillId="5" borderId="0" xfId="0" applyFont="1" applyFill="1" applyAlignment="1">
      <alignment horizontal="center"/>
    </xf>
    <xf numFmtId="0" fontId="40" fillId="12" borderId="0" xfId="0" applyFont="1" applyFill="1" applyAlignment="1">
      <alignment horizontal="center"/>
    </xf>
    <xf numFmtId="0" fontId="0" fillId="12" borderId="0" xfId="0" applyFill="1" applyAlignment="1">
      <alignment horizontal="center"/>
    </xf>
    <xf numFmtId="0" fontId="31" fillId="12" borderId="0" xfId="0" applyFont="1" applyFill="1" applyAlignment="1">
      <alignment horizontal="center"/>
    </xf>
    <xf numFmtId="0" fontId="41" fillId="12" borderId="0" xfId="0" applyFont="1" applyFill="1"/>
    <xf numFmtId="0" fontId="42" fillId="5" borderId="0" xfId="0" applyFont="1" applyFill="1" applyAlignment="1">
      <alignment horizontal="center"/>
    </xf>
    <xf numFmtId="0" fontId="42" fillId="12" borderId="0" xfId="0" applyFont="1" applyFill="1" applyAlignment="1">
      <alignment horizontal="center"/>
    </xf>
    <xf numFmtId="0" fontId="41" fillId="12" borderId="0" xfId="0" applyFont="1" applyFill="1" applyAlignment="1">
      <alignment horizontal="center"/>
    </xf>
    <xf numFmtId="0" fontId="43" fillId="12" borderId="0" xfId="0" applyFont="1" applyFill="1" applyAlignment="1">
      <alignment horizontal="center"/>
    </xf>
    <xf numFmtId="0" fontId="43" fillId="12" borderId="0" xfId="0" applyFont="1" applyFill="1" applyAlignment="1">
      <alignment horizontal="right"/>
    </xf>
    <xf numFmtId="0" fontId="40" fillId="13" borderId="0" xfId="0" applyFont="1" applyFill="1" applyAlignment="1">
      <alignment horizontal="center"/>
    </xf>
    <xf numFmtId="0" fontId="44" fillId="14" borderId="0" xfId="0" applyFont="1" applyFill="1" applyAlignment="1">
      <alignment horizontal="center"/>
    </xf>
    <xf numFmtId="0" fontId="45" fillId="12" borderId="0" xfId="0" applyFont="1" applyFill="1"/>
    <xf numFmtId="0" fontId="46" fillId="15" borderId="0" xfId="0" applyFont="1" applyFill="1" applyAlignment="1">
      <alignment horizontal="center"/>
    </xf>
    <xf numFmtId="0" fontId="48" fillId="12" borderId="0" xfId="0" applyFont="1" applyFill="1"/>
    <xf numFmtId="0" fontId="20" fillId="12" borderId="0" xfId="0" applyFont="1" applyFill="1"/>
    <xf numFmtId="0" fontId="40" fillId="12" borderId="0" xfId="0" applyFont="1" applyFill="1"/>
    <xf numFmtId="0" fontId="40" fillId="5" borderId="0" xfId="0" applyFont="1" applyFill="1"/>
    <xf numFmtId="0" fontId="49" fillId="12" borderId="0" xfId="0" applyFont="1" applyFill="1"/>
    <xf numFmtId="0" fontId="50" fillId="12" borderId="18" xfId="0" applyFont="1" applyFill="1" applyBorder="1"/>
    <xf numFmtId="0" fontId="51" fillId="5" borderId="18" xfId="0" applyFont="1" applyFill="1" applyBorder="1" applyAlignment="1">
      <alignment horizontal="center"/>
    </xf>
    <xf numFmtId="0" fontId="51" fillId="12" borderId="18" xfId="0" applyFont="1" applyFill="1" applyBorder="1" applyAlignment="1">
      <alignment horizontal="center"/>
    </xf>
    <xf numFmtId="176" fontId="51" fillId="12" borderId="18" xfId="0" applyNumberFormat="1" applyFont="1" applyFill="1" applyBorder="1" applyAlignment="1">
      <alignment horizontal="center"/>
    </xf>
    <xf numFmtId="176" fontId="43" fillId="12" borderId="18" xfId="0" applyNumberFormat="1" applyFont="1" applyFill="1" applyBorder="1" applyAlignment="1">
      <alignment horizontal="center"/>
    </xf>
    <xf numFmtId="0" fontId="43" fillId="12" borderId="18" xfId="0" applyFont="1" applyFill="1" applyBorder="1" applyAlignment="1">
      <alignment horizontal="center"/>
    </xf>
    <xf numFmtId="0" fontId="51" fillId="12" borderId="0" xfId="0" applyFont="1" applyFill="1"/>
    <xf numFmtId="176" fontId="52" fillId="5" borderId="0" xfId="0" applyNumberFormat="1" applyFont="1" applyFill="1" applyAlignment="1">
      <alignment horizontal="center"/>
    </xf>
    <xf numFmtId="176" fontId="52" fillId="12" borderId="0" xfId="0" applyNumberFormat="1" applyFont="1" applyFill="1" applyAlignment="1">
      <alignment horizontal="center"/>
    </xf>
    <xf numFmtId="178" fontId="30" fillId="12" borderId="0" xfId="0" applyNumberFormat="1" applyFont="1" applyFill="1" applyAlignment="1">
      <alignment horizontal="center"/>
    </xf>
    <xf numFmtId="178" fontId="20" fillId="12" borderId="0" xfId="0" applyNumberFormat="1" applyFont="1" applyFill="1" applyAlignment="1">
      <alignment horizontal="center"/>
    </xf>
    <xf numFmtId="0" fontId="20" fillId="12" borderId="0" xfId="0" applyFont="1" applyFill="1" applyAlignment="1">
      <alignment horizontal="center"/>
    </xf>
    <xf numFmtId="0" fontId="40" fillId="12" borderId="0" xfId="0" applyFont="1" applyFill="1" applyAlignment="1">
      <alignment horizontal="left" indent="1"/>
    </xf>
    <xf numFmtId="176" fontId="29" fillId="5" borderId="0" xfId="0" applyNumberFormat="1" applyFont="1" applyFill="1" applyAlignment="1">
      <alignment horizontal="right"/>
    </xf>
    <xf numFmtId="176" fontId="49" fillId="12" borderId="0" xfId="0" applyNumberFormat="1" applyFont="1" applyFill="1" applyAlignment="1">
      <alignment horizontal="center"/>
    </xf>
    <xf numFmtId="178" fontId="24" fillId="12" borderId="0" xfId="0" applyNumberFormat="1" applyFont="1" applyFill="1" applyAlignment="1">
      <alignment horizontal="center"/>
    </xf>
    <xf numFmtId="178" fontId="53" fillId="16" borderId="9" xfId="0" applyNumberFormat="1" applyFont="1" applyFill="1" applyBorder="1" applyAlignment="1">
      <alignment horizontal="center"/>
    </xf>
    <xf numFmtId="0" fontId="54" fillId="12" borderId="0" xfId="0" applyFont="1" applyFill="1" applyAlignment="1">
      <alignment horizontal="center"/>
    </xf>
    <xf numFmtId="177" fontId="40" fillId="12" borderId="0" xfId="0" applyNumberFormat="1" applyFont="1" applyFill="1"/>
    <xf numFmtId="176" fontId="40" fillId="5" borderId="0" xfId="0" applyNumberFormat="1" applyFont="1" applyFill="1" applyAlignment="1">
      <alignment horizontal="right"/>
    </xf>
    <xf numFmtId="178" fontId="40" fillId="12" borderId="0" xfId="0" applyNumberFormat="1" applyFont="1" applyFill="1" applyAlignment="1">
      <alignment horizontal="center"/>
    </xf>
    <xf numFmtId="176" fontId="40" fillId="5" borderId="0" xfId="0" quotePrefix="1" applyNumberFormat="1" applyFont="1" applyFill="1" applyAlignment="1">
      <alignment horizontal="right"/>
    </xf>
    <xf numFmtId="176" fontId="49" fillId="12" borderId="0" xfId="0" quotePrefix="1" applyNumberFormat="1" applyFont="1" applyFill="1" applyAlignment="1">
      <alignment horizontal="right"/>
    </xf>
    <xf numFmtId="178" fontId="40" fillId="12" borderId="0" xfId="0" quotePrefix="1" applyNumberFormat="1" applyFont="1" applyFill="1" applyAlignment="1">
      <alignment horizontal="center"/>
    </xf>
    <xf numFmtId="176" fontId="53" fillId="16" borderId="9" xfId="0" applyNumberFormat="1" applyFont="1" applyFill="1" applyBorder="1"/>
    <xf numFmtId="0" fontId="55" fillId="12" borderId="0" xfId="0" applyFont="1" applyFill="1" applyAlignment="1">
      <alignment horizontal="left" indent="1"/>
    </xf>
    <xf numFmtId="0" fontId="0" fillId="5" borderId="0" xfId="0" applyFill="1" applyAlignment="1">
      <alignment horizontal="center"/>
    </xf>
    <xf numFmtId="9" fontId="20" fillId="5" borderId="0" xfId="0" applyNumberFormat="1" applyFont="1" applyFill="1" applyAlignment="1">
      <alignment horizontal="center"/>
    </xf>
    <xf numFmtId="178" fontId="52" fillId="12" borderId="0" xfId="0" applyNumberFormat="1" applyFont="1" applyFill="1" applyAlignment="1">
      <alignment horizontal="center"/>
    </xf>
    <xf numFmtId="9" fontId="52" fillId="12" borderId="0" xfId="0" applyNumberFormat="1" applyFont="1" applyFill="1" applyAlignment="1">
      <alignment horizontal="center"/>
    </xf>
    <xf numFmtId="0" fontId="54" fillId="12" borderId="0" xfId="0" applyFont="1" applyFill="1"/>
    <xf numFmtId="178" fontId="54" fillId="12" borderId="0" xfId="0" applyNumberFormat="1" applyFont="1" applyFill="1" applyAlignment="1">
      <alignment horizontal="center"/>
    </xf>
    <xf numFmtId="0" fontId="40" fillId="12" borderId="0" xfId="0" applyFont="1" applyFill="1" applyAlignment="1">
      <alignment horizontal="left"/>
    </xf>
    <xf numFmtId="0" fontId="32" fillId="12" borderId="0" xfId="0" applyFont="1" applyFill="1"/>
    <xf numFmtId="176" fontId="40" fillId="5" borderId="0" xfId="0" applyNumberFormat="1" applyFont="1" applyFill="1" applyAlignment="1">
      <alignment horizontal="center"/>
    </xf>
    <xf numFmtId="176" fontId="0" fillId="5" borderId="0" xfId="0" applyNumberFormat="1" applyFill="1" applyAlignment="1">
      <alignment horizontal="center"/>
    </xf>
    <xf numFmtId="176" fontId="31" fillId="12" borderId="0" xfId="0" applyNumberFormat="1" applyFont="1" applyFill="1" applyAlignment="1">
      <alignment horizontal="center"/>
    </xf>
    <xf numFmtId="0" fontId="57" fillId="12" borderId="0" xfId="0" applyFont="1" applyFill="1" applyAlignment="1">
      <alignment horizontal="center"/>
    </xf>
    <xf numFmtId="178" fontId="0" fillId="12" borderId="0" xfId="0" applyNumberFormat="1" applyFill="1"/>
    <xf numFmtId="178" fontId="0" fillId="12" borderId="0" xfId="0" applyNumberFormat="1" applyFill="1" applyAlignment="1">
      <alignment horizontal="center"/>
    </xf>
    <xf numFmtId="176" fontId="0" fillId="12" borderId="0" xfId="0" applyNumberFormat="1" applyFill="1"/>
    <xf numFmtId="176" fontId="40" fillId="12" borderId="0" xfId="0" applyNumberFormat="1" applyFont="1" applyFill="1" applyAlignment="1">
      <alignment horizontal="center"/>
    </xf>
    <xf numFmtId="176" fontId="0" fillId="5" borderId="0" xfId="0" applyNumberFormat="1" applyFill="1"/>
    <xf numFmtId="176" fontId="31" fillId="12" borderId="0" xfId="0" applyNumberFormat="1" applyFont="1" applyFill="1"/>
    <xf numFmtId="178" fontId="40" fillId="5" borderId="0" xfId="0" applyNumberFormat="1" applyFont="1" applyFill="1" applyAlignment="1">
      <alignment horizontal="center"/>
    </xf>
    <xf numFmtId="176" fontId="52" fillId="5" borderId="19" xfId="0" applyNumberFormat="1" applyFont="1" applyFill="1" applyBorder="1" applyAlignment="1">
      <alignment horizontal="center"/>
    </xf>
    <xf numFmtId="176" fontId="52" fillId="12" borderId="19" xfId="0" applyNumberFormat="1" applyFont="1" applyFill="1" applyBorder="1" applyAlignment="1">
      <alignment horizontal="center"/>
    </xf>
    <xf numFmtId="176" fontId="56" fillId="5" borderId="0" xfId="0" applyNumberFormat="1" applyFont="1" applyFill="1" applyAlignment="1">
      <alignment horizontal="center"/>
    </xf>
    <xf numFmtId="0" fontId="58" fillId="12" borderId="0" xfId="0" applyFont="1" applyFill="1"/>
    <xf numFmtId="0" fontId="39" fillId="12" borderId="0" xfId="0" applyFont="1" applyFill="1"/>
    <xf numFmtId="185" fontId="31" fillId="12" borderId="0" xfId="0" applyNumberFormat="1" applyFont="1" applyFill="1" applyAlignment="1">
      <alignment horizontal="center"/>
    </xf>
    <xf numFmtId="176" fontId="54" fillId="5" borderId="12" xfId="0" applyNumberFormat="1" applyFont="1" applyFill="1" applyBorder="1" applyAlignment="1">
      <alignment horizontal="center"/>
    </xf>
    <xf numFmtId="176" fontId="52" fillId="5" borderId="12" xfId="0" applyNumberFormat="1" applyFont="1" applyFill="1" applyBorder="1" applyAlignment="1">
      <alignment horizontal="center"/>
    </xf>
    <xf numFmtId="176" fontId="52" fillId="12" borderId="12" xfId="0" applyNumberFormat="1" applyFont="1" applyFill="1" applyBorder="1" applyAlignment="1">
      <alignment horizontal="center"/>
    </xf>
    <xf numFmtId="9" fontId="54" fillId="12" borderId="0" xfId="0" applyNumberFormat="1" applyFont="1" applyFill="1"/>
    <xf numFmtId="0" fontId="16" fillId="12" borderId="0" xfId="0" applyFont="1" applyFill="1"/>
    <xf numFmtId="0" fontId="0" fillId="12" borderId="0" xfId="0" applyFill="1" applyAlignment="1">
      <alignment horizontal="left"/>
    </xf>
    <xf numFmtId="176" fontId="0" fillId="12" borderId="0" xfId="0" applyNumberFormat="1" applyFill="1" applyAlignment="1">
      <alignment horizontal="center"/>
    </xf>
    <xf numFmtId="176" fontId="54" fillId="5" borderId="0" xfId="0" applyNumberFormat="1" applyFont="1" applyFill="1" applyAlignment="1">
      <alignment horizontal="center"/>
    </xf>
    <xf numFmtId="176" fontId="60" fillId="5" borderId="0" xfId="0" applyNumberFormat="1" applyFont="1" applyFill="1" applyAlignment="1">
      <alignment horizontal="center"/>
    </xf>
    <xf numFmtId="176" fontId="38" fillId="5" borderId="0" xfId="6" applyNumberFormat="1" applyFill="1" applyAlignment="1">
      <alignment horizontal="center"/>
    </xf>
    <xf numFmtId="176" fontId="61" fillId="5" borderId="0" xfId="6" applyNumberFormat="1" applyFont="1" applyFill="1" applyAlignment="1">
      <alignment horizontal="center"/>
    </xf>
    <xf numFmtId="176" fontId="62" fillId="5" borderId="0" xfId="6" applyNumberFormat="1" applyFont="1" applyFill="1" applyAlignment="1">
      <alignment horizontal="center"/>
    </xf>
    <xf numFmtId="0" fontId="16" fillId="12" borderId="0" xfId="0" applyFont="1" applyFill="1" applyAlignment="1">
      <alignment horizontal="left" indent="1"/>
    </xf>
    <xf numFmtId="178" fontId="0" fillId="12" borderId="0" xfId="4" applyNumberFormat="1" applyFont="1" applyFill="1" applyAlignment="1"/>
    <xf numFmtId="0" fontId="39" fillId="12" borderId="0" xfId="7" applyFill="1" applyAlignment="1"/>
    <xf numFmtId="0" fontId="63" fillId="5" borderId="18" xfId="0" applyFont="1" applyFill="1" applyBorder="1" applyAlignment="1">
      <alignment horizontal="center"/>
    </xf>
    <xf numFmtId="0" fontId="63" fillId="12" borderId="18" xfId="0" applyFont="1" applyFill="1" applyBorder="1" applyAlignment="1">
      <alignment horizontal="center"/>
    </xf>
    <xf numFmtId="0" fontId="63" fillId="12" borderId="0" xfId="0" applyFont="1" applyFill="1"/>
    <xf numFmtId="0" fontId="64" fillId="12" borderId="0" xfId="0" quotePrefix="1" applyFont="1" applyFill="1" applyAlignment="1">
      <alignment horizontal="left" indent="1"/>
    </xf>
    <xf numFmtId="176" fontId="65" fillId="5" borderId="0" xfId="0" applyNumberFormat="1" applyFont="1" applyFill="1" applyAlignment="1">
      <alignment horizontal="center"/>
    </xf>
    <xf numFmtId="176" fontId="65" fillId="12" borderId="0" xfId="0" applyNumberFormat="1" applyFont="1" applyFill="1" applyAlignment="1">
      <alignment horizontal="center"/>
    </xf>
    <xf numFmtId="0" fontId="65" fillId="12" borderId="0" xfId="0" applyFont="1" applyFill="1"/>
    <xf numFmtId="9" fontId="54" fillId="5" borderId="0" xfId="4" applyFont="1" applyFill="1" applyBorder="1" applyAlignment="1">
      <alignment horizontal="center"/>
    </xf>
    <xf numFmtId="9" fontId="52" fillId="12" borderId="0" xfId="4" applyFont="1" applyFill="1" applyBorder="1" applyAlignment="1">
      <alignment horizontal="center"/>
    </xf>
    <xf numFmtId="178" fontId="54" fillId="5" borderId="0" xfId="4" applyNumberFormat="1" applyFont="1" applyFill="1" applyAlignment="1">
      <alignment horizontal="center"/>
    </xf>
    <xf numFmtId="178" fontId="52" fillId="12" borderId="0" xfId="4" applyNumberFormat="1" applyFont="1" applyFill="1" applyAlignment="1">
      <alignment horizontal="center"/>
    </xf>
    <xf numFmtId="178" fontId="49" fillId="12" borderId="0" xfId="0" applyNumberFormat="1" applyFont="1" applyFill="1" applyAlignment="1">
      <alignment horizontal="center"/>
    </xf>
    <xf numFmtId="178" fontId="54" fillId="5" borderId="0" xfId="0" applyNumberFormat="1" applyFont="1" applyFill="1" applyAlignment="1">
      <alignment horizontal="center"/>
    </xf>
    <xf numFmtId="178" fontId="52" fillId="0" borderId="0" xfId="0" applyNumberFormat="1" applyFont="1" applyAlignment="1">
      <alignment horizontal="center"/>
    </xf>
    <xf numFmtId="0" fontId="42" fillId="5" borderId="18" xfId="0" applyFont="1" applyFill="1" applyBorder="1" applyAlignment="1">
      <alignment horizontal="center"/>
    </xf>
    <xf numFmtId="178" fontId="49" fillId="12" borderId="0" xfId="4" applyNumberFormat="1" applyFont="1" applyFill="1" applyAlignment="1">
      <alignment horizontal="center"/>
    </xf>
    <xf numFmtId="178" fontId="65" fillId="5" borderId="0" xfId="0" applyNumberFormat="1" applyFont="1" applyFill="1" applyAlignment="1">
      <alignment horizontal="center"/>
    </xf>
    <xf numFmtId="0" fontId="67" fillId="12" borderId="18" xfId="0" applyFont="1" applyFill="1" applyBorder="1"/>
    <xf numFmtId="176" fontId="49" fillId="12" borderId="0" xfId="0" applyNumberFormat="1" applyFont="1" applyFill="1" applyAlignment="1">
      <alignment horizontal="right"/>
    </xf>
    <xf numFmtId="177" fontId="49" fillId="12" borderId="0" xfId="0" applyNumberFormat="1" applyFont="1" applyFill="1" applyAlignment="1">
      <alignment horizontal="right"/>
    </xf>
    <xf numFmtId="177" fontId="49" fillId="4" borderId="0" xfId="0" applyNumberFormat="1" applyFont="1" applyFill="1" applyAlignment="1">
      <alignment horizontal="right"/>
    </xf>
    <xf numFmtId="9" fontId="49" fillId="12" borderId="0" xfId="4" applyFont="1" applyFill="1" applyAlignment="1">
      <alignment horizontal="right"/>
    </xf>
    <xf numFmtId="38" fontId="26" fillId="0" borderId="6" xfId="0" applyNumberFormat="1" applyFont="1" applyBorder="1"/>
    <xf numFmtId="0" fontId="26" fillId="0" borderId="0" xfId="0" applyFont="1"/>
    <xf numFmtId="38" fontId="26" fillId="4" borderId="0" xfId="0" applyNumberFormat="1" applyFont="1" applyFill="1"/>
    <xf numFmtId="176" fontId="49" fillId="5" borderId="0" xfId="0" applyNumberFormat="1" applyFont="1" applyFill="1" applyAlignment="1">
      <alignment horizontal="center"/>
    </xf>
    <xf numFmtId="0" fontId="3" fillId="0" borderId="0" xfId="0" applyFont="1"/>
    <xf numFmtId="0" fontId="40" fillId="4" borderId="0" xfId="0" applyFont="1" applyFill="1"/>
    <xf numFmtId="0" fontId="68" fillId="0" borderId="0" xfId="0" applyFont="1"/>
    <xf numFmtId="176" fontId="27" fillId="5" borderId="0" xfId="0" applyNumberFormat="1" applyFont="1" applyFill="1" applyAlignment="1">
      <alignment horizontal="right"/>
    </xf>
    <xf numFmtId="176" fontId="31" fillId="4" borderId="0" xfId="0" applyNumberFormat="1" applyFont="1" applyFill="1" applyAlignment="1">
      <alignment horizontal="center"/>
    </xf>
    <xf numFmtId="176" fontId="29" fillId="4" borderId="0" xfId="0" applyNumberFormat="1" applyFont="1" applyFill="1" applyAlignment="1">
      <alignment horizontal="right"/>
    </xf>
    <xf numFmtId="176" fontId="49" fillId="4" borderId="0" xfId="0" applyNumberFormat="1" applyFont="1" applyFill="1" applyAlignment="1">
      <alignment horizontal="right"/>
    </xf>
    <xf numFmtId="176" fontId="0" fillId="4" borderId="0" xfId="0" applyNumberFormat="1" applyFill="1" applyAlignment="1">
      <alignment horizontal="center"/>
    </xf>
    <xf numFmtId="184" fontId="0" fillId="4" borderId="0" xfId="0" applyNumberFormat="1" applyFill="1" applyAlignment="1">
      <alignment horizontal="right" vertical="top"/>
    </xf>
    <xf numFmtId="176" fontId="31" fillId="12" borderId="20" xfId="0" applyNumberFormat="1" applyFont="1" applyFill="1" applyBorder="1" applyAlignment="1">
      <alignment horizontal="center"/>
    </xf>
    <xf numFmtId="176" fontId="31" fillId="17" borderId="0" xfId="0" applyNumberFormat="1" applyFont="1" applyFill="1" applyAlignment="1">
      <alignment horizontal="center"/>
    </xf>
    <xf numFmtId="0" fontId="0" fillId="0" borderId="21" xfId="0" applyBorder="1" applyAlignment="1">
      <alignment vertical="center"/>
    </xf>
    <xf numFmtId="178" fontId="69" fillId="0" borderId="0" xfId="0" applyNumberFormat="1" applyFont="1" applyAlignment="1">
      <alignment horizontal="right" vertical="center"/>
    </xf>
    <xf numFmtId="0" fontId="0" fillId="12" borderId="20" xfId="0" applyFill="1" applyBorder="1"/>
    <xf numFmtId="0" fontId="40" fillId="5" borderId="20" xfId="0" applyFont="1" applyFill="1" applyBorder="1" applyAlignment="1">
      <alignment horizontal="center"/>
    </xf>
    <xf numFmtId="0" fontId="49" fillId="12" borderId="20" xfId="0" applyFont="1" applyFill="1" applyBorder="1" applyAlignment="1">
      <alignment horizontal="center"/>
    </xf>
    <xf numFmtId="178" fontId="66" fillId="12" borderId="20" xfId="0" applyNumberFormat="1" applyFont="1" applyFill="1" applyBorder="1" applyAlignment="1">
      <alignment horizontal="center"/>
    </xf>
    <xf numFmtId="0" fontId="31" fillId="12" borderId="20" xfId="0" applyFont="1" applyFill="1" applyBorder="1" applyAlignment="1">
      <alignment horizontal="center"/>
    </xf>
    <xf numFmtId="0" fontId="0" fillId="0" borderId="20" xfId="0" applyBorder="1"/>
    <xf numFmtId="177" fontId="29" fillId="12" borderId="0" xfId="0" applyNumberFormat="1" applyFont="1" applyFill="1" applyAlignment="1">
      <alignment horizontal="right"/>
    </xf>
    <xf numFmtId="183" fontId="0" fillId="0" borderId="0" xfId="0" applyNumberFormat="1"/>
    <xf numFmtId="182" fontId="0" fillId="0" borderId="0" xfId="0" applyNumberFormat="1" applyAlignment="1">
      <alignment horizontal="right"/>
    </xf>
    <xf numFmtId="38" fontId="73" fillId="5" borderId="0" xfId="0" applyNumberFormat="1" applyFont="1" applyFill="1"/>
    <xf numFmtId="38" fontId="73" fillId="0" borderId="0" xfId="0" applyNumberFormat="1" applyFont="1"/>
    <xf numFmtId="38" fontId="18" fillId="10" borderId="0" xfId="3" applyNumberFormat="1" applyBorder="1" applyAlignment="1"/>
    <xf numFmtId="38" fontId="23" fillId="0" borderId="0" xfId="2" applyNumberFormat="1" applyFont="1" applyFill="1" applyBorder="1"/>
    <xf numFmtId="38" fontId="18" fillId="10" borderId="22" xfId="3" applyNumberFormat="1" applyBorder="1" applyAlignment="1"/>
    <xf numFmtId="38" fontId="23" fillId="0" borderId="22" xfId="2" applyNumberFormat="1" applyFont="1" applyFill="1" applyBorder="1"/>
    <xf numFmtId="38" fontId="28" fillId="10" borderId="0" xfId="3" applyNumberFormat="1" applyFont="1" applyBorder="1" applyAlignment="1"/>
    <xf numFmtId="38" fontId="28" fillId="10" borderId="22" xfId="3" applyNumberFormat="1" applyFont="1" applyBorder="1" applyAlignment="1"/>
    <xf numFmtId="0" fontId="2" fillId="2" borderId="0" xfId="0" applyFont="1" applyFill="1" applyAlignment="1">
      <alignment horizontal="right" vertical="center" wrapText="1"/>
    </xf>
    <xf numFmtId="0" fontId="0" fillId="0" borderId="0" xfId="0" applyAlignment="1">
      <alignment horizontal="right"/>
    </xf>
    <xf numFmtId="178" fontId="33" fillId="0" borderId="16" xfId="2" applyNumberFormat="1" applyFont="1" applyFill="1"/>
    <xf numFmtId="179" fontId="29" fillId="0" borderId="0" xfId="0" applyNumberFormat="1" applyFont="1"/>
    <xf numFmtId="179" fontId="24" fillId="0" borderId="0" xfId="0" applyNumberFormat="1" applyFont="1"/>
    <xf numFmtId="9" fontId="23" fillId="9" borderId="0" xfId="2" applyNumberFormat="1" applyFont="1" applyBorder="1"/>
    <xf numFmtId="179" fontId="30" fillId="0" borderId="0" xfId="0" applyNumberFormat="1" applyFont="1"/>
    <xf numFmtId="3" fontId="24" fillId="0" borderId="0" xfId="0" applyNumberFormat="1" applyFont="1"/>
    <xf numFmtId="181" fontId="30" fillId="0" borderId="0" xfId="0" applyNumberFormat="1" applyFont="1"/>
    <xf numFmtId="181" fontId="0" fillId="0" borderId="0" xfId="0" applyNumberFormat="1"/>
    <xf numFmtId="3" fontId="29" fillId="0" borderId="0" xfId="0" applyNumberFormat="1" applyFont="1"/>
    <xf numFmtId="3" fontId="30" fillId="0" borderId="0" xfId="0" applyNumberFormat="1" applyFont="1"/>
    <xf numFmtId="9" fontId="23" fillId="9" borderId="17" xfId="2" applyNumberFormat="1" applyFont="1" applyBorder="1"/>
    <xf numFmtId="0" fontId="23" fillId="9" borderId="17" xfId="2" applyFont="1" applyBorder="1"/>
    <xf numFmtId="0" fontId="0" fillId="18" borderId="0" xfId="0" applyFill="1"/>
    <xf numFmtId="0" fontId="16" fillId="0" borderId="0" xfId="0" applyFont="1"/>
    <xf numFmtId="0" fontId="11" fillId="2" borderId="0" xfId="0" applyFont="1" applyFill="1" applyAlignment="1">
      <alignment wrapText="1"/>
    </xf>
    <xf numFmtId="0" fontId="12" fillId="0" borderId="0" xfId="0" applyFont="1" applyAlignment="1">
      <alignment vertical="center"/>
    </xf>
    <xf numFmtId="0" fontId="13" fillId="0" borderId="0" xfId="0" applyFont="1" applyAlignment="1">
      <alignment vertical="center"/>
    </xf>
    <xf numFmtId="179" fontId="27" fillId="0" borderId="0" xfId="0" applyNumberFormat="1" applyFont="1"/>
    <xf numFmtId="3" fontId="27" fillId="0" borderId="0" xfId="0" applyNumberFormat="1" applyFont="1"/>
    <xf numFmtId="0" fontId="74" fillId="0" borderId="0" xfId="0" applyFont="1" applyAlignment="1">
      <alignment vertical="center"/>
    </xf>
    <xf numFmtId="178" fontId="27" fillId="0" borderId="0" xfId="0" applyNumberFormat="1" applyFont="1"/>
    <xf numFmtId="178" fontId="17" fillId="9" borderId="17" xfId="2" applyNumberFormat="1" applyBorder="1"/>
    <xf numFmtId="0" fontId="75" fillId="0" borderId="0" xfId="0" applyFont="1" applyAlignment="1">
      <alignment vertical="center"/>
    </xf>
    <xf numFmtId="43" fontId="74" fillId="0" borderId="0" xfId="0" applyNumberFormat="1" applyFont="1" applyAlignment="1">
      <alignment vertical="center"/>
    </xf>
    <xf numFmtId="186" fontId="24" fillId="0" borderId="0" xfId="0" applyNumberFormat="1" applyFont="1"/>
    <xf numFmtId="0" fontId="76" fillId="0" borderId="0" xfId="13"/>
    <xf numFmtId="38" fontId="27" fillId="3" borderId="0" xfId="0" applyNumberFormat="1" applyFont="1" applyFill="1"/>
    <xf numFmtId="38" fontId="73" fillId="5" borderId="15" xfId="0" applyNumberFormat="1" applyFont="1" applyFill="1" applyBorder="1"/>
    <xf numFmtId="38" fontId="73" fillId="0" borderId="15" xfId="0" applyNumberFormat="1" applyFont="1" applyBorder="1"/>
    <xf numFmtId="178" fontId="23" fillId="4" borderId="16" xfId="2" applyNumberFormat="1" applyFont="1" applyFill="1"/>
    <xf numFmtId="38" fontId="18" fillId="10" borderId="15" xfId="3" applyNumberFormat="1" applyBorder="1" applyAlignment="1"/>
    <xf numFmtId="0" fontId="73" fillId="0" borderId="0" xfId="0" applyFont="1"/>
    <xf numFmtId="3" fontId="73" fillId="0" borderId="0" xfId="0" applyNumberFormat="1" applyFont="1"/>
    <xf numFmtId="0" fontId="78" fillId="0" borderId="0" xfId="0" applyFont="1"/>
    <xf numFmtId="3" fontId="78" fillId="0" borderId="0" xfId="0" applyNumberFormat="1" applyFont="1"/>
    <xf numFmtId="4" fontId="78" fillId="0" borderId="0" xfId="0" applyNumberFormat="1" applyFont="1"/>
    <xf numFmtId="38" fontId="25" fillId="0" borderId="6" xfId="0" applyNumberFormat="1" applyFont="1" applyBorder="1"/>
    <xf numFmtId="0" fontId="74" fillId="5" borderId="0" xfId="0" applyFont="1" applyFill="1" applyAlignment="1">
      <alignment vertical="center"/>
    </xf>
    <xf numFmtId="3" fontId="0" fillId="4" borderId="0" xfId="0" applyNumberFormat="1" applyFill="1"/>
    <xf numFmtId="0" fontId="80" fillId="0" borderId="0" xfId="0" applyFont="1"/>
    <xf numFmtId="0" fontId="25" fillId="0" borderId="0" xfId="0" applyFont="1"/>
    <xf numFmtId="0" fontId="25" fillId="0" borderId="15" xfId="0" applyFont="1" applyBorder="1"/>
    <xf numFmtId="0" fontId="26" fillId="0" borderId="15" xfId="0" applyFont="1" applyBorder="1"/>
    <xf numFmtId="0" fontId="0" fillId="0" borderId="23" xfId="0" applyBorder="1" applyAlignment="1">
      <alignment vertical="center"/>
    </xf>
    <xf numFmtId="0" fontId="0" fillId="0" borderId="23" xfId="0" applyBorder="1"/>
    <xf numFmtId="0" fontId="81" fillId="0" borderId="23" xfId="0" applyFont="1" applyBorder="1" applyAlignment="1">
      <alignment vertical="center"/>
    </xf>
    <xf numFmtId="0" fontId="82" fillId="0" borderId="23" xfId="0" applyFont="1" applyBorder="1" applyAlignment="1">
      <alignment vertical="center"/>
    </xf>
    <xf numFmtId="0" fontId="34" fillId="19" borderId="23" xfId="2" applyFont="1" applyFill="1" applyBorder="1" applyAlignment="1">
      <alignment vertical="center"/>
    </xf>
    <xf numFmtId="0" fontId="24" fillId="0" borderId="15" xfId="0" applyFont="1" applyBorder="1"/>
    <xf numFmtId="10" fontId="24" fillId="0" borderId="0" xfId="0" applyNumberFormat="1" applyFont="1"/>
    <xf numFmtId="0" fontId="24" fillId="0" borderId="0" xfId="0" applyFont="1"/>
    <xf numFmtId="178" fontId="23" fillId="0" borderId="22" xfId="2" applyNumberFormat="1" applyFont="1" applyFill="1" applyBorder="1"/>
    <xf numFmtId="178" fontId="23" fillId="4" borderId="22" xfId="2" applyNumberFormat="1" applyFont="1" applyFill="1" applyBorder="1"/>
    <xf numFmtId="178" fontId="23" fillId="0" borderId="15" xfId="2" applyNumberFormat="1" applyFont="1" applyFill="1" applyBorder="1"/>
    <xf numFmtId="0" fontId="0" fillId="0" borderId="24" xfId="0" applyBorder="1"/>
    <xf numFmtId="38" fontId="0" fillId="0" borderId="20" xfId="0" applyNumberFormat="1" applyBorder="1"/>
    <xf numFmtId="38" fontId="24" fillId="0" borderId="20" xfId="0" applyNumberFormat="1" applyFont="1" applyBorder="1"/>
    <xf numFmtId="38" fontId="24" fillId="0" borderId="25" xfId="0" applyNumberFormat="1" applyFont="1" applyBorder="1"/>
    <xf numFmtId="38" fontId="29" fillId="0" borderId="20" xfId="0" applyNumberFormat="1" applyFont="1" applyBorder="1"/>
    <xf numFmtId="38" fontId="23" fillId="0" borderId="15" xfId="2" applyNumberFormat="1" applyFont="1" applyFill="1" applyBorder="1"/>
    <xf numFmtId="38" fontId="83" fillId="0" borderId="0" xfId="0" applyNumberFormat="1" applyFont="1" applyAlignment="1">
      <alignment horizontal="right"/>
    </xf>
    <xf numFmtId="0" fontId="83" fillId="0" borderId="0" xfId="0" applyFont="1"/>
    <xf numFmtId="0" fontId="56" fillId="13" borderId="0" xfId="0" applyFont="1" applyFill="1" applyAlignment="1">
      <alignment horizontal="right"/>
    </xf>
    <xf numFmtId="0" fontId="40" fillId="13" borderId="0" xfId="0" applyFont="1" applyFill="1" applyAlignment="1">
      <alignment horizontal="right"/>
    </xf>
    <xf numFmtId="0" fontId="44" fillId="14" borderId="0" xfId="0" applyFont="1" applyFill="1" applyAlignment="1">
      <alignment horizontal="right"/>
    </xf>
    <xf numFmtId="0" fontId="19" fillId="0" borderId="21" xfId="0" applyFont="1" applyBorder="1" applyAlignment="1">
      <alignment vertical="center"/>
    </xf>
    <xf numFmtId="178" fontId="73" fillId="0" borderId="0" xfId="0" applyNumberFormat="1" applyFont="1"/>
    <xf numFmtId="182" fontId="0" fillId="0" borderId="6" xfId="0" applyNumberFormat="1" applyBorder="1"/>
    <xf numFmtId="186" fontId="0" fillId="0" borderId="0" xfId="0" applyNumberFormat="1"/>
    <xf numFmtId="0" fontId="85" fillId="0" borderId="0" xfId="0" applyFont="1"/>
    <xf numFmtId="0" fontId="86" fillId="0" borderId="0" xfId="0" applyFont="1"/>
    <xf numFmtId="0" fontId="87" fillId="2" borderId="0" xfId="0" applyFont="1" applyFill="1" applyAlignment="1">
      <alignment wrapText="1"/>
    </xf>
    <xf numFmtId="0" fontId="88" fillId="18" borderId="0" xfId="0" applyFont="1" applyFill="1" applyAlignment="1">
      <alignment wrapText="1"/>
    </xf>
    <xf numFmtId="0" fontId="89" fillId="0" borderId="0" xfId="0" applyFont="1"/>
    <xf numFmtId="0" fontId="87" fillId="18" borderId="0" xfId="0" applyFont="1" applyFill="1" applyAlignment="1">
      <alignment wrapText="1"/>
    </xf>
    <xf numFmtId="182" fontId="0" fillId="5" borderId="6" xfId="0" applyNumberFormat="1" applyFill="1" applyBorder="1"/>
    <xf numFmtId="179" fontId="73" fillId="0" borderId="0" xfId="0" applyNumberFormat="1" applyFont="1"/>
    <xf numFmtId="178" fontId="77" fillId="10" borderId="0" xfId="3" applyNumberFormat="1" applyFont="1" applyBorder="1" applyAlignment="1"/>
    <xf numFmtId="178" fontId="77" fillId="0" borderId="0" xfId="3" applyNumberFormat="1" applyFont="1" applyFill="1" applyBorder="1" applyAlignment="1"/>
    <xf numFmtId="183" fontId="77" fillId="0" borderId="0" xfId="3" applyNumberFormat="1" applyFont="1" applyFill="1" applyBorder="1" applyAlignment="1"/>
    <xf numFmtId="9" fontId="73" fillId="0" borderId="0" xfId="0" applyNumberFormat="1" applyFont="1"/>
    <xf numFmtId="38" fontId="0" fillId="0" borderId="5" xfId="0" applyNumberFormat="1" applyBorder="1"/>
    <xf numFmtId="10" fontId="0" fillId="0" borderId="5" xfId="0" applyNumberFormat="1" applyBorder="1"/>
    <xf numFmtId="182" fontId="29" fillId="0" borderId="0" xfId="0" applyNumberFormat="1" applyFont="1"/>
    <xf numFmtId="182" fontId="29" fillId="0" borderId="6" xfId="0" applyNumberFormat="1" applyFont="1" applyBorder="1"/>
    <xf numFmtId="10" fontId="24" fillId="5" borderId="0" xfId="0" applyNumberFormat="1" applyFont="1" applyFill="1"/>
    <xf numFmtId="0" fontId="0" fillId="3" borderId="8" xfId="0" applyFill="1" applyBorder="1"/>
    <xf numFmtId="0" fontId="3" fillId="3" borderId="15" xfId="0" applyFont="1" applyFill="1" applyBorder="1"/>
    <xf numFmtId="0" fontId="0" fillId="3" borderId="15" xfId="0" applyFill="1" applyBorder="1"/>
    <xf numFmtId="38" fontId="25" fillId="0" borderId="8" xfId="0" applyNumberFormat="1" applyFont="1" applyBorder="1"/>
    <xf numFmtId="182" fontId="27" fillId="0" borderId="0" xfId="0" applyNumberFormat="1" applyFont="1"/>
    <xf numFmtId="182" fontId="22" fillId="0" borderId="0" xfId="0" applyNumberFormat="1" applyFont="1"/>
    <xf numFmtId="186" fontId="22" fillId="0" borderId="0" xfId="0" applyNumberFormat="1" applyFont="1"/>
    <xf numFmtId="182" fontId="73" fillId="0" borderId="0" xfId="0" applyNumberFormat="1" applyFont="1"/>
    <xf numFmtId="2" fontId="29" fillId="0" borderId="0" xfId="0" applyNumberFormat="1" applyFont="1"/>
    <xf numFmtId="0" fontId="0" fillId="0" borderId="8" xfId="0" applyBorder="1"/>
    <xf numFmtId="0" fontId="0" fillId="0" borderId="25" xfId="0" applyBorder="1"/>
    <xf numFmtId="0" fontId="0" fillId="0" borderId="20" xfId="0" applyBorder="1" applyAlignment="1">
      <alignment vertical="center"/>
    </xf>
    <xf numFmtId="178" fontId="24" fillId="0" borderId="20" xfId="0" applyNumberFormat="1" applyFont="1" applyBorder="1"/>
    <xf numFmtId="178" fontId="73" fillId="0" borderId="20" xfId="0" applyNumberFormat="1" applyFont="1" applyBorder="1"/>
    <xf numFmtId="178" fontId="73" fillId="0" borderId="25" xfId="0" applyNumberFormat="1" applyFont="1" applyBorder="1"/>
    <xf numFmtId="182" fontId="73" fillId="0" borderId="20" xfId="0" applyNumberFormat="1" applyFont="1" applyBorder="1"/>
    <xf numFmtId="182" fontId="24" fillId="0" borderId="20" xfId="0" applyNumberFormat="1" applyFont="1" applyBorder="1"/>
    <xf numFmtId="0" fontId="20" fillId="0" borderId="20" xfId="0" applyFont="1" applyBorder="1" applyAlignment="1">
      <alignment vertical="center"/>
    </xf>
    <xf numFmtId="0" fontId="19" fillId="0" borderId="0" xfId="0" applyFont="1" applyAlignment="1">
      <alignment horizontal="right" vertical="center"/>
    </xf>
    <xf numFmtId="2" fontId="30" fillId="0" borderId="0" xfId="0" applyNumberFormat="1" applyFont="1" applyAlignment="1">
      <alignment vertical="center"/>
    </xf>
    <xf numFmtId="2" fontId="33" fillId="0" borderId="16" xfId="3" applyNumberFormat="1" applyFont="1" applyFill="1" applyAlignment="1">
      <alignment vertical="center"/>
    </xf>
    <xf numFmtId="10" fontId="20" fillId="0" borderId="0" xfId="0" applyNumberFormat="1" applyFont="1"/>
    <xf numFmtId="10" fontId="74" fillId="0" borderId="0" xfId="0" applyNumberFormat="1" applyFont="1" applyAlignment="1">
      <alignment vertical="center"/>
    </xf>
    <xf numFmtId="3" fontId="85" fillId="0" borderId="0" xfId="0" applyNumberFormat="1" applyFont="1"/>
    <xf numFmtId="0" fontId="70" fillId="0" borderId="0" xfId="0" applyFont="1" applyAlignment="1">
      <alignment horizontal="right"/>
    </xf>
    <xf numFmtId="183" fontId="24" fillId="0" borderId="0" xfId="0" applyNumberFormat="1" applyFont="1"/>
    <xf numFmtId="183" fontId="29" fillId="0" borderId="0" xfId="0" applyNumberFormat="1" applyFont="1"/>
    <xf numFmtId="183" fontId="73" fillId="0" borderId="0" xfId="0" applyNumberFormat="1" applyFont="1"/>
    <xf numFmtId="0" fontId="16" fillId="0" borderId="0" xfId="0" applyFont="1" applyAlignment="1">
      <alignment horizontal="left" vertical="top"/>
    </xf>
    <xf numFmtId="0" fontId="2" fillId="20" borderId="0" xfId="0" applyFont="1" applyFill="1" applyAlignment="1">
      <alignment horizontal="right" wrapText="1"/>
    </xf>
    <xf numFmtId="183" fontId="29" fillId="0" borderId="0" xfId="0" applyNumberFormat="1" applyFont="1" applyAlignment="1">
      <alignment horizontal="right"/>
    </xf>
    <xf numFmtId="10" fontId="24" fillId="0" borderId="0" xfId="0" applyNumberFormat="1" applyFont="1" applyAlignment="1">
      <alignment horizontal="right"/>
    </xf>
    <xf numFmtId="0" fontId="41" fillId="5" borderId="0" xfId="0" applyFont="1" applyFill="1"/>
    <xf numFmtId="0" fontId="20" fillId="5" borderId="0" xfId="0" applyFont="1" applyFill="1" applyAlignment="1">
      <alignment horizontal="left"/>
    </xf>
    <xf numFmtId="0" fontId="47" fillId="5" borderId="0" xfId="0" applyFont="1" applyFill="1"/>
    <xf numFmtId="0" fontId="50" fillId="5" borderId="18" xfId="0" applyFont="1" applyFill="1" applyBorder="1"/>
    <xf numFmtId="0" fontId="40" fillId="5" borderId="0" xfId="0" applyFont="1" applyFill="1" applyAlignment="1">
      <alignment horizontal="left" indent="1"/>
    </xf>
    <xf numFmtId="0" fontId="55" fillId="5" borderId="0" xfId="0" applyFont="1" applyFill="1" applyAlignment="1">
      <alignment horizontal="left" indent="1"/>
    </xf>
    <xf numFmtId="0" fontId="32" fillId="5" borderId="0" xfId="0" applyFont="1" applyFill="1"/>
    <xf numFmtId="0" fontId="40" fillId="5" borderId="0" xfId="0" applyFont="1" applyFill="1" applyAlignment="1">
      <alignment horizontal="left"/>
    </xf>
    <xf numFmtId="0" fontId="54" fillId="5" borderId="0" xfId="0" applyFont="1" applyFill="1"/>
    <xf numFmtId="0" fontId="3" fillId="5" borderId="0" xfId="0" applyFont="1" applyFill="1"/>
    <xf numFmtId="9" fontId="54" fillId="5" borderId="0" xfId="0" applyNumberFormat="1" applyFont="1" applyFill="1"/>
    <xf numFmtId="0" fontId="16" fillId="5" borderId="0" xfId="0" applyFont="1" applyFill="1" applyAlignment="1">
      <alignment horizontal="left" indent="1"/>
    </xf>
    <xf numFmtId="0" fontId="39" fillId="5" borderId="0" xfId="7" applyFill="1" applyAlignment="1"/>
    <xf numFmtId="0" fontId="64" fillId="5" borderId="0" xfId="0" quotePrefix="1" applyFont="1" applyFill="1" applyAlignment="1">
      <alignment horizontal="left" indent="1"/>
    </xf>
    <xf numFmtId="0" fontId="0" fillId="5" borderId="20" xfId="0" applyFill="1" applyBorder="1"/>
    <xf numFmtId="0" fontId="67" fillId="5" borderId="18" xfId="0" applyFont="1" applyFill="1" applyBorder="1"/>
    <xf numFmtId="0" fontId="0" fillId="4" borderId="0" xfId="0" applyFill="1" applyAlignment="1">
      <alignment horizontal="left" vertical="top"/>
    </xf>
    <xf numFmtId="0" fontId="90" fillId="4" borderId="0" xfId="0" applyFont="1" applyFill="1" applyAlignment="1">
      <alignment horizontal="left" vertical="top"/>
    </xf>
    <xf numFmtId="0" fontId="90" fillId="0" borderId="0" xfId="0" applyFont="1"/>
    <xf numFmtId="183" fontId="0" fillId="0" borderId="0" xfId="0" applyNumberFormat="1" applyAlignment="1">
      <alignment horizontal="right" vertical="top"/>
    </xf>
    <xf numFmtId="183" fontId="0" fillId="0" borderId="0" xfId="0" applyNumberFormat="1" applyAlignment="1">
      <alignment vertical="top"/>
    </xf>
    <xf numFmtId="183" fontId="0" fillId="4" borderId="0" xfId="0" applyNumberFormat="1" applyFill="1" applyAlignment="1">
      <alignment vertical="top"/>
    </xf>
    <xf numFmtId="0" fontId="16" fillId="5" borderId="0" xfId="0" applyFont="1" applyFill="1"/>
    <xf numFmtId="176" fontId="49" fillId="5" borderId="0" xfId="0" applyNumberFormat="1" applyFont="1" applyFill="1" applyAlignment="1">
      <alignment horizontal="right"/>
    </xf>
    <xf numFmtId="0" fontId="92" fillId="0" borderId="0" xfId="0" applyFont="1" applyAlignment="1">
      <alignment horizontal="center"/>
    </xf>
    <xf numFmtId="38" fontId="92" fillId="0" borderId="0" xfId="0" applyNumberFormat="1" applyFont="1" applyAlignment="1">
      <alignment horizontal="center"/>
    </xf>
    <xf numFmtId="0" fontId="92" fillId="0" borderId="27" xfId="0" applyFont="1" applyBorder="1"/>
    <xf numFmtId="0" fontId="92" fillId="0" borderId="0" xfId="0" applyFont="1"/>
    <xf numFmtId="0" fontId="74" fillId="0" borderId="27" xfId="0" applyFont="1" applyBorder="1"/>
    <xf numFmtId="0" fontId="74" fillId="0" borderId="0" xfId="0" applyFont="1"/>
    <xf numFmtId="0" fontId="74" fillId="0" borderId="0" xfId="0" applyFont="1" applyAlignment="1">
      <alignment horizontal="center"/>
    </xf>
    <xf numFmtId="0" fontId="27" fillId="0" borderId="0" xfId="0" applyFont="1"/>
    <xf numFmtId="38" fontId="94" fillId="0" borderId="0" xfId="0" applyNumberFormat="1" applyFont="1" applyAlignment="1">
      <alignment horizontal="right"/>
    </xf>
    <xf numFmtId="38" fontId="96" fillId="0" borderId="0" xfId="0" applyNumberFormat="1" applyFont="1" applyAlignment="1">
      <alignment horizontal="right"/>
    </xf>
    <xf numFmtId="0" fontId="92" fillId="22" borderId="0" xfId="0" applyFont="1" applyFill="1" applyAlignment="1">
      <alignment horizontal="center"/>
    </xf>
    <xf numFmtId="0" fontId="91" fillId="21" borderId="0" xfId="0" applyFont="1" applyFill="1" applyAlignment="1">
      <alignment horizontal="center" wrapText="1"/>
    </xf>
    <xf numFmtId="10" fontId="95" fillId="0" borderId="0" xfId="0" applyNumberFormat="1" applyFont="1" applyAlignment="1">
      <alignment horizontal="right"/>
    </xf>
    <xf numFmtId="3" fontId="94" fillId="0" borderId="0" xfId="0" applyNumberFormat="1" applyFont="1" applyAlignment="1">
      <alignment horizontal="right"/>
    </xf>
    <xf numFmtId="38" fontId="24" fillId="0" borderId="0" xfId="0" applyNumberFormat="1" applyFont="1" applyAlignment="1">
      <alignment horizontal="right"/>
    </xf>
    <xf numFmtId="10" fontId="29" fillId="0" borderId="0" xfId="0" applyNumberFormat="1" applyFont="1"/>
    <xf numFmtId="3" fontId="93" fillId="0" borderId="0" xfId="0" applyNumberFormat="1" applyFont="1" applyAlignment="1">
      <alignment horizontal="right"/>
    </xf>
    <xf numFmtId="10" fontId="73" fillId="0" borderId="0" xfId="0" applyNumberFormat="1" applyFont="1"/>
    <xf numFmtId="0" fontId="91" fillId="21" borderId="0" xfId="0" applyFont="1" applyFill="1" applyAlignment="1">
      <alignment horizontal="center"/>
    </xf>
    <xf numFmtId="3" fontId="93" fillId="0" borderId="0" xfId="0" applyNumberFormat="1" applyFont="1"/>
    <xf numFmtId="41" fontId="92" fillId="0" borderId="0" xfId="0" applyNumberFormat="1" applyFont="1" applyAlignment="1">
      <alignment horizontal="center"/>
    </xf>
    <xf numFmtId="38" fontId="94" fillId="0" borderId="0" xfId="0" applyNumberFormat="1" applyFont="1" applyAlignment="1">
      <alignment horizontal="center"/>
    </xf>
    <xf numFmtId="3" fontId="94" fillId="0" borderId="0" xfId="0" applyNumberFormat="1" applyFont="1"/>
    <xf numFmtId="10" fontId="95" fillId="0" borderId="0" xfId="0" applyNumberFormat="1" applyFont="1"/>
    <xf numFmtId="38" fontId="96" fillId="0" borderId="0" xfId="0" applyNumberFormat="1" applyFont="1" applyAlignment="1">
      <alignment horizontal="center"/>
    </xf>
    <xf numFmtId="38" fontId="96" fillId="0" borderId="0" xfId="0" applyNumberFormat="1" applyFont="1"/>
    <xf numFmtId="38" fontId="94" fillId="0" borderId="0" xfId="0" applyNumberFormat="1" applyFont="1"/>
    <xf numFmtId="38" fontId="96" fillId="5" borderId="0" xfId="0" applyNumberFormat="1" applyFont="1" applyFill="1" applyAlignment="1">
      <alignment horizontal="center"/>
    </xf>
    <xf numFmtId="38" fontId="74" fillId="0" borderId="0" xfId="0" applyNumberFormat="1" applyFont="1" applyAlignment="1">
      <alignment horizontal="center"/>
    </xf>
    <xf numFmtId="38" fontId="75" fillId="0" borderId="0" xfId="0" applyNumberFormat="1" applyFont="1" applyAlignment="1">
      <alignment horizontal="center"/>
    </xf>
    <xf numFmtId="12" fontId="73" fillId="0" borderId="0" xfId="0" applyNumberFormat="1" applyFont="1"/>
    <xf numFmtId="0" fontId="97" fillId="0" borderId="28" xfId="8" applyFill="1"/>
    <xf numFmtId="0" fontId="98" fillId="0" borderId="29" xfId="9" applyFill="1"/>
    <xf numFmtId="0" fontId="97" fillId="0" borderId="28" xfId="8"/>
    <xf numFmtId="0" fontId="98" fillId="0" borderId="29" xfId="9"/>
    <xf numFmtId="0" fontId="75" fillId="0" borderId="27" xfId="0" applyFont="1" applyBorder="1"/>
    <xf numFmtId="0" fontId="75" fillId="0" borderId="0" xfId="0" applyFont="1"/>
    <xf numFmtId="41" fontId="75" fillId="0" borderId="0" xfId="0" applyNumberFormat="1" applyFont="1"/>
    <xf numFmtId="0" fontId="89" fillId="0" borderId="0" xfId="0" applyFont="1" applyAlignment="1">
      <alignment vertical="center"/>
    </xf>
    <xf numFmtId="0" fontId="89" fillId="0" borderId="0" xfId="0" applyFont="1" applyAlignment="1">
      <alignment horizontal="center"/>
    </xf>
    <xf numFmtId="0" fontId="99" fillId="0" borderId="0" xfId="0" applyFont="1"/>
    <xf numFmtId="10" fontId="96" fillId="0" borderId="0" xfId="0" applyNumberFormat="1" applyFont="1"/>
    <xf numFmtId="10" fontId="94" fillId="0" borderId="0" xfId="0" applyNumberFormat="1" applyFont="1"/>
    <xf numFmtId="41" fontId="96" fillId="0" borderId="0" xfId="0" applyNumberFormat="1" applyFont="1"/>
    <xf numFmtId="183" fontId="96" fillId="0" borderId="0" xfId="0" applyNumberFormat="1" applyFont="1"/>
    <xf numFmtId="0" fontId="89" fillId="4" borderId="0" xfId="0" applyFont="1" applyFill="1"/>
    <xf numFmtId="0" fontId="100" fillId="0" borderId="0" xfId="0" applyFont="1"/>
    <xf numFmtId="10" fontId="101" fillId="0" borderId="0" xfId="0" applyNumberFormat="1" applyFont="1"/>
    <xf numFmtId="10" fontId="102" fillId="0" borderId="0" xfId="0" applyNumberFormat="1" applyFont="1"/>
    <xf numFmtId="183" fontId="103" fillId="0" borderId="0" xfId="0" applyNumberFormat="1" applyFont="1"/>
    <xf numFmtId="12" fontId="103" fillId="0" borderId="0" xfId="0" applyNumberFormat="1" applyFont="1"/>
    <xf numFmtId="10" fontId="103" fillId="0" borderId="0" xfId="0" applyNumberFormat="1" applyFont="1"/>
    <xf numFmtId="0" fontId="89" fillId="0" borderId="27" xfId="0" applyFont="1" applyBorder="1"/>
    <xf numFmtId="41" fontId="75" fillId="0" borderId="0" xfId="0" applyNumberFormat="1" applyFont="1" applyAlignment="1">
      <alignment horizontal="center"/>
    </xf>
    <xf numFmtId="38" fontId="103" fillId="0" borderId="0" xfId="0" applyNumberFormat="1" applyFont="1"/>
    <xf numFmtId="10" fontId="30" fillId="0" borderId="0" xfId="0" applyNumberFormat="1" applyFont="1"/>
    <xf numFmtId="10" fontId="96" fillId="0" borderId="0" xfId="0" applyNumberFormat="1" applyFont="1" applyAlignment="1">
      <alignment horizontal="right"/>
    </xf>
    <xf numFmtId="12" fontId="73" fillId="0" borderId="0" xfId="0" applyNumberFormat="1" applyFont="1" applyAlignment="1">
      <alignment horizontal="right"/>
    </xf>
    <xf numFmtId="10" fontId="29" fillId="4" borderId="0" xfId="0" applyNumberFormat="1" applyFont="1" applyFill="1"/>
    <xf numFmtId="38" fontId="89" fillId="0" borderId="0" xfId="0" applyNumberFormat="1" applyFont="1"/>
    <xf numFmtId="0" fontId="104" fillId="0" borderId="0" xfId="0" applyFont="1"/>
    <xf numFmtId="10" fontId="104" fillId="0" borderId="0" xfId="0" applyNumberFormat="1" applyFont="1"/>
    <xf numFmtId="187" fontId="73" fillId="0" borderId="0" xfId="0" applyNumberFormat="1" applyFont="1"/>
    <xf numFmtId="43" fontId="89" fillId="0" borderId="0" xfId="0" applyNumberFormat="1" applyFont="1"/>
    <xf numFmtId="0" fontId="99" fillId="0" borderId="0" xfId="0" applyFont="1" applyAlignment="1">
      <alignment horizontal="left"/>
    </xf>
    <xf numFmtId="0" fontId="89" fillId="0" borderId="0" xfId="0" applyFont="1" applyAlignment="1">
      <alignment horizontal="left"/>
    </xf>
    <xf numFmtId="10" fontId="89" fillId="0" borderId="0" xfId="0" applyNumberFormat="1" applyFont="1"/>
    <xf numFmtId="0" fontId="96" fillId="0" borderId="0" xfId="0" applyFont="1" applyAlignment="1">
      <alignment horizontal="center"/>
    </xf>
    <xf numFmtId="0" fontId="106" fillId="0" borderId="28" xfId="10" applyFont="1" applyFill="1" applyBorder="1" applyAlignment="1"/>
    <xf numFmtId="0" fontId="106" fillId="0" borderId="0" xfId="10" applyFont="1" applyFill="1" applyBorder="1" applyAlignment="1"/>
    <xf numFmtId="0" fontId="0" fillId="4" borderId="0" xfId="0" applyFill="1" applyAlignment="1">
      <alignment horizontal="right"/>
    </xf>
    <xf numFmtId="0" fontId="20" fillId="0" borderId="0" xfId="0" applyFont="1" applyAlignment="1">
      <alignment horizontal="center" vertical="center"/>
    </xf>
    <xf numFmtId="0" fontId="29" fillId="0" borderId="0" xfId="0" applyFont="1"/>
    <xf numFmtId="0" fontId="107" fillId="0" borderId="30" xfId="11" applyFill="1"/>
    <xf numFmtId="0" fontId="27" fillId="0" borderId="0" xfId="0" applyFont="1" applyAlignment="1">
      <alignment horizontal="left"/>
    </xf>
    <xf numFmtId="0" fontId="75" fillId="0" borderId="0" xfId="0" applyFont="1" applyAlignment="1">
      <alignment horizontal="center"/>
    </xf>
    <xf numFmtId="38" fontId="102" fillId="0" borderId="0" xfId="0" applyNumberFormat="1" applyFont="1" applyAlignment="1">
      <alignment horizontal="right"/>
    </xf>
    <xf numFmtId="41" fontId="103" fillId="0" borderId="0" xfId="0" applyNumberFormat="1" applyFont="1" applyAlignment="1">
      <alignment horizontal="center"/>
    </xf>
    <xf numFmtId="12" fontId="0" fillId="0" borderId="0" xfId="0" applyNumberFormat="1"/>
    <xf numFmtId="3" fontId="25" fillId="0" borderId="0" xfId="0" applyNumberFormat="1" applyFont="1"/>
    <xf numFmtId="10" fontId="25" fillId="0" borderId="0" xfId="0" applyNumberFormat="1" applyFont="1"/>
    <xf numFmtId="3" fontId="102" fillId="0" borderId="0" xfId="0" applyNumberFormat="1" applyFont="1" applyAlignment="1">
      <alignment horizontal="right"/>
    </xf>
    <xf numFmtId="0" fontId="94" fillId="0" borderId="0" xfId="0" applyFont="1" applyAlignment="1">
      <alignment horizontal="right"/>
    </xf>
    <xf numFmtId="10" fontId="30" fillId="0" borderId="0" xfId="0" applyNumberFormat="1" applyFont="1" applyAlignment="1">
      <alignment horizontal="right"/>
    </xf>
    <xf numFmtId="38" fontId="108" fillId="0" borderId="0" xfId="0" applyNumberFormat="1" applyFont="1" applyAlignment="1">
      <alignment horizontal="center"/>
    </xf>
    <xf numFmtId="38" fontId="93" fillId="0" borderId="0" xfId="0" applyNumberFormat="1" applyFont="1" applyAlignment="1">
      <alignment horizontal="center"/>
    </xf>
    <xf numFmtId="41" fontId="92" fillId="0" borderId="27" xfId="0" applyNumberFormat="1" applyFont="1" applyBorder="1" applyAlignment="1">
      <alignment horizontal="left"/>
    </xf>
    <xf numFmtId="3" fontId="96" fillId="0" borderId="0" xfId="0" applyNumberFormat="1" applyFont="1"/>
    <xf numFmtId="0" fontId="94" fillId="0" borderId="0" xfId="0" applyFont="1"/>
    <xf numFmtId="3" fontId="109" fillId="0" borderId="0" xfId="0" applyNumberFormat="1" applyFont="1"/>
    <xf numFmtId="10" fontId="102" fillId="0" borderId="0" xfId="0" applyNumberFormat="1" applyFont="1" applyAlignment="1">
      <alignment horizontal="center"/>
    </xf>
    <xf numFmtId="41" fontId="102" fillId="0" borderId="0" xfId="0" applyNumberFormat="1" applyFont="1" applyAlignment="1">
      <alignment horizontal="center"/>
    </xf>
    <xf numFmtId="0" fontId="92" fillId="3" borderId="0" xfId="0" applyFont="1" applyFill="1" applyAlignment="1">
      <alignment horizontal="center"/>
    </xf>
    <xf numFmtId="0" fontId="74" fillId="22" borderId="0" xfId="0" applyFont="1" applyFill="1" applyAlignment="1">
      <alignment horizontal="center"/>
    </xf>
    <xf numFmtId="187" fontId="29" fillId="0" borderId="0" xfId="0" applyNumberFormat="1" applyFont="1"/>
    <xf numFmtId="0" fontId="75" fillId="22" borderId="0" xfId="0" applyFont="1" applyFill="1" applyAlignment="1">
      <alignment horizontal="center"/>
    </xf>
    <xf numFmtId="3" fontId="108" fillId="0" borderId="0" xfId="0" applyNumberFormat="1" applyFont="1"/>
    <xf numFmtId="10" fontId="110" fillId="0" borderId="0" xfId="0" applyNumberFormat="1" applyFont="1"/>
    <xf numFmtId="0" fontId="75" fillId="22" borderId="0" xfId="0" applyFont="1" applyFill="1"/>
    <xf numFmtId="0" fontId="75" fillId="3" borderId="0" xfId="0" applyFont="1" applyFill="1"/>
    <xf numFmtId="43" fontId="24" fillId="0" borderId="0" xfId="0" applyNumberFormat="1" applyFont="1"/>
    <xf numFmtId="0" fontId="50" fillId="5" borderId="31" xfId="0" applyFont="1" applyFill="1" applyBorder="1"/>
    <xf numFmtId="0" fontId="0" fillId="0" borderId="31" xfId="0" applyBorder="1"/>
    <xf numFmtId="176" fontId="24" fillId="0" borderId="0" xfId="0" applyNumberFormat="1" applyFont="1"/>
    <xf numFmtId="176" fontId="29" fillId="0" borderId="0" xfId="0" applyNumberFormat="1" applyFont="1"/>
    <xf numFmtId="9" fontId="53" fillId="16" borderId="9" xfId="0" applyNumberFormat="1" applyFont="1" applyFill="1" applyBorder="1" applyAlignment="1">
      <alignment horizontal="center"/>
    </xf>
    <xf numFmtId="0" fontId="111" fillId="0" borderId="0" xfId="0" applyFont="1"/>
    <xf numFmtId="0" fontId="32" fillId="5" borderId="32" xfId="0" applyFont="1" applyFill="1" applyBorder="1"/>
    <xf numFmtId="0" fontId="0" fillId="0" borderId="32" xfId="0" applyBorder="1"/>
    <xf numFmtId="0" fontId="50" fillId="5" borderId="0" xfId="0" applyFont="1" applyFill="1"/>
    <xf numFmtId="0" fontId="70" fillId="0" borderId="20" xfId="0" applyFont="1" applyBorder="1"/>
    <xf numFmtId="0" fontId="112" fillId="0" borderId="0" xfId="0" applyFont="1"/>
    <xf numFmtId="0" fontId="35" fillId="0" borderId="0" xfId="0" applyFont="1"/>
    <xf numFmtId="0" fontId="71" fillId="0" borderId="25" xfId="0" applyFont="1" applyBorder="1"/>
    <xf numFmtId="0" fontId="72" fillId="0" borderId="15" xfId="0" applyFont="1" applyBorder="1"/>
    <xf numFmtId="0" fontId="71" fillId="0" borderId="33" xfId="0" applyFont="1" applyBorder="1"/>
    <xf numFmtId="38" fontId="20" fillId="0" borderId="0" xfId="0" applyNumberFormat="1" applyFont="1"/>
    <xf numFmtId="0" fontId="20" fillId="0" borderId="20" xfId="0" applyFont="1" applyBorder="1" applyAlignment="1">
      <alignment horizontal="center" vertical="center"/>
    </xf>
    <xf numFmtId="0" fontId="20" fillId="0" borderId="8" xfId="0" applyFont="1" applyBorder="1" applyAlignment="1">
      <alignment horizontal="center"/>
    </xf>
    <xf numFmtId="0" fontId="20" fillId="0" borderId="15" xfId="0" applyFont="1" applyBorder="1" applyAlignment="1">
      <alignment horizontal="center"/>
    </xf>
    <xf numFmtId="0" fontId="20" fillId="0" borderId="0" xfId="0" applyFont="1" applyAlignment="1">
      <alignment horizontal="center"/>
    </xf>
    <xf numFmtId="0" fontId="0" fillId="0" borderId="0" xfId="0" applyAlignment="1">
      <alignment horizontal="center" vertical="center"/>
    </xf>
    <xf numFmtId="0" fontId="20" fillId="0" borderId="5" xfId="0" applyFont="1" applyBorder="1" applyAlignment="1">
      <alignment vertical="center"/>
    </xf>
    <xf numFmtId="0" fontId="3" fillId="0" borderId="5" xfId="0" applyFont="1" applyBorder="1"/>
    <xf numFmtId="0" fontId="79" fillId="0" borderId="5" xfId="0" applyFont="1" applyBorder="1"/>
    <xf numFmtId="0" fontId="57" fillId="0" borderId="0" xfId="0" applyFont="1"/>
    <xf numFmtId="0" fontId="2" fillId="23" borderId="0" xfId="0" applyFont="1" applyFill="1" applyAlignment="1">
      <alignment horizontal="right" wrapText="1"/>
    </xf>
    <xf numFmtId="38" fontId="28" fillId="0" borderId="0" xfId="3" applyNumberFormat="1" applyFont="1" applyFill="1" applyBorder="1" applyAlignment="1"/>
    <xf numFmtId="38" fontId="29" fillId="3" borderId="0" xfId="0" applyNumberFormat="1" applyFont="1" applyFill="1"/>
    <xf numFmtId="178" fontId="23" fillId="0" borderId="0" xfId="2" applyNumberFormat="1" applyFont="1" applyFill="1" applyBorder="1"/>
    <xf numFmtId="0" fontId="24" fillId="3" borderId="0" xfId="0" applyFont="1" applyFill="1"/>
    <xf numFmtId="0" fontId="26" fillId="3" borderId="0" xfId="0" applyFont="1" applyFill="1"/>
    <xf numFmtId="0" fontId="24" fillId="3" borderId="15" xfId="0" applyFont="1" applyFill="1" applyBorder="1"/>
    <xf numFmtId="38" fontId="28" fillId="10" borderId="15" xfId="3" applyNumberFormat="1" applyFont="1" applyBorder="1" applyAlignment="1"/>
    <xf numFmtId="182" fontId="24" fillId="0" borderId="25" xfId="0" applyNumberFormat="1" applyFont="1" applyBorder="1"/>
    <xf numFmtId="38" fontId="29" fillId="3" borderId="15" xfId="0" applyNumberFormat="1" applyFont="1" applyFill="1" applyBorder="1"/>
    <xf numFmtId="38" fontId="28" fillId="0" borderId="15" xfId="3" applyNumberFormat="1" applyFont="1" applyFill="1" applyBorder="1" applyAlignment="1"/>
    <xf numFmtId="188" fontId="0" fillId="0" borderId="0" xfId="0" applyNumberFormat="1"/>
    <xf numFmtId="0" fontId="89" fillId="21" borderId="0" xfId="0" applyFont="1" applyFill="1" applyAlignment="1">
      <alignment horizontal="center" wrapText="1"/>
    </xf>
    <xf numFmtId="41" fontId="89" fillId="0" borderId="0" xfId="0" applyNumberFormat="1" applyFont="1" applyAlignment="1">
      <alignment horizontal="center"/>
    </xf>
    <xf numFmtId="38" fontId="89" fillId="0" borderId="0" xfId="0" applyNumberFormat="1" applyFont="1" applyAlignment="1">
      <alignment horizontal="center"/>
    </xf>
    <xf numFmtId="0" fontId="89" fillId="21" borderId="0" xfId="0" applyFont="1" applyFill="1" applyAlignment="1">
      <alignment horizontal="center"/>
    </xf>
    <xf numFmtId="0" fontId="89" fillId="21" borderId="0" xfId="0" applyFont="1" applyFill="1"/>
    <xf numFmtId="38" fontId="94" fillId="4" borderId="0" xfId="0" applyNumberFormat="1" applyFont="1" applyFill="1" applyAlignment="1">
      <alignment horizontal="right"/>
    </xf>
    <xf numFmtId="41" fontId="74" fillId="0" borderId="0" xfId="0" applyNumberFormat="1" applyFont="1" applyAlignment="1">
      <alignment horizontal="center"/>
    </xf>
    <xf numFmtId="38" fontId="92" fillId="0" borderId="0" xfId="0" applyNumberFormat="1" applyFont="1"/>
    <xf numFmtId="38" fontId="96" fillId="4" borderId="0" xfId="0" applyNumberFormat="1" applyFont="1" applyFill="1"/>
    <xf numFmtId="38" fontId="94" fillId="4" borderId="0" xfId="0" applyNumberFormat="1" applyFont="1" applyFill="1"/>
    <xf numFmtId="0" fontId="94" fillId="0" borderId="0" xfId="0" applyFont="1" applyAlignment="1">
      <alignment horizontal="center"/>
    </xf>
    <xf numFmtId="38" fontId="102" fillId="0" borderId="0" xfId="0" applyNumberFormat="1" applyFont="1" applyAlignment="1">
      <alignment horizontal="center"/>
    </xf>
    <xf numFmtId="183" fontId="93" fillId="0" borderId="0" xfId="0" applyNumberFormat="1" applyFont="1" applyAlignment="1">
      <alignment horizontal="center"/>
    </xf>
    <xf numFmtId="183" fontId="102" fillId="0" borderId="0" xfId="0" applyNumberFormat="1" applyFont="1" applyAlignment="1">
      <alignment horizontal="center"/>
    </xf>
    <xf numFmtId="38" fontId="102" fillId="0" borderId="0" xfId="0" applyNumberFormat="1" applyFont="1"/>
    <xf numFmtId="10" fontId="102" fillId="4" borderId="0" xfId="0" applyNumberFormat="1" applyFont="1" applyFill="1"/>
    <xf numFmtId="38" fontId="102" fillId="4" borderId="0" xfId="0" applyNumberFormat="1" applyFont="1" applyFill="1"/>
    <xf numFmtId="0" fontId="92" fillId="4" borderId="0" xfId="0" applyFont="1" applyFill="1"/>
    <xf numFmtId="10" fontId="96" fillId="4" borderId="0" xfId="0" applyNumberFormat="1" applyFont="1" applyFill="1"/>
    <xf numFmtId="183" fontId="94" fillId="0" borderId="0" xfId="0" applyNumberFormat="1" applyFont="1"/>
    <xf numFmtId="41" fontId="94" fillId="0" borderId="0" xfId="0" applyNumberFormat="1" applyFont="1"/>
    <xf numFmtId="41" fontId="74" fillId="0" borderId="0" xfId="0" applyNumberFormat="1" applyFont="1"/>
    <xf numFmtId="0" fontId="89" fillId="22" borderId="0" xfId="0" applyFont="1" applyFill="1" applyAlignment="1">
      <alignment horizontal="center"/>
    </xf>
    <xf numFmtId="0" fontId="89" fillId="3" borderId="0" xfId="0" applyFont="1" applyFill="1" applyAlignment="1">
      <alignment horizontal="center"/>
    </xf>
    <xf numFmtId="0" fontId="74" fillId="4" borderId="0" xfId="0" applyFont="1" applyFill="1"/>
    <xf numFmtId="0" fontId="79" fillId="0" borderId="0" xfId="0" applyFont="1"/>
    <xf numFmtId="10" fontId="101" fillId="4" borderId="0" xfId="0" applyNumberFormat="1" applyFont="1" applyFill="1"/>
    <xf numFmtId="10" fontId="74" fillId="0" borderId="0" xfId="0" applyNumberFormat="1" applyFont="1"/>
    <xf numFmtId="12" fontId="94" fillId="0" borderId="0" xfId="0" applyNumberFormat="1" applyFont="1"/>
    <xf numFmtId="3" fontId="103" fillId="0" borderId="0" xfId="0" applyNumberFormat="1" applyFont="1" applyAlignment="1">
      <alignment horizontal="right"/>
    </xf>
    <xf numFmtId="0" fontId="85" fillId="5" borderId="0" xfId="0" applyFont="1" applyFill="1"/>
    <xf numFmtId="3" fontId="113" fillId="0" borderId="0" xfId="0" applyNumberFormat="1" applyFont="1"/>
    <xf numFmtId="0" fontId="20" fillId="0" borderId="5" xfId="0" applyFont="1" applyBorder="1"/>
    <xf numFmtId="2" fontId="26" fillId="3" borderId="0" xfId="0" applyNumberFormat="1" applyFont="1" applyFill="1"/>
    <xf numFmtId="0" fontId="20" fillId="0" borderId="20" xfId="0" applyFont="1" applyBorder="1"/>
    <xf numFmtId="0" fontId="20" fillId="0" borderId="24" xfId="0" applyFont="1" applyBorder="1"/>
    <xf numFmtId="0" fontId="114" fillId="0" borderId="0" xfId="0" applyFont="1"/>
    <xf numFmtId="0" fontId="31" fillId="5" borderId="0" xfId="0" applyFont="1" applyFill="1" applyAlignment="1">
      <alignment horizontal="center"/>
    </xf>
    <xf numFmtId="0" fontId="43" fillId="5" borderId="0" xfId="0" applyFont="1" applyFill="1" applyAlignment="1">
      <alignment horizontal="center"/>
    </xf>
    <xf numFmtId="0" fontId="49" fillId="5" borderId="0" xfId="0" applyFont="1" applyFill="1"/>
    <xf numFmtId="176" fontId="43" fillId="5" borderId="18" xfId="0" applyNumberFormat="1" applyFont="1" applyFill="1" applyBorder="1" applyAlignment="1">
      <alignment horizontal="center"/>
    </xf>
    <xf numFmtId="178" fontId="52" fillId="5" borderId="0" xfId="0" applyNumberFormat="1" applyFont="1" applyFill="1" applyAlignment="1">
      <alignment horizontal="center"/>
    </xf>
    <xf numFmtId="176" fontId="49" fillId="5" borderId="0" xfId="0" quotePrefix="1" applyNumberFormat="1" applyFont="1" applyFill="1" applyAlignment="1">
      <alignment horizontal="right"/>
    </xf>
    <xf numFmtId="176" fontId="31" fillId="5" borderId="0" xfId="0" applyNumberFormat="1" applyFont="1" applyFill="1" applyAlignment="1">
      <alignment horizontal="center"/>
    </xf>
    <xf numFmtId="176" fontId="31" fillId="5" borderId="0" xfId="0" applyNumberFormat="1" applyFont="1" applyFill="1"/>
    <xf numFmtId="0" fontId="43" fillId="5" borderId="18" xfId="0" applyFont="1" applyFill="1" applyBorder="1" applyAlignment="1">
      <alignment horizontal="center"/>
    </xf>
    <xf numFmtId="185" fontId="31" fillId="5" borderId="0" xfId="0" applyNumberFormat="1" applyFont="1" applyFill="1" applyAlignment="1">
      <alignment horizontal="center"/>
    </xf>
    <xf numFmtId="9" fontId="52" fillId="5" borderId="0" xfId="4" applyFont="1" applyFill="1" applyBorder="1" applyAlignment="1">
      <alignment horizontal="center"/>
    </xf>
    <xf numFmtId="178" fontId="52" fillId="5" borderId="0" xfId="4" applyNumberFormat="1" applyFont="1" applyFill="1" applyAlignment="1">
      <alignment horizontal="center"/>
    </xf>
    <xf numFmtId="178" fontId="49" fillId="5" borderId="0" xfId="0" applyNumberFormat="1" applyFont="1" applyFill="1" applyAlignment="1">
      <alignment horizontal="center"/>
    </xf>
    <xf numFmtId="178" fontId="49" fillId="5" borderId="0" xfId="4" applyNumberFormat="1" applyFont="1" applyFill="1" applyAlignment="1">
      <alignment horizontal="center"/>
    </xf>
    <xf numFmtId="178" fontId="66" fillId="5" borderId="20" xfId="0" applyNumberFormat="1" applyFont="1" applyFill="1" applyBorder="1" applyAlignment="1">
      <alignment horizontal="center"/>
    </xf>
    <xf numFmtId="177" fontId="29" fillId="5" borderId="0" xfId="0" applyNumberFormat="1" applyFont="1" applyFill="1" applyAlignment="1">
      <alignment horizontal="right"/>
    </xf>
    <xf numFmtId="9" fontId="49" fillId="5" borderId="0" xfId="4" applyFont="1" applyFill="1" applyAlignment="1">
      <alignment horizontal="right"/>
    </xf>
    <xf numFmtId="177" fontId="49" fillId="5" borderId="0" xfId="0" applyNumberFormat="1" applyFont="1" applyFill="1" applyAlignment="1">
      <alignment horizontal="right"/>
    </xf>
    <xf numFmtId="9" fontId="0" fillId="0" borderId="0" xfId="0" applyNumberFormat="1"/>
    <xf numFmtId="38" fontId="24" fillId="0" borderId="6" xfId="0" applyNumberFormat="1" applyFont="1" applyBorder="1"/>
    <xf numFmtId="3" fontId="24" fillId="0" borderId="6" xfId="0" applyNumberFormat="1" applyFont="1" applyBorder="1"/>
    <xf numFmtId="0" fontId="0" fillId="0" borderId="26" xfId="0" applyBorder="1"/>
    <xf numFmtId="0" fontId="2" fillId="0" borderId="5" xfId="0" applyFont="1" applyBorder="1" applyAlignment="1">
      <alignment horizontal="left" vertical="center" wrapText="1"/>
    </xf>
    <xf numFmtId="0" fontId="117" fillId="0" borderId="5" xfId="0" applyFont="1" applyBorder="1" applyAlignment="1">
      <alignment horizontal="left" vertical="center" wrapText="1"/>
    </xf>
    <xf numFmtId="0" fontId="20" fillId="0" borderId="20" xfId="0" applyFont="1" applyBorder="1" applyAlignment="1">
      <alignment horizontal="right"/>
    </xf>
    <xf numFmtId="185" fontId="24" fillId="0" borderId="6" xfId="0" applyNumberFormat="1" applyFont="1" applyBorder="1"/>
    <xf numFmtId="0" fontId="118" fillId="24" borderId="34" xfId="0" applyFont="1" applyFill="1" applyBorder="1" applyAlignment="1">
      <alignment readingOrder="1"/>
    </xf>
    <xf numFmtId="0" fontId="119" fillId="24" borderId="35" xfId="0" applyFont="1" applyFill="1" applyBorder="1" applyAlignment="1">
      <alignment wrapText="1" readingOrder="1"/>
    </xf>
    <xf numFmtId="0" fontId="119" fillId="24" borderId="36" xfId="0" applyFont="1" applyFill="1" applyBorder="1" applyAlignment="1">
      <alignment wrapText="1" readingOrder="1"/>
    </xf>
    <xf numFmtId="0" fontId="119" fillId="25" borderId="37" xfId="0" applyFont="1" applyFill="1" applyBorder="1" applyAlignment="1">
      <alignment readingOrder="1"/>
    </xf>
    <xf numFmtId="0" fontId="119" fillId="25" borderId="38" xfId="0" applyFont="1" applyFill="1" applyBorder="1" applyAlignment="1">
      <alignment readingOrder="1"/>
    </xf>
    <xf numFmtId="0" fontId="118" fillId="0" borderId="37" xfId="0" applyFont="1" applyBorder="1" applyAlignment="1">
      <alignment readingOrder="1"/>
    </xf>
    <xf numFmtId="0" fontId="118" fillId="0" borderId="38" xfId="0" applyFont="1" applyBorder="1" applyAlignment="1">
      <alignment readingOrder="1"/>
    </xf>
    <xf numFmtId="0" fontId="118" fillId="26" borderId="38" xfId="0" applyFont="1" applyFill="1" applyBorder="1" applyAlignment="1">
      <alignment readingOrder="1"/>
    </xf>
    <xf numFmtId="3" fontId="118" fillId="0" borderId="38" xfId="0" applyNumberFormat="1" applyFont="1" applyBorder="1" applyAlignment="1">
      <alignment readingOrder="1"/>
    </xf>
    <xf numFmtId="3" fontId="118" fillId="26" borderId="38" xfId="0" applyNumberFormat="1" applyFont="1" applyFill="1" applyBorder="1" applyAlignment="1">
      <alignment readingOrder="1"/>
    </xf>
    <xf numFmtId="0" fontId="118" fillId="26" borderId="37" xfId="0" applyFont="1" applyFill="1" applyBorder="1" applyAlignment="1">
      <alignment readingOrder="1"/>
    </xf>
    <xf numFmtId="3" fontId="120" fillId="26" borderId="38" xfId="0" applyNumberFormat="1" applyFont="1" applyFill="1" applyBorder="1" applyAlignment="1">
      <alignment readingOrder="1"/>
    </xf>
    <xf numFmtId="10" fontId="90" fillId="0" borderId="0" xfId="0" applyNumberFormat="1" applyFont="1"/>
    <xf numFmtId="182" fontId="27" fillId="0" borderId="20" xfId="0" applyNumberFormat="1" applyFont="1" applyBorder="1"/>
    <xf numFmtId="183" fontId="27" fillId="0" borderId="0" xfId="0" applyNumberFormat="1" applyFont="1" applyAlignment="1">
      <alignment horizontal="right"/>
    </xf>
    <xf numFmtId="43" fontId="73" fillId="0" borderId="0" xfId="0" applyNumberFormat="1" applyFont="1"/>
    <xf numFmtId="183" fontId="29" fillId="0" borderId="15" xfId="0" applyNumberFormat="1" applyFont="1" applyBorder="1" applyAlignment="1">
      <alignment horizontal="right"/>
    </xf>
    <xf numFmtId="43" fontId="73" fillId="0" borderId="15" xfId="0" applyNumberFormat="1" applyFont="1" applyBorder="1"/>
    <xf numFmtId="189" fontId="0" fillId="0" borderId="0" xfId="0" applyNumberFormat="1"/>
    <xf numFmtId="0" fontId="73" fillId="0" borderId="6" xfId="0" applyFont="1" applyBorder="1"/>
    <xf numFmtId="38" fontId="77" fillId="0" borderId="0" xfId="3" applyNumberFormat="1" applyFont="1" applyFill="1" applyBorder="1" applyAlignment="1"/>
    <xf numFmtId="190" fontId="24" fillId="0" borderId="0" xfId="0" applyNumberFormat="1" applyFont="1"/>
    <xf numFmtId="189" fontId="73" fillId="0" borderId="0" xfId="0" applyNumberFormat="1" applyFont="1"/>
    <xf numFmtId="183" fontId="84" fillId="0" borderId="16" xfId="2" applyNumberFormat="1" applyFont="1" applyFill="1" applyAlignment="1">
      <alignment horizontal="right"/>
    </xf>
    <xf numFmtId="0" fontId="20" fillId="18" borderId="0" xfId="0" applyFont="1" applyFill="1" applyAlignment="1">
      <alignment horizontal="center"/>
    </xf>
    <xf numFmtId="3" fontId="73" fillId="4" borderId="0" xfId="0" applyNumberFormat="1" applyFont="1" applyFill="1"/>
    <xf numFmtId="3" fontId="0" fillId="3" borderId="0" xfId="0" applyNumberFormat="1" applyFill="1"/>
    <xf numFmtId="0" fontId="122" fillId="18" borderId="0" xfId="0" applyFont="1" applyFill="1" applyAlignment="1">
      <alignment wrapText="1"/>
    </xf>
    <xf numFmtId="0" fontId="124" fillId="27" borderId="0" xfId="0" applyFont="1" applyFill="1"/>
    <xf numFmtId="9" fontId="23" fillId="0" borderId="0" xfId="2" applyNumberFormat="1" applyFont="1" applyFill="1" applyBorder="1" applyAlignment="1">
      <alignment vertical="center"/>
    </xf>
    <xf numFmtId="2" fontId="28" fillId="0" borderId="0" xfId="3" applyNumberFormat="1" applyFont="1" applyFill="1" applyBorder="1" applyAlignment="1">
      <alignment vertical="center"/>
    </xf>
    <xf numFmtId="9" fontId="28" fillId="0" borderId="0" xfId="3" applyNumberFormat="1" applyFont="1" applyFill="1" applyBorder="1" applyAlignment="1">
      <alignment vertical="center"/>
    </xf>
    <xf numFmtId="2" fontId="18" fillId="0" borderId="0" xfId="3" applyNumberFormat="1" applyFill="1" applyBorder="1" applyAlignment="1">
      <alignment vertical="center"/>
    </xf>
    <xf numFmtId="0" fontId="0" fillId="0" borderId="15" xfId="0" applyBorder="1" applyAlignment="1">
      <alignment horizontal="center"/>
    </xf>
    <xf numFmtId="0" fontId="0" fillId="0" borderId="0" xfId="0" applyAlignment="1">
      <alignment horizontal="center"/>
    </xf>
    <xf numFmtId="176" fontId="0" fillId="0" borderId="0" xfId="0" applyNumberFormat="1"/>
    <xf numFmtId="3" fontId="24" fillId="4" borderId="0" xfId="0" applyNumberFormat="1" applyFont="1" applyFill="1"/>
    <xf numFmtId="0" fontId="124" fillId="28" borderId="0" xfId="0" applyFont="1" applyFill="1"/>
    <xf numFmtId="184" fontId="0" fillId="0" borderId="0" xfId="0" applyNumberFormat="1"/>
    <xf numFmtId="2" fontId="30" fillId="4" borderId="0" xfId="0" applyNumberFormat="1" applyFont="1" applyFill="1"/>
    <xf numFmtId="2" fontId="28" fillId="4" borderId="0" xfId="3" applyNumberFormat="1" applyFont="1" applyFill="1" applyBorder="1" applyAlignment="1"/>
    <xf numFmtId="0" fontId="20" fillId="4" borderId="0" xfId="0" applyFont="1" applyFill="1"/>
    <xf numFmtId="2" fontId="24" fillId="4" borderId="0" xfId="0" applyNumberFormat="1" applyFont="1" applyFill="1"/>
    <xf numFmtId="0" fontId="127" fillId="0" borderId="0" xfId="0" applyFont="1"/>
    <xf numFmtId="14" fontId="127" fillId="0" borderId="0" xfId="0" applyNumberFormat="1" applyFont="1"/>
    <xf numFmtId="0" fontId="128" fillId="0" borderId="0" xfId="0" applyFont="1"/>
    <xf numFmtId="14" fontId="128" fillId="0" borderId="0" xfId="0" applyNumberFormat="1" applyFont="1"/>
    <xf numFmtId="4" fontId="128" fillId="0" borderId="0" xfId="0" applyNumberFormat="1" applyFont="1"/>
    <xf numFmtId="9" fontId="54" fillId="5" borderId="0" xfId="4" applyFont="1" applyFill="1" applyAlignment="1">
      <alignment horizontal="center"/>
    </xf>
    <xf numFmtId="9" fontId="52" fillId="12" borderId="0" xfId="4" applyFont="1" applyFill="1" applyAlignment="1">
      <alignment horizontal="center"/>
    </xf>
    <xf numFmtId="9" fontId="52" fillId="5" borderId="0" xfId="4" applyFont="1" applyFill="1" applyAlignment="1">
      <alignment horizontal="center"/>
    </xf>
    <xf numFmtId="176" fontId="129" fillId="12" borderId="0" xfId="0" applyNumberFormat="1" applyFont="1" applyFill="1" applyAlignment="1">
      <alignment horizontal="center"/>
    </xf>
    <xf numFmtId="183" fontId="0" fillId="4" borderId="0" xfId="0" applyNumberFormat="1" applyFill="1"/>
    <xf numFmtId="183" fontId="90" fillId="4" borderId="0" xfId="0" applyNumberFormat="1" applyFont="1" applyFill="1" applyAlignment="1">
      <alignment vertical="top"/>
    </xf>
    <xf numFmtId="183" fontId="90" fillId="4" borderId="0" xfId="0" applyNumberFormat="1" applyFont="1" applyFill="1"/>
    <xf numFmtId="0" fontId="90" fillId="4" borderId="0" xfId="0" applyFont="1" applyFill="1"/>
    <xf numFmtId="43" fontId="0" fillId="0" borderId="0" xfId="0" applyNumberFormat="1"/>
    <xf numFmtId="0" fontId="0" fillId="4" borderId="0" xfId="0" applyFill="1" applyAlignment="1">
      <alignment horizontal="right" vertical="top"/>
    </xf>
    <xf numFmtId="3" fontId="0" fillId="0" borderId="0" xfId="0" applyNumberFormat="1" applyAlignment="1">
      <alignment horizontal="left" vertical="top"/>
    </xf>
    <xf numFmtId="184" fontId="0" fillId="4" borderId="0" xfId="0" applyNumberFormat="1" applyFill="1"/>
    <xf numFmtId="183" fontId="24" fillId="0" borderId="0" xfId="0" applyNumberFormat="1" applyFont="1" applyAlignment="1">
      <alignment vertical="top"/>
    </xf>
    <xf numFmtId="184" fontId="24" fillId="0" borderId="0" xfId="0" applyNumberFormat="1" applyFont="1" applyAlignment="1">
      <alignment horizontal="right" vertical="top"/>
    </xf>
    <xf numFmtId="40" fontId="0" fillId="0" borderId="0" xfId="0" applyNumberFormat="1"/>
    <xf numFmtId="40" fontId="24" fillId="0" borderId="0" xfId="0" applyNumberFormat="1" applyFont="1"/>
    <xf numFmtId="0" fontId="20" fillId="0" borderId="0" xfId="0" applyFont="1" applyAlignment="1">
      <alignment horizontal="left" vertical="top"/>
    </xf>
    <xf numFmtId="183" fontId="20" fillId="0" borderId="0" xfId="0" applyNumberFormat="1" applyFont="1" applyAlignment="1">
      <alignment vertical="top"/>
    </xf>
    <xf numFmtId="183" fontId="20" fillId="0" borderId="0" xfId="0" applyNumberFormat="1" applyFont="1"/>
    <xf numFmtId="3" fontId="20" fillId="0" borderId="0" xfId="0" applyNumberFormat="1" applyFont="1"/>
    <xf numFmtId="3" fontId="20" fillId="4" borderId="0" xfId="0" applyNumberFormat="1" applyFont="1" applyFill="1"/>
    <xf numFmtId="185" fontId="20" fillId="0" borderId="0" xfId="0" applyNumberFormat="1" applyFont="1" applyAlignment="1">
      <alignment horizontal="right" vertical="top"/>
    </xf>
    <xf numFmtId="43" fontId="20" fillId="0" borderId="0" xfId="0" applyNumberFormat="1" applyFont="1"/>
    <xf numFmtId="176" fontId="30" fillId="5" borderId="12" xfId="0" applyNumberFormat="1" applyFont="1" applyFill="1" applyBorder="1" applyAlignment="1">
      <alignment horizontal="center"/>
    </xf>
    <xf numFmtId="176" fontId="30" fillId="5" borderId="0" xfId="0" applyNumberFormat="1" applyFont="1" applyFill="1" applyAlignment="1">
      <alignment horizontal="center"/>
    </xf>
    <xf numFmtId="0" fontId="3" fillId="4" borderId="0" xfId="0" applyFont="1" applyFill="1"/>
    <xf numFmtId="184" fontId="24" fillId="3" borderId="0" xfId="0" applyNumberFormat="1" applyFont="1" applyFill="1" applyAlignment="1">
      <alignment horizontal="right" vertical="top"/>
    </xf>
    <xf numFmtId="0" fontId="40" fillId="0" borderId="0" xfId="0" applyFont="1"/>
    <xf numFmtId="43" fontId="75" fillId="0" borderId="0" xfId="0" applyNumberFormat="1" applyFont="1" applyAlignment="1">
      <alignment vertical="center"/>
    </xf>
    <xf numFmtId="0" fontId="132" fillId="0" borderId="0" xfId="0" applyFont="1" applyAlignment="1">
      <alignment horizontal="center" vertical="center"/>
    </xf>
    <xf numFmtId="0" fontId="131" fillId="0" borderId="0" xfId="0" applyFont="1" applyAlignment="1">
      <alignment horizontal="left" vertical="center" wrapText="1"/>
    </xf>
    <xf numFmtId="0" fontId="130" fillId="0" borderId="0" xfId="0" applyFont="1" applyAlignment="1">
      <alignment horizontal="left" vertical="center" wrapText="1"/>
    </xf>
    <xf numFmtId="0" fontId="132" fillId="0" borderId="0" xfId="0" applyFont="1" applyAlignment="1">
      <alignment horizontal="left" vertical="center" wrapText="1"/>
    </xf>
    <xf numFmtId="0" fontId="133" fillId="14" borderId="0" xfId="0" applyFont="1" applyFill="1" applyAlignment="1">
      <alignment horizontal="center" vertical="center"/>
    </xf>
    <xf numFmtId="0" fontId="124" fillId="5" borderId="0" xfId="0" applyFont="1" applyFill="1"/>
    <xf numFmtId="0" fontId="124" fillId="12" borderId="0" xfId="0" applyFont="1" applyFill="1"/>
    <xf numFmtId="0" fontId="134" fillId="5" borderId="0" xfId="0" applyFont="1" applyFill="1" applyAlignment="1">
      <alignment horizontal="center"/>
    </xf>
    <xf numFmtId="0" fontId="134" fillId="12" borderId="0" xfId="0" applyFont="1" applyFill="1" applyAlignment="1">
      <alignment horizontal="center"/>
    </xf>
    <xf numFmtId="0" fontId="124" fillId="12" borderId="0" xfId="0" applyFont="1" applyFill="1" applyAlignment="1">
      <alignment horizontal="center"/>
    </xf>
    <xf numFmtId="0" fontId="135" fillId="5" borderId="0" xfId="0" applyFont="1" applyFill="1" applyAlignment="1">
      <alignment horizontal="center"/>
    </xf>
    <xf numFmtId="0" fontId="135" fillId="12" borderId="0" xfId="0" applyFont="1" applyFill="1" applyAlignment="1">
      <alignment horizontal="center"/>
    </xf>
    <xf numFmtId="0" fontId="124" fillId="0" borderId="0" xfId="0" applyFont="1"/>
    <xf numFmtId="0" fontId="123" fillId="5" borderId="0" xfId="0" applyFont="1" applyFill="1"/>
    <xf numFmtId="0" fontId="123" fillId="12" borderId="0" xfId="0" applyFont="1" applyFill="1"/>
    <xf numFmtId="0" fontId="136" fillId="5" borderId="0" xfId="0" applyFont="1" applyFill="1" applyAlignment="1">
      <alignment horizontal="center"/>
    </xf>
    <xf numFmtId="0" fontId="136" fillId="12" borderId="0" xfId="0" applyFont="1" applyFill="1" applyAlignment="1">
      <alignment horizontal="center"/>
    </xf>
    <xf numFmtId="0" fontId="123" fillId="12" borderId="0" xfId="0" applyFont="1" applyFill="1" applyAlignment="1">
      <alignment horizontal="center"/>
    </xf>
    <xf numFmtId="0" fontId="137" fillId="5" borderId="0" xfId="0" applyFont="1" applyFill="1" applyAlignment="1">
      <alignment horizontal="center"/>
    </xf>
    <xf numFmtId="0" fontId="137" fillId="12" borderId="0" xfId="0" applyFont="1" applyFill="1" applyAlignment="1">
      <alignment horizontal="center"/>
    </xf>
    <xf numFmtId="0" fontId="137" fillId="12" borderId="0" xfId="0" applyFont="1" applyFill="1" applyAlignment="1">
      <alignment horizontal="right"/>
    </xf>
    <xf numFmtId="0" fontId="123" fillId="5" borderId="0" xfId="0" applyFont="1" applyFill="1" applyAlignment="1">
      <alignment horizontal="left"/>
    </xf>
    <xf numFmtId="0" fontId="134" fillId="13" borderId="0" xfId="0" applyFont="1" applyFill="1" applyAlignment="1">
      <alignment horizontal="center"/>
    </xf>
    <xf numFmtId="0" fontId="138" fillId="14" borderId="0" xfId="0" applyFont="1" applyFill="1" applyAlignment="1">
      <alignment horizontal="center"/>
    </xf>
    <xf numFmtId="0" fontId="139" fillId="12" borderId="0" xfId="0" applyFont="1" applyFill="1"/>
    <xf numFmtId="0" fontId="140" fillId="15" borderId="0" xfId="0" applyFont="1" applyFill="1" applyAlignment="1">
      <alignment horizontal="center"/>
    </xf>
    <xf numFmtId="0" fontId="134" fillId="5" borderId="0" xfId="0" applyFont="1" applyFill="1"/>
    <xf numFmtId="0" fontId="141" fillId="12" borderId="0" xfId="0" applyFont="1" applyFill="1"/>
    <xf numFmtId="0" fontId="134" fillId="12" borderId="0" xfId="0" applyFont="1" applyFill="1"/>
    <xf numFmtId="0" fontId="142" fillId="5" borderId="0" xfId="0" applyFont="1" applyFill="1"/>
    <xf numFmtId="0" fontId="142" fillId="12" borderId="0" xfId="0" applyFont="1" applyFill="1"/>
    <xf numFmtId="0" fontId="141" fillId="5" borderId="18" xfId="0" applyFont="1" applyFill="1" applyBorder="1"/>
    <xf numFmtId="0" fontId="141" fillId="12" borderId="18" xfId="0" applyFont="1" applyFill="1" applyBorder="1"/>
    <xf numFmtId="0" fontId="139" fillId="5" borderId="18" xfId="0" applyFont="1" applyFill="1" applyBorder="1" applyAlignment="1">
      <alignment horizontal="center"/>
    </xf>
    <xf numFmtId="0" fontId="139" fillId="12" borderId="18" xfId="0" applyFont="1" applyFill="1" applyBorder="1" applyAlignment="1">
      <alignment horizontal="center"/>
    </xf>
    <xf numFmtId="176" fontId="139" fillId="12" borderId="18" xfId="0" applyNumberFormat="1" applyFont="1" applyFill="1" applyBorder="1" applyAlignment="1">
      <alignment horizontal="center"/>
    </xf>
    <xf numFmtId="176" fontId="137" fillId="5" borderId="18" xfId="0" applyNumberFormat="1" applyFont="1" applyFill="1" applyBorder="1" applyAlignment="1">
      <alignment horizontal="center"/>
    </xf>
    <xf numFmtId="176" fontId="137" fillId="12" borderId="18" xfId="0" applyNumberFormat="1" applyFont="1" applyFill="1" applyBorder="1" applyAlignment="1">
      <alignment horizontal="center"/>
    </xf>
    <xf numFmtId="0" fontId="137" fillId="12" borderId="18" xfId="0" applyFont="1" applyFill="1" applyBorder="1" applyAlignment="1">
      <alignment horizontal="center"/>
    </xf>
    <xf numFmtId="176" fontId="137" fillId="5" borderId="0" xfId="0" applyNumberFormat="1" applyFont="1" applyFill="1" applyAlignment="1">
      <alignment horizontal="center"/>
    </xf>
    <xf numFmtId="178" fontId="143" fillId="12" borderId="0" xfId="0" applyNumberFormat="1" applyFont="1" applyFill="1" applyAlignment="1">
      <alignment horizontal="center"/>
    </xf>
    <xf numFmtId="0" fontId="134" fillId="5" borderId="0" xfId="0" applyFont="1" applyFill="1" applyAlignment="1">
      <alignment horizontal="left" indent="1"/>
    </xf>
    <xf numFmtId="0" fontId="134" fillId="12" borderId="0" xfId="0" applyFont="1" applyFill="1" applyAlignment="1">
      <alignment horizontal="left" indent="1"/>
    </xf>
    <xf numFmtId="176" fontId="113" fillId="5" borderId="0" xfId="0" applyNumberFormat="1" applyFont="1" applyFill="1" applyAlignment="1">
      <alignment horizontal="right"/>
    </xf>
    <xf numFmtId="178" fontId="125" fillId="12" borderId="0" xfId="0" applyNumberFormat="1" applyFont="1" applyFill="1" applyAlignment="1">
      <alignment horizontal="center"/>
    </xf>
    <xf numFmtId="177" fontId="134" fillId="12" borderId="0" xfId="0" applyNumberFormat="1" applyFont="1" applyFill="1"/>
    <xf numFmtId="176" fontId="134" fillId="5" borderId="0" xfId="0" applyNumberFormat="1" applyFont="1" applyFill="1" applyAlignment="1">
      <alignment horizontal="right"/>
    </xf>
    <xf numFmtId="178" fontId="134" fillId="12" borderId="0" xfId="0" applyNumberFormat="1" applyFont="1" applyFill="1" applyAlignment="1">
      <alignment horizontal="center"/>
    </xf>
    <xf numFmtId="178" fontId="144" fillId="16" borderId="9" xfId="0" applyNumberFormat="1" applyFont="1" applyFill="1" applyBorder="1" applyAlignment="1">
      <alignment horizontal="center"/>
    </xf>
    <xf numFmtId="176" fontId="134" fillId="5" borderId="0" xfId="0" quotePrefix="1" applyNumberFormat="1" applyFont="1" applyFill="1" applyAlignment="1">
      <alignment horizontal="right"/>
    </xf>
    <xf numFmtId="178" fontId="134" fillId="12" borderId="0" xfId="0" quotePrefix="1" applyNumberFormat="1" applyFont="1" applyFill="1" applyAlignment="1">
      <alignment horizontal="center"/>
    </xf>
    <xf numFmtId="176" fontId="144" fillId="16" borderId="9" xfId="0" applyNumberFormat="1" applyFont="1" applyFill="1" applyBorder="1"/>
    <xf numFmtId="0" fontId="145" fillId="12" borderId="0" xfId="0" applyFont="1" applyFill="1" applyAlignment="1">
      <alignment horizontal="left" indent="1"/>
    </xf>
    <xf numFmtId="0" fontId="124" fillId="5" borderId="0" xfId="0" applyFont="1" applyFill="1" applyAlignment="1">
      <alignment horizontal="center"/>
    </xf>
    <xf numFmtId="9" fontId="123" fillId="5" borderId="0" xfId="0" applyNumberFormat="1" applyFont="1" applyFill="1" applyAlignment="1">
      <alignment horizontal="center"/>
    </xf>
    <xf numFmtId="178" fontId="137" fillId="5" borderId="0" xfId="0" applyNumberFormat="1" applyFont="1" applyFill="1" applyAlignment="1">
      <alignment horizontal="center"/>
    </xf>
    <xf numFmtId="178" fontId="137" fillId="12" borderId="0" xfId="0" applyNumberFormat="1" applyFont="1" applyFill="1" applyAlignment="1">
      <alignment horizontal="center"/>
    </xf>
    <xf numFmtId="176" fontId="137" fillId="12" borderId="0" xfId="0" applyNumberFormat="1" applyFont="1" applyFill="1" applyAlignment="1">
      <alignment horizontal="center"/>
    </xf>
    <xf numFmtId="0" fontId="136" fillId="12" borderId="0" xfId="0" applyFont="1" applyFill="1"/>
    <xf numFmtId="176" fontId="142" fillId="5" borderId="0" xfId="0" applyNumberFormat="1" applyFont="1" applyFill="1" applyAlignment="1">
      <alignment horizontal="center"/>
    </xf>
    <xf numFmtId="0" fontId="134" fillId="12" borderId="0" xfId="0" applyFont="1" applyFill="1" applyAlignment="1">
      <alignment horizontal="left"/>
    </xf>
    <xf numFmtId="0" fontId="146" fillId="5" borderId="0" xfId="0" applyFont="1" applyFill="1"/>
    <xf numFmtId="0" fontId="146" fillId="12" borderId="0" xfId="0" applyFont="1" applyFill="1"/>
    <xf numFmtId="176" fontId="134" fillId="5" borderId="0" xfId="0" applyNumberFormat="1" applyFont="1" applyFill="1" applyAlignment="1">
      <alignment horizontal="center"/>
    </xf>
    <xf numFmtId="176" fontId="124" fillId="5" borderId="0" xfId="0" applyNumberFormat="1" applyFont="1" applyFill="1" applyAlignment="1">
      <alignment horizontal="center"/>
    </xf>
    <xf numFmtId="176" fontId="135" fillId="5" borderId="0" xfId="0" applyNumberFormat="1" applyFont="1" applyFill="1" applyAlignment="1">
      <alignment horizontal="center"/>
    </xf>
    <xf numFmtId="176" fontId="135" fillId="12" borderId="0" xfId="0" applyNumberFormat="1" applyFont="1" applyFill="1" applyAlignment="1">
      <alignment horizontal="center"/>
    </xf>
    <xf numFmtId="0" fontId="147" fillId="12" borderId="0" xfId="0" applyFont="1" applyFill="1" applyAlignment="1">
      <alignment horizontal="center"/>
    </xf>
    <xf numFmtId="178" fontId="124" fillId="12" borderId="0" xfId="0" applyNumberFormat="1" applyFont="1" applyFill="1"/>
    <xf numFmtId="176" fontId="142" fillId="5" borderId="0" xfId="0" quotePrefix="1" applyNumberFormat="1" applyFont="1" applyFill="1" applyAlignment="1">
      <alignment horizontal="right"/>
    </xf>
    <xf numFmtId="176" fontId="142" fillId="12" borderId="0" xfId="0" quotePrefix="1" applyNumberFormat="1" applyFont="1" applyFill="1" applyAlignment="1">
      <alignment horizontal="right"/>
    </xf>
    <xf numFmtId="178" fontId="125" fillId="12" borderId="0" xfId="0" quotePrefix="1" applyNumberFormat="1" applyFont="1" applyFill="1" applyAlignment="1">
      <alignment horizontal="center"/>
    </xf>
    <xf numFmtId="176" fontId="143" fillId="16" borderId="9" xfId="0" applyNumberFormat="1" applyFont="1" applyFill="1" applyBorder="1"/>
    <xf numFmtId="0" fontId="125" fillId="12" borderId="0" xfId="0" applyFont="1" applyFill="1"/>
    <xf numFmtId="178" fontId="125" fillId="12" borderId="0" xfId="0" applyNumberFormat="1" applyFont="1" applyFill="1"/>
    <xf numFmtId="176" fontId="124" fillId="12" borderId="0" xfId="0" applyNumberFormat="1" applyFont="1" applyFill="1"/>
    <xf numFmtId="176" fontId="134" fillId="12" borderId="0" xfId="0" applyNumberFormat="1" applyFont="1" applyFill="1" applyAlignment="1">
      <alignment horizontal="center"/>
    </xf>
    <xf numFmtId="176" fontId="124" fillId="5" borderId="0" xfId="0" applyNumberFormat="1" applyFont="1" applyFill="1"/>
    <xf numFmtId="176" fontId="135" fillId="5" borderId="0" xfId="0" applyNumberFormat="1" applyFont="1" applyFill="1"/>
    <xf numFmtId="176" fontId="135" fillId="12" borderId="0" xfId="0" applyNumberFormat="1" applyFont="1" applyFill="1"/>
    <xf numFmtId="176" fontId="142" fillId="5" borderId="0" xfId="0" applyNumberFormat="1" applyFont="1" applyFill="1" applyAlignment="1">
      <alignment horizontal="right"/>
    </xf>
    <xf numFmtId="0" fontId="134" fillId="5" borderId="0" xfId="0" applyFont="1" applyFill="1" applyAlignment="1">
      <alignment horizontal="left"/>
    </xf>
    <xf numFmtId="178" fontId="134" fillId="5" borderId="0" xfId="0" applyNumberFormat="1" applyFont="1" applyFill="1" applyAlignment="1">
      <alignment horizontal="center"/>
    </xf>
    <xf numFmtId="176" fontId="142" fillId="12" borderId="0" xfId="0" applyNumberFormat="1" applyFont="1" applyFill="1" applyAlignment="1">
      <alignment horizontal="center"/>
    </xf>
    <xf numFmtId="0" fontId="136" fillId="5" borderId="0" xfId="0" applyFont="1" applyFill="1"/>
    <xf numFmtId="176" fontId="137" fillId="5" borderId="19" xfId="0" applyNumberFormat="1" applyFont="1" applyFill="1" applyBorder="1" applyAlignment="1">
      <alignment horizontal="center"/>
    </xf>
    <xf numFmtId="176" fontId="137" fillId="12" borderId="19" xfId="0" applyNumberFormat="1" applyFont="1" applyFill="1" applyBorder="1" applyAlignment="1">
      <alignment horizontal="center"/>
    </xf>
    <xf numFmtId="176" fontId="148" fillId="5" borderId="0" xfId="0" applyNumberFormat="1" applyFont="1" applyFill="1" applyAlignment="1">
      <alignment horizontal="center"/>
    </xf>
    <xf numFmtId="0" fontId="137" fillId="5" borderId="18" xfId="0" applyFont="1" applyFill="1" applyBorder="1" applyAlignment="1">
      <alignment horizontal="center"/>
    </xf>
    <xf numFmtId="176" fontId="149" fillId="5" borderId="0" xfId="0" applyNumberFormat="1" applyFont="1" applyFill="1" applyAlignment="1">
      <alignment horizontal="right"/>
    </xf>
    <xf numFmtId="176" fontId="150" fillId="12" borderId="0" xfId="0" applyNumberFormat="1" applyFont="1" applyFill="1" applyAlignment="1">
      <alignment horizontal="center"/>
    </xf>
    <xf numFmtId="0" fontId="151" fillId="12" borderId="0" xfId="0" applyFont="1" applyFill="1"/>
    <xf numFmtId="176" fontId="152" fillId="12" borderId="0" xfId="0" applyNumberFormat="1" applyFont="1" applyFill="1" applyAlignment="1">
      <alignment horizontal="center"/>
    </xf>
    <xf numFmtId="0" fontId="153" fillId="12" borderId="0" xfId="0" applyFont="1" applyFill="1"/>
    <xf numFmtId="185" fontId="152" fillId="12" borderId="0" xfId="0" applyNumberFormat="1" applyFont="1" applyFill="1" applyAlignment="1">
      <alignment horizontal="center"/>
    </xf>
    <xf numFmtId="176" fontId="137" fillId="5" borderId="12" xfId="0" applyNumberFormat="1" applyFont="1" applyFill="1" applyBorder="1" applyAlignment="1">
      <alignment horizontal="center"/>
    </xf>
    <xf numFmtId="176" fontId="137" fillId="12" borderId="12" xfId="0" applyNumberFormat="1" applyFont="1" applyFill="1" applyBorder="1" applyAlignment="1">
      <alignment horizontal="center"/>
    </xf>
    <xf numFmtId="0" fontId="154" fillId="5" borderId="0" xfId="0" applyFont="1" applyFill="1"/>
    <xf numFmtId="0" fontId="155" fillId="5" borderId="0" xfId="0" applyFont="1" applyFill="1"/>
    <xf numFmtId="0" fontId="134" fillId="4" borderId="0" xfId="0" applyFont="1" applyFill="1"/>
    <xf numFmtId="176" fontId="152" fillId="4" borderId="0" xfId="0" applyNumberFormat="1" applyFont="1" applyFill="1" applyAlignment="1">
      <alignment horizontal="center"/>
    </xf>
    <xf numFmtId="9" fontId="136" fillId="5" borderId="0" xfId="0" applyNumberFormat="1" applyFont="1" applyFill="1"/>
    <xf numFmtId="9" fontId="136" fillId="12" borderId="0" xfId="0" applyNumberFormat="1" applyFont="1" applyFill="1"/>
    <xf numFmtId="0" fontId="155" fillId="12" borderId="0" xfId="0" applyFont="1" applyFill="1"/>
    <xf numFmtId="0" fontId="124" fillId="12" borderId="0" xfId="0" applyFont="1" applyFill="1" applyAlignment="1">
      <alignment horizontal="left"/>
    </xf>
    <xf numFmtId="176" fontId="124" fillId="12" borderId="0" xfId="0" applyNumberFormat="1" applyFont="1" applyFill="1" applyAlignment="1">
      <alignment horizontal="center"/>
    </xf>
    <xf numFmtId="176" fontId="156" fillId="16" borderId="9" xfId="0" applyNumberFormat="1" applyFont="1" applyFill="1" applyBorder="1"/>
    <xf numFmtId="176" fontId="157" fillId="5" borderId="0" xfId="0" applyNumberFormat="1" applyFont="1" applyFill="1" applyAlignment="1">
      <alignment horizontal="center"/>
    </xf>
    <xf numFmtId="0" fontId="155" fillId="5" borderId="0" xfId="0" applyFont="1" applyFill="1" applyAlignment="1">
      <alignment horizontal="left" indent="1"/>
    </xf>
    <xf numFmtId="0" fontId="155" fillId="12" borderId="0" xfId="0" applyFont="1" applyFill="1" applyAlignment="1">
      <alignment horizontal="left" indent="1"/>
    </xf>
    <xf numFmtId="178" fontId="125" fillId="12" borderId="0" xfId="4" applyNumberFormat="1" applyFont="1" applyFill="1" applyAlignment="1"/>
    <xf numFmtId="0" fontId="155" fillId="0" borderId="0" xfId="0" applyFont="1" applyAlignment="1">
      <alignment horizontal="left" vertical="top"/>
    </xf>
    <xf numFmtId="183" fontId="113" fillId="12" borderId="0" xfId="4" applyNumberFormat="1" applyFont="1" applyFill="1" applyAlignment="1"/>
    <xf numFmtId="176" fontId="135" fillId="12" borderId="20" xfId="0" applyNumberFormat="1" applyFont="1" applyFill="1" applyBorder="1" applyAlignment="1">
      <alignment horizontal="center"/>
    </xf>
    <xf numFmtId="185" fontId="150" fillId="12" borderId="0" xfId="0" applyNumberFormat="1" applyFont="1" applyFill="1" applyAlignment="1">
      <alignment horizontal="center"/>
    </xf>
    <xf numFmtId="0" fontId="158" fillId="9" borderId="16" xfId="2" applyFont="1"/>
    <xf numFmtId="0" fontId="159" fillId="5" borderId="0" xfId="0" applyFont="1" applyFill="1"/>
    <xf numFmtId="176" fontId="113" fillId="5" borderId="0" xfId="0" quotePrefix="1" applyNumberFormat="1" applyFont="1" applyFill="1" applyAlignment="1">
      <alignment horizontal="right"/>
    </xf>
    <xf numFmtId="185" fontId="135" fillId="12" borderId="0" xfId="0" applyNumberFormat="1" applyFont="1" applyFill="1" applyAlignment="1">
      <alignment horizontal="center"/>
    </xf>
    <xf numFmtId="0" fontId="153" fillId="5" borderId="0" xfId="7" applyFont="1" applyFill="1" applyAlignment="1"/>
    <xf numFmtId="0" fontId="153" fillId="12" borderId="0" xfId="7" applyFont="1" applyFill="1" applyAlignment="1"/>
    <xf numFmtId="0" fontId="161" fillId="5" borderId="18" xfId="0" applyFont="1" applyFill="1" applyBorder="1" applyAlignment="1">
      <alignment horizontal="center"/>
    </xf>
    <xf numFmtId="0" fontId="161" fillId="12" borderId="18" xfId="0" applyFont="1" applyFill="1" applyBorder="1" applyAlignment="1">
      <alignment horizontal="center"/>
    </xf>
    <xf numFmtId="0" fontId="161" fillId="12" borderId="0" xfId="0" applyFont="1" applyFill="1"/>
    <xf numFmtId="0" fontId="162" fillId="5" borderId="0" xfId="0" quotePrefix="1" applyFont="1" applyFill="1" applyAlignment="1">
      <alignment horizontal="left" indent="1"/>
    </xf>
    <xf numFmtId="0" fontId="162" fillId="12" borderId="0" xfId="0" quotePrefix="1" applyFont="1" applyFill="1" applyAlignment="1">
      <alignment horizontal="left" indent="1"/>
    </xf>
    <xf numFmtId="176" fontId="163" fillId="5" borderId="0" xfId="0" applyNumberFormat="1" applyFont="1" applyFill="1" applyAlignment="1">
      <alignment horizontal="center"/>
    </xf>
    <xf numFmtId="176" fontId="163" fillId="12" borderId="0" xfId="0" applyNumberFormat="1" applyFont="1" applyFill="1" applyAlignment="1">
      <alignment horizontal="center"/>
    </xf>
    <xf numFmtId="0" fontId="163" fillId="12" borderId="0" xfId="0" applyFont="1" applyFill="1"/>
    <xf numFmtId="178" fontId="143" fillId="5" borderId="0" xfId="4" applyNumberFormat="1" applyFont="1" applyFill="1" applyAlignment="1">
      <alignment horizontal="center"/>
    </xf>
    <xf numFmtId="178" fontId="137" fillId="12" borderId="0" xfId="4" applyNumberFormat="1" applyFont="1" applyFill="1" applyAlignment="1">
      <alignment horizontal="center"/>
    </xf>
    <xf numFmtId="178" fontId="137" fillId="5" borderId="0" xfId="4" applyNumberFormat="1" applyFont="1" applyFill="1" applyAlignment="1">
      <alignment horizontal="center"/>
    </xf>
    <xf numFmtId="178" fontId="125" fillId="5" borderId="0" xfId="0" applyNumberFormat="1" applyFont="1" applyFill="1" applyAlignment="1">
      <alignment horizontal="center"/>
    </xf>
    <xf numFmtId="178" fontId="142" fillId="12" borderId="0" xfId="0" applyNumberFormat="1" applyFont="1" applyFill="1" applyAlignment="1">
      <alignment horizontal="center"/>
    </xf>
    <xf numFmtId="178" fontId="142" fillId="5" borderId="0" xfId="0" applyNumberFormat="1" applyFont="1" applyFill="1" applyAlignment="1">
      <alignment horizontal="center"/>
    </xf>
    <xf numFmtId="178" fontId="143" fillId="5" borderId="0" xfId="0" applyNumberFormat="1" applyFont="1" applyFill="1" applyAlignment="1">
      <alignment horizontal="center"/>
    </xf>
    <xf numFmtId="178" fontId="137" fillId="0" borderId="0" xfId="0" applyNumberFormat="1" applyFont="1" applyAlignment="1">
      <alignment horizontal="center"/>
    </xf>
    <xf numFmtId="0" fontId="136" fillId="5" borderId="18" xfId="0" applyFont="1" applyFill="1" applyBorder="1" applyAlignment="1">
      <alignment horizontal="center"/>
    </xf>
    <xf numFmtId="178" fontId="142" fillId="12" borderId="0" xfId="4" applyNumberFormat="1" applyFont="1" applyFill="1" applyAlignment="1">
      <alignment horizontal="center"/>
    </xf>
    <xf numFmtId="178" fontId="142" fillId="5" borderId="0" xfId="4" applyNumberFormat="1" applyFont="1" applyFill="1" applyAlignment="1">
      <alignment horizontal="center"/>
    </xf>
    <xf numFmtId="0" fontId="124" fillId="5" borderId="20" xfId="0" applyFont="1" applyFill="1" applyBorder="1"/>
    <xf numFmtId="0" fontId="124" fillId="12" borderId="20" xfId="0" applyFont="1" applyFill="1" applyBorder="1"/>
    <xf numFmtId="0" fontId="142" fillId="12" borderId="20" xfId="0" applyFont="1" applyFill="1" applyBorder="1" applyAlignment="1">
      <alignment horizontal="center"/>
    </xf>
    <xf numFmtId="178" fontId="164" fillId="12" borderId="20" xfId="0" applyNumberFormat="1" applyFont="1" applyFill="1" applyBorder="1" applyAlignment="1">
      <alignment horizontal="center"/>
    </xf>
    <xf numFmtId="178" fontId="164" fillId="5" borderId="20" xfId="0" applyNumberFormat="1" applyFont="1" applyFill="1" applyBorder="1" applyAlignment="1">
      <alignment horizontal="center"/>
    </xf>
    <xf numFmtId="0" fontId="135" fillId="12" borderId="20" xfId="0" applyFont="1" applyFill="1" applyBorder="1" applyAlignment="1">
      <alignment horizontal="center"/>
    </xf>
    <xf numFmtId="0" fontId="124" fillId="0" borderId="20" xfId="0" applyFont="1" applyBorder="1"/>
    <xf numFmtId="0" fontId="165" fillId="5" borderId="18" xfId="0" applyFont="1" applyFill="1" applyBorder="1"/>
    <xf numFmtId="0" fontId="165" fillId="12" borderId="18" xfId="0" applyFont="1" applyFill="1" applyBorder="1"/>
    <xf numFmtId="176" fontId="142" fillId="12" borderId="0" xfId="0" applyNumberFormat="1" applyFont="1" applyFill="1" applyAlignment="1">
      <alignment horizontal="right"/>
    </xf>
    <xf numFmtId="177" fontId="113" fillId="12" borderId="0" xfId="0" applyNumberFormat="1" applyFont="1" applyFill="1" applyAlignment="1">
      <alignment horizontal="right"/>
    </xf>
    <xf numFmtId="9" fontId="142" fillId="12" borderId="0" xfId="4" applyFont="1" applyFill="1" applyAlignment="1">
      <alignment horizontal="right"/>
    </xf>
    <xf numFmtId="176" fontId="113" fillId="12" borderId="0" xfId="0" applyNumberFormat="1" applyFont="1" applyFill="1" applyAlignment="1">
      <alignment horizontal="right"/>
    </xf>
    <xf numFmtId="177" fontId="125" fillId="12" borderId="0" xfId="0" applyNumberFormat="1" applyFont="1" applyFill="1" applyAlignment="1">
      <alignment horizontal="right"/>
    </xf>
    <xf numFmtId="177" fontId="166" fillId="12" borderId="0" xfId="0" applyNumberFormat="1" applyFont="1" applyFill="1" applyAlignment="1">
      <alignment horizontal="right"/>
    </xf>
    <xf numFmtId="0" fontId="166" fillId="12" borderId="0" xfId="0" applyFont="1" applyFill="1"/>
    <xf numFmtId="2" fontId="166" fillId="12" borderId="0" xfId="0" applyNumberFormat="1" applyFont="1" applyFill="1"/>
    <xf numFmtId="9" fontId="137" fillId="5" borderId="0" xfId="4" applyFont="1" applyFill="1" applyAlignment="1">
      <alignment horizontal="center"/>
    </xf>
    <xf numFmtId="9" fontId="137" fillId="12" borderId="0" xfId="4" applyFont="1" applyFill="1" applyAlignment="1">
      <alignment horizontal="center"/>
    </xf>
    <xf numFmtId="9" fontId="143" fillId="5" borderId="0" xfId="4" applyFont="1" applyFill="1" applyAlignment="1">
      <alignment horizontal="center"/>
    </xf>
    <xf numFmtId="191" fontId="142" fillId="12" borderId="0" xfId="4" applyNumberFormat="1" applyFont="1" applyFill="1" applyAlignment="1">
      <alignment horizontal="right"/>
    </xf>
    <xf numFmtId="191" fontId="167" fillId="12" borderId="0" xfId="4" applyNumberFormat="1" applyFont="1" applyFill="1" applyAlignment="1">
      <alignment horizontal="right"/>
    </xf>
    <xf numFmtId="179" fontId="29" fillId="4" borderId="0" xfId="0" applyNumberFormat="1" applyFont="1" applyFill="1"/>
    <xf numFmtId="0" fontId="133" fillId="29" borderId="0" xfId="0" applyFont="1" applyFill="1" applyAlignment="1">
      <alignment horizontal="center" vertical="center"/>
    </xf>
    <xf numFmtId="0" fontId="130" fillId="0" borderId="0" xfId="0" applyFont="1" applyAlignment="1">
      <alignment horizontal="center" vertical="center"/>
    </xf>
    <xf numFmtId="10" fontId="130" fillId="0" borderId="0" xfId="0" applyNumberFormat="1" applyFont="1" applyAlignment="1">
      <alignment horizontal="center" vertical="center"/>
    </xf>
    <xf numFmtId="0" fontId="130" fillId="0" borderId="0" xfId="0" applyFont="1" applyAlignment="1">
      <alignment horizontal="left" vertical="center"/>
    </xf>
    <xf numFmtId="0" fontId="131" fillId="0" borderId="0" xfId="0" applyFont="1" applyAlignment="1">
      <alignment horizontal="left" vertical="center"/>
    </xf>
    <xf numFmtId="178" fontId="23" fillId="4" borderId="0" xfId="2" applyNumberFormat="1" applyFont="1" applyFill="1" applyBorder="1"/>
    <xf numFmtId="0" fontId="26" fillId="3" borderId="15" xfId="0" applyFont="1" applyFill="1" applyBorder="1"/>
    <xf numFmtId="38" fontId="28" fillId="0" borderId="39" xfId="3" applyNumberFormat="1" applyFont="1" applyFill="1" applyBorder="1" applyAlignment="1"/>
    <xf numFmtId="0" fontId="168" fillId="0" borderId="0" xfId="0" applyFont="1" applyAlignment="1">
      <alignment vertical="center"/>
    </xf>
    <xf numFmtId="179" fontId="90" fillId="0" borderId="0" xfId="0" applyNumberFormat="1" applyFont="1"/>
    <xf numFmtId="3" fontId="169" fillId="5" borderId="14" xfId="0" applyNumberFormat="1" applyFont="1" applyFill="1" applyBorder="1" applyAlignment="1">
      <alignment wrapText="1"/>
    </xf>
    <xf numFmtId="3" fontId="29" fillId="0" borderId="6" xfId="0" applyNumberFormat="1" applyFont="1" applyBorder="1"/>
    <xf numFmtId="38" fontId="28" fillId="0" borderId="40" xfId="3" applyNumberFormat="1" applyFont="1" applyFill="1" applyBorder="1" applyAlignment="1"/>
    <xf numFmtId="38" fontId="26" fillId="4" borderId="6" xfId="0" applyNumberFormat="1" applyFont="1" applyFill="1" applyBorder="1"/>
    <xf numFmtId="178" fontId="23" fillId="0" borderId="41" xfId="2" applyNumberFormat="1" applyFont="1" applyFill="1" applyBorder="1"/>
    <xf numFmtId="0" fontId="0" fillId="4" borderId="6" xfId="0" applyFill="1" applyBorder="1"/>
    <xf numFmtId="14" fontId="0" fillId="0" borderId="0" xfId="0" applyNumberFormat="1"/>
    <xf numFmtId="183" fontId="0" fillId="0" borderId="15" xfId="0" applyNumberFormat="1" applyBorder="1"/>
    <xf numFmtId="183" fontId="0" fillId="3" borderId="0" xfId="0" applyNumberFormat="1" applyFill="1"/>
    <xf numFmtId="0" fontId="2" fillId="2" borderId="0" xfId="0" applyFont="1" applyFill="1" applyAlignment="1">
      <alignment horizontal="left" vertical="center" wrapText="1"/>
    </xf>
    <xf numFmtId="183" fontId="73" fillId="0" borderId="15" xfId="0" applyNumberFormat="1" applyFont="1" applyBorder="1"/>
    <xf numFmtId="0" fontId="73" fillId="4" borderId="0" xfId="0" applyFont="1" applyFill="1"/>
    <xf numFmtId="0" fontId="141" fillId="0" borderId="18" xfId="0" applyFont="1" applyBorder="1"/>
    <xf numFmtId="0" fontId="139" fillId="0" borderId="18" xfId="0" applyFont="1" applyBorder="1" applyAlignment="1">
      <alignment horizontal="center"/>
    </xf>
    <xf numFmtId="0" fontId="137" fillId="0" borderId="18" xfId="0" applyFont="1" applyBorder="1" applyAlignment="1">
      <alignment horizontal="center"/>
    </xf>
    <xf numFmtId="0" fontId="139" fillId="0" borderId="0" xfId="0" applyFont="1"/>
    <xf numFmtId="0" fontId="123" fillId="0" borderId="0" xfId="0" applyFont="1"/>
    <xf numFmtId="176" fontId="0" fillId="0" borderId="32" xfId="0" applyNumberFormat="1" applyBorder="1"/>
    <xf numFmtId="176" fontId="29" fillId="0" borderId="0" xfId="0" applyNumberFormat="1" applyFont="1" applyAlignment="1">
      <alignment horizontal="right"/>
    </xf>
    <xf numFmtId="178" fontId="24" fillId="0" borderId="0" xfId="4" applyNumberFormat="1" applyFont="1" applyFill="1" applyAlignment="1"/>
    <xf numFmtId="178" fontId="53" fillId="0" borderId="9" xfId="0" applyNumberFormat="1" applyFont="1" applyBorder="1" applyAlignment="1">
      <alignment horizontal="center"/>
    </xf>
    <xf numFmtId="176" fontId="31" fillId="0" borderId="0" xfId="0" applyNumberFormat="1" applyFont="1" applyAlignment="1">
      <alignment horizontal="center"/>
    </xf>
    <xf numFmtId="176" fontId="53" fillId="0" borderId="9" xfId="0" applyNumberFormat="1" applyFont="1" applyBorder="1"/>
    <xf numFmtId="176" fontId="49" fillId="0" borderId="0" xfId="0" applyNumberFormat="1" applyFont="1" applyAlignment="1">
      <alignment horizontal="center"/>
    </xf>
    <xf numFmtId="176" fontId="40" fillId="0" borderId="0" xfId="0" quotePrefix="1" applyNumberFormat="1" applyFont="1" applyAlignment="1">
      <alignment horizontal="right"/>
    </xf>
    <xf numFmtId="183" fontId="29" fillId="0" borderId="0" xfId="4" applyNumberFormat="1" applyFont="1" applyFill="1" applyAlignment="1"/>
    <xf numFmtId="176" fontId="49" fillId="12" borderId="20" xfId="0" applyNumberFormat="1" applyFont="1" applyFill="1" applyBorder="1" applyAlignment="1">
      <alignment horizontal="center"/>
    </xf>
    <xf numFmtId="176" fontId="31" fillId="0" borderId="20" xfId="0" applyNumberFormat="1" applyFont="1" applyBorder="1" applyAlignment="1">
      <alignment horizontal="center"/>
    </xf>
    <xf numFmtId="176" fontId="53" fillId="0" borderId="42" xfId="0" applyNumberFormat="1" applyFont="1" applyBorder="1"/>
    <xf numFmtId="0" fontId="32" fillId="0" borderId="0" xfId="0" applyFont="1"/>
    <xf numFmtId="176" fontId="40" fillId="0" borderId="0" xfId="0" applyNumberFormat="1" applyFont="1" applyAlignment="1">
      <alignment horizontal="center"/>
    </xf>
    <xf numFmtId="176" fontId="0" fillId="0" borderId="0" xfId="0" applyNumberFormat="1" applyAlignment="1">
      <alignment horizontal="center"/>
    </xf>
    <xf numFmtId="0" fontId="171" fillId="0" borderId="16" xfId="2" applyFont="1" applyFill="1"/>
    <xf numFmtId="176" fontId="29" fillId="0" borderId="0" xfId="0" quotePrefix="1" applyNumberFormat="1" applyFont="1" applyAlignment="1">
      <alignment horizontal="right"/>
    </xf>
    <xf numFmtId="185" fontId="31" fillId="0" borderId="0" xfId="0" applyNumberFormat="1" applyFont="1" applyAlignment="1">
      <alignment horizontal="center"/>
    </xf>
    <xf numFmtId="176" fontId="24" fillId="0" borderId="0" xfId="0" applyNumberFormat="1" applyFont="1" applyAlignment="1">
      <alignment horizontal="right"/>
    </xf>
    <xf numFmtId="176" fontId="170" fillId="12" borderId="0" xfId="0" applyNumberFormat="1" applyFont="1" applyFill="1" applyAlignment="1">
      <alignment horizontal="right"/>
    </xf>
    <xf numFmtId="176" fontId="170" fillId="12" borderId="0" xfId="0" applyNumberFormat="1" applyFont="1" applyFill="1" applyAlignment="1">
      <alignment horizontal="right" vertical="center"/>
    </xf>
    <xf numFmtId="0" fontId="134" fillId="12" borderId="20" xfId="0" applyFont="1" applyFill="1" applyBorder="1"/>
    <xf numFmtId="176" fontId="29" fillId="5" borderId="20" xfId="0" applyNumberFormat="1" applyFont="1" applyFill="1" applyBorder="1" applyAlignment="1">
      <alignment horizontal="right"/>
    </xf>
    <xf numFmtId="185" fontId="31" fillId="0" borderId="20" xfId="0" applyNumberFormat="1" applyFont="1" applyBorder="1" applyAlignment="1">
      <alignment horizontal="center"/>
    </xf>
    <xf numFmtId="0" fontId="151" fillId="12" borderId="20" xfId="0" applyFont="1" applyFill="1" applyBorder="1"/>
    <xf numFmtId="0" fontId="15" fillId="30" borderId="0" xfId="0" applyFont="1" applyFill="1"/>
    <xf numFmtId="0" fontId="172" fillId="30" borderId="0" xfId="0" applyFont="1" applyFill="1"/>
    <xf numFmtId="176" fontId="170" fillId="12" borderId="20" xfId="0" applyNumberFormat="1" applyFont="1" applyFill="1" applyBorder="1" applyAlignment="1">
      <alignment horizontal="right"/>
    </xf>
    <xf numFmtId="176" fontId="170" fillId="12" borderId="20" xfId="0" applyNumberFormat="1" applyFont="1" applyFill="1" applyBorder="1" applyAlignment="1">
      <alignment horizontal="right" vertical="center"/>
    </xf>
    <xf numFmtId="185" fontId="31" fillId="0" borderId="0" xfId="0" applyNumberFormat="1" applyFont="1" applyAlignment="1">
      <alignment horizontal="right"/>
    </xf>
    <xf numFmtId="176" fontId="24" fillId="0" borderId="20" xfId="0" applyNumberFormat="1" applyFont="1" applyBorder="1"/>
    <xf numFmtId="0" fontId="40" fillId="0" borderId="20" xfId="0" applyFont="1" applyBorder="1"/>
    <xf numFmtId="0" fontId="54" fillId="0" borderId="0" xfId="0" applyFont="1"/>
    <xf numFmtId="0" fontId="50" fillId="0" borderId="0" xfId="0" applyFont="1"/>
    <xf numFmtId="0" fontId="39" fillId="0" borderId="0" xfId="7" applyFill="1" applyAlignment="1"/>
    <xf numFmtId="0" fontId="74" fillId="4" borderId="0" xfId="0" applyFont="1" applyFill="1" applyAlignment="1">
      <alignment vertical="center"/>
    </xf>
    <xf numFmtId="185" fontId="129" fillId="0" borderId="0" xfId="0" applyNumberFormat="1" applyFont="1" applyAlignment="1">
      <alignment horizontal="center"/>
    </xf>
    <xf numFmtId="178" fontId="125" fillId="0" borderId="0" xfId="4" applyNumberFormat="1" applyFont="1" applyFill="1" applyAlignment="1"/>
    <xf numFmtId="176" fontId="173" fillId="12" borderId="0" xfId="0" applyNumberFormat="1" applyFont="1" applyFill="1" applyAlignment="1">
      <alignment horizontal="right" vertical="center"/>
    </xf>
    <xf numFmtId="0" fontId="134" fillId="0" borderId="0" xfId="0" applyFont="1"/>
    <xf numFmtId="178" fontId="174" fillId="0" borderId="0" xfId="4" applyNumberFormat="1" applyFont="1" applyFill="1" applyAlignment="1"/>
    <xf numFmtId="185" fontId="129" fillId="0" borderId="20" xfId="0" applyNumberFormat="1" applyFont="1" applyBorder="1" applyAlignment="1">
      <alignment horizontal="center"/>
    </xf>
    <xf numFmtId="2" fontId="16" fillId="0" borderId="0" xfId="0" applyNumberFormat="1" applyFont="1"/>
    <xf numFmtId="0" fontId="11" fillId="2" borderId="1" xfId="7" applyNumberFormat="1" applyFont="1" applyFill="1" applyBorder="1" applyAlignment="1">
      <alignment horizontal="left" vertical="top" wrapText="1"/>
    </xf>
    <xf numFmtId="0" fontId="11" fillId="2" borderId="1" xfId="7" applyNumberFormat="1" applyFont="1" applyFill="1" applyBorder="1" applyAlignment="1">
      <alignment horizontal="right" vertical="top" wrapText="1"/>
    </xf>
    <xf numFmtId="0" fontId="0" fillId="31" borderId="0" xfId="0" applyFill="1"/>
    <xf numFmtId="0" fontId="16" fillId="0" borderId="0" xfId="0" applyFont="1" applyAlignment="1">
      <alignment horizontal="left" indent="1"/>
    </xf>
    <xf numFmtId="0" fontId="40" fillId="0" borderId="0" xfId="0" applyFont="1" applyAlignment="1">
      <alignment horizontal="left" indent="1"/>
    </xf>
    <xf numFmtId="0" fontId="40" fillId="0" borderId="0" xfId="0" applyFont="1" applyAlignment="1">
      <alignment horizontal="left"/>
    </xf>
    <xf numFmtId="9" fontId="54" fillId="0" borderId="0" xfId="0" applyNumberFormat="1" applyFont="1"/>
    <xf numFmtId="185" fontId="24" fillId="0" borderId="20" xfId="0" applyNumberFormat="1" applyFont="1" applyBorder="1"/>
    <xf numFmtId="14" fontId="37" fillId="0" borderId="0" xfId="0" applyNumberFormat="1" applyFont="1"/>
    <xf numFmtId="0" fontId="34" fillId="0" borderId="0" xfId="0" applyFont="1" applyAlignment="1">
      <alignment horizontal="left" vertical="center"/>
    </xf>
    <xf numFmtId="0" fontId="79" fillId="5" borderId="0" xfId="0" applyFont="1" applyFill="1"/>
    <xf numFmtId="0" fontId="64" fillId="12" borderId="0" xfId="0" applyFont="1" applyFill="1" applyAlignment="1">
      <alignment horizontal="left" indent="1"/>
    </xf>
    <xf numFmtId="0" fontId="37" fillId="0" borderId="0" xfId="0" applyFont="1"/>
    <xf numFmtId="0" fontId="175" fillId="0" borderId="0" xfId="0" applyFont="1"/>
    <xf numFmtId="38" fontId="175" fillId="0" borderId="0" xfId="0" applyNumberFormat="1" applyFont="1"/>
    <xf numFmtId="38" fontId="175" fillId="4" borderId="0" xfId="0" applyNumberFormat="1" applyFont="1" applyFill="1"/>
    <xf numFmtId="1" fontId="24" fillId="0" borderId="0" xfId="0" applyNumberFormat="1" applyFont="1"/>
    <xf numFmtId="0" fontId="176" fillId="32" borderId="0" xfId="0" applyFont="1" applyFill="1"/>
    <xf numFmtId="0" fontId="0" fillId="32" borderId="0" xfId="0" applyFill="1"/>
    <xf numFmtId="184" fontId="0" fillId="0" borderId="0" xfId="0" applyNumberFormat="1" applyAlignment="1">
      <alignment horizontal="left" vertical="top"/>
    </xf>
    <xf numFmtId="38" fontId="30" fillId="0" borderId="0" xfId="0" applyNumberFormat="1" applyFont="1"/>
    <xf numFmtId="4" fontId="30" fillId="0" borderId="0" xfId="0" applyNumberFormat="1" applyFont="1"/>
    <xf numFmtId="192" fontId="0" fillId="0" borderId="0" xfId="0" applyNumberFormat="1"/>
    <xf numFmtId="193" fontId="0" fillId="0" borderId="0" xfId="0" applyNumberFormat="1"/>
    <xf numFmtId="194" fontId="0" fillId="0" borderId="0" xfId="0" applyNumberFormat="1"/>
    <xf numFmtId="1" fontId="24" fillId="0" borderId="6" xfId="0" applyNumberFormat="1" applyFont="1" applyBorder="1"/>
    <xf numFmtId="9" fontId="0" fillId="3" borderId="0" xfId="0" applyNumberFormat="1" applyFill="1"/>
    <xf numFmtId="193" fontId="175" fillId="0" borderId="0" xfId="0" applyNumberFormat="1" applyFont="1"/>
    <xf numFmtId="193" fontId="24" fillId="0" borderId="0" xfId="0" applyNumberFormat="1" applyFont="1"/>
    <xf numFmtId="0" fontId="88" fillId="32" borderId="0" xfId="0" applyFont="1" applyFill="1" applyAlignment="1">
      <alignment wrapText="1"/>
    </xf>
    <xf numFmtId="193" fontId="30" fillId="0" borderId="0" xfId="0" applyNumberFormat="1" applyFont="1"/>
    <xf numFmtId="2" fontId="30" fillId="0" borderId="0" xfId="0" applyNumberFormat="1" applyFont="1"/>
    <xf numFmtId="193" fontId="73" fillId="0" borderId="0" xfId="0" applyNumberFormat="1" applyFont="1"/>
    <xf numFmtId="178" fontId="125" fillId="0" borderId="0" xfId="4" applyNumberFormat="1" applyFont="1" applyAlignment="1"/>
    <xf numFmtId="178" fontId="24" fillId="0" borderId="0" xfId="4" applyNumberFormat="1" applyFont="1" applyAlignment="1"/>
    <xf numFmtId="183" fontId="29" fillId="0" borderId="0" xfId="4" applyNumberFormat="1" applyFont="1" applyAlignment="1"/>
    <xf numFmtId="178" fontId="174" fillId="0" borderId="0" xfId="4" applyNumberFormat="1" applyFont="1" applyAlignment="1"/>
    <xf numFmtId="0" fontId="39" fillId="0" borderId="0" xfId="7" applyAlignment="1"/>
    <xf numFmtId="176" fontId="40" fillId="0" borderId="0" xfId="0" applyNumberFormat="1" applyFont="1" applyAlignment="1">
      <alignment horizontal="right"/>
    </xf>
    <xf numFmtId="0" fontId="24" fillId="0" borderId="20" xfId="0" applyFont="1" applyBorder="1"/>
    <xf numFmtId="0" fontId="24" fillId="0" borderId="6" xfId="0" applyFont="1" applyBorder="1"/>
    <xf numFmtId="1" fontId="24" fillId="0" borderId="20" xfId="0" applyNumberFormat="1" applyFont="1" applyBorder="1"/>
    <xf numFmtId="0" fontId="174" fillId="0" borderId="6" xfId="0" applyFont="1" applyBorder="1"/>
    <xf numFmtId="0" fontId="174" fillId="0" borderId="0" xfId="0" applyFont="1"/>
    <xf numFmtId="0" fontId="0" fillId="33" borderId="0" xfId="0" applyFill="1"/>
    <xf numFmtId="38" fontId="177" fillId="0" borderId="0" xfId="0" applyNumberFormat="1" applyFont="1"/>
    <xf numFmtId="38" fontId="29" fillId="0" borderId="6" xfId="0" applyNumberFormat="1" applyFont="1" applyBorder="1"/>
    <xf numFmtId="0" fontId="178" fillId="0" borderId="0" xfId="0" applyFont="1"/>
    <xf numFmtId="14" fontId="178" fillId="0" borderId="0" xfId="0" applyNumberFormat="1" applyFont="1"/>
    <xf numFmtId="0" fontId="179" fillId="0" borderId="0" xfId="0" applyFont="1"/>
    <xf numFmtId="179" fontId="24" fillId="0" borderId="6" xfId="0" applyNumberFormat="1" applyFont="1" applyBorder="1"/>
    <xf numFmtId="179" fontId="24" fillId="0" borderId="20" xfId="0" applyNumberFormat="1" applyFont="1" applyBorder="1"/>
    <xf numFmtId="38" fontId="24" fillId="32" borderId="0" xfId="0" applyNumberFormat="1" applyFont="1" applyFill="1"/>
    <xf numFmtId="0" fontId="20" fillId="0" borderId="8" xfId="0" applyFont="1" applyBorder="1" applyAlignment="1">
      <alignment horizontal="center" vertical="center"/>
    </xf>
    <xf numFmtId="3" fontId="178" fillId="0" borderId="0" xfId="0" applyNumberFormat="1" applyFont="1"/>
    <xf numFmtId="0" fontId="26" fillId="4" borderId="20" xfId="0" applyFont="1" applyFill="1" applyBorder="1"/>
    <xf numFmtId="182" fontId="29" fillId="0" borderId="20" xfId="0" applyNumberFormat="1" applyFont="1" applyBorder="1"/>
    <xf numFmtId="0" fontId="0" fillId="0" borderId="26" xfId="0" applyBorder="1" applyAlignment="1">
      <alignment vertical="center"/>
    </xf>
    <xf numFmtId="183" fontId="73" fillId="0" borderId="6" xfId="0" applyNumberFormat="1" applyFont="1" applyBorder="1"/>
    <xf numFmtId="0" fontId="181" fillId="27" borderId="0" xfId="0" applyFont="1" applyFill="1" applyAlignment="1">
      <alignment wrapText="1"/>
    </xf>
    <xf numFmtId="0" fontId="0" fillId="27" borderId="0" xfId="0" applyFill="1"/>
    <xf numFmtId="198" fontId="20" fillId="0" borderId="0" xfId="0" applyNumberFormat="1" applyFont="1"/>
    <xf numFmtId="198" fontId="0" fillId="0" borderId="0" xfId="0" applyNumberFormat="1"/>
    <xf numFmtId="0" fontId="182" fillId="0" borderId="0" xfId="0" quotePrefix="1" applyFont="1"/>
    <xf numFmtId="0" fontId="183" fillId="0" borderId="0" xfId="0" quotePrefix="1" applyFont="1"/>
    <xf numFmtId="183" fontId="132" fillId="0" borderId="0" xfId="0" applyNumberFormat="1" applyFont="1" applyAlignment="1">
      <alignment horizontal="center" vertical="center"/>
    </xf>
    <xf numFmtId="183" fontId="184" fillId="0" borderId="0" xfId="0" applyNumberFormat="1" applyFont="1" applyAlignment="1">
      <alignment horizontal="center" vertical="center"/>
    </xf>
    <xf numFmtId="10" fontId="183" fillId="0" borderId="0" xfId="0" quotePrefix="1" applyNumberFormat="1" applyFont="1"/>
    <xf numFmtId="10" fontId="178" fillId="0" borderId="0" xfId="0" applyNumberFormat="1" applyFont="1"/>
    <xf numFmtId="0" fontId="2" fillId="2" borderId="1" xfId="0" applyFont="1" applyFill="1" applyBorder="1" applyAlignment="1">
      <alignment wrapText="1"/>
    </xf>
    <xf numFmtId="0" fontId="2" fillId="34" borderId="1" xfId="0" applyFont="1" applyFill="1" applyBorder="1" applyAlignment="1">
      <alignment wrapText="1"/>
    </xf>
    <xf numFmtId="14" fontId="37" fillId="0" borderId="0" xfId="0" applyNumberFormat="1" applyFont="1" applyAlignment="1">
      <alignment wrapText="1"/>
    </xf>
    <xf numFmtId="4" fontId="37" fillId="0" borderId="0" xfId="0" applyNumberFormat="1" applyFont="1" applyAlignment="1">
      <alignment wrapText="1"/>
    </xf>
    <xf numFmtId="0" fontId="2" fillId="35" borderId="1" xfId="0" applyFont="1" applyFill="1" applyBorder="1" applyAlignment="1">
      <alignment wrapText="1"/>
    </xf>
    <xf numFmtId="0" fontId="2" fillId="35" borderId="7" xfId="0" applyFont="1" applyFill="1" applyBorder="1" applyAlignment="1">
      <alignment wrapText="1"/>
    </xf>
    <xf numFmtId="183" fontId="0" fillId="0" borderId="0" xfId="12" applyNumberFormat="1" applyFont="1" applyAlignment="1">
      <alignment horizontal="right"/>
    </xf>
    <xf numFmtId="185" fontId="0" fillId="0" borderId="0" xfId="12" applyNumberFormat="1" applyFont="1" applyAlignment="1"/>
    <xf numFmtId="185" fontId="24" fillId="0" borderId="0" xfId="12" applyNumberFormat="1" applyFont="1" applyFill="1" applyAlignment="1"/>
    <xf numFmtId="177" fontId="24" fillId="0" borderId="0" xfId="12" applyFont="1" applyAlignment="1"/>
    <xf numFmtId="185" fontId="29" fillId="0" borderId="0" xfId="12" applyNumberFormat="1" applyFont="1" applyAlignment="1"/>
    <xf numFmtId="185" fontId="24" fillId="0" borderId="0" xfId="12" applyNumberFormat="1" applyFont="1" applyAlignment="1"/>
    <xf numFmtId="185" fontId="26" fillId="0" borderId="0" xfId="12" applyNumberFormat="1" applyFont="1" applyAlignment="1"/>
    <xf numFmtId="178" fontId="73" fillId="4" borderId="0" xfId="0" applyNumberFormat="1" applyFont="1" applyFill="1"/>
    <xf numFmtId="178" fontId="24" fillId="4" borderId="0" xfId="0" applyNumberFormat="1" applyFont="1" applyFill="1"/>
    <xf numFmtId="185" fontId="26" fillId="0" borderId="0" xfId="12" applyNumberFormat="1" applyFont="1" applyFill="1" applyAlignment="1"/>
    <xf numFmtId="185" fontId="29" fillId="0" borderId="0" xfId="12" applyNumberFormat="1" applyFont="1" applyFill="1" applyAlignment="1"/>
    <xf numFmtId="3" fontId="29" fillId="4" borderId="0" xfId="0" applyNumberFormat="1" applyFont="1" applyFill="1"/>
    <xf numFmtId="0" fontId="2" fillId="0" borderId="0" xfId="0" applyFont="1" applyAlignment="1">
      <alignment horizontal="center" vertical="center" wrapText="1"/>
    </xf>
    <xf numFmtId="0" fontId="2" fillId="0" borderId="0" xfId="0" applyFont="1" applyAlignment="1">
      <alignment horizontal="left" vertical="center" wrapText="1"/>
    </xf>
    <xf numFmtId="0" fontId="117" fillId="0" borderId="0" xfId="0" applyFont="1" applyAlignment="1">
      <alignment horizontal="left" vertical="center" wrapText="1"/>
    </xf>
    <xf numFmtId="0" fontId="0" fillId="0" borderId="6" xfId="0" applyBorder="1" applyAlignment="1">
      <alignment vertical="center"/>
    </xf>
    <xf numFmtId="9" fontId="3" fillId="0" borderId="6" xfId="0" applyNumberFormat="1" applyFont="1" applyBorder="1"/>
    <xf numFmtId="38" fontId="26" fillId="36" borderId="0" xfId="0" applyNumberFormat="1" applyFont="1" applyFill="1"/>
    <xf numFmtId="38" fontId="26" fillId="36" borderId="6" xfId="0" applyNumberFormat="1" applyFont="1" applyFill="1" applyBorder="1"/>
    <xf numFmtId="0" fontId="3" fillId="0" borderId="26" xfId="0" applyFont="1" applyBorder="1"/>
    <xf numFmtId="179" fontId="74" fillId="0" borderId="0" xfId="0" applyNumberFormat="1" applyFont="1" applyAlignment="1">
      <alignment vertical="center"/>
    </xf>
    <xf numFmtId="179" fontId="85" fillId="0" borderId="0" xfId="0" applyNumberFormat="1" applyFont="1"/>
    <xf numFmtId="179" fontId="121" fillId="0" borderId="0" xfId="0" applyNumberFormat="1" applyFont="1"/>
    <xf numFmtId="185" fontId="26" fillId="0" borderId="12" xfId="12" applyNumberFormat="1" applyFont="1" applyFill="1" applyBorder="1" applyAlignment="1"/>
    <xf numFmtId="185" fontId="0" fillId="0" borderId="12" xfId="0" applyNumberFormat="1" applyBorder="1"/>
    <xf numFmtId="185" fontId="0" fillId="0" borderId="0" xfId="0" applyNumberFormat="1"/>
    <xf numFmtId="3" fontId="180" fillId="0" borderId="0" xfId="0" applyNumberFormat="1" applyFont="1"/>
    <xf numFmtId="183" fontId="24" fillId="0" borderId="6" xfId="0" applyNumberFormat="1" applyFont="1" applyBorder="1"/>
    <xf numFmtId="178" fontId="24" fillId="31" borderId="0" xfId="0" applyNumberFormat="1" applyFont="1" applyFill="1"/>
    <xf numFmtId="185" fontId="92" fillId="31" borderId="0" xfId="12" applyNumberFormat="1" applyFont="1" applyFill="1" applyAlignment="1"/>
    <xf numFmtId="185" fontId="89" fillId="0" borderId="0" xfId="12" applyNumberFormat="1" applyFont="1" applyAlignment="1"/>
    <xf numFmtId="185" fontId="93" fillId="0" borderId="0" xfId="12" applyNumberFormat="1" applyFont="1" applyAlignment="1"/>
    <xf numFmtId="185" fontId="102" fillId="0" borderId="0" xfId="12" applyNumberFormat="1" applyFont="1" applyAlignment="1"/>
    <xf numFmtId="178" fontId="89" fillId="0" borderId="0" xfId="4" applyNumberFormat="1" applyFont="1" applyAlignment="1"/>
    <xf numFmtId="178" fontId="93" fillId="0" borderId="0" xfId="4" applyNumberFormat="1" applyFont="1" applyAlignment="1"/>
    <xf numFmtId="185" fontId="92" fillId="31" borderId="11" xfId="12" applyNumberFormat="1" applyFont="1" applyFill="1" applyBorder="1" applyAlignment="1"/>
    <xf numFmtId="178" fontId="102" fillId="0" borderId="0" xfId="4" applyNumberFormat="1" applyFont="1" applyBorder="1" applyAlignment="1"/>
    <xf numFmtId="178" fontId="102" fillId="4" borderId="0" xfId="4" applyNumberFormat="1" applyFont="1" applyFill="1" applyAlignment="1"/>
    <xf numFmtId="185" fontId="94" fillId="0" borderId="0" xfId="12" applyNumberFormat="1" applyFont="1" applyAlignment="1"/>
    <xf numFmtId="185" fontId="93" fillId="4" borderId="0" xfId="12" applyNumberFormat="1" applyFont="1" applyFill="1" applyAlignment="1"/>
    <xf numFmtId="185" fontId="93" fillId="31" borderId="0" xfId="12" applyNumberFormat="1" applyFont="1" applyFill="1" applyAlignment="1"/>
    <xf numFmtId="10" fontId="89" fillId="0" borderId="0" xfId="4" applyNumberFormat="1" applyFont="1" applyAlignment="1"/>
    <xf numFmtId="178" fontId="103" fillId="0" borderId="0" xfId="4" applyNumberFormat="1" applyFont="1" applyAlignment="1"/>
    <xf numFmtId="185" fontId="89" fillId="0" borderId="0" xfId="12" applyNumberFormat="1" applyFont="1" applyFill="1" applyAlignment="1"/>
    <xf numFmtId="185" fontId="102" fillId="0" borderId="0" xfId="12" applyNumberFormat="1" applyFont="1" applyFill="1" applyAlignment="1"/>
    <xf numFmtId="0" fontId="89" fillId="0" borderId="11" xfId="0" applyFont="1" applyBorder="1"/>
    <xf numFmtId="185" fontId="24" fillId="4" borderId="0" xfId="12" applyNumberFormat="1" applyFont="1" applyFill="1" applyAlignment="1"/>
    <xf numFmtId="179" fontId="24" fillId="4" borderId="0" xfId="0" applyNumberFormat="1" applyFont="1" applyFill="1"/>
    <xf numFmtId="2" fontId="24" fillId="4" borderId="0" xfId="0" applyNumberFormat="1" applyFont="1" applyFill="1" applyAlignment="1">
      <alignment vertical="center"/>
    </xf>
    <xf numFmtId="0" fontId="89" fillId="12" borderId="0" xfId="0" applyFont="1" applyFill="1"/>
    <xf numFmtId="0" fontId="186" fillId="12" borderId="0" xfId="0" applyFont="1" applyFill="1"/>
    <xf numFmtId="0" fontId="186" fillId="37" borderId="0" xfId="0" applyFont="1" applyFill="1"/>
    <xf numFmtId="0" fontId="186" fillId="33" borderId="0" xfId="0" applyFont="1" applyFill="1"/>
    <xf numFmtId="0" fontId="186" fillId="0" borderId="0" xfId="0" applyFont="1"/>
    <xf numFmtId="0" fontId="187" fillId="38" borderId="0" xfId="0" applyFont="1" applyFill="1"/>
    <xf numFmtId="0" fontId="187" fillId="39" borderId="0" xfId="0" applyFont="1" applyFill="1"/>
    <xf numFmtId="0" fontId="89" fillId="12" borderId="21" xfId="0" applyFont="1" applyFill="1" applyBorder="1"/>
    <xf numFmtId="0" fontId="185" fillId="37" borderId="0" xfId="0" applyFont="1" applyFill="1" applyAlignment="1">
      <alignment horizontal="left"/>
    </xf>
    <xf numFmtId="189" fontId="89" fillId="33" borderId="0" xfId="0" applyNumberFormat="1" applyFont="1" applyFill="1"/>
    <xf numFmtId="189" fontId="89" fillId="37" borderId="0" xfId="0" applyNumberFormat="1" applyFont="1" applyFill="1"/>
    <xf numFmtId="178" fontId="89" fillId="12" borderId="0" xfId="4" applyNumberFormat="1" applyFont="1" applyFill="1" applyAlignment="1"/>
    <xf numFmtId="201" fontId="89" fillId="33" borderId="0" xfId="12" applyNumberFormat="1" applyFont="1" applyFill="1" applyAlignment="1"/>
    <xf numFmtId="178" fontId="89" fillId="12" borderId="0" xfId="4" applyNumberFormat="1" applyFont="1" applyFill="1" applyAlignment="1">
      <alignment horizontal="right"/>
    </xf>
    <xf numFmtId="178" fontId="89" fillId="33" borderId="0" xfId="4" applyNumberFormat="1" applyFont="1" applyFill="1" applyAlignment="1"/>
    <xf numFmtId="178" fontId="89" fillId="12" borderId="0" xfId="4" quotePrefix="1" applyNumberFormat="1" applyFont="1" applyFill="1" applyAlignment="1">
      <alignment horizontal="right"/>
    </xf>
    <xf numFmtId="0" fontId="89" fillId="12" borderId="0" xfId="4" applyNumberFormat="1" applyFont="1" applyFill="1" applyAlignment="1">
      <alignment horizontal="right"/>
    </xf>
    <xf numFmtId="178" fontId="89" fillId="33" borderId="0" xfId="4" applyNumberFormat="1" applyFont="1" applyFill="1" applyAlignment="1">
      <alignment horizontal="right"/>
    </xf>
    <xf numFmtId="189" fontId="89" fillId="33" borderId="0" xfId="0" applyNumberFormat="1" applyFont="1" applyFill="1" applyAlignment="1">
      <alignment horizontal="right"/>
    </xf>
    <xf numFmtId="189" fontId="74" fillId="38" borderId="0" xfId="0" applyNumberFormat="1" applyFont="1" applyFill="1" applyAlignment="1">
      <alignment horizontal="right"/>
    </xf>
    <xf numFmtId="178" fontId="74" fillId="30" borderId="0" xfId="4" applyNumberFormat="1" applyFont="1" applyFill="1" applyAlignment="1">
      <alignment horizontal="right"/>
    </xf>
    <xf numFmtId="0" fontId="89" fillId="12" borderId="0" xfId="4" quotePrefix="1" applyNumberFormat="1" applyFont="1" applyFill="1" applyAlignment="1">
      <alignment horizontal="right"/>
    </xf>
    <xf numFmtId="178" fontId="74" fillId="39" borderId="0" xfId="4" applyNumberFormat="1" applyFont="1" applyFill="1" applyAlignment="1">
      <alignment horizontal="right"/>
    </xf>
    <xf numFmtId="0" fontId="74" fillId="30" borderId="0" xfId="4" applyNumberFormat="1" applyFont="1" applyFill="1" applyAlignment="1">
      <alignment horizontal="right"/>
    </xf>
    <xf numFmtId="0" fontId="74" fillId="30" borderId="0" xfId="4" quotePrefix="1" applyNumberFormat="1" applyFont="1" applyFill="1" applyAlignment="1">
      <alignment horizontal="right"/>
    </xf>
    <xf numFmtId="2" fontId="74" fillId="39" borderId="0" xfId="0" applyNumberFormat="1" applyFont="1" applyFill="1" applyAlignment="1">
      <alignment horizontal="right"/>
    </xf>
    <xf numFmtId="2" fontId="74" fillId="39" borderId="0" xfId="0" applyNumberFormat="1" applyFont="1" applyFill="1" applyAlignment="1">
      <alignment horizontal="center"/>
    </xf>
    <xf numFmtId="178" fontId="74" fillId="30" borderId="0" xfId="4" applyNumberFormat="1" applyFont="1" applyFill="1" applyAlignment="1">
      <alignment horizontal="center"/>
    </xf>
    <xf numFmtId="178" fontId="74" fillId="40" borderId="21" xfId="4" applyNumberFormat="1" applyFont="1" applyFill="1" applyBorder="1" applyAlignment="1">
      <alignment horizontal="center"/>
    </xf>
    <xf numFmtId="10" fontId="0" fillId="0" borderId="0" xfId="4" applyNumberFormat="1" applyFont="1" applyAlignment="1"/>
    <xf numFmtId="10" fontId="0" fillId="4" borderId="0" xfId="4" applyNumberFormat="1" applyFont="1" applyFill="1" applyAlignment="1"/>
    <xf numFmtId="177" fontId="0" fillId="0" borderId="0" xfId="12" applyFont="1" applyAlignment="1"/>
    <xf numFmtId="177" fontId="0" fillId="0" borderId="0" xfId="0" applyNumberFormat="1"/>
    <xf numFmtId="185" fontId="0" fillId="4" borderId="0" xfId="12" applyNumberFormat="1" applyFont="1" applyFill="1" applyAlignment="1"/>
    <xf numFmtId="185" fontId="26" fillId="4" borderId="0" xfId="12" applyNumberFormat="1" applyFont="1" applyFill="1" applyAlignment="1"/>
    <xf numFmtId="185" fontId="0" fillId="4" borderId="0" xfId="0" applyNumberFormat="1" applyFill="1"/>
    <xf numFmtId="10" fontId="24" fillId="0" borderId="0" xfId="4" applyNumberFormat="1" applyFont="1" applyAlignment="1"/>
    <xf numFmtId="178" fontId="74" fillId="40" borderId="0" xfId="4" applyNumberFormat="1" applyFont="1" applyFill="1" applyBorder="1" applyAlignment="1">
      <alignment horizontal="center"/>
    </xf>
    <xf numFmtId="0" fontId="185" fillId="12" borderId="0" xfId="0" applyFont="1" applyFill="1" applyAlignment="1">
      <alignment horizontal="left"/>
    </xf>
    <xf numFmtId="189" fontId="89" fillId="12" borderId="0" xfId="0" applyNumberFormat="1" applyFont="1" applyFill="1"/>
    <xf numFmtId="201" fontId="89" fillId="12" borderId="0" xfId="12" applyNumberFormat="1" applyFont="1" applyFill="1" applyAlignment="1"/>
    <xf numFmtId="189" fontId="89" fillId="12" borderId="0" xfId="0" applyNumberFormat="1" applyFont="1" applyFill="1" applyAlignment="1">
      <alignment horizontal="right"/>
    </xf>
    <xf numFmtId="189" fontId="74" fillId="40" borderId="0" xfId="0" applyNumberFormat="1" applyFont="1" applyFill="1" applyAlignment="1">
      <alignment horizontal="right"/>
    </xf>
    <xf numFmtId="178" fontId="74" fillId="40" borderId="0" xfId="4" applyNumberFormat="1" applyFont="1" applyFill="1" applyAlignment="1">
      <alignment horizontal="right"/>
    </xf>
    <xf numFmtId="0" fontId="74" fillId="40" borderId="0" xfId="4" applyNumberFormat="1" applyFont="1" applyFill="1" applyAlignment="1">
      <alignment horizontal="right"/>
    </xf>
    <xf numFmtId="2" fontId="74" fillId="40" borderId="0" xfId="0" applyNumberFormat="1" applyFont="1" applyFill="1" applyAlignment="1">
      <alignment horizontal="right"/>
    </xf>
    <xf numFmtId="2" fontId="74" fillId="40" borderId="0" xfId="0" applyNumberFormat="1" applyFont="1" applyFill="1" applyAlignment="1">
      <alignment horizontal="center"/>
    </xf>
    <xf numFmtId="178" fontId="74" fillId="40" borderId="0" xfId="4" applyNumberFormat="1" applyFont="1" applyFill="1" applyAlignment="1">
      <alignment horizontal="center"/>
    </xf>
    <xf numFmtId="2" fontId="0" fillId="12" borderId="0" xfId="0" applyNumberFormat="1" applyFill="1"/>
    <xf numFmtId="189" fontId="102" fillId="0" borderId="0" xfId="0" applyNumberFormat="1" applyFont="1"/>
    <xf numFmtId="177" fontId="102" fillId="0" borderId="0" xfId="0" applyNumberFormat="1" applyFont="1"/>
    <xf numFmtId="2" fontId="102" fillId="0" borderId="0" xfId="0" applyNumberFormat="1" applyFont="1"/>
    <xf numFmtId="2" fontId="89" fillId="0" borderId="0" xfId="0" applyNumberFormat="1" applyFont="1"/>
    <xf numFmtId="2" fontId="94" fillId="0" borderId="0" xfId="0" applyNumberFormat="1" applyFont="1"/>
    <xf numFmtId="0" fontId="0" fillId="4" borderId="5" xfId="0" applyFill="1" applyBorder="1"/>
    <xf numFmtId="189" fontId="94" fillId="0" borderId="0" xfId="0" applyNumberFormat="1" applyFont="1"/>
    <xf numFmtId="201" fontId="94" fillId="0" borderId="0" xfId="12" applyNumberFormat="1" applyFont="1" applyFill="1" applyAlignment="1"/>
    <xf numFmtId="189" fontId="93" fillId="0" borderId="0" xfId="0" applyNumberFormat="1" applyFont="1"/>
    <xf numFmtId="10" fontId="24" fillId="4" borderId="0" xfId="0" applyNumberFormat="1" applyFont="1" applyFill="1"/>
    <xf numFmtId="9" fontId="3" fillId="4" borderId="6" xfId="0" applyNumberFormat="1" applyFont="1" applyFill="1" applyBorder="1"/>
    <xf numFmtId="38" fontId="24" fillId="4" borderId="6" xfId="0" applyNumberFormat="1" applyFont="1" applyFill="1" applyBorder="1"/>
    <xf numFmtId="189" fontId="0" fillId="4" borderId="0" xfId="0" applyNumberFormat="1" applyFill="1"/>
    <xf numFmtId="0" fontId="3" fillId="4" borderId="5" xfId="0" applyFont="1" applyFill="1" applyBorder="1"/>
    <xf numFmtId="38" fontId="25" fillId="4" borderId="0" xfId="0" applyNumberFormat="1" applyFont="1" applyFill="1"/>
    <xf numFmtId="0" fontId="174" fillId="4" borderId="0" xfId="0" applyFont="1" applyFill="1"/>
    <xf numFmtId="189" fontId="174" fillId="4" borderId="0" xfId="0" applyNumberFormat="1" applyFont="1" applyFill="1"/>
    <xf numFmtId="182" fontId="24" fillId="4" borderId="20" xfId="0" applyNumberFormat="1" applyFont="1" applyFill="1" applyBorder="1"/>
    <xf numFmtId="182" fontId="26" fillId="0" borderId="20" xfId="0" applyNumberFormat="1" applyFont="1" applyBorder="1"/>
    <xf numFmtId="178" fontId="73" fillId="4" borderId="25" xfId="0" applyNumberFormat="1" applyFont="1" applyFill="1" applyBorder="1"/>
    <xf numFmtId="38" fontId="24" fillId="4" borderId="20" xfId="0" applyNumberFormat="1" applyFont="1" applyFill="1" applyBorder="1"/>
    <xf numFmtId="38" fontId="174" fillId="4" borderId="20" xfId="0" applyNumberFormat="1" applyFont="1" applyFill="1" applyBorder="1"/>
    <xf numFmtId="189" fontId="102" fillId="0" borderId="0" xfId="12" applyNumberFormat="1" applyFont="1" applyFill="1" applyAlignment="1"/>
    <xf numFmtId="0" fontId="186" fillId="31" borderId="0" xfId="0" applyFont="1" applyFill="1"/>
    <xf numFmtId="201" fontId="102" fillId="31" borderId="0" xfId="0" applyNumberFormat="1" applyFont="1" applyFill="1"/>
    <xf numFmtId="0" fontId="89" fillId="31" borderId="0" xfId="0" applyFont="1" applyFill="1"/>
    <xf numFmtId="183" fontId="84" fillId="4" borderId="16" xfId="2" applyNumberFormat="1" applyFont="1" applyFill="1" applyAlignment="1">
      <alignment horizontal="right"/>
    </xf>
    <xf numFmtId="177" fontId="94" fillId="0" borderId="0" xfId="12" applyFont="1" applyFill="1" applyAlignment="1"/>
    <xf numFmtId="10" fontId="89" fillId="0" borderId="0" xfId="4" applyNumberFormat="1" applyFont="1" applyFill="1" applyAlignment="1"/>
    <xf numFmtId="10" fontId="74" fillId="40" borderId="0" xfId="4" applyNumberFormat="1" applyFont="1" applyFill="1" applyAlignment="1">
      <alignment horizontal="right"/>
    </xf>
    <xf numFmtId="10" fontId="0" fillId="12" borderId="0" xfId="0" applyNumberFormat="1" applyFill="1"/>
    <xf numFmtId="10" fontId="24" fillId="12" borderId="0" xfId="0" applyNumberFormat="1" applyFont="1" applyFill="1"/>
    <xf numFmtId="10" fontId="0" fillId="12" borderId="0" xfId="4" applyNumberFormat="1" applyFont="1" applyFill="1" applyAlignment="1"/>
    <xf numFmtId="10" fontId="24" fillId="12" borderId="0" xfId="4" applyNumberFormat="1" applyFont="1" applyFill="1" applyAlignment="1"/>
    <xf numFmtId="177" fontId="102" fillId="4" borderId="0" xfId="0" applyNumberFormat="1" applyFont="1" applyFill="1"/>
    <xf numFmtId="201" fontId="89" fillId="31" borderId="0" xfId="0" applyNumberFormat="1" applyFont="1" applyFill="1"/>
    <xf numFmtId="178" fontId="0" fillId="0" borderId="0" xfId="4" applyNumberFormat="1" applyFont="1" applyAlignment="1"/>
    <xf numFmtId="177" fontId="89" fillId="0" borderId="0" xfId="12" applyFont="1" applyAlignment="1"/>
    <xf numFmtId="10" fontId="89" fillId="0" borderId="0" xfId="12" applyNumberFormat="1" applyFont="1" applyAlignment="1"/>
    <xf numFmtId="9" fontId="89" fillId="0" borderId="0" xfId="12" applyNumberFormat="1" applyFont="1" applyAlignment="1"/>
    <xf numFmtId="177" fontId="89" fillId="0" borderId="0" xfId="0" applyNumberFormat="1" applyFont="1"/>
    <xf numFmtId="185" fontId="89" fillId="13" borderId="0" xfId="12" applyNumberFormat="1" applyFont="1" applyFill="1" applyAlignment="1"/>
    <xf numFmtId="178" fontId="89" fillId="13" borderId="0" xfId="4" applyNumberFormat="1" applyFont="1" applyFill="1" applyAlignment="1"/>
    <xf numFmtId="10" fontId="89" fillId="13" borderId="0" xfId="4" applyNumberFormat="1" applyFont="1" applyFill="1" applyAlignment="1"/>
    <xf numFmtId="185" fontId="102" fillId="13" borderId="0" xfId="12" applyNumberFormat="1" applyFont="1" applyFill="1" applyAlignment="1"/>
    <xf numFmtId="178" fontId="102" fillId="13" borderId="0" xfId="4" applyNumberFormat="1" applyFont="1" applyFill="1" applyAlignment="1"/>
    <xf numFmtId="0" fontId="0" fillId="13" borderId="0" xfId="0" applyFill="1"/>
    <xf numFmtId="185" fontId="189" fillId="0" borderId="0" xfId="12" applyNumberFormat="1" applyFont="1" applyAlignment="1"/>
    <xf numFmtId="178" fontId="189" fillId="0" borderId="0" xfId="4" applyNumberFormat="1" applyFont="1" applyAlignment="1"/>
    <xf numFmtId="185" fontId="93" fillId="13" borderId="0" xfId="12" applyNumberFormat="1" applyFont="1" applyFill="1" applyAlignment="1"/>
    <xf numFmtId="185" fontId="92" fillId="41" borderId="0" xfId="12" applyNumberFormat="1" applyFont="1" applyFill="1" applyAlignment="1"/>
    <xf numFmtId="185" fontId="89" fillId="42" borderId="0" xfId="12" applyNumberFormat="1" applyFont="1" applyFill="1" applyAlignment="1"/>
    <xf numFmtId="3" fontId="0" fillId="42" borderId="0" xfId="0" applyNumberFormat="1" applyFill="1"/>
    <xf numFmtId="0" fontId="0" fillId="42" borderId="0" xfId="0" applyFill="1"/>
    <xf numFmtId="0" fontId="190" fillId="42" borderId="11" xfId="0" applyFont="1" applyFill="1" applyBorder="1"/>
    <xf numFmtId="185" fontId="94" fillId="13" borderId="0" xfId="12" applyNumberFormat="1" applyFont="1" applyFill="1" applyAlignment="1"/>
    <xf numFmtId="0" fontId="88" fillId="13" borderId="11" xfId="0" applyFont="1" applyFill="1" applyBorder="1"/>
    <xf numFmtId="185" fontId="92" fillId="13" borderId="0" xfId="12" applyNumberFormat="1" applyFont="1" applyFill="1" applyAlignment="1"/>
    <xf numFmtId="185" fontId="92" fillId="13" borderId="11" xfId="12" applyNumberFormat="1" applyFont="1" applyFill="1" applyBorder="1" applyAlignment="1"/>
    <xf numFmtId="0" fontId="92" fillId="13" borderId="0" xfId="12" applyNumberFormat="1" applyFont="1" applyFill="1" applyAlignment="1">
      <alignment horizontal="left"/>
    </xf>
    <xf numFmtId="0" fontId="92" fillId="13" borderId="0" xfId="0" applyFont="1" applyFill="1" applyAlignment="1">
      <alignment horizontal="left"/>
    </xf>
    <xf numFmtId="0" fontId="20" fillId="13" borderId="0" xfId="0" applyFont="1" applyFill="1"/>
    <xf numFmtId="0" fontId="88" fillId="13" borderId="0" xfId="0" applyFont="1" applyFill="1"/>
    <xf numFmtId="177" fontId="93" fillId="0" borderId="0" xfId="12" applyFont="1" applyAlignment="1"/>
    <xf numFmtId="177" fontId="102" fillId="0" borderId="0" xfId="12" applyFont="1" applyAlignment="1"/>
    <xf numFmtId="185" fontId="92" fillId="13" borderId="43" xfId="12" applyNumberFormat="1" applyFont="1" applyFill="1" applyBorder="1" applyAlignment="1"/>
    <xf numFmtId="3" fontId="93" fillId="0" borderId="43" xfId="0" applyNumberFormat="1" applyFont="1" applyBorder="1"/>
    <xf numFmtId="185" fontId="102" fillId="0" borderId="43" xfId="12" applyNumberFormat="1" applyFont="1" applyBorder="1" applyAlignment="1"/>
    <xf numFmtId="177" fontId="102" fillId="0" borderId="43" xfId="12" applyFont="1" applyBorder="1" applyAlignment="1"/>
    <xf numFmtId="0" fontId="88" fillId="13" borderId="43" xfId="0" applyFont="1" applyFill="1" applyBorder="1"/>
    <xf numFmtId="185" fontId="93" fillId="0" borderId="43" xfId="12" applyNumberFormat="1" applyFont="1" applyBorder="1" applyAlignment="1"/>
    <xf numFmtId="185" fontId="92" fillId="13" borderId="0" xfId="12" applyNumberFormat="1" applyFont="1" applyFill="1" applyBorder="1" applyAlignment="1"/>
    <xf numFmtId="185" fontId="93" fillId="0" borderId="0" xfId="12" applyNumberFormat="1" applyFont="1" applyBorder="1" applyAlignment="1"/>
    <xf numFmtId="185" fontId="102" fillId="0" borderId="0" xfId="12" applyNumberFormat="1" applyFont="1" applyBorder="1" applyAlignment="1"/>
    <xf numFmtId="185" fontId="89" fillId="0" borderId="0" xfId="12" applyNumberFormat="1" applyFont="1" applyBorder="1" applyAlignment="1"/>
    <xf numFmtId="185" fontId="89" fillId="13" borderId="0" xfId="12" applyNumberFormat="1" applyFont="1" applyFill="1" applyBorder="1" applyAlignment="1"/>
    <xf numFmtId="178" fontId="93" fillId="0" borderId="0" xfId="4" applyNumberFormat="1" applyFont="1" applyBorder="1" applyAlignment="1"/>
    <xf numFmtId="177" fontId="93" fillId="0" borderId="0" xfId="12" applyFont="1" applyBorder="1" applyAlignment="1"/>
    <xf numFmtId="185" fontId="89" fillId="42" borderId="0" xfId="12" applyNumberFormat="1" applyFont="1" applyFill="1" applyBorder="1" applyAlignment="1"/>
    <xf numFmtId="0" fontId="92" fillId="13" borderId="0" xfId="12" applyNumberFormat="1" applyFont="1" applyFill="1" applyBorder="1" applyAlignment="1">
      <alignment horizontal="left"/>
    </xf>
    <xf numFmtId="185" fontId="102" fillId="13" borderId="0" xfId="12" applyNumberFormat="1" applyFont="1" applyFill="1" applyBorder="1" applyAlignment="1"/>
    <xf numFmtId="185" fontId="94" fillId="0" borderId="0" xfId="12" applyNumberFormat="1" applyFont="1" applyBorder="1" applyAlignment="1"/>
    <xf numFmtId="185" fontId="94" fillId="13" borderId="0" xfId="12" applyNumberFormat="1" applyFont="1" applyFill="1" applyBorder="1" applyAlignment="1"/>
    <xf numFmtId="185" fontId="93" fillId="4" borderId="0" xfId="12" applyNumberFormat="1" applyFont="1" applyFill="1" applyBorder="1" applyAlignment="1"/>
    <xf numFmtId="0" fontId="92" fillId="13" borderId="43" xfId="0" applyFont="1" applyFill="1" applyBorder="1" applyAlignment="1">
      <alignment horizontal="left"/>
    </xf>
    <xf numFmtId="0" fontId="0" fillId="0" borderId="43" xfId="0" applyBorder="1"/>
    <xf numFmtId="185" fontId="93" fillId="4" borderId="43" xfId="12" applyNumberFormat="1" applyFont="1" applyFill="1" applyBorder="1" applyAlignment="1"/>
    <xf numFmtId="0" fontId="0" fillId="13" borderId="43" xfId="0" applyFill="1" applyBorder="1"/>
    <xf numFmtId="178" fontId="103" fillId="0" borderId="43" xfId="4" applyNumberFormat="1" applyFont="1" applyBorder="1" applyAlignment="1"/>
    <xf numFmtId="178" fontId="102" fillId="4" borderId="43" xfId="4" applyNumberFormat="1" applyFont="1" applyFill="1" applyBorder="1" applyAlignment="1"/>
    <xf numFmtId="178" fontId="102" fillId="13" borderId="43" xfId="4" applyNumberFormat="1" applyFont="1" applyFill="1" applyBorder="1" applyAlignment="1"/>
    <xf numFmtId="0" fontId="0" fillId="42" borderId="43" xfId="0" applyFill="1" applyBorder="1"/>
    <xf numFmtId="178" fontId="189" fillId="0" borderId="43" xfId="4" applyNumberFormat="1" applyFont="1" applyBorder="1" applyAlignment="1"/>
    <xf numFmtId="178" fontId="189" fillId="0" borderId="0" xfId="4" applyNumberFormat="1" applyFont="1" applyBorder="1" applyAlignment="1"/>
    <xf numFmtId="177" fontId="102" fillId="0" borderId="0" xfId="12" applyFont="1" applyBorder="1" applyAlignment="1"/>
    <xf numFmtId="178" fontId="89" fillId="0" borderId="0" xfId="4" applyNumberFormat="1" applyFont="1" applyBorder="1" applyAlignment="1"/>
    <xf numFmtId="178" fontId="89" fillId="42" borderId="0" xfId="4" applyNumberFormat="1" applyFont="1" applyFill="1" applyBorder="1" applyAlignment="1"/>
    <xf numFmtId="177" fontId="93" fillId="4" borderId="0" xfId="12" applyFont="1" applyFill="1" applyAlignment="1"/>
    <xf numFmtId="177" fontId="189" fillId="0" borderId="0" xfId="12" applyFont="1" applyAlignment="1"/>
    <xf numFmtId="178" fontId="102" fillId="0" borderId="0" xfId="4" applyNumberFormat="1" applyFont="1" applyAlignment="1"/>
    <xf numFmtId="10" fontId="102" fillId="0" borderId="0" xfId="4" applyNumberFormat="1" applyFont="1" applyAlignment="1"/>
    <xf numFmtId="10" fontId="189" fillId="0" borderId="0" xfId="12" applyNumberFormat="1" applyFont="1" applyAlignment="1"/>
    <xf numFmtId="0" fontId="191" fillId="13" borderId="11" xfId="0" applyFont="1" applyFill="1" applyBorder="1"/>
    <xf numFmtId="185" fontId="102" fillId="0" borderId="0" xfId="4" applyNumberFormat="1" applyFont="1" applyAlignment="1"/>
    <xf numFmtId="185" fontId="189" fillId="0" borderId="0" xfId="4" applyNumberFormat="1" applyFont="1" applyAlignment="1"/>
    <xf numFmtId="3" fontId="102" fillId="0" borderId="0" xfId="0" applyNumberFormat="1" applyFont="1"/>
    <xf numFmtId="178" fontId="102" fillId="0" borderId="43" xfId="4" applyNumberFormat="1" applyFont="1" applyBorder="1" applyAlignment="1"/>
    <xf numFmtId="10" fontId="89" fillId="0" borderId="11" xfId="4" applyNumberFormat="1" applyFont="1" applyBorder="1" applyAlignment="1"/>
    <xf numFmtId="10" fontId="89" fillId="0" borderId="0" xfId="4" applyNumberFormat="1" applyFont="1" applyBorder="1" applyAlignment="1"/>
    <xf numFmtId="10" fontId="0" fillId="0" borderId="43" xfId="4" applyNumberFormat="1" applyFont="1" applyBorder="1" applyAlignment="1"/>
    <xf numFmtId="0" fontId="92" fillId="31" borderId="0" xfId="12" applyNumberFormat="1" applyFont="1" applyFill="1" applyAlignment="1">
      <alignment horizontal="left"/>
    </xf>
    <xf numFmtId="178" fontId="29" fillId="4" borderId="0" xfId="0" applyNumberFormat="1" applyFont="1" applyFill="1" applyAlignment="1">
      <alignment vertical="center"/>
    </xf>
    <xf numFmtId="10" fontId="24" fillId="0" borderId="0" xfId="4" applyNumberFormat="1" applyFont="1" applyFill="1" applyAlignment="1">
      <alignment vertical="center"/>
    </xf>
    <xf numFmtId="2" fontId="89" fillId="0" borderId="0" xfId="12" applyNumberFormat="1" applyFont="1" applyAlignment="1"/>
    <xf numFmtId="2" fontId="94" fillId="0" borderId="0" xfId="12" applyNumberFormat="1" applyFont="1" applyAlignment="1"/>
    <xf numFmtId="1" fontId="0" fillId="0" borderId="0" xfId="0" applyNumberFormat="1"/>
    <xf numFmtId="3" fontId="34" fillId="12" borderId="0" xfId="0" applyNumberFormat="1" applyFont="1" applyFill="1" applyAlignment="1">
      <alignment horizontal="center" vertical="center"/>
    </xf>
    <xf numFmtId="0" fontId="34" fillId="12" borderId="0" xfId="0" applyFont="1" applyFill="1" applyAlignment="1">
      <alignment horizontal="center" vertical="center"/>
    </xf>
    <xf numFmtId="1" fontId="34" fillId="12" borderId="0" xfId="0" applyNumberFormat="1" applyFont="1" applyFill="1" applyAlignment="1">
      <alignment horizontal="center" vertical="center"/>
    </xf>
    <xf numFmtId="10" fontId="34" fillId="12" borderId="0" xfId="0" applyNumberFormat="1" applyFont="1" applyFill="1" applyAlignment="1">
      <alignment horizontal="center" vertical="center"/>
    </xf>
    <xf numFmtId="2" fontId="34" fillId="12" borderId="0" xfId="0" applyNumberFormat="1" applyFont="1" applyFill="1" applyAlignment="1">
      <alignment horizontal="center" vertical="center"/>
    </xf>
    <xf numFmtId="0" fontId="130" fillId="12" borderId="0" xfId="0" applyFont="1" applyFill="1" applyAlignment="1">
      <alignment horizontal="left" vertical="center"/>
    </xf>
    <xf numFmtId="0" fontId="146" fillId="4" borderId="0" xfId="0" applyFont="1" applyFill="1" applyAlignment="1">
      <alignment horizontal="left" indent="1"/>
    </xf>
    <xf numFmtId="176" fontId="113" fillId="4" borderId="0" xfId="0" applyNumberFormat="1" applyFont="1" applyFill="1" applyAlignment="1">
      <alignment horizontal="center"/>
    </xf>
    <xf numFmtId="201" fontId="89" fillId="0" borderId="0" xfId="12" applyNumberFormat="1" applyFont="1" applyAlignment="1"/>
    <xf numFmtId="10" fontId="20" fillId="0" borderId="0" xfId="4" applyNumberFormat="1" applyFont="1" applyAlignment="1"/>
    <xf numFmtId="4" fontId="30" fillId="4" borderId="0" xfId="0" applyNumberFormat="1" applyFont="1" applyFill="1"/>
    <xf numFmtId="0" fontId="13" fillId="4" borderId="0" xfId="0" applyFont="1" applyFill="1" applyAlignment="1">
      <alignment vertical="center"/>
    </xf>
    <xf numFmtId="0" fontId="0" fillId="4" borderId="0" xfId="0" applyFill="1" applyAlignment="1">
      <alignment vertical="center"/>
    </xf>
    <xf numFmtId="2" fontId="34" fillId="0" borderId="23" xfId="2" applyNumberFormat="1" applyFont="1" applyFill="1" applyBorder="1" applyAlignment="1">
      <alignment vertical="center"/>
    </xf>
    <xf numFmtId="2" fontId="0" fillId="0" borderId="23" xfId="0" applyNumberFormat="1" applyBorder="1" applyAlignment="1">
      <alignment vertical="center"/>
    </xf>
    <xf numFmtId="0" fontId="0" fillId="13" borderId="0" xfId="0" applyFill="1" applyAlignment="1">
      <alignment vertical="center"/>
    </xf>
    <xf numFmtId="10" fontId="30" fillId="0" borderId="0" xfId="4" applyNumberFormat="1" applyFont="1" applyFill="1" applyAlignment="1"/>
    <xf numFmtId="176" fontId="49" fillId="4" borderId="0" xfId="0" applyNumberFormat="1" applyFont="1" applyFill="1" applyAlignment="1">
      <alignment horizontal="center"/>
    </xf>
    <xf numFmtId="176" fontId="27" fillId="0" borderId="0" xfId="0" applyNumberFormat="1" applyFont="1"/>
    <xf numFmtId="10" fontId="34" fillId="4" borderId="0" xfId="0" applyNumberFormat="1" applyFont="1" applyFill="1" applyAlignment="1">
      <alignment horizontal="center" vertical="center"/>
    </xf>
    <xf numFmtId="2" fontId="34" fillId="4" borderId="0" xfId="0" applyNumberFormat="1" applyFont="1" applyFill="1" applyAlignment="1">
      <alignment horizontal="center" vertical="center"/>
    </xf>
    <xf numFmtId="3" fontId="34" fillId="0" borderId="0" xfId="0" applyNumberFormat="1" applyFont="1" applyAlignment="1">
      <alignment horizontal="center" vertical="center"/>
    </xf>
    <xf numFmtId="176" fontId="29" fillId="0" borderId="20" xfId="0" applyNumberFormat="1" applyFont="1" applyBorder="1" applyAlignment="1">
      <alignment horizontal="right"/>
    </xf>
    <xf numFmtId="176" fontId="129" fillId="12" borderId="0" xfId="0" applyNumberFormat="1" applyFont="1" applyFill="1" applyAlignment="1">
      <alignment horizontal="right" vertical="center"/>
    </xf>
    <xf numFmtId="176" fontId="170" fillId="0" borderId="0" xfId="0" applyNumberFormat="1" applyFont="1" applyAlignment="1">
      <alignment horizontal="right"/>
    </xf>
    <xf numFmtId="176" fontId="170" fillId="0" borderId="20" xfId="0" applyNumberFormat="1" applyFont="1" applyBorder="1" applyAlignment="1">
      <alignment horizontal="right"/>
    </xf>
    <xf numFmtId="10" fontId="183" fillId="0" borderId="0" xfId="0" applyNumberFormat="1" applyFont="1"/>
    <xf numFmtId="0" fontId="183" fillId="0" borderId="0" xfId="0" applyFont="1"/>
    <xf numFmtId="38" fontId="34" fillId="0" borderId="0" xfId="0" applyNumberFormat="1" applyFont="1" applyAlignment="1">
      <alignment horizontal="center" vertical="center"/>
    </xf>
    <xf numFmtId="180" fontId="34" fillId="0" borderId="0" xfId="0" applyNumberFormat="1" applyFont="1" applyAlignment="1">
      <alignment horizontal="center" vertical="center"/>
    </xf>
    <xf numFmtId="0" fontId="34" fillId="0" borderId="0" xfId="0" applyFont="1" applyAlignment="1">
      <alignment horizontal="center" vertical="center"/>
    </xf>
    <xf numFmtId="10" fontId="34" fillId="0" borderId="0" xfId="0" applyNumberFormat="1" applyFont="1" applyAlignment="1">
      <alignment horizontal="center" vertical="center"/>
    </xf>
    <xf numFmtId="2" fontId="34" fillId="0" borderId="0" xfId="0" applyNumberFormat="1" applyFont="1" applyAlignment="1">
      <alignment horizontal="center" vertical="center"/>
    </xf>
    <xf numFmtId="3" fontId="29" fillId="0" borderId="0" xfId="0" applyNumberFormat="1" applyFont="1" applyAlignment="1">
      <alignment horizontal="right"/>
    </xf>
    <xf numFmtId="176" fontId="30" fillId="0" borderId="12" xfId="0" applyNumberFormat="1" applyFont="1" applyBorder="1"/>
    <xf numFmtId="37" fontId="0" fillId="0" borderId="0" xfId="0" applyNumberFormat="1"/>
    <xf numFmtId="37" fontId="29" fillId="0" borderId="0" xfId="0" applyNumberFormat="1" applyFont="1"/>
    <xf numFmtId="0" fontId="0" fillId="13" borderId="0" xfId="0" applyFill="1" applyAlignment="1">
      <alignment horizontal="center"/>
    </xf>
    <xf numFmtId="176" fontId="53" fillId="0" borderId="0" xfId="0" applyNumberFormat="1" applyFont="1"/>
    <xf numFmtId="178" fontId="53" fillId="43" borderId="9" xfId="0" applyNumberFormat="1" applyFont="1" applyFill="1" applyBorder="1" applyAlignment="1">
      <alignment horizontal="center"/>
    </xf>
    <xf numFmtId="37" fontId="24" fillId="0" borderId="0" xfId="0" applyNumberFormat="1" applyFont="1"/>
    <xf numFmtId="178" fontId="174" fillId="12" borderId="0" xfId="0" applyNumberFormat="1" applyFont="1" applyFill="1" applyAlignment="1">
      <alignment horizontal="center"/>
    </xf>
    <xf numFmtId="38" fontId="24" fillId="44" borderId="0" xfId="0" applyNumberFormat="1" applyFont="1" applyFill="1"/>
    <xf numFmtId="38" fontId="30" fillId="44" borderId="0" xfId="0" applyNumberFormat="1" applyFont="1" applyFill="1"/>
    <xf numFmtId="37" fontId="30" fillId="0" borderId="0" xfId="0" applyNumberFormat="1" applyFont="1"/>
    <xf numFmtId="37" fontId="30" fillId="44" borderId="0" xfId="0" applyNumberFormat="1" applyFont="1" applyFill="1"/>
    <xf numFmtId="10" fontId="0" fillId="0" borderId="0" xfId="4" applyNumberFormat="1" applyFont="1" applyFill="1" applyAlignment="1"/>
    <xf numFmtId="176" fontId="30" fillId="0" borderId="19" xfId="0" applyNumberFormat="1" applyFont="1" applyBorder="1" applyAlignment="1">
      <alignment horizontal="center"/>
    </xf>
    <xf numFmtId="178" fontId="53" fillId="43" borderId="0" xfId="0" applyNumberFormat="1" applyFont="1" applyFill="1" applyAlignment="1">
      <alignment horizontal="center"/>
    </xf>
    <xf numFmtId="178" fontId="53" fillId="16" borderId="0" xfId="0" applyNumberFormat="1" applyFont="1" applyFill="1" applyAlignment="1">
      <alignment horizontal="center"/>
    </xf>
    <xf numFmtId="37" fontId="174" fillId="0" borderId="0" xfId="0" applyNumberFormat="1" applyFont="1"/>
    <xf numFmtId="202" fontId="174" fillId="0" borderId="0" xfId="0" applyNumberFormat="1" applyFont="1"/>
    <xf numFmtId="0" fontId="13" fillId="0" borderId="0" xfId="0" applyFont="1" applyAlignment="1">
      <alignment vertical="center" wrapText="1"/>
    </xf>
    <xf numFmtId="176" fontId="30" fillId="0" borderId="0" xfId="0" applyNumberFormat="1" applyFont="1"/>
    <xf numFmtId="176" fontId="170" fillId="0" borderId="0" xfId="0" applyNumberFormat="1" applyFont="1" applyAlignment="1">
      <alignment horizontal="right" vertical="center"/>
    </xf>
    <xf numFmtId="176" fontId="49" fillId="0" borderId="20" xfId="0" applyNumberFormat="1" applyFont="1" applyBorder="1" applyAlignment="1">
      <alignment horizontal="center"/>
    </xf>
    <xf numFmtId="176" fontId="170" fillId="0" borderId="20" xfId="0" applyNumberFormat="1" applyFont="1" applyBorder="1" applyAlignment="1">
      <alignment horizontal="right" vertical="center"/>
    </xf>
    <xf numFmtId="0" fontId="44" fillId="0" borderId="0" xfId="0" applyFont="1" applyAlignment="1">
      <alignment vertical="center"/>
    </xf>
    <xf numFmtId="38" fontId="30" fillId="0" borderId="11" xfId="0" applyNumberFormat="1" applyFont="1" applyBorder="1"/>
    <xf numFmtId="178" fontId="24" fillId="0" borderId="11" xfId="0" applyNumberFormat="1" applyFont="1" applyBorder="1"/>
    <xf numFmtId="38" fontId="24" fillId="0" borderId="11" xfId="0" applyNumberFormat="1" applyFont="1" applyBorder="1"/>
    <xf numFmtId="3" fontId="30" fillId="0" borderId="11" xfId="0" applyNumberFormat="1" applyFont="1" applyBorder="1"/>
    <xf numFmtId="10" fontId="24" fillId="0" borderId="11" xfId="0" applyNumberFormat="1" applyFont="1" applyBorder="1"/>
    <xf numFmtId="38" fontId="0" fillId="0" borderId="11" xfId="0" applyNumberFormat="1" applyBorder="1"/>
    <xf numFmtId="38" fontId="20" fillId="0" borderId="11" xfId="0" applyNumberFormat="1" applyFont="1" applyBorder="1"/>
    <xf numFmtId="37" fontId="30" fillId="0" borderId="11" xfId="0" applyNumberFormat="1" applyFont="1" applyBorder="1"/>
    <xf numFmtId="0" fontId="0" fillId="0" borderId="11" xfId="0" applyBorder="1"/>
    <xf numFmtId="37" fontId="0" fillId="0" borderId="11" xfId="0" applyNumberFormat="1" applyBorder="1"/>
    <xf numFmtId="3" fontId="0" fillId="0" borderId="11" xfId="0" applyNumberFormat="1" applyBorder="1"/>
    <xf numFmtId="37" fontId="24" fillId="0" borderId="11" xfId="0" applyNumberFormat="1" applyFont="1" applyBorder="1"/>
    <xf numFmtId="37" fontId="30" fillId="44" borderId="11" xfId="0" applyNumberFormat="1" applyFont="1" applyFill="1" applyBorder="1"/>
    <xf numFmtId="4" fontId="30" fillId="0" borderId="11" xfId="0" applyNumberFormat="1" applyFont="1" applyBorder="1"/>
    <xf numFmtId="38" fontId="174" fillId="0" borderId="0" xfId="0" applyNumberFormat="1" applyFont="1"/>
    <xf numFmtId="176" fontId="174" fillId="0" borderId="0" xfId="0" applyNumberFormat="1" applyFont="1"/>
    <xf numFmtId="0" fontId="0" fillId="36" borderId="0" xfId="0" applyFill="1" applyAlignment="1">
      <alignment horizontal="left" vertical="top"/>
    </xf>
    <xf numFmtId="38" fontId="0" fillId="36" borderId="0" xfId="0" applyNumberFormat="1" applyFill="1"/>
    <xf numFmtId="0" fontId="0" fillId="36" borderId="0" xfId="0" applyFill="1"/>
    <xf numFmtId="176" fontId="29" fillId="0" borderId="0" xfId="0" applyNumberFormat="1" applyFont="1" applyAlignment="1">
      <alignment horizontal="center"/>
    </xf>
    <xf numFmtId="0" fontId="20" fillId="45" borderId="0" xfId="0" applyFont="1" applyFill="1"/>
    <xf numFmtId="0" fontId="0" fillId="45" borderId="0" xfId="0" applyFill="1"/>
    <xf numFmtId="38" fontId="0" fillId="45" borderId="0" xfId="0" applyNumberFormat="1" applyFill="1"/>
    <xf numFmtId="176" fontId="52" fillId="0" borderId="12" xfId="0" applyNumberFormat="1" applyFont="1" applyBorder="1" applyAlignment="1">
      <alignment horizontal="center"/>
    </xf>
    <xf numFmtId="176" fontId="52" fillId="0" borderId="0" xfId="0" applyNumberFormat="1" applyFont="1" applyAlignment="1">
      <alignment horizontal="center"/>
    </xf>
    <xf numFmtId="178" fontId="125" fillId="12" borderId="0" xfId="4" applyNumberFormat="1" applyFont="1" applyFill="1" applyBorder="1" applyAlignment="1"/>
    <xf numFmtId="178" fontId="53" fillId="0" borderId="0" xfId="0" applyNumberFormat="1" applyFont="1" applyAlignment="1">
      <alignment horizontal="center"/>
    </xf>
    <xf numFmtId="178" fontId="194" fillId="43" borderId="9" xfId="4" applyNumberFormat="1" applyFont="1" applyFill="1" applyBorder="1" applyAlignment="1"/>
    <xf numFmtId="176" fontId="113" fillId="0" borderId="0" xfId="0" applyNumberFormat="1" applyFont="1"/>
    <xf numFmtId="176" fontId="0" fillId="0" borderId="0" xfId="0" applyNumberFormat="1" applyAlignment="1">
      <alignment horizontal="right"/>
    </xf>
    <xf numFmtId="183" fontId="194" fillId="43" borderId="9" xfId="4" applyNumberFormat="1" applyFont="1" applyFill="1" applyBorder="1" applyAlignment="1"/>
    <xf numFmtId="176" fontId="174" fillId="0" borderId="0" xfId="0" applyNumberFormat="1" applyFont="1" applyAlignment="1">
      <alignment horizontal="center"/>
    </xf>
    <xf numFmtId="176" fontId="49" fillId="0" borderId="21" xfId="0" applyNumberFormat="1" applyFont="1" applyBorder="1" applyAlignment="1">
      <alignment horizontal="center"/>
    </xf>
    <xf numFmtId="178" fontId="24" fillId="0" borderId="0" xfId="4" applyNumberFormat="1" applyFont="1" applyBorder="1" applyAlignment="1"/>
    <xf numFmtId="0" fontId="171" fillId="0" borderId="0" xfId="2" applyFont="1" applyFill="1" applyBorder="1"/>
    <xf numFmtId="176" fontId="113" fillId="12" borderId="0" xfId="0" applyNumberFormat="1" applyFont="1" applyFill="1"/>
    <xf numFmtId="183" fontId="195" fillId="0" borderId="0" xfId="4" applyNumberFormat="1" applyFont="1" applyAlignment="1"/>
    <xf numFmtId="176" fontId="129" fillId="0" borderId="0" xfId="0" applyNumberFormat="1" applyFont="1" applyAlignment="1">
      <alignment horizontal="right" vertical="center"/>
    </xf>
    <xf numFmtId="0" fontId="41" fillId="0" borderId="0" xfId="0" applyFont="1"/>
    <xf numFmtId="0" fontId="20" fillId="0" borderId="0" xfId="0" applyFont="1" applyAlignment="1">
      <alignment horizontal="left"/>
    </xf>
    <xf numFmtId="0" fontId="47" fillId="0" borderId="0" xfId="0" applyFont="1"/>
    <xf numFmtId="0" fontId="50" fillId="0" borderId="31" xfId="0" applyFont="1" applyBorder="1"/>
    <xf numFmtId="0" fontId="55" fillId="0" borderId="0" xfId="0" applyFont="1"/>
    <xf numFmtId="0" fontId="32" fillId="0" borderId="32" xfId="0" applyFont="1" applyBorder="1"/>
    <xf numFmtId="0" fontId="0" fillId="0" borderId="44" xfId="0" applyBorder="1"/>
    <xf numFmtId="0" fontId="54" fillId="0" borderId="12" xfId="0" applyFont="1" applyBorder="1"/>
    <xf numFmtId="176" fontId="29" fillId="0" borderId="0" xfId="0" applyNumberFormat="1" applyFont="1" applyAlignment="1">
      <alignment horizontal="right" vertical="center"/>
    </xf>
    <xf numFmtId="0" fontId="16" fillId="0" borderId="0" xfId="0" applyFont="1" applyAlignment="1">
      <alignment horizontal="left" vertical="center"/>
    </xf>
    <xf numFmtId="176" fontId="24" fillId="0" borderId="0" xfId="0" applyNumberFormat="1" applyFont="1" applyAlignment="1">
      <alignment vertical="center"/>
    </xf>
    <xf numFmtId="178" fontId="174" fillId="0" borderId="0" xfId="4" applyNumberFormat="1" applyFont="1" applyAlignment="1">
      <alignment vertical="center"/>
    </xf>
    <xf numFmtId="178" fontId="194" fillId="43" borderId="9" xfId="4" applyNumberFormat="1" applyFont="1" applyFill="1" applyBorder="1" applyAlignment="1">
      <alignment vertical="center"/>
    </xf>
    <xf numFmtId="178" fontId="24" fillId="0" borderId="0" xfId="4" applyNumberFormat="1" applyFont="1" applyAlignment="1">
      <alignment vertical="center"/>
    </xf>
    <xf numFmtId="0" fontId="16" fillId="12" borderId="0" xfId="0" applyFont="1" applyFill="1" applyAlignment="1">
      <alignment vertical="center"/>
    </xf>
    <xf numFmtId="0" fontId="0" fillId="12" borderId="0" xfId="0" applyFill="1" applyAlignment="1">
      <alignment vertical="center"/>
    </xf>
    <xf numFmtId="183" fontId="124" fillId="12" borderId="0" xfId="0" applyNumberFormat="1" applyFont="1" applyFill="1"/>
    <xf numFmtId="0" fontId="0" fillId="46" borderId="0" xfId="0" applyFill="1"/>
    <xf numFmtId="0" fontId="151" fillId="0" borderId="0" xfId="0" applyFont="1"/>
    <xf numFmtId="176" fontId="152" fillId="36" borderId="0" xfId="0" applyNumberFormat="1" applyFont="1" applyFill="1" applyAlignment="1">
      <alignment horizontal="center"/>
    </xf>
    <xf numFmtId="185" fontId="152" fillId="36" borderId="0" xfId="0" applyNumberFormat="1" applyFont="1" applyFill="1" applyAlignment="1">
      <alignment horizontal="center"/>
    </xf>
    <xf numFmtId="176" fontId="135" fillId="36" borderId="0" xfId="0" applyNumberFormat="1" applyFont="1" applyFill="1" applyAlignment="1">
      <alignment horizontal="center"/>
    </xf>
    <xf numFmtId="176" fontId="152" fillId="46" borderId="0" xfId="0" applyNumberFormat="1" applyFont="1" applyFill="1" applyAlignment="1">
      <alignment horizontal="center"/>
    </xf>
    <xf numFmtId="176" fontId="137" fillId="4" borderId="12" xfId="0" applyNumberFormat="1" applyFont="1" applyFill="1" applyBorder="1" applyAlignment="1">
      <alignment horizontal="center"/>
    </xf>
    <xf numFmtId="176" fontId="152" fillId="0" borderId="0" xfId="0" applyNumberFormat="1" applyFont="1" applyAlignment="1">
      <alignment horizontal="center"/>
    </xf>
    <xf numFmtId="176" fontId="135" fillId="44" borderId="0" xfId="0" applyNumberFormat="1" applyFont="1" applyFill="1" applyAlignment="1">
      <alignment horizontal="center"/>
    </xf>
    <xf numFmtId="176" fontId="113" fillId="36" borderId="0" xfId="0" applyNumberFormat="1" applyFont="1" applyFill="1" applyAlignment="1">
      <alignment horizontal="right"/>
    </xf>
    <xf numFmtId="176" fontId="135" fillId="45" borderId="0" xfId="0" applyNumberFormat="1" applyFont="1" applyFill="1" applyAlignment="1">
      <alignment horizontal="center"/>
    </xf>
    <xf numFmtId="176" fontId="152" fillId="45" borderId="0" xfId="0" applyNumberFormat="1" applyFont="1" applyFill="1" applyAlignment="1">
      <alignment horizontal="center"/>
    </xf>
    <xf numFmtId="185" fontId="152" fillId="44" borderId="0" xfId="0" applyNumberFormat="1" applyFont="1" applyFill="1" applyAlignment="1">
      <alignment horizontal="center"/>
    </xf>
    <xf numFmtId="176" fontId="135" fillId="0" borderId="0" xfId="0" applyNumberFormat="1" applyFont="1" applyAlignment="1">
      <alignment horizontal="center"/>
    </xf>
    <xf numFmtId="0" fontId="16" fillId="36" borderId="0" xfId="0" applyFont="1" applyFill="1" applyAlignment="1">
      <alignment horizontal="left" vertical="top"/>
    </xf>
    <xf numFmtId="0" fontId="85" fillId="36" borderId="0" xfId="0" applyFont="1" applyFill="1" applyAlignment="1">
      <alignment horizontal="left" vertical="top"/>
    </xf>
    <xf numFmtId="3" fontId="0" fillId="0" borderId="0" xfId="0" applyNumberFormat="1" applyAlignment="1">
      <alignment horizontal="right" vertical="top"/>
    </xf>
    <xf numFmtId="38" fontId="0" fillId="36" borderId="0" xfId="0" applyNumberFormat="1" applyFill="1" applyAlignment="1">
      <alignment horizontal="right" vertical="top"/>
    </xf>
    <xf numFmtId="38" fontId="0" fillId="0" borderId="0" xfId="0" applyNumberFormat="1" applyAlignment="1">
      <alignment horizontal="right" vertical="top"/>
    </xf>
    <xf numFmtId="184" fontId="24" fillId="4" borderId="0" xfId="0" applyNumberFormat="1" applyFont="1" applyFill="1" applyAlignment="1">
      <alignment horizontal="right" vertical="top"/>
    </xf>
    <xf numFmtId="176" fontId="170" fillId="0" borderId="21" xfId="0" applyNumberFormat="1" applyFont="1" applyBorder="1" applyAlignment="1">
      <alignment horizontal="right"/>
    </xf>
    <xf numFmtId="176" fontId="174" fillId="0" borderId="20" xfId="0" applyNumberFormat="1" applyFont="1" applyBorder="1"/>
    <xf numFmtId="0" fontId="31" fillId="0" borderId="0" xfId="0" applyFont="1" applyAlignment="1">
      <alignment horizontal="center"/>
    </xf>
    <xf numFmtId="0" fontId="43" fillId="0" borderId="0" xfId="0" applyFont="1" applyAlignment="1">
      <alignment horizontal="center"/>
    </xf>
    <xf numFmtId="0" fontId="32" fillId="0" borderId="44" xfId="0" applyFont="1" applyBorder="1"/>
    <xf numFmtId="0" fontId="20" fillId="0" borderId="44" xfId="0" applyFont="1" applyBorder="1" applyAlignment="1">
      <alignment horizontal="right"/>
    </xf>
    <xf numFmtId="176" fontId="20" fillId="0" borderId="44" xfId="0" applyNumberFormat="1" applyFont="1" applyBorder="1" applyAlignment="1">
      <alignment horizontal="right"/>
    </xf>
    <xf numFmtId="176" fontId="95" fillId="0" borderId="0" xfId="0" applyNumberFormat="1" applyFont="1"/>
    <xf numFmtId="0" fontId="27" fillId="0" borderId="0" xfId="0" applyFont="1" applyAlignment="1">
      <alignment vertical="center" wrapText="1"/>
    </xf>
    <xf numFmtId="0" fontId="46" fillId="14" borderId="0" xfId="0" applyFont="1" applyFill="1" applyAlignment="1">
      <alignment horizontal="center"/>
    </xf>
    <xf numFmtId="4" fontId="30" fillId="0" borderId="12" xfId="0" applyNumberFormat="1" applyFont="1" applyBorder="1" applyAlignment="1">
      <alignment horizontal="right"/>
    </xf>
    <xf numFmtId="4" fontId="29" fillId="0" borderId="0" xfId="0" applyNumberFormat="1" applyFont="1"/>
    <xf numFmtId="0" fontId="48" fillId="12" borderId="0" xfId="0" applyFont="1" applyFill="1" applyAlignment="1">
      <alignment vertical="center"/>
    </xf>
    <xf numFmtId="176" fontId="139" fillId="0" borderId="18" xfId="0" applyNumberFormat="1" applyFont="1" applyBorder="1" applyAlignment="1">
      <alignment horizontal="center"/>
    </xf>
    <xf numFmtId="0" fontId="0" fillId="0" borderId="46" xfId="0" applyBorder="1"/>
    <xf numFmtId="0" fontId="0" fillId="0" borderId="49" xfId="0" applyBorder="1"/>
    <xf numFmtId="0" fontId="0" fillId="0" borderId="0" xfId="0" applyAlignment="1">
      <alignment horizontal="left" vertical="center"/>
    </xf>
    <xf numFmtId="0" fontId="0" fillId="0" borderId="45" xfId="0" applyBorder="1" applyAlignment="1">
      <alignment horizontal="center" vertical="center"/>
    </xf>
    <xf numFmtId="0" fontId="126" fillId="0" borderId="0" xfId="0" applyFont="1" applyAlignment="1">
      <alignment horizontal="center" vertical="center"/>
    </xf>
    <xf numFmtId="0" fontId="0" fillId="0" borderId="0" xfId="0" applyAlignment="1">
      <alignment horizontal="center" vertical="center" wrapText="1"/>
    </xf>
    <xf numFmtId="0" fontId="0" fillId="0" borderId="50" xfId="0" applyBorder="1"/>
    <xf numFmtId="0" fontId="0" fillId="0" borderId="46" xfId="0" applyBorder="1" applyAlignment="1">
      <alignment horizontal="center" vertical="center"/>
    </xf>
    <xf numFmtId="0" fontId="0" fillId="0" borderId="49" xfId="0" applyBorder="1" applyAlignment="1">
      <alignment horizontal="center" vertical="center"/>
    </xf>
    <xf numFmtId="0" fontId="0" fillId="0" borderId="47" xfId="0" applyBorder="1" applyAlignment="1">
      <alignment horizontal="center" vertical="center"/>
    </xf>
    <xf numFmtId="0" fontId="0" fillId="0" borderId="51" xfId="0" applyBorder="1" applyAlignment="1">
      <alignment horizontal="center" vertical="center"/>
    </xf>
    <xf numFmtId="0" fontId="196" fillId="0" borderId="0" xfId="0" applyFont="1" applyAlignment="1">
      <alignment vertical="center"/>
    </xf>
    <xf numFmtId="0" fontId="11" fillId="2" borderId="1" xfId="7" applyNumberFormat="1" applyFont="1" applyFill="1" applyBorder="1" applyAlignment="1">
      <alignment horizontal="left" vertical="center" wrapText="1"/>
    </xf>
    <xf numFmtId="0" fontId="20" fillId="0" borderId="0" xfId="0" applyFont="1" applyAlignment="1">
      <alignment horizontal="left" vertical="center"/>
    </xf>
    <xf numFmtId="0" fontId="0" fillId="0" borderId="0" xfId="0" applyAlignment="1">
      <alignment vertical="center" wrapText="1"/>
    </xf>
    <xf numFmtId="0" fontId="0" fillId="31" borderId="0" xfId="0" applyFill="1" applyAlignment="1">
      <alignment vertical="center"/>
    </xf>
    <xf numFmtId="0" fontId="0" fillId="0" borderId="44" xfId="0" applyBorder="1" applyAlignment="1">
      <alignment horizontal="left" vertical="center"/>
    </xf>
    <xf numFmtId="0" fontId="0" fillId="0" borderId="44" xfId="0" applyBorder="1" applyAlignment="1">
      <alignment vertical="center"/>
    </xf>
    <xf numFmtId="0" fontId="0" fillId="0" borderId="49" xfId="0" applyBorder="1" applyAlignment="1">
      <alignment vertical="center"/>
    </xf>
    <xf numFmtId="0" fontId="45" fillId="0" borderId="0" xfId="0" applyFont="1" applyAlignment="1">
      <alignment vertical="center"/>
    </xf>
    <xf numFmtId="0" fontId="16" fillId="0" borderId="0" xfId="0" applyFont="1" applyAlignment="1">
      <alignment vertical="center"/>
    </xf>
    <xf numFmtId="0" fontId="40" fillId="0" borderId="0" xfId="0" applyFont="1" applyAlignment="1">
      <alignment vertical="center"/>
    </xf>
    <xf numFmtId="0" fontId="20" fillId="0" borderId="12" xfId="0" applyFont="1" applyBorder="1" applyAlignment="1">
      <alignment vertical="center"/>
    </xf>
    <xf numFmtId="0" fontId="175" fillId="0" borderId="44" xfId="0" applyFont="1" applyBorder="1" applyAlignment="1">
      <alignment vertical="center"/>
    </xf>
    <xf numFmtId="0" fontId="0" fillId="0" borderId="51" xfId="0" applyBorder="1" applyAlignment="1">
      <alignment vertical="center"/>
    </xf>
    <xf numFmtId="0" fontId="0" fillId="0" borderId="18" xfId="0" applyBorder="1" applyAlignment="1">
      <alignment vertical="center"/>
    </xf>
    <xf numFmtId="0" fontId="0" fillId="0" borderId="47" xfId="0" applyBorder="1" applyAlignment="1">
      <alignment vertical="center"/>
    </xf>
    <xf numFmtId="0" fontId="0" fillId="0" borderId="47" xfId="0" applyBorder="1" applyAlignment="1">
      <alignment vertical="center" wrapText="1"/>
    </xf>
    <xf numFmtId="0" fontId="40" fillId="0" borderId="44" xfId="0" applyFont="1" applyBorder="1" applyAlignment="1">
      <alignment vertical="center"/>
    </xf>
    <xf numFmtId="0" fontId="45" fillId="0" borderId="18" xfId="0" applyFont="1" applyBorder="1" applyAlignment="1">
      <alignment vertical="center"/>
    </xf>
    <xf numFmtId="0" fontId="29" fillId="0" borderId="0" xfId="0" applyFont="1" applyAlignment="1">
      <alignment vertical="center"/>
    </xf>
    <xf numFmtId="0" fontId="0" fillId="0" borderId="46" xfId="0" applyBorder="1" applyAlignment="1">
      <alignment vertical="center"/>
    </xf>
    <xf numFmtId="0" fontId="20" fillId="0" borderId="44" xfId="0" applyFont="1" applyBorder="1" applyAlignment="1">
      <alignment vertical="center"/>
    </xf>
    <xf numFmtId="0" fontId="0" fillId="0" borderId="45" xfId="0" applyBorder="1" applyAlignment="1">
      <alignment vertical="center"/>
    </xf>
    <xf numFmtId="0" fontId="20" fillId="0" borderId="46" xfId="0" applyFont="1" applyBorder="1" applyAlignment="1">
      <alignment vertical="center"/>
    </xf>
    <xf numFmtId="0" fontId="20" fillId="0" borderId="48" xfId="0" applyFont="1" applyBorder="1" applyAlignment="1">
      <alignment vertical="center"/>
    </xf>
    <xf numFmtId="0" fontId="0" fillId="0" borderId="48" xfId="0" applyBorder="1" applyAlignment="1">
      <alignment vertical="center"/>
    </xf>
    <xf numFmtId="0" fontId="39" fillId="0" borderId="0" xfId="7" applyAlignment="1">
      <alignment vertical="center"/>
    </xf>
    <xf numFmtId="0" fontId="40" fillId="0" borderId="20" xfId="0" applyFont="1" applyBorder="1" applyAlignment="1">
      <alignment vertical="center"/>
    </xf>
    <xf numFmtId="0" fontId="27" fillId="0" borderId="0" xfId="0" applyFont="1" applyAlignment="1">
      <alignment vertical="center"/>
    </xf>
    <xf numFmtId="3" fontId="34" fillId="4" borderId="0" xfId="0" applyNumberFormat="1" applyFont="1" applyFill="1" applyAlignment="1">
      <alignment horizontal="center" vertical="center"/>
    </xf>
    <xf numFmtId="0" fontId="20" fillId="0" borderId="52" xfId="0" applyFont="1" applyBorder="1" applyAlignment="1">
      <alignment vertical="center"/>
    </xf>
    <xf numFmtId="0" fontId="175" fillId="0" borderId="53" xfId="0" applyFont="1" applyBorder="1" applyAlignment="1">
      <alignment vertical="center"/>
    </xf>
    <xf numFmtId="0" fontId="175" fillId="0" borderId="0" xfId="0" applyFont="1" applyAlignment="1">
      <alignment vertical="center"/>
    </xf>
    <xf numFmtId="0" fontId="0" fillId="0" borderId="56" xfId="0" applyBorder="1" applyAlignment="1">
      <alignment vertical="center"/>
    </xf>
    <xf numFmtId="0" fontId="0" fillId="0" borderId="57" xfId="0" applyBorder="1" applyAlignment="1">
      <alignment horizontal="center" vertical="center"/>
    </xf>
    <xf numFmtId="0" fontId="0" fillId="0" borderId="58" xfId="0" applyBorder="1" applyAlignment="1">
      <alignment vertical="center"/>
    </xf>
    <xf numFmtId="0" fontId="175" fillId="0" borderId="59" xfId="0" applyFont="1" applyBorder="1" applyAlignment="1">
      <alignment vertical="center"/>
    </xf>
    <xf numFmtId="0" fontId="0" fillId="0" borderId="61" xfId="0" applyBorder="1" applyAlignment="1">
      <alignment horizontal="center" vertical="center"/>
    </xf>
    <xf numFmtId="0" fontId="0" fillId="0" borderId="62" xfId="0" applyBorder="1" applyAlignment="1">
      <alignment horizontal="center" vertical="center"/>
    </xf>
    <xf numFmtId="0" fontId="40" fillId="0" borderId="12" xfId="0" applyFont="1" applyBorder="1" applyAlignment="1">
      <alignment vertical="center"/>
    </xf>
    <xf numFmtId="0" fontId="20" fillId="0" borderId="63" xfId="0" applyFont="1" applyBorder="1" applyAlignment="1">
      <alignment vertical="center"/>
    </xf>
    <xf numFmtId="0" fontId="175" fillId="0" borderId="64" xfId="0" applyFont="1" applyBorder="1" applyAlignment="1">
      <alignment vertical="center"/>
    </xf>
    <xf numFmtId="0" fontId="0" fillId="0" borderId="65" xfId="0" applyBorder="1" applyAlignment="1">
      <alignment vertical="center"/>
    </xf>
    <xf numFmtId="0" fontId="0" fillId="0" borderId="66" xfId="0" applyBorder="1" applyAlignment="1">
      <alignment horizontal="center" vertical="center"/>
    </xf>
    <xf numFmtId="0" fontId="0" fillId="0" borderId="67" xfId="0" applyBorder="1" applyAlignment="1">
      <alignment horizontal="center" vertical="center"/>
    </xf>
    <xf numFmtId="0" fontId="0" fillId="0" borderId="69" xfId="0" applyBorder="1" applyAlignment="1">
      <alignment vertical="center"/>
    </xf>
    <xf numFmtId="0" fontId="0" fillId="0" borderId="66" xfId="0" applyBorder="1" applyAlignment="1">
      <alignment vertical="center"/>
    </xf>
    <xf numFmtId="0" fontId="175" fillId="0" borderId="70" xfId="0" applyFont="1" applyBorder="1" applyAlignment="1">
      <alignment vertical="center"/>
    </xf>
    <xf numFmtId="0" fontId="0" fillId="0" borderId="57" xfId="0" applyBorder="1" applyAlignment="1">
      <alignment vertical="center"/>
    </xf>
    <xf numFmtId="0" fontId="0" fillId="0" borderId="71" xfId="0" applyBorder="1" applyAlignment="1">
      <alignment vertical="center"/>
    </xf>
    <xf numFmtId="0" fontId="0" fillId="0" borderId="73" xfId="0" applyBorder="1" applyAlignment="1">
      <alignment horizontal="center" vertical="center"/>
    </xf>
    <xf numFmtId="0" fontId="0" fillId="0" borderId="53" xfId="0" applyBorder="1" applyAlignment="1">
      <alignment vertical="center"/>
    </xf>
    <xf numFmtId="0" fontId="0" fillId="0" borderId="76" xfId="0" applyBorder="1" applyAlignment="1">
      <alignment vertical="center"/>
    </xf>
    <xf numFmtId="0" fontId="0" fillId="0" borderId="77" xfId="0" applyBorder="1" applyAlignment="1">
      <alignment vertical="center"/>
    </xf>
    <xf numFmtId="0" fontId="0" fillId="0" borderId="53" xfId="0" applyBorder="1" applyAlignment="1">
      <alignment horizontal="center" vertical="center"/>
    </xf>
    <xf numFmtId="0" fontId="0" fillId="0" borderId="76" xfId="0" applyBorder="1" applyAlignment="1">
      <alignment horizontal="center" vertical="center"/>
    </xf>
    <xf numFmtId="0" fontId="0" fillId="0" borderId="70" xfId="0" applyBorder="1" applyAlignment="1">
      <alignment vertical="center"/>
    </xf>
    <xf numFmtId="0" fontId="0" fillId="0" borderId="70" xfId="0" applyBorder="1" applyAlignment="1">
      <alignment horizontal="center" vertical="center"/>
    </xf>
    <xf numFmtId="0" fontId="175" fillId="0" borderId="78" xfId="0" applyFont="1" applyBorder="1" applyAlignment="1">
      <alignment vertical="center"/>
    </xf>
    <xf numFmtId="0" fontId="175" fillId="0" borderId="79" xfId="0" applyFont="1" applyBorder="1" applyAlignment="1">
      <alignment vertical="center"/>
    </xf>
    <xf numFmtId="0" fontId="0" fillId="0" borderId="78" xfId="0" applyBorder="1" applyAlignment="1">
      <alignment horizontal="center" vertical="center"/>
    </xf>
    <xf numFmtId="0" fontId="0" fillId="0" borderId="78" xfId="0" applyBorder="1" applyAlignment="1">
      <alignment vertical="center"/>
    </xf>
    <xf numFmtId="0" fontId="0" fillId="0" borderId="75" xfId="0" applyBorder="1" applyAlignment="1">
      <alignment horizontal="center" vertical="center"/>
    </xf>
    <xf numFmtId="0" fontId="20" fillId="0" borderId="71" xfId="0" applyFont="1" applyBorder="1" applyAlignment="1">
      <alignment vertical="center"/>
    </xf>
    <xf numFmtId="0" fontId="0" fillId="0" borderId="72" xfId="0" applyBorder="1" applyAlignment="1">
      <alignment vertical="center"/>
    </xf>
    <xf numFmtId="0" fontId="0" fillId="0" borderId="80" xfId="0" applyBorder="1" applyAlignment="1">
      <alignment horizontal="center" vertical="center"/>
    </xf>
    <xf numFmtId="0" fontId="0" fillId="0" borderId="68" xfId="0" applyBorder="1" applyAlignment="1">
      <alignment horizontal="center" vertical="center"/>
    </xf>
    <xf numFmtId="0" fontId="0" fillId="0" borderId="81" xfId="0" applyBorder="1" applyAlignment="1">
      <alignment vertical="center"/>
    </xf>
    <xf numFmtId="0" fontId="0" fillId="0" borderId="82" xfId="0" applyBorder="1" applyAlignment="1">
      <alignment vertical="center"/>
    </xf>
    <xf numFmtId="0" fontId="0" fillId="0" borderId="83" xfId="0" applyBorder="1" applyAlignment="1">
      <alignment horizontal="center" vertical="center"/>
    </xf>
    <xf numFmtId="0" fontId="40" fillId="4" borderId="21" xfId="0" applyFont="1" applyFill="1" applyBorder="1" applyAlignment="1">
      <alignment vertical="center"/>
    </xf>
    <xf numFmtId="0" fontId="20" fillId="0" borderId="46" xfId="0" applyFont="1" applyBorder="1" applyAlignment="1">
      <alignment horizontal="left" vertical="center"/>
    </xf>
    <xf numFmtId="0" fontId="11" fillId="2" borderId="1" xfId="7" applyFont="1" applyFill="1" applyBorder="1" applyAlignment="1">
      <alignment horizontal="left" vertical="top" wrapText="1"/>
    </xf>
    <xf numFmtId="0" fontId="11" fillId="2" borderId="1" xfId="7" applyFont="1" applyFill="1" applyBorder="1" applyAlignment="1">
      <alignment horizontal="right" vertical="top" wrapText="1"/>
    </xf>
    <xf numFmtId="0" fontId="2" fillId="0" borderId="0" xfId="6" applyFont="1" applyFill="1" applyAlignment="1"/>
    <xf numFmtId="0" fontId="0" fillId="32" borderId="84" xfId="0" applyFill="1" applyBorder="1"/>
    <xf numFmtId="0" fontId="11" fillId="2" borderId="85" xfId="7" applyNumberFormat="1" applyFont="1" applyFill="1" applyBorder="1" applyAlignment="1">
      <alignment horizontal="left" vertical="top" wrapText="1"/>
    </xf>
    <xf numFmtId="0" fontId="11" fillId="2" borderId="7" xfId="7" applyNumberFormat="1" applyFont="1" applyFill="1" applyBorder="1" applyAlignment="1">
      <alignment horizontal="right" vertical="top" wrapText="1"/>
    </xf>
    <xf numFmtId="0" fontId="0" fillId="31" borderId="84" xfId="0" applyFill="1" applyBorder="1"/>
    <xf numFmtId="0" fontId="0" fillId="43" borderId="0" xfId="0" applyFill="1" applyAlignment="1">
      <alignment horizontal="left" vertical="top"/>
    </xf>
    <xf numFmtId="0" fontId="197" fillId="0" borderId="0" xfId="0" applyFont="1" applyAlignment="1">
      <alignment horizontal="left" vertical="top"/>
    </xf>
    <xf numFmtId="0" fontId="0" fillId="0" borderId="46" xfId="0" applyBorder="1" applyAlignment="1">
      <alignment horizontal="left" vertical="top"/>
    </xf>
    <xf numFmtId="184" fontId="0" fillId="0" borderId="46" xfId="0" applyNumberFormat="1" applyBorder="1" applyAlignment="1">
      <alignment horizontal="right" vertical="top"/>
    </xf>
    <xf numFmtId="0" fontId="0" fillId="0" borderId="49" xfId="0" applyBorder="1" applyAlignment="1">
      <alignment horizontal="left" vertical="top"/>
    </xf>
    <xf numFmtId="0" fontId="0" fillId="0" borderId="49" xfId="0" applyBorder="1" applyAlignment="1">
      <alignment horizontal="right" vertical="top"/>
    </xf>
    <xf numFmtId="184" fontId="0" fillId="0" borderId="49" xfId="0" applyNumberFormat="1" applyBorder="1" applyAlignment="1">
      <alignment horizontal="right" vertical="top"/>
    </xf>
    <xf numFmtId="0" fontId="35" fillId="0" borderId="49" xfId="0" applyFont="1" applyBorder="1" applyAlignment="1">
      <alignment horizontal="left" vertical="top"/>
    </xf>
    <xf numFmtId="0" fontId="0" fillId="0" borderId="50" xfId="0" applyBorder="1" applyAlignment="1">
      <alignment horizontal="left" vertical="top"/>
    </xf>
    <xf numFmtId="184" fontId="0" fillId="0" borderId="50" xfId="0" applyNumberFormat="1" applyBorder="1" applyAlignment="1">
      <alignment horizontal="right" vertical="top"/>
    </xf>
    <xf numFmtId="185" fontId="29" fillId="0" borderId="6" xfId="12" applyNumberFormat="1" applyFont="1" applyBorder="1" applyAlignment="1"/>
    <xf numFmtId="185" fontId="29" fillId="0" borderId="0" xfId="12" applyNumberFormat="1" applyFont="1" applyBorder="1" applyAlignment="1"/>
    <xf numFmtId="0" fontId="29" fillId="4" borderId="0" xfId="0" applyFont="1" applyFill="1"/>
    <xf numFmtId="0" fontId="11" fillId="2" borderId="0" xfId="7" applyNumberFormat="1" applyFont="1" applyFill="1" applyBorder="1" applyAlignment="1">
      <alignment horizontal="right" vertical="top" wrapText="1"/>
    </xf>
    <xf numFmtId="0" fontId="11" fillId="2" borderId="0" xfId="7" applyFont="1" applyFill="1" applyBorder="1" applyAlignment="1">
      <alignment horizontal="right" vertical="top" wrapText="1"/>
    </xf>
    <xf numFmtId="0" fontId="0" fillId="47" borderId="0" xfId="0" applyFill="1"/>
    <xf numFmtId="0" fontId="199" fillId="0" borderId="0" xfId="0" applyFont="1" applyAlignment="1">
      <alignment horizontal="right"/>
    </xf>
    <xf numFmtId="184" fontId="199" fillId="0" borderId="0" xfId="0" applyNumberFormat="1" applyFont="1" applyAlignment="1">
      <alignment horizontal="right" vertical="top"/>
    </xf>
    <xf numFmtId="0" fontId="11" fillId="2" borderId="85" xfId="7" applyFont="1" applyFill="1" applyBorder="1" applyAlignment="1">
      <alignment horizontal="right" vertical="top" wrapText="1"/>
    </xf>
    <xf numFmtId="0" fontId="11" fillId="2" borderId="86" xfId="7" applyFont="1" applyFill="1" applyBorder="1" applyAlignment="1">
      <alignment horizontal="right" vertical="top" wrapText="1"/>
    </xf>
    <xf numFmtId="0" fontId="198" fillId="47" borderId="86" xfId="0" applyFont="1" applyFill="1" applyBorder="1"/>
    <xf numFmtId="184" fontId="49" fillId="0" borderId="0" xfId="0" applyNumberFormat="1" applyFont="1" applyAlignment="1">
      <alignment horizontal="right" vertical="top"/>
    </xf>
    <xf numFmtId="0" fontId="0" fillId="47" borderId="0" xfId="0" applyFill="1" applyAlignment="1">
      <alignment horizontal="left" vertical="top"/>
    </xf>
    <xf numFmtId="3" fontId="200" fillId="0" borderId="0" xfId="0" applyNumberFormat="1" applyFont="1"/>
    <xf numFmtId="185" fontId="29" fillId="0" borderId="0" xfId="0" applyNumberFormat="1" applyFont="1"/>
    <xf numFmtId="0" fontId="0" fillId="0" borderId="74" xfId="0" applyBorder="1"/>
    <xf numFmtId="0" fontId="41" fillId="0" borderId="74" xfId="0" applyFont="1" applyBorder="1"/>
    <xf numFmtId="0" fontId="20" fillId="0" borderId="74" xfId="0" applyFont="1" applyBorder="1" applyAlignment="1">
      <alignment horizontal="left"/>
    </xf>
    <xf numFmtId="0" fontId="20" fillId="0" borderId="74" xfId="0" applyFont="1" applyBorder="1"/>
    <xf numFmtId="0" fontId="0" fillId="0" borderId="74" xfId="0" applyBorder="1" applyAlignment="1">
      <alignment horizontal="left" vertical="top"/>
    </xf>
    <xf numFmtId="0" fontId="40" fillId="0" borderId="74" xfId="0" applyFont="1" applyBorder="1" applyAlignment="1">
      <alignment horizontal="left" indent="1"/>
    </xf>
    <xf numFmtId="0" fontId="32" fillId="0" borderId="74" xfId="0" applyFont="1" applyBorder="1"/>
    <xf numFmtId="0" fontId="40" fillId="0" borderId="74" xfId="0" applyFont="1" applyBorder="1" applyAlignment="1">
      <alignment horizontal="left"/>
    </xf>
    <xf numFmtId="0" fontId="27" fillId="0" borderId="74" xfId="0" applyFont="1" applyBorder="1" applyAlignment="1">
      <alignment vertical="center" wrapText="1"/>
    </xf>
    <xf numFmtId="0" fontId="50" fillId="0" borderId="75" xfId="0" applyFont="1" applyBorder="1"/>
    <xf numFmtId="0" fontId="0" fillId="0" borderId="75" xfId="0" applyBorder="1"/>
    <xf numFmtId="0" fontId="0" fillId="0" borderId="80" xfId="0" applyBorder="1"/>
    <xf numFmtId="3" fontId="30" fillId="0" borderId="61" xfId="0" applyNumberFormat="1" applyFont="1" applyBorder="1"/>
    <xf numFmtId="3" fontId="30" fillId="0" borderId="60" xfId="0" applyNumberFormat="1" applyFont="1" applyBorder="1"/>
    <xf numFmtId="3" fontId="0" fillId="47" borderId="0" xfId="0" applyNumberFormat="1" applyFill="1"/>
    <xf numFmtId="0" fontId="11" fillId="0" borderId="0" xfId="0" applyFont="1" applyAlignment="1">
      <alignment wrapText="1"/>
    </xf>
    <xf numFmtId="0" fontId="0" fillId="48" borderId="0" xfId="0" applyFill="1"/>
    <xf numFmtId="3" fontId="0" fillId="48" borderId="0" xfId="0" applyNumberFormat="1" applyFill="1"/>
    <xf numFmtId="184" fontId="20" fillId="0" borderId="46" xfId="0" applyNumberFormat="1" applyFont="1" applyBorder="1" applyAlignment="1">
      <alignment horizontal="right" vertical="top"/>
    </xf>
    <xf numFmtId="10" fontId="24" fillId="0" borderId="0" xfId="0" applyNumberFormat="1" applyFont="1" applyAlignment="1">
      <alignment horizontal="right" vertical="top"/>
    </xf>
    <xf numFmtId="185" fontId="30" fillId="0" borderId="20" xfId="0" applyNumberFormat="1" applyFont="1" applyBorder="1"/>
    <xf numFmtId="185" fontId="29" fillId="0" borderId="6" xfId="12" applyNumberFormat="1" applyFont="1" applyFill="1" applyBorder="1" applyAlignment="1"/>
    <xf numFmtId="185" fontId="29" fillId="0" borderId="0" xfId="12" applyNumberFormat="1" applyFont="1" applyFill="1" applyBorder="1" applyAlignment="1"/>
    <xf numFmtId="185" fontId="26" fillId="0" borderId="6" xfId="12" applyNumberFormat="1" applyFont="1" applyBorder="1" applyAlignment="1"/>
    <xf numFmtId="185" fontId="26" fillId="0" borderId="6" xfId="12" applyNumberFormat="1" applyFont="1" applyFill="1" applyBorder="1" applyAlignment="1"/>
    <xf numFmtId="185" fontId="26" fillId="0" borderId="0" xfId="12" applyNumberFormat="1" applyFont="1" applyBorder="1" applyAlignment="1"/>
    <xf numFmtId="185" fontId="26" fillId="0" borderId="0" xfId="12" applyNumberFormat="1" applyFont="1" applyFill="1" applyBorder="1" applyAlignment="1"/>
    <xf numFmtId="3" fontId="26" fillId="0" borderId="6" xfId="0" applyNumberFormat="1" applyFont="1" applyBorder="1"/>
    <xf numFmtId="3" fontId="26" fillId="0" borderId="0" xfId="0" applyNumberFormat="1" applyFont="1"/>
    <xf numFmtId="185" fontId="30" fillId="0" borderId="0" xfId="0" applyNumberFormat="1" applyFont="1"/>
    <xf numFmtId="185" fontId="73" fillId="0" borderId="0" xfId="12" applyNumberFormat="1" applyFont="1" applyAlignment="1"/>
    <xf numFmtId="0" fontId="0" fillId="48" borderId="0" xfId="0" applyFill="1" applyAlignment="1">
      <alignment horizontal="left" vertical="top"/>
    </xf>
    <xf numFmtId="184" fontId="0" fillId="48" borderId="0" xfId="0" applyNumberFormat="1" applyFill="1" applyAlignment="1">
      <alignment horizontal="right" vertical="top"/>
    </xf>
    <xf numFmtId="184" fontId="24" fillId="0" borderId="46" xfId="0" applyNumberFormat="1" applyFont="1" applyBorder="1" applyAlignment="1">
      <alignment horizontal="right" vertical="top"/>
    </xf>
    <xf numFmtId="0" fontId="201" fillId="0" borderId="0" xfId="0" applyFont="1"/>
    <xf numFmtId="0" fontId="201" fillId="0" borderId="6" xfId="0" applyFont="1" applyBorder="1"/>
    <xf numFmtId="0" fontId="26" fillId="0" borderId="6" xfId="0" applyFont="1" applyBorder="1"/>
    <xf numFmtId="190" fontId="24" fillId="0" borderId="6" xfId="0" applyNumberFormat="1" applyFont="1" applyBorder="1"/>
    <xf numFmtId="4" fontId="24" fillId="0" borderId="6" xfId="0" applyNumberFormat="1" applyFont="1" applyBorder="1"/>
    <xf numFmtId="4" fontId="30" fillId="0" borderId="46" xfId="0" applyNumberFormat="1" applyFont="1" applyBorder="1"/>
    <xf numFmtId="37" fontId="30" fillId="0" borderId="61" xfId="0" applyNumberFormat="1" applyFont="1" applyBorder="1"/>
    <xf numFmtId="0" fontId="54" fillId="0" borderId="74" xfId="0" applyFont="1" applyBorder="1"/>
    <xf numFmtId="0" fontId="40" fillId="0" borderId="74" xfId="0" applyFont="1" applyBorder="1"/>
    <xf numFmtId="37" fontId="29" fillId="0" borderId="74" xfId="0" applyNumberFormat="1" applyFont="1" applyBorder="1"/>
    <xf numFmtId="37" fontId="0" fillId="0" borderId="74" xfId="0" applyNumberFormat="1" applyBorder="1"/>
    <xf numFmtId="37" fontId="0" fillId="0" borderId="75" xfId="0" applyNumberFormat="1" applyBorder="1"/>
    <xf numFmtId="2" fontId="30" fillId="0" borderId="75" xfId="0" applyNumberFormat="1" applyFont="1" applyBorder="1"/>
    <xf numFmtId="37" fontId="29" fillId="0" borderId="80" xfId="0" applyNumberFormat="1" applyFont="1" applyBorder="1"/>
    <xf numFmtId="37" fontId="30" fillId="0" borderId="75" xfId="0" applyNumberFormat="1" applyFont="1" applyBorder="1"/>
    <xf numFmtId="0" fontId="55" fillId="0" borderId="74" xfId="0" applyFont="1" applyBorder="1"/>
    <xf numFmtId="37" fontId="0" fillId="0" borderId="80" xfId="0" applyNumberFormat="1" applyBorder="1"/>
    <xf numFmtId="178" fontId="125" fillId="0" borderId="74" xfId="4" applyNumberFormat="1" applyFont="1" applyFill="1" applyBorder="1" applyAlignment="1"/>
    <xf numFmtId="183" fontId="194" fillId="0" borderId="74" xfId="4" applyNumberFormat="1" applyFont="1" applyFill="1" applyBorder="1" applyAlignment="1"/>
    <xf numFmtId="176" fontId="53" fillId="0" borderId="74" xfId="0" applyNumberFormat="1" applyFont="1" applyBorder="1"/>
    <xf numFmtId="0" fontId="16" fillId="0" borderId="74" xfId="0" applyFont="1" applyBorder="1"/>
    <xf numFmtId="0" fontId="39" fillId="0" borderId="74" xfId="7" applyFill="1" applyBorder="1" applyAlignment="1"/>
    <xf numFmtId="0" fontId="40" fillId="36" borderId="0" xfId="0" applyFont="1" applyFill="1" applyAlignment="1">
      <alignment vertical="center"/>
    </xf>
    <xf numFmtId="3" fontId="0" fillId="0" borderId="80" xfId="0" applyNumberFormat="1" applyBorder="1"/>
    <xf numFmtId="10" fontId="25" fillId="0" borderId="21" xfId="0" applyNumberFormat="1" applyFont="1" applyBorder="1"/>
    <xf numFmtId="38" fontId="24" fillId="0" borderId="21" xfId="0" applyNumberFormat="1" applyFont="1" applyBorder="1"/>
    <xf numFmtId="182" fontId="29" fillId="0" borderId="88" xfId="0" applyNumberFormat="1" applyFont="1" applyBorder="1"/>
    <xf numFmtId="0" fontId="2" fillId="2" borderId="11" xfId="0" applyFont="1" applyFill="1" applyBorder="1" applyAlignment="1">
      <alignment wrapText="1"/>
    </xf>
    <xf numFmtId="0" fontId="0" fillId="0" borderId="89" xfId="0" applyBorder="1" applyAlignment="1">
      <alignment vertical="center"/>
    </xf>
    <xf numFmtId="182" fontId="29" fillId="0" borderId="93" xfId="0" applyNumberFormat="1" applyFont="1" applyBorder="1"/>
    <xf numFmtId="182" fontId="29" fillId="0" borderId="21" xfId="0" applyNumberFormat="1" applyFont="1" applyBorder="1"/>
    <xf numFmtId="0" fontId="0" fillId="0" borderId="89" xfId="0" applyBorder="1"/>
    <xf numFmtId="0" fontId="3" fillId="3" borderId="94" xfId="0" applyFont="1" applyFill="1" applyBorder="1"/>
    <xf numFmtId="0" fontId="0" fillId="0" borderId="21" xfId="0" applyBorder="1"/>
    <xf numFmtId="10" fontId="24" fillId="0" borderId="21" xfId="0" applyNumberFormat="1" applyFont="1" applyBorder="1"/>
    <xf numFmtId="182" fontId="22" fillId="0" borderId="21" xfId="0" applyNumberFormat="1" applyFont="1" applyBorder="1"/>
    <xf numFmtId="0" fontId="0" fillId="0" borderId="11" xfId="0" applyBorder="1" applyAlignment="1">
      <alignment horizontal="center"/>
    </xf>
    <xf numFmtId="0" fontId="0" fillId="0" borderId="90" xfId="0" applyBorder="1"/>
    <xf numFmtId="182" fontId="73" fillId="0" borderId="11" xfId="0" applyNumberFormat="1" applyFont="1" applyBorder="1"/>
    <xf numFmtId="182" fontId="22" fillId="0" borderId="11" xfId="0" applyNumberFormat="1" applyFont="1" applyBorder="1"/>
    <xf numFmtId="2" fontId="29" fillId="0" borderId="11" xfId="0" applyNumberFormat="1" applyFont="1" applyBorder="1"/>
    <xf numFmtId="186" fontId="22" fillId="0" borderId="11" xfId="0" applyNumberFormat="1" applyFont="1" applyBorder="1"/>
    <xf numFmtId="0" fontId="0" fillId="0" borderId="87" xfId="0" applyBorder="1"/>
    <xf numFmtId="0" fontId="0" fillId="0" borderId="91" xfId="0" applyBorder="1"/>
    <xf numFmtId="0" fontId="17" fillId="9" borderId="17" xfId="2" applyBorder="1"/>
    <xf numFmtId="178" fontId="25" fillId="0" borderId="11" xfId="0" applyNumberFormat="1" applyFont="1" applyBorder="1"/>
    <xf numFmtId="182" fontId="0" fillId="4" borderId="0" xfId="0" applyNumberFormat="1" applyFill="1"/>
    <xf numFmtId="182" fontId="0" fillId="5" borderId="0" xfId="0" applyNumberFormat="1" applyFill="1"/>
    <xf numFmtId="0" fontId="20" fillId="0" borderId="11" xfId="0" applyFont="1" applyBorder="1" applyAlignment="1">
      <alignment horizontal="center"/>
    </xf>
    <xf numFmtId="0" fontId="20" fillId="0" borderId="11" xfId="0" applyFont="1" applyBorder="1"/>
    <xf numFmtId="0" fontId="20" fillId="0" borderId="91" xfId="0" applyFont="1" applyBorder="1" applyAlignment="1">
      <alignment horizontal="right"/>
    </xf>
    <xf numFmtId="3" fontId="24" fillId="0" borderId="11" xfId="0" applyNumberFormat="1" applyFont="1" applyBorder="1"/>
    <xf numFmtId="0" fontId="0" fillId="4" borderId="11" xfId="0" applyFill="1" applyBorder="1"/>
    <xf numFmtId="3" fontId="24" fillId="0" borderId="90" xfId="0" applyNumberFormat="1" applyFont="1" applyBorder="1"/>
    <xf numFmtId="183" fontId="24" fillId="0" borderId="90" xfId="0" applyNumberFormat="1" applyFont="1" applyBorder="1"/>
    <xf numFmtId="183" fontId="24" fillId="0" borderId="11" xfId="0" applyNumberFormat="1" applyFont="1" applyBorder="1"/>
    <xf numFmtId="1" fontId="24" fillId="0" borderId="90" xfId="0" applyNumberFormat="1" applyFont="1" applyBorder="1"/>
    <xf numFmtId="1" fontId="24" fillId="0" borderId="11" xfId="0" applyNumberFormat="1" applyFont="1" applyBorder="1"/>
    <xf numFmtId="1" fontId="24" fillId="0" borderId="91" xfId="0" applyNumberFormat="1" applyFont="1" applyBorder="1"/>
    <xf numFmtId="189" fontId="73" fillId="0" borderId="11" xfId="0" applyNumberFormat="1" applyFont="1" applyBorder="1"/>
    <xf numFmtId="3" fontId="73" fillId="0" borderId="11" xfId="0" applyNumberFormat="1" applyFont="1" applyBorder="1"/>
    <xf numFmtId="3" fontId="24" fillId="4" borderId="11" xfId="0" applyNumberFormat="1" applyFont="1" applyFill="1" applyBorder="1"/>
    <xf numFmtId="185" fontId="24" fillId="0" borderId="90" xfId="0" applyNumberFormat="1" applyFont="1" applyBorder="1"/>
    <xf numFmtId="185" fontId="24" fillId="0" borderId="11" xfId="12" applyNumberFormat="1" applyFont="1" applyBorder="1" applyAlignment="1"/>
    <xf numFmtId="185" fontId="24" fillId="0" borderId="91" xfId="0" applyNumberFormat="1" applyFont="1" applyBorder="1"/>
    <xf numFmtId="38" fontId="24" fillId="0" borderId="90" xfId="0" applyNumberFormat="1" applyFont="1" applyBorder="1"/>
    <xf numFmtId="179" fontId="24" fillId="0" borderId="90" xfId="0" applyNumberFormat="1" applyFont="1" applyBorder="1"/>
    <xf numFmtId="179" fontId="24" fillId="0" borderId="11" xfId="0" applyNumberFormat="1" applyFont="1" applyBorder="1"/>
    <xf numFmtId="179" fontId="24" fillId="0" borderId="91" xfId="0" applyNumberFormat="1" applyFont="1" applyBorder="1"/>
    <xf numFmtId="0" fontId="73" fillId="0" borderId="11" xfId="0" applyFont="1" applyBorder="1"/>
    <xf numFmtId="0" fontId="73" fillId="0" borderId="90" xfId="0" applyFont="1" applyBorder="1"/>
    <xf numFmtId="0" fontId="174" fillId="4" borderId="11" xfId="0" applyFont="1" applyFill="1" applyBorder="1"/>
    <xf numFmtId="0" fontId="73" fillId="4" borderId="11" xfId="0" applyFont="1" applyFill="1" applyBorder="1"/>
    <xf numFmtId="189" fontId="174" fillId="4" borderId="11" xfId="0" applyNumberFormat="1" applyFont="1" applyFill="1" applyBorder="1"/>
    <xf numFmtId="0" fontId="26" fillId="0" borderId="90" xfId="0" applyFont="1" applyBorder="1"/>
    <xf numFmtId="0" fontId="201" fillId="0" borderId="11" xfId="0" applyFont="1" applyBorder="1"/>
    <xf numFmtId="0" fontId="26" fillId="0" borderId="11" xfId="0" applyFont="1" applyBorder="1"/>
    <xf numFmtId="0" fontId="174" fillId="0" borderId="90" xfId="0" applyFont="1" applyBorder="1"/>
    <xf numFmtId="0" fontId="174" fillId="0" borderId="11" xfId="0" applyFont="1" applyBorder="1"/>
    <xf numFmtId="4" fontId="24" fillId="0" borderId="90" xfId="0" applyNumberFormat="1" applyFont="1" applyBorder="1"/>
    <xf numFmtId="3" fontId="132" fillId="0" borderId="0" xfId="0" applyNumberFormat="1" applyFont="1"/>
    <xf numFmtId="0" fontId="89" fillId="36" borderId="11" xfId="0" applyFont="1" applyFill="1" applyBorder="1"/>
    <xf numFmtId="3" fontId="93" fillId="36" borderId="0" xfId="0" applyNumberFormat="1" applyFont="1" applyFill="1"/>
    <xf numFmtId="3" fontId="93" fillId="36" borderId="43" xfId="0" applyNumberFormat="1" applyFont="1" applyFill="1" applyBorder="1"/>
    <xf numFmtId="185" fontId="102" fillId="36" borderId="0" xfId="12" applyNumberFormat="1" applyFont="1" applyFill="1" applyAlignment="1"/>
    <xf numFmtId="185" fontId="102" fillId="36" borderId="0" xfId="12" applyNumberFormat="1" applyFont="1" applyFill="1" applyBorder="1" applyAlignment="1"/>
    <xf numFmtId="185" fontId="94" fillId="36" borderId="0" xfId="12" applyNumberFormat="1" applyFont="1" applyFill="1" applyAlignment="1"/>
    <xf numFmtId="185" fontId="94" fillId="36" borderId="43" xfId="12" applyNumberFormat="1" applyFont="1" applyFill="1" applyBorder="1" applyAlignment="1"/>
    <xf numFmtId="2" fontId="34" fillId="19" borderId="23" xfId="2" applyNumberFormat="1" applyFont="1" applyFill="1" applyBorder="1" applyAlignment="1">
      <alignment vertical="center"/>
    </xf>
    <xf numFmtId="3" fontId="203" fillId="0" borderId="0" xfId="0" applyNumberFormat="1" applyFont="1"/>
    <xf numFmtId="0" fontId="74" fillId="0" borderId="74" xfId="0" applyFont="1" applyBorder="1"/>
    <xf numFmtId="10" fontId="34" fillId="0" borderId="0" xfId="0" applyNumberFormat="1" applyFont="1" applyAlignment="1">
      <alignment horizontal="right" vertical="center"/>
    </xf>
    <xf numFmtId="10" fontId="34" fillId="33" borderId="0" xfId="0" applyNumberFormat="1" applyFont="1" applyFill="1" applyAlignment="1">
      <alignment horizontal="right" vertical="center"/>
    </xf>
    <xf numFmtId="4" fontId="34" fillId="33" borderId="0" xfId="0" applyNumberFormat="1" applyFont="1" applyFill="1" applyAlignment="1">
      <alignment horizontal="right" vertical="center"/>
    </xf>
    <xf numFmtId="0" fontId="1" fillId="0" borderId="0" xfId="0" applyFont="1" applyAlignment="1">
      <alignment horizontal="center" vertical="center"/>
    </xf>
    <xf numFmtId="10" fontId="1" fillId="0" borderId="0" xfId="0" applyNumberFormat="1" applyFont="1" applyAlignment="1">
      <alignment horizontal="center" vertical="center"/>
    </xf>
    <xf numFmtId="4" fontId="1" fillId="0" borderId="0" xfId="0" applyNumberFormat="1" applyFont="1" applyAlignment="1">
      <alignment vertical="center"/>
    </xf>
    <xf numFmtId="10" fontId="1" fillId="0" borderId="0" xfId="0" applyNumberFormat="1" applyFont="1" applyAlignment="1">
      <alignment vertical="center"/>
    </xf>
    <xf numFmtId="4" fontId="1" fillId="0" borderId="0" xfId="0" applyNumberFormat="1" applyFont="1" applyAlignment="1">
      <alignment horizontal="center" vertical="center"/>
    </xf>
    <xf numFmtId="10" fontId="1" fillId="0" borderId="0" xfId="0" applyNumberFormat="1" applyFont="1" applyAlignment="1">
      <alignment horizontal="right" vertical="center"/>
    </xf>
    <xf numFmtId="10" fontId="1" fillId="0" borderId="12" xfId="0" applyNumberFormat="1" applyFont="1" applyBorder="1" applyAlignment="1">
      <alignment horizontal="center" vertical="center"/>
    </xf>
    <xf numFmtId="4" fontId="1" fillId="0" borderId="0" xfId="0" applyNumberFormat="1" applyFont="1" applyAlignment="1">
      <alignment horizontal="right" vertical="center"/>
    </xf>
    <xf numFmtId="0" fontId="1" fillId="0" borderId="0" xfId="0" applyFont="1" applyAlignment="1">
      <alignment vertical="center"/>
    </xf>
    <xf numFmtId="0" fontId="126" fillId="0" borderId="0" xfId="0" applyFont="1" applyAlignment="1">
      <alignment horizontal="right" vertical="center"/>
    </xf>
    <xf numFmtId="0" fontId="1" fillId="0" borderId="12" xfId="0" applyFont="1" applyBorder="1" applyAlignment="1">
      <alignment vertical="center"/>
    </xf>
    <xf numFmtId="4" fontId="1" fillId="0" borderId="12" xfId="0" applyNumberFormat="1" applyFont="1" applyBorder="1" applyAlignment="1">
      <alignment vertical="center"/>
    </xf>
    <xf numFmtId="4" fontId="1" fillId="0" borderId="12" xfId="0" applyNumberFormat="1" applyFont="1" applyBorder="1" applyAlignment="1">
      <alignment horizontal="right" vertical="center"/>
    </xf>
    <xf numFmtId="184" fontId="1" fillId="0" borderId="0" xfId="0" applyNumberFormat="1" applyFont="1" applyAlignment="1">
      <alignment horizontal="right" vertical="center"/>
    </xf>
    <xf numFmtId="10" fontId="1" fillId="0" borderId="12" xfId="0" applyNumberFormat="1" applyFont="1" applyBorder="1" applyAlignment="1">
      <alignment vertical="center"/>
    </xf>
    <xf numFmtId="10" fontId="1" fillId="0" borderId="12" xfId="0" applyNumberFormat="1" applyFont="1" applyBorder="1" applyAlignment="1">
      <alignment horizontal="right" vertical="center"/>
    </xf>
    <xf numFmtId="40" fontId="1" fillId="0" borderId="12" xfId="0" applyNumberFormat="1" applyFont="1" applyBorder="1" applyAlignment="1">
      <alignment horizontal="right" vertical="center"/>
    </xf>
    <xf numFmtId="10" fontId="206" fillId="0" borderId="0" xfId="0" applyNumberFormat="1" applyFont="1" applyAlignment="1">
      <alignment horizontal="center" vertical="center"/>
    </xf>
    <xf numFmtId="10" fontId="206" fillId="0" borderId="0" xfId="0" applyNumberFormat="1" applyFont="1" applyAlignment="1">
      <alignment vertical="center"/>
    </xf>
    <xf numFmtId="4" fontId="206" fillId="0" borderId="0" xfId="0" applyNumberFormat="1" applyFont="1" applyAlignment="1">
      <alignment vertical="center"/>
    </xf>
    <xf numFmtId="10" fontId="206" fillId="0" borderId="0" xfId="0" applyNumberFormat="1" applyFont="1" applyAlignment="1">
      <alignment horizontal="right" vertical="center"/>
    </xf>
    <xf numFmtId="184" fontId="206" fillId="0" borderId="0" xfId="0" applyNumberFormat="1" applyFont="1" applyAlignment="1">
      <alignment horizontal="right" vertical="center"/>
    </xf>
    <xf numFmtId="203" fontId="206" fillId="0" borderId="0" xfId="0" applyNumberFormat="1" applyFont="1" applyAlignment="1">
      <alignment horizontal="right" vertical="center"/>
    </xf>
    <xf numFmtId="203" fontId="206" fillId="0" borderId="0" xfId="0" applyNumberFormat="1" applyFont="1" applyAlignment="1">
      <alignment vertical="center"/>
    </xf>
    <xf numFmtId="0" fontId="185" fillId="0" borderId="96" xfId="0" applyFont="1" applyBorder="1"/>
    <xf numFmtId="0" fontId="207" fillId="14" borderId="0" xfId="0" applyFont="1" applyFill="1" applyAlignment="1">
      <alignment horizontal="center" vertical="center"/>
    </xf>
    <xf numFmtId="4" fontId="205" fillId="33" borderId="0" xfId="0" applyNumberFormat="1" applyFont="1" applyFill="1" applyAlignment="1">
      <alignment horizontal="right" vertical="center"/>
    </xf>
    <xf numFmtId="0" fontId="133" fillId="14" borderId="0" xfId="0" applyFont="1" applyFill="1" applyAlignment="1">
      <alignment horizontal="right" vertical="center"/>
    </xf>
    <xf numFmtId="0" fontId="204" fillId="33" borderId="0" xfId="0" applyFont="1" applyFill="1" applyAlignment="1">
      <alignment vertical="center"/>
    </xf>
    <xf numFmtId="0" fontId="34" fillId="0" borderId="0" xfId="0" applyFont="1" applyAlignment="1">
      <alignment vertical="center"/>
    </xf>
    <xf numFmtId="0" fontId="34" fillId="33" borderId="0" xfId="0" applyFont="1" applyFill="1" applyAlignment="1">
      <alignment vertical="center"/>
    </xf>
    <xf numFmtId="10" fontId="205" fillId="0" borderId="0" xfId="0" applyNumberFormat="1" applyFont="1" applyAlignment="1">
      <alignment horizontal="right" vertical="center"/>
    </xf>
    <xf numFmtId="184" fontId="205" fillId="33" borderId="0" xfId="0" applyNumberFormat="1" applyFont="1" applyFill="1" applyAlignment="1">
      <alignment horizontal="right" vertical="center"/>
    </xf>
    <xf numFmtId="10" fontId="205" fillId="33" borderId="0" xfId="0" applyNumberFormat="1" applyFont="1" applyFill="1" applyAlignment="1">
      <alignment horizontal="right" vertical="center"/>
    </xf>
    <xf numFmtId="203" fontId="34" fillId="0" borderId="0" xfId="0" applyNumberFormat="1" applyFont="1" applyAlignment="1">
      <alignment horizontal="right" vertical="center"/>
    </xf>
    <xf numFmtId="40" fontId="205" fillId="33" borderId="0" xfId="0" applyNumberFormat="1" applyFont="1" applyFill="1" applyAlignment="1">
      <alignment horizontal="right" vertical="center"/>
    </xf>
    <xf numFmtId="10" fontId="174" fillId="0" borderId="0" xfId="0" applyNumberFormat="1" applyFont="1"/>
    <xf numFmtId="184" fontId="20" fillId="0" borderId="0" xfId="0" applyNumberFormat="1" applyFont="1" applyAlignment="1">
      <alignment horizontal="right" vertical="top"/>
    </xf>
    <xf numFmtId="185" fontId="24" fillId="0" borderId="0" xfId="0" applyNumberFormat="1" applyFont="1"/>
    <xf numFmtId="185" fontId="24" fillId="0" borderId="97" xfId="0" applyNumberFormat="1" applyFont="1" applyBorder="1"/>
    <xf numFmtId="3" fontId="174" fillId="0" borderId="0" xfId="0" applyNumberFormat="1" applyFont="1"/>
    <xf numFmtId="37" fontId="174" fillId="0" borderId="74" xfId="0" applyNumberFormat="1" applyFont="1" applyBorder="1" applyAlignment="1">
      <alignment horizontal="right"/>
    </xf>
    <xf numFmtId="3" fontId="0" fillId="0" borderId="74" xfId="0" applyNumberFormat="1" applyBorder="1"/>
    <xf numFmtId="3" fontId="29" fillId="0" borderId="74" xfId="0" applyNumberFormat="1" applyFont="1" applyBorder="1"/>
    <xf numFmtId="3" fontId="29" fillId="0" borderId="55" xfId="0" applyNumberFormat="1" applyFont="1" applyBorder="1"/>
    <xf numFmtId="3" fontId="30" fillId="0" borderId="75" xfId="0" applyNumberFormat="1" applyFont="1" applyBorder="1"/>
    <xf numFmtId="3" fontId="29" fillId="0" borderId="80" xfId="0" applyNumberFormat="1" applyFont="1" applyBorder="1"/>
    <xf numFmtId="3" fontId="24" fillId="0" borderId="44" xfId="0" applyNumberFormat="1" applyFont="1" applyBorder="1"/>
    <xf numFmtId="0" fontId="12" fillId="0" borderId="44" xfId="0" applyFont="1" applyBorder="1" applyAlignment="1">
      <alignment vertical="center"/>
    </xf>
    <xf numFmtId="0" fontId="44" fillId="0" borderId="44" xfId="0" applyFont="1" applyBorder="1" applyAlignment="1">
      <alignment vertical="center"/>
    </xf>
    <xf numFmtId="38" fontId="24" fillId="0" borderId="98" xfId="0" applyNumberFormat="1" applyFont="1" applyBorder="1" applyAlignment="1">
      <alignment horizontal="right" vertical="top"/>
    </xf>
    <xf numFmtId="38" fontId="24" fillId="0" borderId="44" xfId="0" applyNumberFormat="1" applyFont="1" applyBorder="1" applyAlignment="1">
      <alignment horizontal="right" vertical="top"/>
    </xf>
    <xf numFmtId="0" fontId="0" fillId="0" borderId="21" xfId="0" applyBorder="1" applyAlignment="1">
      <alignment horizontal="right" vertical="top"/>
    </xf>
    <xf numFmtId="184" fontId="0" fillId="0" borderId="21" xfId="0" applyNumberFormat="1" applyBorder="1" applyAlignment="1">
      <alignment horizontal="right" vertical="top"/>
    </xf>
    <xf numFmtId="40" fontId="24" fillId="0" borderId="12" xfId="0" applyNumberFormat="1" applyFont="1" applyBorder="1" applyAlignment="1">
      <alignment horizontal="right" vertical="top"/>
    </xf>
    <xf numFmtId="4" fontId="24" fillId="0" borderId="12" xfId="0" applyNumberFormat="1" applyFont="1" applyBorder="1" applyAlignment="1">
      <alignment horizontal="right" vertical="top"/>
    </xf>
    <xf numFmtId="40" fontId="0" fillId="0" borderId="0" xfId="0" applyNumberFormat="1" applyAlignment="1">
      <alignment horizontal="right" vertical="top"/>
    </xf>
    <xf numFmtId="10" fontId="24" fillId="0" borderId="44" xfId="0" applyNumberFormat="1" applyFont="1" applyBorder="1"/>
    <xf numFmtId="3" fontId="0" fillId="0" borderId="21" xfId="0" applyNumberFormat="1" applyBorder="1"/>
    <xf numFmtId="3" fontId="27" fillId="0" borderId="21" xfId="0" applyNumberFormat="1" applyFont="1" applyBorder="1"/>
    <xf numFmtId="10" fontId="0" fillId="0" borderId="0" xfId="0" applyNumberFormat="1" applyAlignment="1">
      <alignment horizontal="right" vertical="top"/>
    </xf>
    <xf numFmtId="37" fontId="29" fillId="0" borderId="99" xfId="0" applyNumberFormat="1" applyFont="1" applyBorder="1"/>
    <xf numFmtId="3" fontId="210" fillId="0" borderId="0" xfId="0" applyNumberFormat="1" applyFont="1"/>
    <xf numFmtId="37" fontId="29" fillId="0" borderId="55" xfId="0" applyNumberFormat="1" applyFont="1" applyBorder="1"/>
    <xf numFmtId="37" fontId="24" fillId="0" borderId="55" xfId="0" applyNumberFormat="1" applyFont="1" applyBorder="1"/>
    <xf numFmtId="0" fontId="0" fillId="0" borderId="55" xfId="0" applyBorder="1"/>
    <xf numFmtId="37" fontId="30" fillId="0" borderId="60" xfId="0" applyNumberFormat="1" applyFont="1" applyBorder="1"/>
    <xf numFmtId="0" fontId="54" fillId="0" borderId="55" xfId="0" applyFont="1" applyBorder="1"/>
    <xf numFmtId="37" fontId="16" fillId="0" borderId="80" xfId="0" applyNumberFormat="1" applyFont="1" applyBorder="1"/>
    <xf numFmtId="0" fontId="139" fillId="0" borderId="75" xfId="0" applyFont="1" applyBorder="1"/>
    <xf numFmtId="0" fontId="124" fillId="0" borderId="75" xfId="0" applyFont="1" applyBorder="1"/>
    <xf numFmtId="0" fontId="123" fillId="0" borderId="75" xfId="0" applyFont="1" applyBorder="1"/>
    <xf numFmtId="37" fontId="95" fillId="0" borderId="74" xfId="0" applyNumberFormat="1" applyFont="1" applyBorder="1"/>
    <xf numFmtId="0" fontId="16" fillId="0" borderId="74" xfId="0" applyFont="1" applyBorder="1" applyAlignment="1">
      <alignment horizontal="left" vertical="center"/>
    </xf>
    <xf numFmtId="37" fontId="29" fillId="0" borderId="74" xfId="0" applyNumberFormat="1" applyFont="1" applyBorder="1" applyAlignment="1">
      <alignment vertical="center"/>
    </xf>
    <xf numFmtId="0" fontId="0" fillId="0" borderId="74" xfId="0" applyBorder="1" applyAlignment="1">
      <alignment vertical="center"/>
    </xf>
    <xf numFmtId="178" fontId="24" fillId="0" borderId="74" xfId="4" applyNumberFormat="1" applyFont="1" applyFill="1" applyBorder="1" applyAlignment="1">
      <alignment vertical="center"/>
    </xf>
    <xf numFmtId="37" fontId="24" fillId="0" borderId="61" xfId="0" applyNumberFormat="1" applyFont="1" applyBorder="1"/>
    <xf numFmtId="178" fontId="53" fillId="0" borderId="74" xfId="0" applyNumberFormat="1" applyFont="1" applyBorder="1" applyAlignment="1">
      <alignment horizontal="center"/>
    </xf>
    <xf numFmtId="0" fontId="16" fillId="0" borderId="74" xfId="0" applyFont="1" applyBorder="1" applyAlignment="1">
      <alignment horizontal="left" vertical="top"/>
    </xf>
    <xf numFmtId="176" fontId="113" fillId="0" borderId="74" xfId="0" applyNumberFormat="1" applyFont="1" applyBorder="1"/>
    <xf numFmtId="176" fontId="0" fillId="0" borderId="74" xfId="0" applyNumberFormat="1" applyBorder="1" applyAlignment="1">
      <alignment horizontal="right"/>
    </xf>
    <xf numFmtId="176" fontId="29" fillId="0" borderId="74" xfId="0" applyNumberFormat="1" applyFont="1" applyBorder="1" applyAlignment="1">
      <alignment horizontal="right"/>
    </xf>
    <xf numFmtId="176" fontId="49" fillId="0" borderId="74" xfId="0" applyNumberFormat="1" applyFont="1" applyBorder="1" applyAlignment="1">
      <alignment horizontal="center"/>
    </xf>
    <xf numFmtId="178" fontId="194" fillId="0" borderId="74" xfId="4" applyNumberFormat="1" applyFont="1" applyFill="1" applyBorder="1" applyAlignment="1"/>
    <xf numFmtId="178" fontId="24" fillId="0" borderId="74" xfId="4" applyNumberFormat="1" applyFont="1" applyFill="1" applyBorder="1" applyAlignment="1"/>
    <xf numFmtId="0" fontId="85" fillId="0" borderId="74" xfId="0" applyFont="1" applyBorder="1"/>
    <xf numFmtId="176" fontId="173" fillId="0" borderId="74" xfId="0" applyNumberFormat="1" applyFont="1" applyBorder="1" applyAlignment="1">
      <alignment horizontal="right" vertical="center"/>
    </xf>
    <xf numFmtId="185" fontId="31" fillId="0" borderId="74" xfId="0" applyNumberFormat="1" applyFont="1" applyBorder="1" applyAlignment="1">
      <alignment horizontal="right"/>
    </xf>
    <xf numFmtId="37" fontId="73" fillId="0" borderId="74" xfId="0" applyNumberFormat="1" applyFont="1" applyBorder="1"/>
    <xf numFmtId="37" fontId="73" fillId="0" borderId="55" xfId="0" applyNumberFormat="1" applyFont="1" applyBorder="1"/>
    <xf numFmtId="37" fontId="24" fillId="0" borderId="74" xfId="0" applyNumberFormat="1" applyFont="1" applyBorder="1"/>
    <xf numFmtId="37" fontId="0" fillId="0" borderId="55" xfId="0" applyNumberFormat="1" applyBorder="1"/>
    <xf numFmtId="37" fontId="139" fillId="0" borderId="75" xfId="0" applyNumberFormat="1" applyFont="1" applyBorder="1" applyAlignment="1">
      <alignment horizontal="center"/>
    </xf>
    <xf numFmtId="37" fontId="137" fillId="0" borderId="75" xfId="0" applyNumberFormat="1" applyFont="1" applyBorder="1" applyAlignment="1">
      <alignment horizontal="center"/>
    </xf>
    <xf numFmtId="37" fontId="139" fillId="0" borderId="75" xfId="0" applyNumberFormat="1" applyFont="1" applyBorder="1"/>
    <xf numFmtId="37" fontId="95" fillId="0" borderId="74" xfId="0" applyNumberFormat="1" applyFont="1" applyBorder="1" applyAlignment="1">
      <alignment horizontal="right"/>
    </xf>
    <xf numFmtId="37" fontId="73" fillId="0" borderId="74" xfId="0" applyNumberFormat="1" applyFont="1" applyBorder="1" applyAlignment="1">
      <alignment vertical="center"/>
    </xf>
    <xf numFmtId="37" fontId="170" fillId="0" borderId="74" xfId="0" applyNumberFormat="1" applyFont="1" applyBorder="1" applyAlignment="1">
      <alignment horizontal="right" vertical="center"/>
    </xf>
    <xf numFmtId="37" fontId="24" fillId="0" borderId="74" xfId="0" applyNumberFormat="1" applyFont="1" applyBorder="1" applyAlignment="1">
      <alignment horizontal="right"/>
    </xf>
    <xf numFmtId="37" fontId="73" fillId="0" borderId="74" xfId="0" applyNumberFormat="1" applyFont="1" applyBorder="1" applyAlignment="1">
      <alignment horizontal="right"/>
    </xf>
    <xf numFmtId="37" fontId="49" fillId="0" borderId="74" xfId="0" applyNumberFormat="1" applyFont="1" applyBorder="1" applyAlignment="1">
      <alignment horizontal="center"/>
    </xf>
    <xf numFmtId="37" fontId="129" fillId="0" borderId="55" xfId="0" applyNumberFormat="1" applyFont="1" applyBorder="1" applyAlignment="1">
      <alignment horizontal="center"/>
    </xf>
    <xf numFmtId="37" fontId="31" fillId="0" borderId="74" xfId="0" applyNumberFormat="1" applyFont="1" applyBorder="1" applyAlignment="1">
      <alignment horizontal="center"/>
    </xf>
    <xf numFmtId="37" fontId="29" fillId="0" borderId="74" xfId="0" applyNumberFormat="1" applyFont="1" applyBorder="1" applyAlignment="1">
      <alignment horizontal="right"/>
    </xf>
    <xf numFmtId="37" fontId="40" fillId="0" borderId="74" xfId="0" applyNumberFormat="1" applyFont="1" applyBorder="1" applyAlignment="1">
      <alignment horizontal="center"/>
    </xf>
    <xf numFmtId="37" fontId="0" fillId="0" borderId="74" xfId="0" applyNumberFormat="1" applyBorder="1" applyAlignment="1">
      <alignment horizontal="center"/>
    </xf>
    <xf numFmtId="37" fontId="40" fillId="0" borderId="74" xfId="0" applyNumberFormat="1" applyFont="1" applyBorder="1" applyAlignment="1">
      <alignment horizontal="right"/>
    </xf>
    <xf numFmtId="37" fontId="170" fillId="0" borderId="55" xfId="0" applyNumberFormat="1" applyFont="1" applyBorder="1" applyAlignment="1">
      <alignment horizontal="right" vertical="center"/>
    </xf>
    <xf numFmtId="37" fontId="31" fillId="0" borderId="80" xfId="0" applyNumberFormat="1" applyFont="1" applyBorder="1" applyAlignment="1">
      <alignment horizontal="center"/>
    </xf>
    <xf numFmtId="37" fontId="29" fillId="0" borderId="75" xfId="0" applyNumberFormat="1" applyFont="1" applyBorder="1" applyAlignment="1">
      <alignment horizontal="right"/>
    </xf>
    <xf numFmtId="37" fontId="69" fillId="0" borderId="74" xfId="0" applyNumberFormat="1" applyFont="1" applyBorder="1" applyAlignment="1">
      <alignment horizontal="right"/>
    </xf>
    <xf numFmtId="0" fontId="73" fillId="0" borderId="74" xfId="0" applyFont="1" applyBorder="1"/>
    <xf numFmtId="183" fontId="73" fillId="0" borderId="74" xfId="4" applyNumberFormat="1" applyFont="1" applyFill="1" applyBorder="1" applyAlignment="1"/>
    <xf numFmtId="178" fontId="24" fillId="0" borderId="74" xfId="4" applyNumberFormat="1" applyFont="1" applyBorder="1" applyAlignment="1">
      <alignment vertical="center"/>
    </xf>
    <xf numFmtId="37" fontId="170" fillId="0" borderId="74" xfId="0" applyNumberFormat="1" applyFont="1" applyBorder="1" applyAlignment="1">
      <alignment horizontal="right"/>
    </xf>
    <xf numFmtId="37" fontId="69" fillId="0" borderId="74" xfId="0" applyNumberFormat="1" applyFont="1" applyBorder="1" applyAlignment="1">
      <alignment horizontal="right" vertical="center"/>
    </xf>
    <xf numFmtId="0" fontId="0" fillId="0" borderId="100" xfId="0" applyBorder="1"/>
    <xf numFmtId="0" fontId="0" fillId="0" borderId="101" xfId="0" applyBorder="1"/>
    <xf numFmtId="0" fontId="0" fillId="0" borderId="102" xfId="0" applyBorder="1"/>
    <xf numFmtId="0" fontId="0" fillId="0" borderId="54" xfId="0" applyBorder="1"/>
    <xf numFmtId="0" fontId="124" fillId="0" borderId="100" xfId="0" applyFont="1" applyBorder="1"/>
    <xf numFmtId="0" fontId="16" fillId="0" borderId="100" xfId="0" applyFont="1" applyBorder="1"/>
    <xf numFmtId="0" fontId="0" fillId="0" borderId="79" xfId="0" applyBorder="1"/>
    <xf numFmtId="0" fontId="0" fillId="0" borderId="96" xfId="0" applyBorder="1"/>
    <xf numFmtId="3" fontId="29" fillId="0" borderId="96" xfId="0" applyNumberFormat="1" applyFont="1" applyBorder="1"/>
    <xf numFmtId="3" fontId="30" fillId="0" borderId="57" xfId="0" applyNumberFormat="1" applyFont="1" applyBorder="1"/>
    <xf numFmtId="3" fontId="29" fillId="0" borderId="59" xfId="0" applyNumberFormat="1" applyFont="1" applyBorder="1"/>
    <xf numFmtId="3" fontId="30" fillId="0" borderId="103" xfId="0" applyNumberFormat="1" applyFont="1" applyBorder="1"/>
    <xf numFmtId="3" fontId="0" fillId="0" borderId="96" xfId="0" applyNumberFormat="1" applyBorder="1"/>
    <xf numFmtId="3" fontId="0" fillId="0" borderId="104" xfId="0" applyNumberFormat="1" applyBorder="1"/>
    <xf numFmtId="3" fontId="30" fillId="0" borderId="79" xfId="0" applyNumberFormat="1" applyFont="1" applyBorder="1"/>
    <xf numFmtId="3" fontId="29" fillId="0" borderId="104" xfId="0" applyNumberFormat="1" applyFont="1" applyBorder="1"/>
    <xf numFmtId="2" fontId="30" fillId="0" borderId="79" xfId="0" applyNumberFormat="1" applyFont="1" applyBorder="1"/>
    <xf numFmtId="0" fontId="0" fillId="0" borderId="104" xfId="0" applyBorder="1"/>
    <xf numFmtId="37" fontId="174" fillId="0" borderId="96" xfId="0" applyNumberFormat="1" applyFont="1" applyBorder="1" applyAlignment="1">
      <alignment horizontal="right"/>
    </xf>
    <xf numFmtId="37" fontId="73" fillId="0" borderId="96" xfId="0" applyNumberFormat="1" applyFont="1" applyBorder="1"/>
    <xf numFmtId="37" fontId="73" fillId="0" borderId="59" xfId="0" applyNumberFormat="1" applyFont="1" applyBorder="1"/>
    <xf numFmtId="37" fontId="30" fillId="0" borderId="57" xfId="0" applyNumberFormat="1" applyFont="1" applyBorder="1"/>
    <xf numFmtId="37" fontId="0" fillId="0" borderId="96" xfId="0" applyNumberFormat="1" applyBorder="1"/>
    <xf numFmtId="37" fontId="24" fillId="0" borderId="96" xfId="0" applyNumberFormat="1" applyFont="1" applyBorder="1"/>
    <xf numFmtId="37" fontId="29" fillId="0" borderId="96" xfId="0" applyNumberFormat="1" applyFont="1" applyBorder="1"/>
    <xf numFmtId="37" fontId="29" fillId="0" borderId="105" xfId="0" applyNumberFormat="1" applyFont="1" applyBorder="1"/>
    <xf numFmtId="37" fontId="24" fillId="0" borderId="59" xfId="0" applyNumberFormat="1" applyFont="1" applyBorder="1"/>
    <xf numFmtId="37" fontId="0" fillId="0" borderId="79" xfId="0" applyNumberFormat="1" applyBorder="1"/>
    <xf numFmtId="37" fontId="0" fillId="0" borderId="59" xfId="0" applyNumberFormat="1" applyBorder="1"/>
    <xf numFmtId="37" fontId="30" fillId="0" borderId="103" xfId="0" applyNumberFormat="1" applyFont="1" applyBorder="1"/>
    <xf numFmtId="37" fontId="16" fillId="0" borderId="104" xfId="0" applyNumberFormat="1" applyFont="1" applyBorder="1"/>
    <xf numFmtId="37" fontId="139" fillId="0" borderId="79" xfId="0" applyNumberFormat="1" applyFont="1" applyBorder="1"/>
    <xf numFmtId="37" fontId="95" fillId="0" borderId="96" xfId="0" applyNumberFormat="1" applyFont="1" applyBorder="1" applyAlignment="1">
      <alignment horizontal="right"/>
    </xf>
    <xf numFmtId="37" fontId="170" fillId="0" borderId="96" xfId="0" applyNumberFormat="1" applyFont="1" applyBorder="1" applyAlignment="1">
      <alignment horizontal="right" vertical="center"/>
    </xf>
    <xf numFmtId="37" fontId="24" fillId="0" borderId="57" xfId="0" applyNumberFormat="1" applyFont="1" applyBorder="1"/>
    <xf numFmtId="37" fontId="24" fillId="0" borderId="96" xfId="0" applyNumberFormat="1" applyFont="1" applyBorder="1" applyAlignment="1">
      <alignment horizontal="right"/>
    </xf>
    <xf numFmtId="37" fontId="73" fillId="0" borderId="96" xfId="0" applyNumberFormat="1" applyFont="1" applyBorder="1" applyAlignment="1">
      <alignment horizontal="right"/>
    </xf>
    <xf numFmtId="37" fontId="49" fillId="0" borderId="96" xfId="0" applyNumberFormat="1" applyFont="1" applyBorder="1" applyAlignment="1">
      <alignment horizontal="center"/>
    </xf>
    <xf numFmtId="37" fontId="129" fillId="0" borderId="59" xfId="0" applyNumberFormat="1" applyFont="1" applyBorder="1" applyAlignment="1">
      <alignment horizontal="center"/>
    </xf>
    <xf numFmtId="37" fontId="31" fillId="0" borderId="96" xfId="0" applyNumberFormat="1" applyFont="1" applyBorder="1" applyAlignment="1">
      <alignment horizontal="center"/>
    </xf>
    <xf numFmtId="37" fontId="170" fillId="0" borderId="96" xfId="0" applyNumberFormat="1" applyFont="1" applyBorder="1" applyAlignment="1">
      <alignment horizontal="right"/>
    </xf>
    <xf numFmtId="37" fontId="69" fillId="0" borderId="96" xfId="0" applyNumberFormat="1" applyFont="1" applyBorder="1" applyAlignment="1">
      <alignment horizontal="right"/>
    </xf>
    <xf numFmtId="37" fontId="29" fillId="0" borderId="96" xfId="0" applyNumberFormat="1" applyFont="1" applyBorder="1" applyAlignment="1">
      <alignment horizontal="right"/>
    </xf>
    <xf numFmtId="37" fontId="170" fillId="0" borderId="59" xfId="0" applyNumberFormat="1" applyFont="1" applyBorder="1" applyAlignment="1">
      <alignment horizontal="right" vertical="center"/>
    </xf>
    <xf numFmtId="37" fontId="31" fillId="0" borderId="104" xfId="0" applyNumberFormat="1" applyFont="1" applyBorder="1" applyAlignment="1">
      <alignment horizontal="center"/>
    </xf>
    <xf numFmtId="37" fontId="29" fillId="0" borderId="104" xfId="0" applyNumberFormat="1" applyFont="1" applyBorder="1"/>
    <xf numFmtId="37" fontId="29" fillId="0" borderId="79" xfId="0" applyNumberFormat="1" applyFont="1" applyBorder="1" applyAlignment="1">
      <alignment horizontal="right"/>
    </xf>
    <xf numFmtId="37" fontId="29" fillId="0" borderId="100" xfId="0" applyNumberFormat="1" applyFont="1" applyBorder="1"/>
    <xf numFmtId="0" fontId="139" fillId="0" borderId="102" xfId="0" applyFont="1" applyBorder="1"/>
    <xf numFmtId="178" fontId="24" fillId="0" borderId="100" xfId="4" applyNumberFormat="1" applyFont="1" applyFill="1" applyBorder="1" applyAlignment="1">
      <alignment vertical="center"/>
    </xf>
    <xf numFmtId="178" fontId="125" fillId="0" borderId="100" xfId="4" applyNumberFormat="1" applyFont="1" applyFill="1" applyBorder="1" applyAlignment="1"/>
    <xf numFmtId="176" fontId="113" fillId="0" borderId="100" xfId="0" applyNumberFormat="1" applyFont="1" applyBorder="1"/>
    <xf numFmtId="176" fontId="29" fillId="0" borderId="100" xfId="0" applyNumberFormat="1" applyFont="1" applyBorder="1" applyAlignment="1">
      <alignment horizontal="right"/>
    </xf>
    <xf numFmtId="185" fontId="31" fillId="0" borderId="100" xfId="0" applyNumberFormat="1" applyFont="1" applyBorder="1" applyAlignment="1">
      <alignment horizontal="right"/>
    </xf>
    <xf numFmtId="0" fontId="40" fillId="0" borderId="55" xfId="0" applyFont="1" applyBorder="1"/>
    <xf numFmtId="0" fontId="54" fillId="0" borderId="106" xfId="0" applyFont="1" applyBorder="1"/>
    <xf numFmtId="9" fontId="54" fillId="0" borderId="106" xfId="0" applyNumberFormat="1" applyFont="1" applyBorder="1"/>
    <xf numFmtId="0" fontId="151" fillId="12" borderId="81" xfId="0" applyFont="1" applyFill="1" applyBorder="1"/>
    <xf numFmtId="0" fontId="151" fillId="12" borderId="100" xfId="0" applyFont="1" applyFill="1" applyBorder="1"/>
    <xf numFmtId="0" fontId="151" fillId="12" borderId="107" xfId="0" applyFont="1" applyFill="1" applyBorder="1"/>
    <xf numFmtId="0" fontId="124" fillId="0" borderId="100" xfId="0" applyFont="1" applyBorder="1" applyAlignment="1">
      <alignment horizontal="left"/>
    </xf>
    <xf numFmtId="0" fontId="0" fillId="0" borderId="107" xfId="0" applyBorder="1"/>
    <xf numFmtId="0" fontId="48" fillId="0" borderId="102" xfId="0" applyFont="1" applyBorder="1" applyAlignment="1">
      <alignment vertical="center"/>
    </xf>
    <xf numFmtId="0" fontId="155" fillId="0" borderId="100" xfId="0" applyFont="1" applyBorder="1"/>
    <xf numFmtId="0" fontId="212" fillId="0" borderId="100" xfId="0" applyFont="1" applyBorder="1" applyAlignment="1">
      <alignment vertical="center"/>
    </xf>
    <xf numFmtId="0" fontId="151" fillId="0" borderId="100" xfId="0" applyFont="1" applyBorder="1"/>
    <xf numFmtId="0" fontId="134" fillId="0" borderId="100" xfId="0" applyFont="1" applyBorder="1"/>
    <xf numFmtId="0" fontId="41" fillId="0" borderId="74" xfId="0" applyFont="1" applyBorder="1" applyAlignment="1">
      <alignment horizontal="left" vertical="center"/>
    </xf>
    <xf numFmtId="0" fontId="46" fillId="0" borderId="74" xfId="0" applyFont="1" applyBorder="1" applyAlignment="1">
      <alignment horizontal="center"/>
    </xf>
    <xf numFmtId="3" fontId="30" fillId="0" borderId="74" xfId="0" applyNumberFormat="1" applyFont="1" applyBorder="1"/>
    <xf numFmtId="2" fontId="30" fillId="0" borderId="74" xfId="0" applyNumberFormat="1" applyFont="1" applyBorder="1"/>
    <xf numFmtId="37" fontId="30" fillId="0" borderId="74" xfId="0" applyNumberFormat="1" applyFont="1" applyBorder="1"/>
    <xf numFmtId="37" fontId="30" fillId="0" borderId="55" xfId="0" applyNumberFormat="1" applyFont="1" applyBorder="1"/>
    <xf numFmtId="37" fontId="73" fillId="0" borderId="83" xfId="0" applyNumberFormat="1" applyFont="1" applyBorder="1"/>
    <xf numFmtId="37" fontId="29" fillId="0" borderId="75" xfId="0" applyNumberFormat="1" applyFont="1" applyBorder="1"/>
    <xf numFmtId="37" fontId="24" fillId="0" borderId="83" xfId="0" applyNumberFormat="1" applyFont="1" applyBorder="1"/>
    <xf numFmtId="37" fontId="0" fillId="0" borderId="83" xfId="0" applyNumberFormat="1" applyBorder="1"/>
    <xf numFmtId="0" fontId="155" fillId="0" borderId="102" xfId="0" applyFont="1" applyBorder="1"/>
    <xf numFmtId="0" fontId="134" fillId="0" borderId="107" xfId="0" applyFont="1" applyBorder="1"/>
    <xf numFmtId="37" fontId="129" fillId="0" borderId="83" xfId="0" applyNumberFormat="1" applyFont="1" applyBorder="1" applyAlignment="1">
      <alignment horizontal="center"/>
    </xf>
    <xf numFmtId="37" fontId="24" fillId="0" borderId="75" xfId="0" applyNumberFormat="1" applyFont="1" applyBorder="1"/>
    <xf numFmtId="0" fontId="124" fillId="0" borderId="102" xfId="0" applyFont="1" applyBorder="1"/>
    <xf numFmtId="37" fontId="170" fillId="0" borderId="83" xfId="0" applyNumberFormat="1" applyFont="1" applyBorder="1" applyAlignment="1">
      <alignment horizontal="right" vertical="center"/>
    </xf>
    <xf numFmtId="0" fontId="124" fillId="0" borderId="107" xfId="0" applyFont="1" applyBorder="1"/>
    <xf numFmtId="0" fontId="16" fillId="0" borderId="102" xfId="0" applyFont="1" applyBorder="1"/>
    <xf numFmtId="37" fontId="31" fillId="0" borderId="83" xfId="0" applyNumberFormat="1" applyFont="1" applyBorder="1" applyAlignment="1">
      <alignment horizontal="center"/>
    </xf>
    <xf numFmtId="0" fontId="16" fillId="0" borderId="107" xfId="0" applyFont="1" applyBorder="1"/>
    <xf numFmtId="0" fontId="213" fillId="0" borderId="0" xfId="0" applyFont="1" applyAlignment="1">
      <alignment horizontal="left" vertical="center" wrapText="1"/>
    </xf>
    <xf numFmtId="204" fontId="34" fillId="0" borderId="0" xfId="0" applyNumberFormat="1" applyFont="1" applyAlignment="1">
      <alignment horizontal="center" vertical="center"/>
    </xf>
    <xf numFmtId="0" fontId="46" fillId="0" borderId="0" xfId="0" applyFont="1" applyAlignment="1">
      <alignment horizontal="center"/>
    </xf>
    <xf numFmtId="0" fontId="46" fillId="0" borderId="108" xfId="0" applyFont="1" applyBorder="1" applyAlignment="1">
      <alignment horizontal="center"/>
    </xf>
    <xf numFmtId="0" fontId="47" fillId="0" borderId="109" xfId="0" applyFont="1" applyBorder="1"/>
    <xf numFmtId="0" fontId="40" fillId="13" borderId="110" xfId="0" applyFont="1" applyFill="1" applyBorder="1" applyAlignment="1">
      <alignment horizontal="center"/>
    </xf>
    <xf numFmtId="0" fontId="46" fillId="14" borderId="110" xfId="0" applyFont="1" applyFill="1" applyBorder="1" applyAlignment="1">
      <alignment horizontal="center"/>
    </xf>
    <xf numFmtId="0" fontId="46" fillId="0" borderId="109" xfId="0" applyFont="1" applyBorder="1" applyAlignment="1">
      <alignment horizontal="center"/>
    </xf>
    <xf numFmtId="0" fontId="0" fillId="0" borderId="111" xfId="0" applyBorder="1"/>
    <xf numFmtId="0" fontId="46" fillId="15" borderId="110" xfId="0" applyFont="1" applyFill="1" applyBorder="1" applyAlignment="1">
      <alignment horizontal="center"/>
    </xf>
    <xf numFmtId="0" fontId="0" fillId="0" borderId="109" xfId="0" applyBorder="1"/>
    <xf numFmtId="0" fontId="174" fillId="0" borderId="0" xfId="0" applyFont="1" applyAlignment="1">
      <alignment horizontal="left"/>
    </xf>
    <xf numFmtId="0" fontId="73" fillId="0" borderId="0" xfId="12" applyNumberFormat="1" applyFont="1" applyAlignment="1">
      <alignment horizontal="left"/>
    </xf>
    <xf numFmtId="0" fontId="0" fillId="46" borderId="0" xfId="0" applyFill="1" applyAlignment="1">
      <alignment horizontal="left" vertical="top"/>
    </xf>
    <xf numFmtId="0" fontId="0" fillId="46" borderId="0" xfId="0" applyFill="1" applyAlignment="1">
      <alignment horizontal="right" vertical="top"/>
    </xf>
    <xf numFmtId="184" fontId="0" fillId="46" borderId="0" xfId="0" applyNumberFormat="1" applyFill="1" applyAlignment="1">
      <alignment horizontal="right" vertical="top"/>
    </xf>
    <xf numFmtId="0" fontId="0" fillId="46" borderId="49" xfId="0" applyFill="1" applyBorder="1" applyAlignment="1">
      <alignment horizontal="left" vertical="top"/>
    </xf>
    <xf numFmtId="0" fontId="0" fillId="46" borderId="49" xfId="0" applyFill="1" applyBorder="1"/>
    <xf numFmtId="184" fontId="0" fillId="46" borderId="49" xfId="0" applyNumberFormat="1" applyFill="1" applyBorder="1" applyAlignment="1">
      <alignment horizontal="right" vertical="top"/>
    </xf>
    <xf numFmtId="0" fontId="0" fillId="46" borderId="49" xfId="0" applyFill="1" applyBorder="1" applyAlignment="1">
      <alignment horizontal="right" vertical="top"/>
    </xf>
    <xf numFmtId="0" fontId="13" fillId="36" borderId="0" xfId="0" applyFont="1" applyFill="1" applyAlignment="1">
      <alignment vertical="center"/>
    </xf>
    <xf numFmtId="3" fontId="24" fillId="36" borderId="47" xfId="0" applyNumberFormat="1" applyFont="1" applyFill="1" applyBorder="1"/>
    <xf numFmtId="0" fontId="215" fillId="48" borderId="0" xfId="0" applyFont="1" applyFill="1"/>
    <xf numFmtId="0" fontId="202" fillId="0" borderId="0" xfId="0" applyFont="1"/>
    <xf numFmtId="0" fontId="216" fillId="0" borderId="0" xfId="0" applyFont="1"/>
    <xf numFmtId="0" fontId="88" fillId="2" borderId="0" xfId="0" applyFont="1" applyFill="1" applyAlignment="1">
      <alignment wrapText="1"/>
    </xf>
    <xf numFmtId="0" fontId="88" fillId="2" borderId="0" xfId="0" applyFont="1" applyFill="1" applyAlignment="1">
      <alignment horizontal="right" wrapText="1"/>
    </xf>
    <xf numFmtId="0" fontId="88" fillId="31" borderId="0" xfId="0" applyFont="1" applyFill="1" applyAlignment="1">
      <alignment horizontal="right" wrapText="1"/>
    </xf>
    <xf numFmtId="0" fontId="88" fillId="20" borderId="0" xfId="0" applyFont="1" applyFill="1" applyAlignment="1">
      <alignment horizontal="right" wrapText="1"/>
    </xf>
    <xf numFmtId="0" fontId="89" fillId="18" borderId="0" xfId="0" applyFont="1" applyFill="1"/>
    <xf numFmtId="183" fontId="94" fillId="0" borderId="0" xfId="0" applyNumberFormat="1" applyFont="1" applyAlignment="1">
      <alignment horizontal="right"/>
    </xf>
    <xf numFmtId="183" fontId="94" fillId="4" borderId="0" xfId="0" applyNumberFormat="1" applyFont="1" applyFill="1" applyAlignment="1">
      <alignment horizontal="right"/>
    </xf>
    <xf numFmtId="183" fontId="102" fillId="0" borderId="0" xfId="0" applyNumberFormat="1" applyFont="1" applyAlignment="1">
      <alignment horizontal="right"/>
    </xf>
    <xf numFmtId="10" fontId="102" fillId="0" borderId="0" xfId="0" applyNumberFormat="1" applyFont="1" applyAlignment="1">
      <alignment horizontal="right"/>
    </xf>
    <xf numFmtId="10" fontId="103" fillId="0" borderId="0" xfId="0" applyNumberFormat="1" applyFont="1" applyAlignment="1">
      <alignment horizontal="right"/>
    </xf>
    <xf numFmtId="0" fontId="217" fillId="27" borderId="0" xfId="0" applyFont="1" applyFill="1"/>
    <xf numFmtId="0" fontId="218" fillId="27" borderId="0" xfId="0" applyFont="1" applyFill="1"/>
    <xf numFmtId="183" fontId="219" fillId="27" borderId="0" xfId="0" applyNumberFormat="1" applyFont="1" applyFill="1"/>
    <xf numFmtId="183" fontId="220" fillId="0" borderId="0" xfId="0" applyNumberFormat="1" applyFont="1" applyAlignment="1">
      <alignment horizontal="right"/>
    </xf>
    <xf numFmtId="183" fontId="168" fillId="0" borderId="0" xfId="0" applyNumberFormat="1" applyFont="1" applyAlignment="1">
      <alignment horizontal="right"/>
    </xf>
    <xf numFmtId="183" fontId="96" fillId="0" borderId="0" xfId="0" applyNumberFormat="1" applyFont="1" applyAlignment="1">
      <alignment horizontal="right"/>
    </xf>
    <xf numFmtId="183" fontId="101" fillId="0" borderId="0" xfId="0" applyNumberFormat="1" applyFont="1" applyAlignment="1">
      <alignment horizontal="right"/>
    </xf>
    <xf numFmtId="1" fontId="94" fillId="0" borderId="0" xfId="0" applyNumberFormat="1" applyFont="1" applyAlignment="1">
      <alignment horizontal="right"/>
    </xf>
    <xf numFmtId="1" fontId="102" fillId="0" borderId="0" xfId="0" applyNumberFormat="1" applyFont="1" applyAlignment="1">
      <alignment horizontal="right"/>
    </xf>
    <xf numFmtId="1" fontId="103" fillId="0" borderId="0" xfId="0" applyNumberFormat="1" applyFont="1" applyAlignment="1">
      <alignment horizontal="right"/>
    </xf>
    <xf numFmtId="183" fontId="221" fillId="0" borderId="0" xfId="0" applyNumberFormat="1" applyFont="1" applyAlignment="1">
      <alignment horizontal="right"/>
    </xf>
    <xf numFmtId="0" fontId="222" fillId="0" borderId="0" xfId="0" applyFont="1"/>
    <xf numFmtId="183" fontId="222" fillId="0" borderId="0" xfId="0" applyNumberFormat="1" applyFont="1" applyAlignment="1">
      <alignment horizontal="right"/>
    </xf>
    <xf numFmtId="183" fontId="103" fillId="0" borderId="0" xfId="0" applyNumberFormat="1" applyFont="1" applyAlignment="1">
      <alignment horizontal="right"/>
    </xf>
    <xf numFmtId="183" fontId="17" fillId="9" borderId="16" xfId="2" applyNumberFormat="1" applyAlignment="1">
      <alignment horizontal="right"/>
    </xf>
    <xf numFmtId="183" fontId="103" fillId="4" borderId="0" xfId="0" applyNumberFormat="1" applyFont="1" applyFill="1" applyAlignment="1">
      <alignment horizontal="right"/>
    </xf>
    <xf numFmtId="200" fontId="102" fillId="0" borderId="0" xfId="0" applyNumberFormat="1" applyFont="1" applyAlignment="1">
      <alignment horizontal="right"/>
    </xf>
    <xf numFmtId="0" fontId="92" fillId="0" borderId="0" xfId="0" applyFont="1" applyAlignment="1">
      <alignment horizontal="right"/>
    </xf>
    <xf numFmtId="183" fontId="93" fillId="0" borderId="0" xfId="0" applyNumberFormat="1" applyFont="1" applyAlignment="1">
      <alignment horizontal="right"/>
    </xf>
    <xf numFmtId="183" fontId="89" fillId="0" borderId="0" xfId="0" applyNumberFormat="1" applyFont="1" applyAlignment="1">
      <alignment horizontal="right"/>
    </xf>
    <xf numFmtId="0" fontId="89" fillId="0" borderId="0" xfId="0" applyFont="1" applyAlignment="1">
      <alignment horizontal="right"/>
    </xf>
    <xf numFmtId="0" fontId="93" fillId="0" borderId="0" xfId="0" applyFont="1" applyAlignment="1">
      <alignment horizontal="right"/>
    </xf>
    <xf numFmtId="183" fontId="102" fillId="0" borderId="0" xfId="0" applyNumberFormat="1" applyFont="1"/>
    <xf numFmtId="9" fontId="102" fillId="0" borderId="0" xfId="0" applyNumberFormat="1" applyFont="1"/>
    <xf numFmtId="183" fontId="74" fillId="0" borderId="0" xfId="0" applyNumberFormat="1" applyFont="1" applyAlignment="1">
      <alignment horizontal="right"/>
    </xf>
    <xf numFmtId="0" fontId="89" fillId="0" borderId="0" xfId="0" applyFont="1" applyAlignment="1">
      <alignment horizontal="left" vertical="top"/>
    </xf>
    <xf numFmtId="10" fontId="103" fillId="4" borderId="0" xfId="0" applyNumberFormat="1" applyFont="1" applyFill="1" applyAlignment="1">
      <alignment horizontal="right"/>
    </xf>
    <xf numFmtId="0" fontId="223" fillId="28" borderId="0" xfId="0" applyFont="1" applyFill="1"/>
    <xf numFmtId="0" fontId="218" fillId="28" borderId="0" xfId="0" applyFont="1" applyFill="1"/>
    <xf numFmtId="183" fontId="219" fillId="28" borderId="0" xfId="0" applyNumberFormat="1" applyFont="1" applyFill="1"/>
    <xf numFmtId="9" fontId="89" fillId="0" borderId="0" xfId="0" applyNumberFormat="1" applyFont="1"/>
    <xf numFmtId="183" fontId="89" fillId="0" borderId="0" xfId="0" applyNumberFormat="1" applyFont="1"/>
    <xf numFmtId="0" fontId="202" fillId="36" borderId="0" xfId="0" applyFont="1" applyFill="1"/>
    <xf numFmtId="0" fontId="222" fillId="4" borderId="0" xfId="0" applyFont="1" applyFill="1"/>
    <xf numFmtId="0" fontId="89" fillId="36" borderId="0" xfId="0" applyFont="1" applyFill="1"/>
    <xf numFmtId="0" fontId="103" fillId="4" borderId="0" xfId="0" applyFont="1" applyFill="1"/>
    <xf numFmtId="183" fontId="89" fillId="4" borderId="0" xfId="0" applyNumberFormat="1" applyFont="1" applyFill="1" applyAlignment="1">
      <alignment horizontal="right"/>
    </xf>
    <xf numFmtId="3" fontId="89" fillId="0" borderId="0" xfId="0" applyNumberFormat="1" applyFont="1"/>
    <xf numFmtId="0" fontId="224" fillId="0" borderId="0" xfId="0" applyFont="1"/>
    <xf numFmtId="3" fontId="189" fillId="0" borderId="0" xfId="0" applyNumberFormat="1" applyFont="1"/>
    <xf numFmtId="4" fontId="102" fillId="0" borderId="0" xfId="0" applyNumberFormat="1" applyFont="1"/>
    <xf numFmtId="2" fontId="189" fillId="0" borderId="0" xfId="0" applyNumberFormat="1" applyFont="1"/>
    <xf numFmtId="0" fontId="189" fillId="0" borderId="0" xfId="0" applyFont="1" applyAlignment="1">
      <alignment horizontal="right"/>
    </xf>
    <xf numFmtId="1" fontId="89" fillId="0" borderId="0" xfId="0" applyNumberFormat="1" applyFont="1"/>
    <xf numFmtId="1" fontId="189" fillId="0" borderId="0" xfId="0" applyNumberFormat="1" applyFont="1"/>
    <xf numFmtId="0" fontId="189" fillId="0" borderId="0" xfId="0" applyFont="1"/>
    <xf numFmtId="0" fontId="93" fillId="0" borderId="0" xfId="0" applyFont="1"/>
    <xf numFmtId="0" fontId="225" fillId="0" borderId="0" xfId="13" applyFont="1"/>
    <xf numFmtId="183" fontId="92" fillId="0" borderId="0" xfId="0" applyNumberFormat="1" applyFont="1"/>
    <xf numFmtId="3" fontId="102" fillId="4" borderId="0" xfId="0" applyNumberFormat="1" applyFont="1" applyFill="1"/>
    <xf numFmtId="183" fontId="102" fillId="4" borderId="0" xfId="0" applyNumberFormat="1" applyFont="1" applyFill="1"/>
    <xf numFmtId="1" fontId="102" fillId="0" borderId="0" xfId="0" applyNumberFormat="1" applyFont="1"/>
    <xf numFmtId="0" fontId="89" fillId="6" borderId="0" xfId="0" applyFont="1" applyFill="1"/>
    <xf numFmtId="9" fontId="89" fillId="3" borderId="0" xfId="0" applyNumberFormat="1" applyFont="1" applyFill="1"/>
    <xf numFmtId="43" fontId="102" fillId="0" borderId="0" xfId="0" applyNumberFormat="1" applyFont="1" applyAlignment="1">
      <alignment horizontal="right"/>
    </xf>
    <xf numFmtId="0" fontId="103" fillId="0" borderId="0" xfId="0" applyFont="1"/>
    <xf numFmtId="0" fontId="226" fillId="0" borderId="0" xfId="13" applyFont="1"/>
    <xf numFmtId="38" fontId="93" fillId="0" borderId="0" xfId="0" applyNumberFormat="1" applyFont="1"/>
    <xf numFmtId="200" fontId="227" fillId="4" borderId="0" xfId="0" applyNumberFormat="1" applyFont="1" applyFill="1" applyAlignment="1">
      <alignment horizontal="right"/>
    </xf>
    <xf numFmtId="9" fontId="93" fillId="4" borderId="0" xfId="4" applyFont="1" applyFill="1" applyAlignment="1">
      <alignment horizontal="right"/>
    </xf>
    <xf numFmtId="185" fontId="93" fillId="0" borderId="0" xfId="12" applyNumberFormat="1" applyFont="1" applyFill="1" applyAlignment="1"/>
    <xf numFmtId="9" fontId="93" fillId="0" borderId="0" xfId="4" applyFont="1" applyAlignment="1"/>
    <xf numFmtId="9" fontId="93" fillId="0" borderId="0" xfId="4" applyFont="1" applyFill="1" applyAlignment="1"/>
    <xf numFmtId="185" fontId="103" fillId="0" borderId="0" xfId="12" applyNumberFormat="1" applyFont="1" applyFill="1" applyAlignment="1"/>
    <xf numFmtId="185" fontId="94" fillId="0" borderId="0" xfId="12" applyNumberFormat="1" applyFont="1" applyFill="1" applyAlignment="1"/>
    <xf numFmtId="196" fontId="102" fillId="0" borderId="0" xfId="0" applyNumberFormat="1" applyFont="1"/>
    <xf numFmtId="183" fontId="93" fillId="0" borderId="0" xfId="0" applyNumberFormat="1" applyFont="1"/>
    <xf numFmtId="9" fontId="93" fillId="4" borderId="0" xfId="4" applyFont="1" applyFill="1" applyAlignment="1"/>
    <xf numFmtId="200" fontId="93" fillId="0" borderId="0" xfId="0" applyNumberFormat="1" applyFont="1"/>
    <xf numFmtId="1" fontId="94" fillId="0" borderId="0" xfId="0" applyNumberFormat="1" applyFont="1"/>
    <xf numFmtId="196" fontId="103" fillId="0" borderId="0" xfId="0" applyNumberFormat="1" applyFont="1"/>
    <xf numFmtId="0" fontId="226" fillId="0" borderId="0" xfId="13" applyFont="1" applyFill="1"/>
    <xf numFmtId="43" fontId="93" fillId="0" borderId="0" xfId="0" applyNumberFormat="1" applyFont="1"/>
    <xf numFmtId="199" fontId="103" fillId="0" borderId="0" xfId="0" applyNumberFormat="1" applyFont="1"/>
    <xf numFmtId="183" fontId="102" fillId="0" borderId="0" xfId="0" applyNumberFormat="1" applyFont="1" applyAlignment="1">
      <alignment wrapText="1"/>
    </xf>
    <xf numFmtId="196" fontId="93" fillId="0" borderId="0" xfId="0" applyNumberFormat="1" applyFont="1"/>
    <xf numFmtId="195" fontId="103" fillId="0" borderId="0" xfId="0" applyNumberFormat="1" applyFont="1"/>
    <xf numFmtId="9" fontId="102" fillId="4" borderId="0" xfId="0" applyNumberFormat="1" applyFont="1" applyFill="1"/>
    <xf numFmtId="193" fontId="94" fillId="0" borderId="0" xfId="0" applyNumberFormat="1" applyFont="1"/>
    <xf numFmtId="193" fontId="103" fillId="0" borderId="0" xfId="0" applyNumberFormat="1" applyFont="1"/>
    <xf numFmtId="193" fontId="89" fillId="0" borderId="0" xfId="0" applyNumberFormat="1" applyFont="1"/>
    <xf numFmtId="193" fontId="102" fillId="0" borderId="0" xfId="0" applyNumberFormat="1" applyFont="1"/>
    <xf numFmtId="0" fontId="202" fillId="4" borderId="0" xfId="0" applyFont="1" applyFill="1"/>
    <xf numFmtId="183" fontId="222" fillId="4" borderId="0" xfId="0" applyNumberFormat="1" applyFont="1" applyFill="1" applyAlignment="1">
      <alignment horizontal="right"/>
    </xf>
    <xf numFmtId="183" fontId="220" fillId="4" borderId="0" xfId="0" applyNumberFormat="1" applyFont="1" applyFill="1" applyAlignment="1">
      <alignment horizontal="right"/>
    </xf>
    <xf numFmtId="183" fontId="221" fillId="4" borderId="0" xfId="0" applyNumberFormat="1" applyFont="1" applyFill="1" applyAlignment="1">
      <alignment horizontal="right"/>
    </xf>
    <xf numFmtId="183" fontId="102" fillId="4" borderId="0" xfId="0" applyNumberFormat="1" applyFont="1" applyFill="1" applyAlignment="1">
      <alignment horizontal="right"/>
    </xf>
    <xf numFmtId="193" fontId="189" fillId="0" borderId="0" xfId="0" applyNumberFormat="1" applyFont="1"/>
    <xf numFmtId="0" fontId="89" fillId="33" borderId="0" xfId="0" applyFont="1" applyFill="1"/>
    <xf numFmtId="193" fontId="89" fillId="33" borderId="0" xfId="0" applyNumberFormat="1" applyFont="1" applyFill="1"/>
    <xf numFmtId="193" fontId="93" fillId="33" borderId="0" xfId="0" applyNumberFormat="1" applyFont="1" applyFill="1"/>
    <xf numFmtId="193" fontId="189" fillId="33" borderId="0" xfId="0" applyNumberFormat="1" applyFont="1" applyFill="1"/>
    <xf numFmtId="9" fontId="89" fillId="33" borderId="0" xfId="0" applyNumberFormat="1" applyFont="1" applyFill="1"/>
    <xf numFmtId="196" fontId="93" fillId="33" borderId="0" xfId="0" applyNumberFormat="1" applyFont="1" applyFill="1"/>
    <xf numFmtId="197" fontId="89" fillId="0" borderId="0" xfId="0" applyNumberFormat="1" applyFont="1"/>
    <xf numFmtId="197" fontId="103" fillId="0" borderId="0" xfId="0" applyNumberFormat="1" applyFont="1"/>
    <xf numFmtId="193" fontId="93" fillId="0" borderId="0" xfId="0" applyNumberFormat="1" applyFont="1"/>
    <xf numFmtId="179" fontId="102" fillId="0" borderId="0" xfId="0" applyNumberFormat="1" applyFont="1"/>
    <xf numFmtId="185" fontId="102" fillId="0" borderId="0" xfId="0" applyNumberFormat="1" applyFont="1"/>
    <xf numFmtId="0" fontId="34" fillId="0" borderId="23" xfId="2" applyFont="1" applyFill="1" applyBorder="1" applyAlignment="1">
      <alignment vertical="center"/>
    </xf>
    <xf numFmtId="2" fontId="24" fillId="13" borderId="0" xfId="12" applyNumberFormat="1" applyFont="1" applyFill="1" applyAlignment="1">
      <alignment vertical="center"/>
    </xf>
    <xf numFmtId="2" fontId="26" fillId="13" borderId="0" xfId="0" applyNumberFormat="1" applyFont="1" applyFill="1" applyAlignment="1">
      <alignment vertical="center"/>
    </xf>
    <xf numFmtId="0" fontId="26" fillId="13" borderId="0" xfId="0" applyFont="1" applyFill="1" applyAlignment="1">
      <alignment vertical="center"/>
    </xf>
    <xf numFmtId="0" fontId="0" fillId="36" borderId="74" xfId="0" applyFill="1" applyBorder="1"/>
    <xf numFmtId="37" fontId="73" fillId="4" borderId="74" xfId="0" applyNumberFormat="1" applyFont="1" applyFill="1" applyBorder="1" applyAlignment="1">
      <alignment vertical="center"/>
    </xf>
    <xf numFmtId="37" fontId="73" fillId="4" borderId="96" xfId="0" applyNumberFormat="1" applyFont="1" applyFill="1" applyBorder="1" applyAlignment="1">
      <alignment vertical="center"/>
    </xf>
    <xf numFmtId="178" fontId="174" fillId="4" borderId="74" xfId="4" applyNumberFormat="1" applyFont="1" applyFill="1" applyBorder="1" applyAlignment="1">
      <alignment vertical="center"/>
    </xf>
    <xf numFmtId="178" fontId="26" fillId="0" borderId="74" xfId="4" applyNumberFormat="1" applyFont="1" applyFill="1" applyBorder="1" applyAlignment="1">
      <alignment vertical="center"/>
    </xf>
    <xf numFmtId="185" fontId="102" fillId="4" borderId="0" xfId="12" applyNumberFormat="1" applyFont="1" applyFill="1" applyAlignment="1"/>
    <xf numFmtId="185" fontId="202" fillId="0" borderId="0" xfId="0" applyNumberFormat="1" applyFont="1"/>
    <xf numFmtId="183" fontId="189" fillId="4" borderId="0" xfId="0" applyNumberFormat="1" applyFont="1" applyFill="1"/>
    <xf numFmtId="205" fontId="20" fillId="0" borderId="0" xfId="0" applyNumberFormat="1" applyFont="1" applyAlignment="1">
      <alignment horizontal="right" vertical="top"/>
    </xf>
    <xf numFmtId="37" fontId="30" fillId="4" borderId="60" xfId="0" applyNumberFormat="1" applyFont="1" applyFill="1" applyBorder="1"/>
    <xf numFmtId="10" fontId="34" fillId="0" borderId="0" xfId="4" applyNumberFormat="1" applyFont="1" applyAlignment="1">
      <alignment horizontal="center" vertical="center"/>
    </xf>
    <xf numFmtId="3" fontId="174" fillId="4" borderId="0" xfId="0" applyNumberFormat="1" applyFont="1" applyFill="1"/>
    <xf numFmtId="10" fontId="174" fillId="0" borderId="44" xfId="0" applyNumberFormat="1" applyFont="1" applyBorder="1"/>
    <xf numFmtId="3" fontId="73" fillId="0" borderId="21" xfId="0" applyNumberFormat="1" applyFont="1" applyBorder="1"/>
    <xf numFmtId="37" fontId="174" fillId="4" borderId="74" xfId="0" applyNumberFormat="1" applyFont="1" applyFill="1" applyBorder="1" applyAlignment="1">
      <alignment horizontal="right"/>
    </xf>
    <xf numFmtId="37" fontId="174" fillId="4" borderId="96" xfId="0" applyNumberFormat="1" applyFont="1" applyFill="1" applyBorder="1" applyAlignment="1">
      <alignment horizontal="right"/>
    </xf>
    <xf numFmtId="37" fontId="30" fillId="4" borderId="75" xfId="0" applyNumberFormat="1" applyFont="1" applyFill="1" applyBorder="1"/>
    <xf numFmtId="37" fontId="30" fillId="4" borderId="79" xfId="0" applyNumberFormat="1" applyFont="1" applyFill="1" applyBorder="1"/>
    <xf numFmtId="37" fontId="30" fillId="4" borderId="61" xfId="0" applyNumberFormat="1" applyFont="1" applyFill="1" applyBorder="1"/>
    <xf numFmtId="37" fontId="30" fillId="4" borderId="57" xfId="0" applyNumberFormat="1" applyFont="1" applyFill="1" applyBorder="1"/>
    <xf numFmtId="37" fontId="214" fillId="4" borderId="55" xfId="0" applyNumberFormat="1" applyFont="1" applyFill="1" applyBorder="1" applyAlignment="1">
      <alignment horizontal="right"/>
    </xf>
    <xf numFmtId="177" fontId="205" fillId="4" borderId="0" xfId="12" applyFont="1" applyFill="1" applyAlignment="1">
      <alignment horizontal="center" vertical="center"/>
    </xf>
    <xf numFmtId="37" fontId="24" fillId="4" borderId="74" xfId="0" applyNumberFormat="1" applyFont="1" applyFill="1" applyBorder="1"/>
    <xf numFmtId="37" fontId="24" fillId="4" borderId="96" xfId="0" applyNumberFormat="1" applyFont="1" applyFill="1" applyBorder="1"/>
    <xf numFmtId="10" fontId="27" fillId="0" borderId="0" xfId="4" applyNumberFormat="1" applyFont="1" applyAlignment="1"/>
    <xf numFmtId="10" fontId="139" fillId="0" borderId="75" xfId="4" applyNumberFormat="1" applyFont="1" applyBorder="1" applyAlignment="1">
      <alignment horizontal="center"/>
    </xf>
    <xf numFmtId="185" fontId="0" fillId="0" borderId="43" xfId="0" applyNumberFormat="1" applyBorder="1"/>
    <xf numFmtId="0" fontId="0" fillId="13" borderId="11" xfId="0" applyFill="1" applyBorder="1"/>
    <xf numFmtId="0" fontId="0" fillId="13" borderId="112" xfId="0" applyFill="1" applyBorder="1"/>
    <xf numFmtId="0" fontId="20" fillId="0" borderId="6" xfId="0" applyFont="1" applyBorder="1" applyAlignment="1">
      <alignment horizontal="center"/>
    </xf>
    <xf numFmtId="0" fontId="20" fillId="0" borderId="5" xfId="0" applyFont="1" applyBorder="1" applyAlignment="1">
      <alignment horizontal="center"/>
    </xf>
    <xf numFmtId="0" fontId="0" fillId="0" borderId="6" xfId="0" applyBorder="1"/>
    <xf numFmtId="0" fontId="20" fillId="0" borderId="0" xfId="0" applyFont="1" applyAlignment="1">
      <alignment horizontal="center"/>
    </xf>
    <xf numFmtId="0" fontId="20" fillId="0" borderId="15" xfId="0" applyFont="1" applyBorder="1" applyAlignment="1">
      <alignment horizontal="center"/>
    </xf>
    <xf numFmtId="0" fontId="0" fillId="0" borderId="5" xfId="0" applyBorder="1"/>
    <xf numFmtId="0" fontId="20" fillId="0" borderId="5" xfId="0" applyFont="1" applyBorder="1"/>
    <xf numFmtId="0" fontId="20" fillId="0" borderId="8" xfId="0" applyFont="1" applyBorder="1" applyAlignment="1">
      <alignment horizontal="center" vertical="center"/>
    </xf>
    <xf numFmtId="0" fontId="20" fillId="0" borderId="15" xfId="0" applyFont="1" applyBorder="1" applyAlignment="1">
      <alignment horizontal="center" vertical="center"/>
    </xf>
    <xf numFmtId="0" fontId="20" fillId="0" borderId="25" xfId="0" applyFont="1" applyBorder="1" applyAlignment="1">
      <alignment horizontal="center" vertical="center"/>
    </xf>
    <xf numFmtId="0" fontId="20" fillId="18" borderId="95" xfId="0" applyFont="1" applyFill="1" applyBorder="1" applyAlignment="1">
      <alignment horizontal="center"/>
    </xf>
    <xf numFmtId="0" fontId="20" fillId="18" borderId="0" xfId="0" applyFont="1" applyFill="1" applyAlignment="1">
      <alignment horizontal="center"/>
    </xf>
    <xf numFmtId="0" fontId="20" fillId="18" borderId="11" xfId="0" applyFont="1" applyFill="1" applyBorder="1" applyAlignment="1">
      <alignment horizontal="center"/>
    </xf>
    <xf numFmtId="0" fontId="2" fillId="0" borderId="5" xfId="0" applyFont="1" applyBorder="1" applyAlignment="1">
      <alignment horizontal="center" vertical="center" wrapText="1"/>
    </xf>
    <xf numFmtId="0" fontId="20" fillId="48" borderId="95" xfId="0" applyFont="1" applyFill="1" applyBorder="1" applyAlignment="1">
      <alignment horizontal="center"/>
    </xf>
    <xf numFmtId="0" fontId="20" fillId="48" borderId="0" xfId="0" applyFont="1" applyFill="1" applyAlignment="1">
      <alignment horizontal="center"/>
    </xf>
    <xf numFmtId="0" fontId="0" fillId="0" borderId="0" xfId="0"/>
    <xf numFmtId="0" fontId="20" fillId="0" borderId="0" xfId="0" applyFont="1"/>
    <xf numFmtId="0" fontId="36" fillId="0" borderId="0" xfId="0" applyFont="1" applyAlignment="1">
      <alignment horizontal="left"/>
    </xf>
    <xf numFmtId="0" fontId="36" fillId="0" borderId="0" xfId="0" applyFont="1"/>
    <xf numFmtId="0" fontId="0" fillId="0" borderId="0" xfId="0" applyAlignment="1">
      <alignment horizontal="left" vertical="top"/>
    </xf>
    <xf numFmtId="0" fontId="2" fillId="0" borderId="0" xfId="6" applyFont="1" applyFill="1" applyAlignment="1">
      <alignment horizontal="left"/>
    </xf>
    <xf numFmtId="0" fontId="2" fillId="0" borderId="0" xfId="6" applyFont="1" applyFill="1" applyAlignment="1"/>
    <xf numFmtId="0" fontId="0" fillId="0" borderId="0" xfId="0" applyAlignment="1">
      <alignment horizontal="left" vertical="center"/>
    </xf>
    <xf numFmtId="0" fontId="131" fillId="0" borderId="0" xfId="0" applyFont="1" applyAlignment="1">
      <alignment horizontal="right" vertical="center"/>
    </xf>
    <xf numFmtId="0" fontId="41" fillId="12" borderId="59" xfId="0" applyFont="1" applyFill="1" applyBorder="1" applyAlignment="1">
      <alignment horizontal="left" vertical="center"/>
    </xf>
    <xf numFmtId="0" fontId="41" fillId="12" borderId="53" xfId="0" applyFont="1" applyFill="1" applyBorder="1" applyAlignment="1">
      <alignment horizontal="left" vertical="center"/>
    </xf>
    <xf numFmtId="0" fontId="41" fillId="12" borderId="54" xfId="0" applyFont="1" applyFill="1" applyBorder="1" applyAlignment="1">
      <alignment horizontal="left" vertical="center"/>
    </xf>
    <xf numFmtId="0" fontId="41" fillId="12" borderId="0" xfId="0" applyFont="1" applyFill="1" applyAlignment="1">
      <alignment horizontal="left"/>
    </xf>
    <xf numFmtId="0" fontId="0" fillId="0" borderId="47" xfId="0" applyBorder="1" applyAlignment="1">
      <alignment horizontal="left" vertical="center"/>
    </xf>
    <xf numFmtId="0" fontId="29" fillId="0" borderId="0" xfId="0" applyFont="1" applyAlignment="1">
      <alignment horizontal="left" vertical="center"/>
    </xf>
    <xf numFmtId="0" fontId="0" fillId="0" borderId="0" xfId="0" applyAlignment="1">
      <alignment horizontal="center" vertical="center"/>
    </xf>
    <xf numFmtId="0" fontId="0" fillId="0" borderId="47" xfId="0" applyBorder="1" applyAlignment="1">
      <alignment horizontal="center" vertical="center"/>
    </xf>
    <xf numFmtId="0" fontId="0" fillId="0" borderId="0" xfId="0" applyAlignment="1">
      <alignment horizontal="left" vertical="center" wrapText="1"/>
    </xf>
    <xf numFmtId="0" fontId="0" fillId="0" borderId="47" xfId="0" applyBorder="1" applyAlignment="1">
      <alignment horizontal="left" vertical="center" wrapText="1"/>
    </xf>
    <xf numFmtId="0" fontId="40" fillId="0" borderId="0" xfId="0" applyFont="1" applyAlignment="1">
      <alignment horizontal="left" vertical="center"/>
    </xf>
    <xf numFmtId="0" fontId="40" fillId="0" borderId="21" xfId="0" applyFont="1" applyBorder="1" applyAlignment="1">
      <alignment horizontal="left" vertical="center"/>
    </xf>
    <xf numFmtId="0" fontId="0" fillId="0" borderId="0" xfId="0" applyAlignment="1">
      <alignment horizontal="center" vertical="center" wrapText="1"/>
    </xf>
    <xf numFmtId="0" fontId="0" fillId="43" borderId="0" xfId="0" applyFill="1" applyAlignment="1">
      <alignment horizontal="center" vertical="center"/>
    </xf>
    <xf numFmtId="0" fontId="0" fillId="43" borderId="0" xfId="0" applyFill="1" applyAlignment="1">
      <alignment horizontal="left" vertical="center"/>
    </xf>
    <xf numFmtId="0" fontId="0" fillId="4" borderId="0" xfId="0" applyFill="1" applyAlignment="1">
      <alignment horizontal="left" vertical="center"/>
    </xf>
    <xf numFmtId="178" fontId="74" fillId="40" borderId="21" xfId="4" applyNumberFormat="1" applyFont="1" applyFill="1" applyBorder="1" applyAlignment="1">
      <alignment horizontal="center"/>
    </xf>
    <xf numFmtId="2" fontId="74" fillId="39" borderId="0" xfId="0" applyNumberFormat="1" applyFont="1" applyFill="1" applyAlignment="1">
      <alignment horizontal="center"/>
    </xf>
    <xf numFmtId="178" fontId="74" fillId="30" borderId="0" xfId="4" applyNumberFormat="1" applyFont="1" applyFill="1" applyAlignment="1">
      <alignment horizontal="center"/>
    </xf>
    <xf numFmtId="0" fontId="20" fillId="0" borderId="26" xfId="0" applyFont="1" applyBorder="1" applyAlignment="1">
      <alignment horizontal="center"/>
    </xf>
    <xf numFmtId="0" fontId="0" fillId="0" borderId="8" xfId="0" applyBorder="1" applyAlignment="1">
      <alignment horizontal="center" vertical="center"/>
    </xf>
    <xf numFmtId="0" fontId="0" fillId="0" borderId="92" xfId="0" applyBorder="1" applyAlignment="1">
      <alignment horizontal="center" vertical="center"/>
    </xf>
    <xf numFmtId="0" fontId="2" fillId="2" borderId="5" xfId="0" applyFont="1" applyFill="1" applyBorder="1" applyAlignment="1">
      <alignment horizontal="center" vertical="center" wrapText="1"/>
    </xf>
    <xf numFmtId="0" fontId="0" fillId="0" borderId="15" xfId="0" applyBorder="1" applyAlignment="1">
      <alignment horizontal="center" vertical="center"/>
    </xf>
    <xf numFmtId="0" fontId="0" fillId="0" borderId="25" xfId="0" applyBorder="1" applyAlignment="1">
      <alignment horizontal="center" vertical="center"/>
    </xf>
    <xf numFmtId="10" fontId="0" fillId="0" borderId="5" xfId="0" applyNumberFormat="1" applyBorder="1" applyAlignment="1">
      <alignment horizontal="center"/>
    </xf>
    <xf numFmtId="0" fontId="0" fillId="0" borderId="90"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20" xfId="0" applyBorder="1" applyAlignment="1">
      <alignment horizontal="center" vertical="center"/>
    </xf>
    <xf numFmtId="0" fontId="0" fillId="0" borderId="5" xfId="0" applyBorder="1" applyAlignment="1">
      <alignment horizontal="center"/>
    </xf>
    <xf numFmtId="0" fontId="0" fillId="0" borderId="0" xfId="0" applyAlignment="1">
      <alignment horizontal="center"/>
    </xf>
    <xf numFmtId="0" fontId="0" fillId="0" borderId="15" xfId="0" applyBorder="1" applyAlignment="1">
      <alignment horizontal="center"/>
    </xf>
    <xf numFmtId="38" fontId="83" fillId="0" borderId="0" xfId="0" applyNumberFormat="1" applyFont="1" applyAlignment="1">
      <alignment horizontal="right" vertical="center"/>
    </xf>
    <xf numFmtId="38" fontId="83" fillId="0" borderId="0" xfId="0" applyNumberFormat="1" applyFont="1" applyAlignment="1">
      <alignment horizontal="center" vertical="center"/>
    </xf>
    <xf numFmtId="10" fontId="0" fillId="0" borderId="26" xfId="0" applyNumberFormat="1" applyBorder="1" applyAlignment="1">
      <alignment horizontal="center"/>
    </xf>
    <xf numFmtId="0" fontId="0" fillId="0" borderId="91" xfId="0" applyBorder="1" applyAlignment="1">
      <alignment horizontal="center" vertical="center"/>
    </xf>
  </cellXfs>
  <cellStyles count="14">
    <cellStyle name="fa_data_standard" xfId="1" xr:uid="{6B8D9DE5-9BE5-45A7-ABD6-F93C4B329C71}"/>
    <cellStyle name="Hyperlink" xfId="13" xr:uid="{00000000-000B-0000-0000-000008000000}"/>
    <cellStyle name="百分比" xfId="4" builtinId="5"/>
    <cellStyle name="标题" xfId="10" builtinId="15"/>
    <cellStyle name="标题 1" xfId="8" builtinId="16"/>
    <cellStyle name="标题 2" xfId="11" builtinId="17"/>
    <cellStyle name="标题 3" xfId="9" builtinId="18"/>
    <cellStyle name="差" xfId="6" builtinId="27"/>
    <cellStyle name="常规" xfId="0" builtinId="0"/>
    <cellStyle name="常规 2" xfId="5" xr:uid="{0457B647-FC9B-4735-8AED-098EF7368EBF}"/>
    <cellStyle name="计算" xfId="3" builtinId="22"/>
    <cellStyle name="警告文本" xfId="7" builtinId="11"/>
    <cellStyle name="千位分隔" xfId="12" builtinId="3"/>
    <cellStyle name="输入" xfId="2" builtinId="20"/>
  </cellStyles>
  <dxfs count="5">
    <dxf>
      <font>
        <color rgb="FFFF0000"/>
      </font>
      <fill>
        <patternFill>
          <bgColor theme="5" tint="0.59996337778862885"/>
        </patternFill>
      </fill>
    </dxf>
    <dxf>
      <font>
        <color rgb="FFFF0000"/>
      </font>
      <fill>
        <patternFill>
          <bgColor theme="5" tint="0.59996337778862885"/>
        </patternFill>
      </fill>
    </dxf>
    <dxf>
      <font>
        <color rgb="FFFF0000"/>
      </font>
      <fill>
        <patternFill>
          <bgColor theme="5" tint="0.59996337778862885"/>
        </patternFill>
      </fill>
    </dxf>
    <dxf>
      <font>
        <color rgb="FFFF0000"/>
      </font>
      <fill>
        <patternFill>
          <bgColor theme="5" tint="0.59996337778862885"/>
        </patternFill>
      </fill>
    </dxf>
    <dxf>
      <font>
        <b val="0"/>
        <i val="0"/>
        <strike val="0"/>
        <condense val="0"/>
        <extend val="0"/>
        <outline val="0"/>
        <shadow val="0"/>
        <u val="none"/>
        <vertAlign val="baseline"/>
        <sz val="11"/>
        <color theme="1"/>
        <name val="Times New Roman"/>
        <scheme val="none"/>
      </font>
    </dxf>
  </dxfs>
  <tableStyles count="0" defaultTableStyle="TableStyleMedium2" defaultPivotStyle="PivotStyleMedium9"/>
  <colors>
    <mruColors>
      <color rgb="FFE8E6E6"/>
      <color rgb="FFC00000"/>
      <color rgb="FF0070C0"/>
      <color rgb="FFFFFF9A"/>
      <color rgb="FFFF00FF"/>
      <color rgb="FFB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Fremont</c:v>
          </c:tx>
          <c:spPr>
            <a:solidFill>
              <a:schemeClr val="accent1"/>
            </a:solidFill>
            <a:ln>
              <a:noFill/>
            </a:ln>
            <a:effectLst/>
          </c:spPr>
          <c:invertIfNegative val="0"/>
          <c:cat>
            <c:strRef>
              <c:f>'Capacity Detail'!$BF$2:$BK$2</c:f>
              <c:strCache>
                <c:ptCount val="6"/>
                <c:pt idx="0">
                  <c:v>2019</c:v>
                </c:pt>
                <c:pt idx="1">
                  <c:v>2020</c:v>
                </c:pt>
                <c:pt idx="2">
                  <c:v>2021</c:v>
                </c:pt>
                <c:pt idx="3">
                  <c:v>2022</c:v>
                </c:pt>
                <c:pt idx="4">
                  <c:v>2023E</c:v>
                </c:pt>
                <c:pt idx="5">
                  <c:v>2024E</c:v>
                </c:pt>
              </c:strCache>
            </c:strRef>
          </c:cat>
          <c:val>
            <c:numRef>
              <c:f>'Capacity Detail'!$BF$3:$BK$3</c:f>
              <c:numCache>
                <c:formatCode>#,##0_);[Red]\(#,##0\)</c:formatCode>
                <c:ptCount val="6"/>
                <c:pt idx="0">
                  <c:v>365232</c:v>
                </c:pt>
                <c:pt idx="1">
                  <c:v>356554</c:v>
                </c:pt>
                <c:pt idx="2">
                  <c:v>444481</c:v>
                </c:pt>
                <c:pt idx="3">
                  <c:v>520000</c:v>
                </c:pt>
                <c:pt idx="4">
                  <c:v>585000</c:v>
                </c:pt>
                <c:pt idx="5">
                  <c:v>650000</c:v>
                </c:pt>
              </c:numCache>
            </c:numRef>
          </c:val>
          <c:extLst>
            <c:ext xmlns:c16="http://schemas.microsoft.com/office/drawing/2014/chart" uri="{C3380CC4-5D6E-409C-BE32-E72D297353CC}">
              <c16:uniqueId val="{00000000-0778-4F88-A99E-A2566810F5B0}"/>
            </c:ext>
          </c:extLst>
        </c:ser>
        <c:ser>
          <c:idx val="1"/>
          <c:order val="1"/>
          <c:tx>
            <c:v>Shanghai</c:v>
          </c:tx>
          <c:spPr>
            <a:solidFill>
              <a:schemeClr val="accent2"/>
            </a:solidFill>
            <a:ln>
              <a:noFill/>
            </a:ln>
            <a:effectLst/>
          </c:spPr>
          <c:invertIfNegative val="0"/>
          <c:cat>
            <c:strRef>
              <c:f>'Capacity Detail'!$BF$2:$BK$2</c:f>
              <c:strCache>
                <c:ptCount val="6"/>
                <c:pt idx="0">
                  <c:v>2019</c:v>
                </c:pt>
                <c:pt idx="1">
                  <c:v>2020</c:v>
                </c:pt>
                <c:pt idx="2">
                  <c:v>2021</c:v>
                </c:pt>
                <c:pt idx="3">
                  <c:v>2022</c:v>
                </c:pt>
                <c:pt idx="4">
                  <c:v>2023E</c:v>
                </c:pt>
                <c:pt idx="5">
                  <c:v>2024E</c:v>
                </c:pt>
              </c:strCache>
            </c:strRef>
          </c:cat>
          <c:val>
            <c:numRef>
              <c:f>'Capacity Detail'!$BF$4:$BK$4</c:f>
              <c:numCache>
                <c:formatCode>#,##0_);[Red]\(#,##0\)</c:formatCode>
                <c:ptCount val="6"/>
                <c:pt idx="0">
                  <c:v>0</c:v>
                </c:pt>
                <c:pt idx="1">
                  <c:v>153183</c:v>
                </c:pt>
                <c:pt idx="2">
                  <c:v>485787</c:v>
                </c:pt>
                <c:pt idx="3">
                  <c:v>675000</c:v>
                </c:pt>
                <c:pt idx="4">
                  <c:v>800000</c:v>
                </c:pt>
                <c:pt idx="5">
                  <c:v>850000</c:v>
                </c:pt>
              </c:numCache>
            </c:numRef>
          </c:val>
          <c:extLst>
            <c:ext xmlns:c16="http://schemas.microsoft.com/office/drawing/2014/chart" uri="{C3380CC4-5D6E-409C-BE32-E72D297353CC}">
              <c16:uniqueId val="{00000001-0778-4F88-A99E-A2566810F5B0}"/>
            </c:ext>
          </c:extLst>
        </c:ser>
        <c:ser>
          <c:idx val="2"/>
          <c:order val="2"/>
          <c:tx>
            <c:v>Berlin</c:v>
          </c:tx>
          <c:spPr>
            <a:solidFill>
              <a:schemeClr val="accent3"/>
            </a:solidFill>
            <a:ln>
              <a:noFill/>
            </a:ln>
            <a:effectLst/>
          </c:spPr>
          <c:invertIfNegative val="0"/>
          <c:cat>
            <c:strRef>
              <c:f>'Capacity Detail'!$BF$2:$BK$2</c:f>
              <c:strCache>
                <c:ptCount val="6"/>
                <c:pt idx="0">
                  <c:v>2019</c:v>
                </c:pt>
                <c:pt idx="1">
                  <c:v>2020</c:v>
                </c:pt>
                <c:pt idx="2">
                  <c:v>2021</c:v>
                </c:pt>
                <c:pt idx="3">
                  <c:v>2022</c:v>
                </c:pt>
                <c:pt idx="4">
                  <c:v>2023E</c:v>
                </c:pt>
                <c:pt idx="5">
                  <c:v>2024E</c:v>
                </c:pt>
              </c:strCache>
            </c:strRef>
          </c:cat>
          <c:val>
            <c:numRef>
              <c:f>'Capacity Detail'!$BF$5:$BK$5</c:f>
              <c:numCache>
                <c:formatCode>#,##0_);[Red]\(#,##0\)</c:formatCode>
                <c:ptCount val="6"/>
                <c:pt idx="0">
                  <c:v>0</c:v>
                </c:pt>
                <c:pt idx="1">
                  <c:v>0</c:v>
                </c:pt>
                <c:pt idx="2">
                  <c:v>154</c:v>
                </c:pt>
                <c:pt idx="3">
                  <c:v>70000</c:v>
                </c:pt>
                <c:pt idx="4">
                  <c:v>186666.66666666669</c:v>
                </c:pt>
                <c:pt idx="5">
                  <c:v>337000</c:v>
                </c:pt>
              </c:numCache>
            </c:numRef>
          </c:val>
          <c:extLst>
            <c:ext xmlns:c16="http://schemas.microsoft.com/office/drawing/2014/chart" uri="{C3380CC4-5D6E-409C-BE32-E72D297353CC}">
              <c16:uniqueId val="{00000002-0778-4F88-A99E-A2566810F5B0}"/>
            </c:ext>
          </c:extLst>
        </c:ser>
        <c:ser>
          <c:idx val="3"/>
          <c:order val="3"/>
          <c:tx>
            <c:v>Texas</c:v>
          </c:tx>
          <c:spPr>
            <a:solidFill>
              <a:schemeClr val="accent4"/>
            </a:solidFill>
            <a:ln>
              <a:noFill/>
            </a:ln>
            <a:effectLst/>
          </c:spPr>
          <c:invertIfNegative val="0"/>
          <c:cat>
            <c:strRef>
              <c:f>'Capacity Detail'!$BF$2:$BK$2</c:f>
              <c:strCache>
                <c:ptCount val="6"/>
                <c:pt idx="0">
                  <c:v>2019</c:v>
                </c:pt>
                <c:pt idx="1">
                  <c:v>2020</c:v>
                </c:pt>
                <c:pt idx="2">
                  <c:v>2021</c:v>
                </c:pt>
                <c:pt idx="3">
                  <c:v>2022</c:v>
                </c:pt>
                <c:pt idx="4">
                  <c:v>2023E</c:v>
                </c:pt>
                <c:pt idx="5">
                  <c:v>2024E</c:v>
                </c:pt>
              </c:strCache>
            </c:strRef>
          </c:cat>
          <c:val>
            <c:numRef>
              <c:f>'Capacity Detail'!$BF$6:$BK$6</c:f>
              <c:numCache>
                <c:formatCode>#,##0_);[Red]\(#,##0\)</c:formatCode>
                <c:ptCount val="6"/>
                <c:pt idx="0">
                  <c:v>0</c:v>
                </c:pt>
                <c:pt idx="1">
                  <c:v>0</c:v>
                </c:pt>
                <c:pt idx="2">
                  <c:v>0</c:v>
                </c:pt>
                <c:pt idx="3">
                  <c:v>70000</c:v>
                </c:pt>
                <c:pt idx="4">
                  <c:v>224666.66666666666</c:v>
                </c:pt>
                <c:pt idx="5">
                  <c:v>238333.33333333331</c:v>
                </c:pt>
              </c:numCache>
            </c:numRef>
          </c:val>
          <c:extLst>
            <c:ext xmlns:c16="http://schemas.microsoft.com/office/drawing/2014/chart" uri="{C3380CC4-5D6E-409C-BE32-E72D297353CC}">
              <c16:uniqueId val="{00000003-0778-4F88-A99E-A2566810F5B0}"/>
            </c:ext>
          </c:extLst>
        </c:ser>
        <c:dLbls>
          <c:showLegendKey val="0"/>
          <c:showVal val="0"/>
          <c:showCatName val="0"/>
          <c:showSerName val="0"/>
          <c:showPercent val="0"/>
          <c:showBubbleSize val="0"/>
        </c:dLbls>
        <c:gapWidth val="150"/>
        <c:overlap val="100"/>
        <c:axId val="1516881095"/>
        <c:axId val="2135527400"/>
      </c:barChart>
      <c:catAx>
        <c:axId val="1516881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35527400"/>
        <c:crosses val="autoZero"/>
        <c:auto val="1"/>
        <c:lblAlgn val="ctr"/>
        <c:lblOffset val="100"/>
        <c:noMultiLvlLbl val="0"/>
      </c:catAx>
      <c:valAx>
        <c:axId val="2135527400"/>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16881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Unit Cost ($k)</c:v>
          </c:tx>
          <c:spPr>
            <a:ln w="28575" cap="rnd">
              <a:solidFill>
                <a:schemeClr val="accent1"/>
              </a:solidFill>
              <a:round/>
            </a:ln>
            <a:effectLst/>
          </c:spPr>
          <c:marker>
            <c:symbol val="none"/>
          </c:marker>
          <c:val>
            <c:numRef>
              <c:f>CA!$D$74:$J$74</c:f>
              <c:numCache>
                <c:formatCode>_ * #,##0_ ;_ * \-#,##0_ ;_ * "-"??_ ;_ @_ </c:formatCode>
                <c:ptCount val="7"/>
                <c:pt idx="0">
                  <c:v>66.089648837306896</c:v>
                </c:pt>
                <c:pt idx="1">
                  <c:v>44.897489814693124</c:v>
                </c:pt>
                <c:pt idx="2">
                  <c:v>42.260748757251541</c:v>
                </c:pt>
                <c:pt idx="3">
                  <c:v>36.802821935420873</c:v>
                </c:pt>
                <c:pt idx="4">
                  <c:v>37.204507791876459</c:v>
                </c:pt>
                <c:pt idx="5">
                  <c:v>34.339067366508047</c:v>
                </c:pt>
                <c:pt idx="6">
                  <c:v>31.322893471620599</c:v>
                </c:pt>
              </c:numCache>
            </c:numRef>
          </c:val>
          <c:smooth val="0"/>
          <c:extLst>
            <c:ext xmlns:c15="http://schemas.microsoft.com/office/drawing/2012/chart" uri="{02D57815-91ED-43cb-92C2-25804820EDAC}">
              <c15:filteredCategoryTitle>
                <c15:cat>
                  <c:strRef>
                    <c:extLst>
                      <c:ext uri="{02D57815-91ED-43cb-92C2-25804820EDAC}">
                        <c15:formulaRef>
                          <c15:sqref>[1]CA!#REF!</c15:sqref>
                        </c15:formulaRef>
                      </c:ext>
                    </c:extLst>
                    <c:strCache>
                      <c:ptCount val="1"/>
                      <c:pt idx="0">
                        <c:v>#REF!</c:v>
                      </c:pt>
                    </c:strCache>
                  </c:strRef>
                </c15:cat>
              </c15:filteredCategoryTitle>
            </c:ext>
            <c:ext xmlns:c16="http://schemas.microsoft.com/office/drawing/2014/chart" uri="{C3380CC4-5D6E-409C-BE32-E72D297353CC}">
              <c16:uniqueId val="{00000001-5C92-4AF0-BE4A-F2BCD5517158}"/>
            </c:ext>
          </c:extLst>
        </c:ser>
        <c:dLbls>
          <c:showLegendKey val="0"/>
          <c:showVal val="0"/>
          <c:showCatName val="0"/>
          <c:showSerName val="0"/>
          <c:showPercent val="0"/>
          <c:showBubbleSize val="0"/>
        </c:dLbls>
        <c:smooth val="0"/>
        <c:axId val="484564360"/>
        <c:axId val="2135409464"/>
      </c:lineChart>
      <c:catAx>
        <c:axId val="484564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35409464"/>
        <c:crosses val="autoZero"/>
        <c:auto val="1"/>
        <c:lblAlgn val="ctr"/>
        <c:lblOffset val="100"/>
        <c:noMultiLvlLbl val="0"/>
      </c:catAx>
      <c:valAx>
        <c:axId val="2135409464"/>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84564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'Tesla FSD'!$B$52</c:f>
              <c:strCache>
                <c:ptCount val="1"/>
                <c:pt idx="0">
                  <c:v>亚太</c:v>
                </c:pt>
              </c:strCache>
            </c:strRef>
          </c:tx>
          <c:spPr>
            <a:ln w="22225" cap="rnd">
              <a:solidFill>
                <a:schemeClr val="accent1"/>
              </a:solidFill>
              <a:round/>
            </a:ln>
            <a:effectLst/>
          </c:spPr>
          <c:marker>
            <c:symbol val="diamond"/>
            <c:size val="7"/>
            <c:spPr>
              <a:solidFill>
                <a:schemeClr val="accent1"/>
              </a:solidFill>
              <a:ln w="9525">
                <a:solidFill>
                  <a:schemeClr val="accent1"/>
                </a:solidFill>
              </a:ln>
              <a:effectLst/>
            </c:spPr>
          </c:marker>
          <c:cat>
            <c:strRef>
              <c:f>'Tesla FSD'!$A$53:$A$77</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FSD'!$B$53:$B$77</c:f>
              <c:numCache>
                <c:formatCode>0.0%</c:formatCode>
                <c:ptCount val="25"/>
                <c:pt idx="0">
                  <c:v>0.03</c:v>
                </c:pt>
                <c:pt idx="1">
                  <c:v>0.03</c:v>
                </c:pt>
                <c:pt idx="2">
                  <c:v>0.03</c:v>
                </c:pt>
                <c:pt idx="3">
                  <c:v>0.03</c:v>
                </c:pt>
                <c:pt idx="4">
                  <c:v>0.03</c:v>
                </c:pt>
                <c:pt idx="5">
                  <c:v>0.03</c:v>
                </c:pt>
                <c:pt idx="6">
                  <c:v>0.03</c:v>
                </c:pt>
                <c:pt idx="7">
                  <c:v>0.03</c:v>
                </c:pt>
                <c:pt idx="8">
                  <c:v>0.03</c:v>
                </c:pt>
                <c:pt idx="9">
                  <c:v>2.1999999999999999E-2</c:v>
                </c:pt>
                <c:pt idx="10">
                  <c:v>0.02</c:v>
                </c:pt>
                <c:pt idx="11">
                  <c:v>1.9E-2</c:v>
                </c:pt>
                <c:pt idx="12">
                  <c:v>1.7999999999999999E-2</c:v>
                </c:pt>
                <c:pt idx="13">
                  <c:v>1.6E-2</c:v>
                </c:pt>
                <c:pt idx="14">
                  <c:v>1.4E-2</c:v>
                </c:pt>
                <c:pt idx="15">
                  <c:v>1.2E-2</c:v>
                </c:pt>
                <c:pt idx="16">
                  <c:v>8.9999999999999993E-3</c:v>
                </c:pt>
                <c:pt idx="17">
                  <c:v>8.0000000000000002E-3</c:v>
                </c:pt>
                <c:pt idx="18">
                  <c:v>6.0000000000000001E-3</c:v>
                </c:pt>
                <c:pt idx="19">
                  <c:v>4.0000000000000001E-3</c:v>
                </c:pt>
                <c:pt idx="20">
                  <c:v>4.0000000000000001E-3</c:v>
                </c:pt>
                <c:pt idx="21">
                  <c:v>4.0000000000000001E-3</c:v>
                </c:pt>
                <c:pt idx="22">
                  <c:v>4.0000000000000001E-3</c:v>
                </c:pt>
                <c:pt idx="23">
                  <c:v>4.0000000000000001E-3</c:v>
                </c:pt>
                <c:pt idx="24">
                  <c:v>4.0000000000000001E-3</c:v>
                </c:pt>
              </c:numCache>
            </c:numRef>
          </c:val>
          <c:smooth val="0"/>
          <c:extLst>
            <c:ext xmlns:c16="http://schemas.microsoft.com/office/drawing/2014/chart" uri="{C3380CC4-5D6E-409C-BE32-E72D297353CC}">
              <c16:uniqueId val="{00000000-E29A-1D4B-B179-C0E5C35C8DB5}"/>
            </c:ext>
          </c:extLst>
        </c:ser>
        <c:ser>
          <c:idx val="1"/>
          <c:order val="1"/>
          <c:tx>
            <c:strRef>
              <c:f>'Tesla FSD'!$C$52</c:f>
              <c:strCache>
                <c:ptCount val="1"/>
                <c:pt idx="0">
                  <c:v>欧洲</c:v>
                </c:pt>
              </c:strCache>
            </c:strRef>
          </c:tx>
          <c:spPr>
            <a:ln w="22225" cap="rnd">
              <a:solidFill>
                <a:schemeClr val="accent5">
                  <a:lumMod val="60000"/>
                  <a:lumOff val="40000"/>
                </a:schemeClr>
              </a:solidFill>
              <a:round/>
            </a:ln>
            <a:effectLst/>
          </c:spPr>
          <c:marker>
            <c:symbol val="square"/>
            <c:size val="6"/>
            <c:spPr>
              <a:solidFill>
                <a:schemeClr val="accent5">
                  <a:lumMod val="60000"/>
                  <a:lumOff val="40000"/>
                </a:schemeClr>
              </a:solidFill>
              <a:ln w="9525">
                <a:solidFill>
                  <a:schemeClr val="accent5">
                    <a:lumMod val="60000"/>
                    <a:lumOff val="40000"/>
                  </a:schemeClr>
                </a:solidFill>
              </a:ln>
              <a:effectLst/>
            </c:spPr>
          </c:marker>
          <c:cat>
            <c:strRef>
              <c:f>'Tesla FSD'!$A$53:$A$77</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FSD'!$C$53:$C$77</c:f>
              <c:numCache>
                <c:formatCode>0.0%</c:formatCode>
                <c:ptCount val="25"/>
                <c:pt idx="0">
                  <c:v>0.14299999999999999</c:v>
                </c:pt>
                <c:pt idx="1">
                  <c:v>0.14299999999999999</c:v>
                </c:pt>
                <c:pt idx="2">
                  <c:v>0.14299999999999999</c:v>
                </c:pt>
                <c:pt idx="3">
                  <c:v>0.14299999999999999</c:v>
                </c:pt>
                <c:pt idx="4">
                  <c:v>0.14399999999999999</c:v>
                </c:pt>
                <c:pt idx="5">
                  <c:v>0.28000000000000003</c:v>
                </c:pt>
                <c:pt idx="6">
                  <c:v>5.7000000000000002E-2</c:v>
                </c:pt>
                <c:pt idx="7">
                  <c:v>0.189</c:v>
                </c:pt>
                <c:pt idx="8">
                  <c:v>0.222</c:v>
                </c:pt>
                <c:pt idx="9">
                  <c:v>0.29199999999999998</c:v>
                </c:pt>
                <c:pt idx="10">
                  <c:v>0.55500000000000005</c:v>
                </c:pt>
                <c:pt idx="11">
                  <c:v>0.442</c:v>
                </c:pt>
                <c:pt idx="12">
                  <c:v>0.30599999999999999</c:v>
                </c:pt>
                <c:pt idx="13">
                  <c:v>0.26100000000000001</c:v>
                </c:pt>
                <c:pt idx="14">
                  <c:v>0.315</c:v>
                </c:pt>
                <c:pt idx="15">
                  <c:v>0.217</c:v>
                </c:pt>
                <c:pt idx="16">
                  <c:v>0.13800000000000001</c:v>
                </c:pt>
                <c:pt idx="17">
                  <c:v>0.121</c:v>
                </c:pt>
                <c:pt idx="18">
                  <c:v>0.161</c:v>
                </c:pt>
                <c:pt idx="19">
                  <c:v>0.129</c:v>
                </c:pt>
                <c:pt idx="20">
                  <c:v>0.10299999999999999</c:v>
                </c:pt>
                <c:pt idx="21">
                  <c:v>6.5000000000000002E-2</c:v>
                </c:pt>
                <c:pt idx="22">
                  <c:v>6.5000000000000002E-2</c:v>
                </c:pt>
                <c:pt idx="23">
                  <c:v>8.7999999999999995E-2</c:v>
                </c:pt>
                <c:pt idx="24">
                  <c:v>7.6499999999999999E-2</c:v>
                </c:pt>
              </c:numCache>
            </c:numRef>
          </c:val>
          <c:smooth val="0"/>
          <c:extLst>
            <c:ext xmlns:c16="http://schemas.microsoft.com/office/drawing/2014/chart" uri="{C3380CC4-5D6E-409C-BE32-E72D297353CC}">
              <c16:uniqueId val="{00000001-E29A-1D4B-B179-C0E5C35C8DB5}"/>
            </c:ext>
          </c:extLst>
        </c:ser>
        <c:ser>
          <c:idx val="2"/>
          <c:order val="2"/>
          <c:tx>
            <c:strRef>
              <c:f>'Tesla FSD'!$D$52</c:f>
              <c:strCache>
                <c:ptCount val="1"/>
                <c:pt idx="0">
                  <c:v>北美</c:v>
                </c:pt>
              </c:strCache>
            </c:strRef>
          </c:tx>
          <c:spPr>
            <a:ln w="22225" cap="rnd">
              <a:solidFill>
                <a:srgbClr val="00B0F0"/>
              </a:solidFill>
              <a:round/>
            </a:ln>
            <a:effectLst/>
          </c:spPr>
          <c:marker>
            <c:symbol val="triangle"/>
            <c:size val="7"/>
            <c:spPr>
              <a:solidFill>
                <a:srgbClr val="00B0F0"/>
              </a:solidFill>
              <a:ln w="9525">
                <a:solidFill>
                  <a:srgbClr val="00B0F0"/>
                </a:solidFill>
              </a:ln>
              <a:effectLst/>
            </c:spPr>
          </c:marker>
          <c:cat>
            <c:strRef>
              <c:f>'Tesla FSD'!$A$53:$A$77</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FSD'!$D$53:$D$77</c:f>
              <c:numCache>
                <c:formatCode>0.0%</c:formatCode>
                <c:ptCount val="25"/>
                <c:pt idx="0">
                  <c:v>0.14299999999999999</c:v>
                </c:pt>
                <c:pt idx="1">
                  <c:v>0.14299999999999999</c:v>
                </c:pt>
                <c:pt idx="2">
                  <c:v>0.14299999999999999</c:v>
                </c:pt>
                <c:pt idx="3">
                  <c:v>0.14599999999999999</c:v>
                </c:pt>
                <c:pt idx="4">
                  <c:v>0.156</c:v>
                </c:pt>
                <c:pt idx="5">
                  <c:v>0.157</c:v>
                </c:pt>
                <c:pt idx="6">
                  <c:v>0.122</c:v>
                </c:pt>
                <c:pt idx="7">
                  <c:v>0.23599999999999999</c:v>
                </c:pt>
                <c:pt idx="8">
                  <c:v>0.183</c:v>
                </c:pt>
                <c:pt idx="9">
                  <c:v>0.30099999999999999</c:v>
                </c:pt>
                <c:pt idx="10">
                  <c:v>0.51100000000000001</c:v>
                </c:pt>
                <c:pt idx="11">
                  <c:v>0.53400000000000003</c:v>
                </c:pt>
                <c:pt idx="12">
                  <c:v>0.499</c:v>
                </c:pt>
                <c:pt idx="13">
                  <c:v>0.39800000000000002</c:v>
                </c:pt>
                <c:pt idx="14">
                  <c:v>0.42599999999999999</c:v>
                </c:pt>
                <c:pt idx="15">
                  <c:v>0.32500000000000001</c:v>
                </c:pt>
                <c:pt idx="16">
                  <c:v>0.32900000000000001</c:v>
                </c:pt>
                <c:pt idx="17">
                  <c:v>0.253</c:v>
                </c:pt>
                <c:pt idx="18">
                  <c:v>0.184</c:v>
                </c:pt>
                <c:pt idx="19">
                  <c:v>0.14799999999999999</c:v>
                </c:pt>
                <c:pt idx="20">
                  <c:v>0.13800000000000001</c:v>
                </c:pt>
                <c:pt idx="21">
                  <c:v>0.14499999999999999</c:v>
                </c:pt>
                <c:pt idx="22">
                  <c:v>0.14499999999999999</c:v>
                </c:pt>
                <c:pt idx="23">
                  <c:v>0.14299999999999999</c:v>
                </c:pt>
                <c:pt idx="24">
                  <c:v>0.14433333333333331</c:v>
                </c:pt>
              </c:numCache>
            </c:numRef>
          </c:val>
          <c:smooth val="0"/>
          <c:extLst>
            <c:ext xmlns:c16="http://schemas.microsoft.com/office/drawing/2014/chart" uri="{C3380CC4-5D6E-409C-BE32-E72D297353CC}">
              <c16:uniqueId val="{00000002-E29A-1D4B-B179-C0E5C35C8DB5}"/>
            </c:ext>
          </c:extLst>
        </c:ser>
        <c:ser>
          <c:idx val="3"/>
          <c:order val="3"/>
          <c:tx>
            <c:strRef>
              <c:f>'Tesla FSD'!$E$52</c:f>
              <c:strCache>
                <c:ptCount val="1"/>
                <c:pt idx="0">
                  <c:v>全球</c:v>
                </c:pt>
              </c:strCache>
            </c:strRef>
          </c:tx>
          <c:spPr>
            <a:ln w="22225" cap="rnd">
              <a:solidFill>
                <a:srgbClr val="C00000"/>
              </a:solidFill>
              <a:round/>
            </a:ln>
            <a:effectLst/>
          </c:spPr>
          <c:marker>
            <c:symbol val="circle"/>
            <c:size val="5"/>
            <c:spPr>
              <a:solidFill>
                <a:srgbClr val="C00000"/>
              </a:solidFill>
              <a:ln w="9525">
                <a:solidFill>
                  <a:srgbClr val="C00000"/>
                </a:solidFill>
              </a:ln>
              <a:effectLst/>
            </c:spPr>
          </c:marker>
          <c:cat>
            <c:strRef>
              <c:f>'Tesla FSD'!$A$53:$A$77</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FSD'!$E$53:$E$77</c:f>
              <c:numCache>
                <c:formatCode>0.0%</c:formatCode>
                <c:ptCount val="25"/>
                <c:pt idx="0">
                  <c:v>0.124</c:v>
                </c:pt>
                <c:pt idx="1">
                  <c:v>0.113</c:v>
                </c:pt>
                <c:pt idx="2">
                  <c:v>0.11799999999999999</c:v>
                </c:pt>
                <c:pt idx="3">
                  <c:v>0.11899999999999999</c:v>
                </c:pt>
                <c:pt idx="4">
                  <c:v>0.13400000000000001</c:v>
                </c:pt>
                <c:pt idx="5">
                  <c:v>0.161</c:v>
                </c:pt>
                <c:pt idx="6">
                  <c:v>9.7000000000000003E-2</c:v>
                </c:pt>
                <c:pt idx="7">
                  <c:v>0.223</c:v>
                </c:pt>
                <c:pt idx="8">
                  <c:v>0.18099999999999999</c:v>
                </c:pt>
                <c:pt idx="9">
                  <c:v>0.26500000000000001</c:v>
                </c:pt>
                <c:pt idx="10">
                  <c:v>0.45700000000000002</c:v>
                </c:pt>
                <c:pt idx="11">
                  <c:v>0.42799999999999999</c:v>
                </c:pt>
                <c:pt idx="12">
                  <c:v>0.35499999999999998</c:v>
                </c:pt>
                <c:pt idx="13">
                  <c:v>0.24399999999999999</c:v>
                </c:pt>
                <c:pt idx="14">
                  <c:v>0.248</c:v>
                </c:pt>
                <c:pt idx="15">
                  <c:v>0.20300000000000001</c:v>
                </c:pt>
                <c:pt idx="16">
                  <c:v>0.17699999999999999</c:v>
                </c:pt>
                <c:pt idx="17">
                  <c:v>0.127</c:v>
                </c:pt>
                <c:pt idx="18">
                  <c:v>0.108</c:v>
                </c:pt>
                <c:pt idx="19">
                  <c:v>8.8999999999999996E-2</c:v>
                </c:pt>
                <c:pt idx="20">
                  <c:v>7.4999999999999997E-2</c:v>
                </c:pt>
                <c:pt idx="21">
                  <c:v>7.1999999999999995E-2</c:v>
                </c:pt>
                <c:pt idx="22">
                  <c:v>8.1000000000000003E-2</c:v>
                </c:pt>
                <c:pt idx="23">
                  <c:v>7.3999999999999996E-2</c:v>
                </c:pt>
                <c:pt idx="24">
                  <c:v>7.566666666666666E-2</c:v>
                </c:pt>
              </c:numCache>
            </c:numRef>
          </c:val>
          <c:smooth val="0"/>
          <c:extLst>
            <c:ext xmlns:c16="http://schemas.microsoft.com/office/drawing/2014/chart" uri="{C3380CC4-5D6E-409C-BE32-E72D297353CC}">
              <c16:uniqueId val="{00000003-E29A-1D4B-B179-C0E5C35C8DB5}"/>
            </c:ext>
          </c:extLst>
        </c:ser>
        <c:dLbls>
          <c:showLegendKey val="0"/>
          <c:showVal val="0"/>
          <c:showCatName val="0"/>
          <c:showSerName val="0"/>
          <c:showPercent val="0"/>
          <c:showBubbleSize val="0"/>
        </c:dLbls>
        <c:marker val="1"/>
        <c:smooth val="0"/>
        <c:axId val="16474383"/>
        <c:axId val="791467407"/>
      </c:lineChart>
      <c:catAx>
        <c:axId val="1647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791467407"/>
        <c:crosses val="autoZero"/>
        <c:auto val="1"/>
        <c:lblAlgn val="ctr"/>
        <c:lblOffset val="100"/>
        <c:noMultiLvlLbl val="0"/>
      </c:catAx>
      <c:valAx>
        <c:axId val="7914674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6474383"/>
        <c:crosses val="autoZero"/>
        <c:crossBetween val="between"/>
      </c:valAx>
      <c:spPr>
        <a:noFill/>
        <a:ln>
          <a:noFill/>
        </a:ln>
        <a:effectLst/>
      </c:spPr>
    </c:plotArea>
    <c:legend>
      <c:legendPos val="b"/>
      <c:layout>
        <c:manualLayout>
          <c:xMode val="edge"/>
          <c:yMode val="edge"/>
          <c:x val="0.60484035713676831"/>
          <c:y val="1.6269363260438725E-2"/>
          <c:w val="0.35296300536503139"/>
          <c:h val="4.4287190919364235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'Tesla FSD'!$B$80</c:f>
              <c:strCache>
                <c:ptCount val="1"/>
                <c:pt idx="0">
                  <c:v>Model 3</c:v>
                </c:pt>
              </c:strCache>
            </c:strRef>
          </c:tx>
          <c:spPr>
            <a:ln w="22225" cap="rnd">
              <a:solidFill>
                <a:schemeClr val="accent1"/>
              </a:solidFill>
              <a:round/>
            </a:ln>
            <a:effectLst/>
          </c:spPr>
          <c:marker>
            <c:symbol val="diamond"/>
            <c:size val="7"/>
            <c:spPr>
              <a:solidFill>
                <a:schemeClr val="accent1"/>
              </a:solidFill>
              <a:ln w="9525">
                <a:solidFill>
                  <a:schemeClr val="accent1"/>
                </a:solidFill>
              </a:ln>
              <a:effectLst/>
            </c:spPr>
          </c:marker>
          <c:cat>
            <c:strRef>
              <c:f>'Tesla FSD'!$A$81:$A$105</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FSD'!$B$81:$B$105</c:f>
              <c:numCache>
                <c:formatCode>0.0%</c:formatCode>
                <c:ptCount val="25"/>
                <c:pt idx="3">
                  <c:v>0.33300000000000002</c:v>
                </c:pt>
                <c:pt idx="4">
                  <c:v>0.27300000000000002</c:v>
                </c:pt>
                <c:pt idx="5">
                  <c:v>9.8000000000000004E-2</c:v>
                </c:pt>
                <c:pt idx="6">
                  <c:v>8.8999999999999996E-2</c:v>
                </c:pt>
                <c:pt idx="7">
                  <c:v>0.22900000000000001</c:v>
                </c:pt>
                <c:pt idx="8">
                  <c:v>0.14599999999999999</c:v>
                </c:pt>
                <c:pt idx="9">
                  <c:v>0.26100000000000001</c:v>
                </c:pt>
                <c:pt idx="10">
                  <c:v>0.46100000000000002</c:v>
                </c:pt>
                <c:pt idx="11">
                  <c:v>0.48399999999999999</c:v>
                </c:pt>
                <c:pt idx="12">
                  <c:v>0.434</c:v>
                </c:pt>
                <c:pt idx="13">
                  <c:v>0.315</c:v>
                </c:pt>
                <c:pt idx="14">
                  <c:v>0.309</c:v>
                </c:pt>
                <c:pt idx="15">
                  <c:v>0.17699999999999999</c:v>
                </c:pt>
                <c:pt idx="16">
                  <c:v>0.22700000000000001</c:v>
                </c:pt>
                <c:pt idx="17">
                  <c:v>0.183</c:v>
                </c:pt>
                <c:pt idx="18">
                  <c:v>0.14499999999999999</c:v>
                </c:pt>
                <c:pt idx="19">
                  <c:v>0.104</c:v>
                </c:pt>
                <c:pt idx="20">
                  <c:v>6.4000000000000001E-2</c:v>
                </c:pt>
                <c:pt idx="21">
                  <c:v>6.9000000000000006E-2</c:v>
                </c:pt>
                <c:pt idx="22">
                  <c:v>7.1999999999999995E-2</c:v>
                </c:pt>
                <c:pt idx="23">
                  <c:v>5.1999999999999998E-2</c:v>
                </c:pt>
                <c:pt idx="24">
                  <c:v>6.433333333333334E-2</c:v>
                </c:pt>
              </c:numCache>
            </c:numRef>
          </c:val>
          <c:smooth val="0"/>
          <c:extLst>
            <c:ext xmlns:c16="http://schemas.microsoft.com/office/drawing/2014/chart" uri="{C3380CC4-5D6E-409C-BE32-E72D297353CC}">
              <c16:uniqueId val="{00000000-CC05-FD4C-B2E0-90B2B45FF439}"/>
            </c:ext>
          </c:extLst>
        </c:ser>
        <c:ser>
          <c:idx val="1"/>
          <c:order val="1"/>
          <c:tx>
            <c:strRef>
              <c:f>'Tesla FSD'!$C$80</c:f>
              <c:strCache>
                <c:ptCount val="1"/>
                <c:pt idx="0">
                  <c:v>Model Y</c:v>
                </c:pt>
              </c:strCache>
            </c:strRef>
          </c:tx>
          <c:spPr>
            <a:ln w="22225" cap="rnd">
              <a:solidFill>
                <a:schemeClr val="accent5">
                  <a:lumMod val="60000"/>
                  <a:lumOff val="40000"/>
                </a:schemeClr>
              </a:solidFill>
              <a:round/>
            </a:ln>
            <a:effectLst/>
          </c:spPr>
          <c:marker>
            <c:symbol val="square"/>
            <c:size val="6"/>
            <c:spPr>
              <a:solidFill>
                <a:schemeClr val="accent5">
                  <a:lumMod val="60000"/>
                  <a:lumOff val="40000"/>
                </a:schemeClr>
              </a:solidFill>
              <a:ln w="9525">
                <a:solidFill>
                  <a:schemeClr val="accent5">
                    <a:lumMod val="60000"/>
                    <a:lumOff val="40000"/>
                  </a:schemeClr>
                </a:solidFill>
              </a:ln>
              <a:effectLst/>
            </c:spPr>
          </c:marker>
          <c:cat>
            <c:strRef>
              <c:f>'Tesla FSD'!$A$81:$A$105</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FSD'!$C$81:$C$105</c:f>
              <c:numCache>
                <c:formatCode>0.0%</c:formatCode>
                <c:ptCount val="25"/>
                <c:pt idx="13">
                  <c:v>0.54500000000000004</c:v>
                </c:pt>
                <c:pt idx="14">
                  <c:v>0.499</c:v>
                </c:pt>
                <c:pt idx="15">
                  <c:v>0.38400000000000001</c:v>
                </c:pt>
                <c:pt idx="16">
                  <c:v>0.33700000000000002</c:v>
                </c:pt>
                <c:pt idx="17">
                  <c:v>0.28999999999999998</c:v>
                </c:pt>
                <c:pt idx="18">
                  <c:v>0.20100000000000001</c:v>
                </c:pt>
                <c:pt idx="19">
                  <c:v>0.13400000000000001</c:v>
                </c:pt>
                <c:pt idx="20">
                  <c:v>0.14299999999999999</c:v>
                </c:pt>
                <c:pt idx="21">
                  <c:v>0.122</c:v>
                </c:pt>
                <c:pt idx="22">
                  <c:v>0.123</c:v>
                </c:pt>
                <c:pt idx="23">
                  <c:v>0.13300000000000001</c:v>
                </c:pt>
                <c:pt idx="24">
                  <c:v>0.126</c:v>
                </c:pt>
              </c:numCache>
            </c:numRef>
          </c:val>
          <c:smooth val="0"/>
          <c:extLst>
            <c:ext xmlns:c16="http://schemas.microsoft.com/office/drawing/2014/chart" uri="{C3380CC4-5D6E-409C-BE32-E72D297353CC}">
              <c16:uniqueId val="{00000001-CC05-FD4C-B2E0-90B2B45FF439}"/>
            </c:ext>
          </c:extLst>
        </c:ser>
        <c:ser>
          <c:idx val="2"/>
          <c:order val="2"/>
          <c:tx>
            <c:strRef>
              <c:f>'Tesla FSD'!$D$80</c:f>
              <c:strCache>
                <c:ptCount val="1"/>
                <c:pt idx="0">
                  <c:v>Model S/X</c:v>
                </c:pt>
              </c:strCache>
            </c:strRef>
          </c:tx>
          <c:spPr>
            <a:ln w="22225" cap="rnd">
              <a:solidFill>
                <a:srgbClr val="00B0F0"/>
              </a:solidFill>
              <a:round/>
            </a:ln>
            <a:effectLst/>
          </c:spPr>
          <c:marker>
            <c:symbol val="triangle"/>
            <c:size val="7"/>
            <c:spPr>
              <a:solidFill>
                <a:srgbClr val="00B0F0"/>
              </a:solidFill>
              <a:ln w="9525">
                <a:solidFill>
                  <a:srgbClr val="00B0F0"/>
                </a:solidFill>
              </a:ln>
              <a:effectLst/>
            </c:spPr>
          </c:marker>
          <c:cat>
            <c:strRef>
              <c:f>'Tesla FSD'!$A$81:$A$105</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FSD'!$D$81:$D$105</c:f>
              <c:numCache>
                <c:formatCode>0.0%</c:formatCode>
                <c:ptCount val="25"/>
                <c:pt idx="0">
                  <c:v>0.14299999999999999</c:v>
                </c:pt>
                <c:pt idx="1">
                  <c:v>0.14299999999999999</c:v>
                </c:pt>
                <c:pt idx="2">
                  <c:v>0.14299999999999999</c:v>
                </c:pt>
                <c:pt idx="3">
                  <c:v>0.14299999999999999</c:v>
                </c:pt>
                <c:pt idx="4">
                  <c:v>0.14399999999999999</c:v>
                </c:pt>
                <c:pt idx="5">
                  <c:v>0.20200000000000001</c:v>
                </c:pt>
                <c:pt idx="6">
                  <c:v>0.19</c:v>
                </c:pt>
                <c:pt idx="7">
                  <c:v>0.26</c:v>
                </c:pt>
                <c:pt idx="8">
                  <c:v>0.32900000000000001</c:v>
                </c:pt>
                <c:pt idx="9">
                  <c:v>0.5</c:v>
                </c:pt>
                <c:pt idx="10">
                  <c:v>0.80600000000000005</c:v>
                </c:pt>
                <c:pt idx="11">
                  <c:v>0.75</c:v>
                </c:pt>
                <c:pt idx="12">
                  <c:v>0.73599999999999999</c:v>
                </c:pt>
                <c:pt idx="13">
                  <c:v>0.64500000000000002</c:v>
                </c:pt>
                <c:pt idx="14">
                  <c:v>0.622</c:v>
                </c:pt>
                <c:pt idx="15">
                  <c:v>0.56499999999999995</c:v>
                </c:pt>
                <c:pt idx="16">
                  <c:v>0.54100000000000004</c:v>
                </c:pt>
                <c:pt idx="17">
                  <c:v>0.51800000000000002</c:v>
                </c:pt>
                <c:pt idx="18">
                  <c:v>0.47299999999999998</c:v>
                </c:pt>
                <c:pt idx="19">
                  <c:v>0.45200000000000001</c:v>
                </c:pt>
                <c:pt idx="20">
                  <c:v>0.44600000000000001</c:v>
                </c:pt>
                <c:pt idx="21">
                  <c:v>0.5</c:v>
                </c:pt>
                <c:pt idx="22">
                  <c:v>0.47399999999999998</c:v>
                </c:pt>
                <c:pt idx="23">
                  <c:v>0.44800000000000001</c:v>
                </c:pt>
                <c:pt idx="24">
                  <c:v>0.30733333333333329</c:v>
                </c:pt>
              </c:numCache>
            </c:numRef>
          </c:val>
          <c:smooth val="0"/>
          <c:extLst>
            <c:ext xmlns:c16="http://schemas.microsoft.com/office/drawing/2014/chart" uri="{C3380CC4-5D6E-409C-BE32-E72D297353CC}">
              <c16:uniqueId val="{00000002-CC05-FD4C-B2E0-90B2B45FF439}"/>
            </c:ext>
          </c:extLst>
        </c:ser>
        <c:ser>
          <c:idx val="3"/>
          <c:order val="3"/>
          <c:tx>
            <c:strRef>
              <c:f>'Tesla FSD'!$E$80</c:f>
              <c:strCache>
                <c:ptCount val="1"/>
                <c:pt idx="0">
                  <c:v>整体</c:v>
                </c:pt>
              </c:strCache>
            </c:strRef>
          </c:tx>
          <c:spPr>
            <a:ln w="22225" cap="rnd">
              <a:solidFill>
                <a:srgbClr val="C00000"/>
              </a:solidFill>
              <a:round/>
            </a:ln>
            <a:effectLst/>
          </c:spPr>
          <c:marker>
            <c:symbol val="circle"/>
            <c:size val="6"/>
            <c:spPr>
              <a:solidFill>
                <a:srgbClr val="C00000"/>
              </a:solidFill>
              <a:ln w="9525">
                <a:solidFill>
                  <a:srgbClr val="C00000"/>
                </a:solidFill>
              </a:ln>
              <a:effectLst/>
            </c:spPr>
          </c:marker>
          <c:cat>
            <c:strRef>
              <c:f>'Tesla FSD'!$A$81:$A$105</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FSD'!$E$81:$E$105</c:f>
              <c:numCache>
                <c:formatCode>0.0%</c:formatCode>
                <c:ptCount val="25"/>
                <c:pt idx="0">
                  <c:v>0.14299999999999999</c:v>
                </c:pt>
                <c:pt idx="1">
                  <c:v>0.14299999999999999</c:v>
                </c:pt>
                <c:pt idx="2">
                  <c:v>0.14299999999999999</c:v>
                </c:pt>
                <c:pt idx="3">
                  <c:v>0.14599999999999999</c:v>
                </c:pt>
                <c:pt idx="4">
                  <c:v>0.156</c:v>
                </c:pt>
                <c:pt idx="5">
                  <c:v>0.157</c:v>
                </c:pt>
                <c:pt idx="6">
                  <c:v>0.122</c:v>
                </c:pt>
                <c:pt idx="7">
                  <c:v>0.23599999999999999</c:v>
                </c:pt>
                <c:pt idx="8">
                  <c:v>0.183</c:v>
                </c:pt>
                <c:pt idx="9">
                  <c:v>0.30099999999999999</c:v>
                </c:pt>
                <c:pt idx="10">
                  <c:v>0.51100000000000001</c:v>
                </c:pt>
                <c:pt idx="11">
                  <c:v>0.53400000000000003</c:v>
                </c:pt>
                <c:pt idx="12">
                  <c:v>0.499</c:v>
                </c:pt>
                <c:pt idx="13">
                  <c:v>0.39800000000000002</c:v>
                </c:pt>
                <c:pt idx="14">
                  <c:v>0.42599999999999999</c:v>
                </c:pt>
                <c:pt idx="15">
                  <c:v>0.32500000000000001</c:v>
                </c:pt>
                <c:pt idx="16">
                  <c:v>0.32900000000000001</c:v>
                </c:pt>
                <c:pt idx="17">
                  <c:v>0.253</c:v>
                </c:pt>
                <c:pt idx="18">
                  <c:v>0.184</c:v>
                </c:pt>
                <c:pt idx="19">
                  <c:v>0.14799999999999999</c:v>
                </c:pt>
                <c:pt idx="20">
                  <c:v>0.13800000000000001</c:v>
                </c:pt>
                <c:pt idx="21">
                  <c:v>0.14499999999999999</c:v>
                </c:pt>
                <c:pt idx="22">
                  <c:v>0.14499999999999999</c:v>
                </c:pt>
                <c:pt idx="23">
                  <c:v>0.14299999999999999</c:v>
                </c:pt>
                <c:pt idx="24">
                  <c:v>0.14433333333333331</c:v>
                </c:pt>
              </c:numCache>
            </c:numRef>
          </c:val>
          <c:smooth val="0"/>
          <c:extLst>
            <c:ext xmlns:c16="http://schemas.microsoft.com/office/drawing/2014/chart" uri="{C3380CC4-5D6E-409C-BE32-E72D297353CC}">
              <c16:uniqueId val="{00000003-CC05-FD4C-B2E0-90B2B45FF439}"/>
            </c:ext>
          </c:extLst>
        </c:ser>
        <c:dLbls>
          <c:showLegendKey val="0"/>
          <c:showVal val="0"/>
          <c:showCatName val="0"/>
          <c:showSerName val="0"/>
          <c:showPercent val="0"/>
          <c:showBubbleSize val="0"/>
        </c:dLbls>
        <c:marker val="1"/>
        <c:smooth val="0"/>
        <c:axId val="802596639"/>
        <c:axId val="802482095"/>
      </c:lineChart>
      <c:catAx>
        <c:axId val="80259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802482095"/>
        <c:crosses val="autoZero"/>
        <c:auto val="1"/>
        <c:lblAlgn val="ctr"/>
        <c:lblOffset val="100"/>
        <c:noMultiLvlLbl val="0"/>
      </c:catAx>
      <c:valAx>
        <c:axId val="802482095"/>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802596639"/>
        <c:crosses val="autoZero"/>
        <c:crossBetween val="between"/>
      </c:valAx>
      <c:spPr>
        <a:noFill/>
        <a:ln>
          <a:noFill/>
        </a:ln>
        <a:effectLst/>
      </c:spPr>
    </c:plotArea>
    <c:legend>
      <c:legendPos val="b"/>
      <c:layout>
        <c:manualLayout>
          <c:xMode val="edge"/>
          <c:yMode val="edge"/>
          <c:x val="0.51533334165208045"/>
          <c:y val="1.6506993465205025E-2"/>
          <c:w val="0.46033635378187526"/>
          <c:h val="4.191480542327759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38644287482354"/>
          <c:y val="4.4005874026344378E-2"/>
          <c:w val="0.85191883776043897"/>
          <c:h val="0.83166882484149696"/>
        </c:manualLayout>
      </c:layout>
      <c:lineChart>
        <c:grouping val="standard"/>
        <c:varyColors val="0"/>
        <c:ser>
          <c:idx val="0"/>
          <c:order val="0"/>
          <c:spPr>
            <a:ln w="28575" cap="rnd">
              <a:solidFill>
                <a:schemeClr val="accent1"/>
              </a:solidFill>
              <a:round/>
            </a:ln>
            <a:effectLst/>
          </c:spPr>
          <c:marker>
            <c:symbol val="none"/>
          </c:marker>
          <c:cat>
            <c:strRef>
              <c:f>'Tesla FSD'!$A$111:$A$138</c:f>
              <c:strCache>
                <c:ptCount val="28"/>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pt idx="25">
                  <c:v> Q1 2023 </c:v>
                </c:pt>
                <c:pt idx="26">
                  <c:v> Q2 2023 </c:v>
                </c:pt>
                <c:pt idx="27">
                  <c:v> Q3 2023 </c:v>
                </c:pt>
              </c:strCache>
            </c:strRef>
          </c:cat>
          <c:val>
            <c:numRef>
              <c:f>'Tesla FSD'!$B$111:$B$138</c:f>
              <c:numCache>
                <c:formatCode>_(* #,##0_);_(* \(#,##0\);_(* "-"??_);_(@_)</c:formatCode>
                <c:ptCount val="28"/>
                <c:pt idx="0">
                  <c:v>3000</c:v>
                </c:pt>
                <c:pt idx="1">
                  <c:v>3000</c:v>
                </c:pt>
                <c:pt idx="2">
                  <c:v>3000</c:v>
                </c:pt>
                <c:pt idx="3">
                  <c:v>3000</c:v>
                </c:pt>
                <c:pt idx="4">
                  <c:v>3000</c:v>
                </c:pt>
                <c:pt idx="5">
                  <c:v>3000</c:v>
                </c:pt>
                <c:pt idx="6">
                  <c:v>3000</c:v>
                </c:pt>
                <c:pt idx="7">
                  <c:v>3000</c:v>
                </c:pt>
                <c:pt idx="8">
                  <c:v>3000</c:v>
                </c:pt>
                <c:pt idx="9">
                  <c:v>6000</c:v>
                </c:pt>
                <c:pt idx="10">
                  <c:v>6000</c:v>
                </c:pt>
                <c:pt idx="11">
                  <c:v>7000</c:v>
                </c:pt>
                <c:pt idx="12">
                  <c:v>7000</c:v>
                </c:pt>
                <c:pt idx="13">
                  <c:v>8000</c:v>
                </c:pt>
                <c:pt idx="14">
                  <c:v>8000</c:v>
                </c:pt>
                <c:pt idx="15">
                  <c:v>8000</c:v>
                </c:pt>
                <c:pt idx="16">
                  <c:v>10000</c:v>
                </c:pt>
                <c:pt idx="17">
                  <c:v>10000</c:v>
                </c:pt>
                <c:pt idx="18">
                  <c:v>10000</c:v>
                </c:pt>
                <c:pt idx="19">
                  <c:v>10000</c:v>
                </c:pt>
                <c:pt idx="20">
                  <c:v>10000</c:v>
                </c:pt>
                <c:pt idx="21">
                  <c:v>12000</c:v>
                </c:pt>
                <c:pt idx="22">
                  <c:v>12000</c:v>
                </c:pt>
                <c:pt idx="23">
                  <c:v>15000</c:v>
                </c:pt>
                <c:pt idx="24">
                  <c:v>15000</c:v>
                </c:pt>
                <c:pt idx="25">
                  <c:v>15000</c:v>
                </c:pt>
                <c:pt idx="26">
                  <c:v>15000</c:v>
                </c:pt>
                <c:pt idx="27">
                  <c:v>12000</c:v>
                </c:pt>
              </c:numCache>
            </c:numRef>
          </c:val>
          <c:smooth val="0"/>
          <c:extLst>
            <c:ext xmlns:c16="http://schemas.microsoft.com/office/drawing/2014/chart" uri="{C3380CC4-5D6E-409C-BE32-E72D297353CC}">
              <c16:uniqueId val="{00000000-3033-6640-BDE0-C92216D7EDD4}"/>
            </c:ext>
          </c:extLst>
        </c:ser>
        <c:dLbls>
          <c:showLegendKey val="0"/>
          <c:showVal val="0"/>
          <c:showCatName val="0"/>
          <c:showSerName val="0"/>
          <c:showPercent val="0"/>
          <c:showBubbleSize val="0"/>
        </c:dLbls>
        <c:smooth val="0"/>
        <c:axId val="1068100799"/>
        <c:axId val="2140138544"/>
      </c:lineChart>
      <c:catAx>
        <c:axId val="10681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2140138544"/>
        <c:crosses val="autoZero"/>
        <c:auto val="1"/>
        <c:lblAlgn val="ctr"/>
        <c:lblOffset val="100"/>
        <c:noMultiLvlLbl val="0"/>
      </c:catAx>
      <c:valAx>
        <c:axId val="2140138544"/>
        <c:scaling>
          <c:orientation val="minMax"/>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a:latin typeface="Times New Roman" panose="02020603050405020304" pitchFamily="18" charset="0"/>
                    <a:cs typeface="Times New Roman" panose="02020603050405020304" pitchFamily="18" charset="0"/>
                  </a:rPr>
                  <a:t>FSD</a:t>
                </a:r>
                <a:r>
                  <a:rPr lang="zh-CN" altLang="en-US" sz="1100">
                    <a:latin typeface="Times New Roman" panose="02020603050405020304" pitchFamily="18" charset="0"/>
                    <a:cs typeface="Times New Roman" panose="02020603050405020304" pitchFamily="18" charset="0"/>
                  </a:rPr>
                  <a:t>售价</a:t>
                </a:r>
                <a:r>
                  <a:rPr lang="en-US" altLang="zh-CN" sz="1100">
                    <a:latin typeface="Times New Roman" panose="02020603050405020304" pitchFamily="18" charset="0"/>
                    <a:cs typeface="Times New Roman" panose="02020603050405020304" pitchFamily="18" charset="0"/>
                  </a:rPr>
                  <a:t> (</a:t>
                </a:r>
                <a:r>
                  <a:rPr lang="zh-CN" altLang="en-US" sz="1100">
                    <a:latin typeface="Times New Roman" panose="02020603050405020304" pitchFamily="18" charset="0"/>
                    <a:cs typeface="Times New Roman" panose="02020603050405020304" pitchFamily="18" charset="0"/>
                  </a:rPr>
                  <a:t>美元</a:t>
                </a:r>
                <a:r>
                  <a:rPr lang="en-US" altLang="zh-CN" sz="1100">
                    <a:latin typeface="Times New Roman" panose="02020603050405020304" pitchFamily="18" charset="0"/>
                    <a:cs typeface="Times New Roman" panose="02020603050405020304" pitchFamily="18" charset="0"/>
                  </a:rPr>
                  <a:t>)</a:t>
                </a:r>
                <a:endParaRPr lang="en-US" sz="1100">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06810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'Tesla FSD'!$B$140</c:f>
              <c:strCache>
                <c:ptCount val="1"/>
                <c:pt idx="0">
                  <c:v>亚太</c:v>
                </c:pt>
              </c:strCache>
            </c:strRef>
          </c:tx>
          <c:spPr>
            <a:ln w="22225" cap="rnd">
              <a:solidFill>
                <a:schemeClr val="accent1"/>
              </a:solidFill>
              <a:round/>
            </a:ln>
            <a:effectLst/>
          </c:spPr>
          <c:marker>
            <c:symbol val="diamond"/>
            <c:size val="7"/>
            <c:spPr>
              <a:solidFill>
                <a:schemeClr val="accent1"/>
              </a:solidFill>
              <a:ln w="9525">
                <a:solidFill>
                  <a:schemeClr val="accent1"/>
                </a:solidFill>
              </a:ln>
              <a:effectLst/>
            </c:spPr>
          </c:marker>
          <c:cat>
            <c:strRef>
              <c:f>'Tesla FSD'!$A$141:$A$165</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FSD'!$B$141:$B$165</c:f>
              <c:numCache>
                <c:formatCode>_(* #,##0.00_);_(* \(#,##0.00\);_(* "-"??_);_(@_)</c:formatCode>
                <c:ptCount val="25"/>
                <c:pt idx="0">
                  <c:v>0.28000000000000003</c:v>
                </c:pt>
                <c:pt idx="1">
                  <c:v>0.61</c:v>
                </c:pt>
                <c:pt idx="2">
                  <c:v>0.44</c:v>
                </c:pt>
                <c:pt idx="3">
                  <c:v>0.53</c:v>
                </c:pt>
                <c:pt idx="4">
                  <c:v>0.41</c:v>
                </c:pt>
                <c:pt idx="5">
                  <c:v>0.45</c:v>
                </c:pt>
                <c:pt idx="6">
                  <c:v>0.55000000000000004</c:v>
                </c:pt>
                <c:pt idx="7">
                  <c:v>0.31</c:v>
                </c:pt>
                <c:pt idx="8">
                  <c:v>0.3</c:v>
                </c:pt>
                <c:pt idx="9">
                  <c:v>0.97</c:v>
                </c:pt>
                <c:pt idx="10">
                  <c:v>1.54</c:v>
                </c:pt>
                <c:pt idx="11">
                  <c:v>1.88</c:v>
                </c:pt>
                <c:pt idx="12">
                  <c:v>2.4</c:v>
                </c:pt>
                <c:pt idx="13">
                  <c:v>3.04</c:v>
                </c:pt>
                <c:pt idx="14">
                  <c:v>3.58</c:v>
                </c:pt>
                <c:pt idx="15">
                  <c:v>4.25</c:v>
                </c:pt>
                <c:pt idx="16">
                  <c:v>4.95</c:v>
                </c:pt>
                <c:pt idx="17">
                  <c:v>6.34</c:v>
                </c:pt>
                <c:pt idx="18">
                  <c:v>4.8600000000000003</c:v>
                </c:pt>
                <c:pt idx="19">
                  <c:v>3.68</c:v>
                </c:pt>
                <c:pt idx="20">
                  <c:v>5.24</c:v>
                </c:pt>
                <c:pt idx="21">
                  <c:v>5.18</c:v>
                </c:pt>
                <c:pt idx="22">
                  <c:v>4.1100000000000003</c:v>
                </c:pt>
                <c:pt idx="23">
                  <c:v>6.56</c:v>
                </c:pt>
                <c:pt idx="24">
                  <c:v>14.7280044383737</c:v>
                </c:pt>
              </c:numCache>
            </c:numRef>
          </c:val>
          <c:smooth val="0"/>
          <c:extLst>
            <c:ext xmlns:c16="http://schemas.microsoft.com/office/drawing/2014/chart" uri="{C3380CC4-5D6E-409C-BE32-E72D297353CC}">
              <c16:uniqueId val="{00000000-490A-8840-B124-AD8D3E1DD55A}"/>
            </c:ext>
          </c:extLst>
        </c:ser>
        <c:ser>
          <c:idx val="1"/>
          <c:order val="1"/>
          <c:tx>
            <c:strRef>
              <c:f>'Tesla FSD'!$C$140</c:f>
              <c:strCache>
                <c:ptCount val="1"/>
                <c:pt idx="0">
                  <c:v>欧洲</c:v>
                </c:pt>
              </c:strCache>
            </c:strRef>
          </c:tx>
          <c:spPr>
            <a:ln w="22225" cap="rnd">
              <a:solidFill>
                <a:srgbClr val="00B0F0"/>
              </a:solidFill>
              <a:round/>
            </a:ln>
            <a:effectLst/>
          </c:spPr>
          <c:marker>
            <c:symbol val="triangle"/>
            <c:size val="6"/>
            <c:spPr>
              <a:solidFill>
                <a:srgbClr val="00B0F0"/>
              </a:solidFill>
              <a:ln w="9525">
                <a:solidFill>
                  <a:srgbClr val="00B0F0"/>
                </a:solidFill>
              </a:ln>
              <a:effectLst/>
            </c:spPr>
          </c:marker>
          <c:cat>
            <c:strRef>
              <c:f>'Tesla FSD'!$A$141:$A$165</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FSD'!$C$141:$C$165</c:f>
              <c:numCache>
                <c:formatCode>_(* #,##0.00_);_(* \(#,##0.00\);_(* "-"??_);_(@_)</c:formatCode>
                <c:ptCount val="25"/>
                <c:pt idx="0">
                  <c:v>1.57</c:v>
                </c:pt>
                <c:pt idx="1">
                  <c:v>2.87</c:v>
                </c:pt>
                <c:pt idx="2">
                  <c:v>2.38</c:v>
                </c:pt>
                <c:pt idx="3">
                  <c:v>3.05</c:v>
                </c:pt>
                <c:pt idx="4">
                  <c:v>3.86</c:v>
                </c:pt>
                <c:pt idx="5">
                  <c:v>5.15</c:v>
                </c:pt>
                <c:pt idx="6">
                  <c:v>1.23</c:v>
                </c:pt>
                <c:pt idx="7">
                  <c:v>4.41</c:v>
                </c:pt>
                <c:pt idx="8">
                  <c:v>5.44</c:v>
                </c:pt>
                <c:pt idx="9">
                  <c:v>35.409999999999997</c:v>
                </c:pt>
                <c:pt idx="10">
                  <c:v>75.89</c:v>
                </c:pt>
                <c:pt idx="11">
                  <c:v>85.34</c:v>
                </c:pt>
                <c:pt idx="12">
                  <c:v>75.86</c:v>
                </c:pt>
                <c:pt idx="13">
                  <c:v>43.34</c:v>
                </c:pt>
                <c:pt idx="14">
                  <c:v>30.76</c:v>
                </c:pt>
                <c:pt idx="15">
                  <c:v>47.23</c:v>
                </c:pt>
                <c:pt idx="16">
                  <c:v>37.57</c:v>
                </c:pt>
                <c:pt idx="17">
                  <c:v>31.21</c:v>
                </c:pt>
                <c:pt idx="18">
                  <c:v>48.18</c:v>
                </c:pt>
                <c:pt idx="19">
                  <c:v>49.15</c:v>
                </c:pt>
                <c:pt idx="20">
                  <c:v>46.39</c:v>
                </c:pt>
                <c:pt idx="21">
                  <c:v>38.340000000000003</c:v>
                </c:pt>
                <c:pt idx="22">
                  <c:v>16.61</c:v>
                </c:pt>
                <c:pt idx="23">
                  <c:v>54.62</c:v>
                </c:pt>
                <c:pt idx="24">
                  <c:v>62.154469800016876</c:v>
                </c:pt>
              </c:numCache>
            </c:numRef>
          </c:val>
          <c:smooth val="0"/>
          <c:extLst>
            <c:ext xmlns:c16="http://schemas.microsoft.com/office/drawing/2014/chart" uri="{C3380CC4-5D6E-409C-BE32-E72D297353CC}">
              <c16:uniqueId val="{00000001-490A-8840-B124-AD8D3E1DD55A}"/>
            </c:ext>
          </c:extLst>
        </c:ser>
        <c:ser>
          <c:idx val="2"/>
          <c:order val="2"/>
          <c:tx>
            <c:strRef>
              <c:f>'Tesla FSD'!$D$140</c:f>
              <c:strCache>
                <c:ptCount val="1"/>
                <c:pt idx="0">
                  <c:v>北美</c:v>
                </c:pt>
              </c:strCache>
            </c:strRef>
          </c:tx>
          <c:spPr>
            <a:ln w="22225" cap="rnd">
              <a:solidFill>
                <a:schemeClr val="accent5">
                  <a:lumMod val="60000"/>
                  <a:lumOff val="40000"/>
                </a:schemeClr>
              </a:solidFill>
              <a:round/>
            </a:ln>
            <a:effectLst/>
          </c:spPr>
          <c:marker>
            <c:symbol val="square"/>
            <c:size val="6"/>
            <c:spPr>
              <a:solidFill>
                <a:schemeClr val="accent5">
                  <a:lumMod val="60000"/>
                  <a:lumOff val="40000"/>
                </a:schemeClr>
              </a:solidFill>
              <a:ln w="9525">
                <a:solidFill>
                  <a:schemeClr val="accent5">
                    <a:lumMod val="60000"/>
                    <a:lumOff val="40000"/>
                  </a:schemeClr>
                </a:solidFill>
              </a:ln>
              <a:effectLst/>
            </c:spPr>
          </c:marker>
          <c:cat>
            <c:strRef>
              <c:f>'Tesla FSD'!$A$141:$A$165</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FSD'!$D$141:$D$165</c:f>
              <c:numCache>
                <c:formatCode>_(* #,##0.00_);_(* \(#,##0.00\);_(* "-"??_);_(@_)</c:formatCode>
                <c:ptCount val="25"/>
                <c:pt idx="0">
                  <c:v>5.08</c:v>
                </c:pt>
                <c:pt idx="1">
                  <c:v>4.9800000000000004</c:v>
                </c:pt>
                <c:pt idx="2">
                  <c:v>5</c:v>
                </c:pt>
                <c:pt idx="3">
                  <c:v>5.75</c:v>
                </c:pt>
                <c:pt idx="4">
                  <c:v>7.74</c:v>
                </c:pt>
                <c:pt idx="5">
                  <c:v>8.9</c:v>
                </c:pt>
                <c:pt idx="6">
                  <c:v>10.06</c:v>
                </c:pt>
                <c:pt idx="7">
                  <c:v>51.32</c:v>
                </c:pt>
                <c:pt idx="8">
                  <c:v>43.65</c:v>
                </c:pt>
                <c:pt idx="9">
                  <c:v>56.17</c:v>
                </c:pt>
                <c:pt idx="10">
                  <c:v>183.79</c:v>
                </c:pt>
                <c:pt idx="11">
                  <c:v>184.39</c:v>
                </c:pt>
                <c:pt idx="12">
                  <c:v>200.38</c:v>
                </c:pt>
                <c:pt idx="13">
                  <c:v>104.69</c:v>
                </c:pt>
                <c:pt idx="14">
                  <c:v>123.73</c:v>
                </c:pt>
                <c:pt idx="15">
                  <c:v>175.19</c:v>
                </c:pt>
                <c:pt idx="16">
                  <c:v>213.02</c:v>
                </c:pt>
                <c:pt idx="17">
                  <c:v>189.91</c:v>
                </c:pt>
                <c:pt idx="18">
                  <c:v>155.18</c:v>
                </c:pt>
                <c:pt idx="19">
                  <c:v>153.02000000000001</c:v>
                </c:pt>
                <c:pt idx="20">
                  <c:v>169.46</c:v>
                </c:pt>
                <c:pt idx="21">
                  <c:v>181.31</c:v>
                </c:pt>
                <c:pt idx="22">
                  <c:v>207.8</c:v>
                </c:pt>
                <c:pt idx="23">
                  <c:v>235.31</c:v>
                </c:pt>
                <c:pt idx="24">
                  <c:v>310.46821797546477</c:v>
                </c:pt>
              </c:numCache>
            </c:numRef>
          </c:val>
          <c:smooth val="0"/>
          <c:extLst>
            <c:ext xmlns:c16="http://schemas.microsoft.com/office/drawing/2014/chart" uri="{C3380CC4-5D6E-409C-BE32-E72D297353CC}">
              <c16:uniqueId val="{00000002-490A-8840-B124-AD8D3E1DD55A}"/>
            </c:ext>
          </c:extLst>
        </c:ser>
        <c:ser>
          <c:idx val="3"/>
          <c:order val="3"/>
          <c:tx>
            <c:strRef>
              <c:f>'Tesla FSD'!$E$140</c:f>
              <c:strCache>
                <c:ptCount val="1"/>
                <c:pt idx="0">
                  <c:v> 整体 </c:v>
                </c:pt>
              </c:strCache>
            </c:strRef>
          </c:tx>
          <c:spPr>
            <a:ln w="22225" cap="rnd">
              <a:solidFill>
                <a:srgbClr val="C00000"/>
              </a:solidFill>
              <a:round/>
            </a:ln>
            <a:effectLst/>
          </c:spPr>
          <c:marker>
            <c:symbol val="circle"/>
            <c:size val="6"/>
            <c:spPr>
              <a:solidFill>
                <a:srgbClr val="C00000"/>
              </a:solidFill>
              <a:ln w="9525">
                <a:solidFill>
                  <a:srgbClr val="C00000"/>
                </a:solidFill>
              </a:ln>
              <a:effectLst/>
            </c:spPr>
          </c:marker>
          <c:cat>
            <c:strRef>
              <c:f>'Tesla FSD'!$A$141:$A$165</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FSD'!$E$141:$E$165</c:f>
              <c:numCache>
                <c:formatCode>_(* #,##0.00_);_(* \(#,##0.00\);_(* "-"??_);_(@_)</c:formatCode>
                <c:ptCount val="25"/>
                <c:pt idx="0">
                  <c:v>6.93</c:v>
                </c:pt>
                <c:pt idx="1">
                  <c:v>8.4600000000000009</c:v>
                </c:pt>
                <c:pt idx="2">
                  <c:v>7.82</c:v>
                </c:pt>
                <c:pt idx="3">
                  <c:v>9.33</c:v>
                </c:pt>
                <c:pt idx="4">
                  <c:v>12.01</c:v>
                </c:pt>
                <c:pt idx="5">
                  <c:v>14.5</c:v>
                </c:pt>
                <c:pt idx="6">
                  <c:v>11.84</c:v>
                </c:pt>
                <c:pt idx="7">
                  <c:v>56.04</c:v>
                </c:pt>
                <c:pt idx="8">
                  <c:v>49.39</c:v>
                </c:pt>
                <c:pt idx="9">
                  <c:v>92.55</c:v>
                </c:pt>
                <c:pt idx="10">
                  <c:v>261.22000000000003</c:v>
                </c:pt>
                <c:pt idx="11">
                  <c:v>271.61</c:v>
                </c:pt>
                <c:pt idx="12">
                  <c:v>278.64</c:v>
                </c:pt>
                <c:pt idx="13">
                  <c:v>151.07</c:v>
                </c:pt>
                <c:pt idx="14">
                  <c:v>158.07</c:v>
                </c:pt>
                <c:pt idx="15">
                  <c:v>226.67</c:v>
                </c:pt>
                <c:pt idx="16">
                  <c:v>255.54000000000002</c:v>
                </c:pt>
                <c:pt idx="17">
                  <c:v>227.45999999999998</c:v>
                </c:pt>
                <c:pt idx="18">
                  <c:v>208.22</c:v>
                </c:pt>
                <c:pt idx="19">
                  <c:v>205.85000000000002</c:v>
                </c:pt>
                <c:pt idx="20">
                  <c:v>221.09</c:v>
                </c:pt>
                <c:pt idx="21">
                  <c:v>224.83</c:v>
                </c:pt>
                <c:pt idx="22">
                  <c:v>228.52</c:v>
                </c:pt>
                <c:pt idx="23">
                  <c:v>296.49</c:v>
                </c:pt>
                <c:pt idx="24">
                  <c:v>387.35069221385533</c:v>
                </c:pt>
              </c:numCache>
            </c:numRef>
          </c:val>
          <c:smooth val="0"/>
          <c:extLst>
            <c:ext xmlns:c16="http://schemas.microsoft.com/office/drawing/2014/chart" uri="{C3380CC4-5D6E-409C-BE32-E72D297353CC}">
              <c16:uniqueId val="{00000003-490A-8840-B124-AD8D3E1DD55A}"/>
            </c:ext>
          </c:extLst>
        </c:ser>
        <c:dLbls>
          <c:showLegendKey val="0"/>
          <c:showVal val="0"/>
          <c:showCatName val="0"/>
          <c:showSerName val="0"/>
          <c:showPercent val="0"/>
          <c:showBubbleSize val="0"/>
        </c:dLbls>
        <c:marker val="1"/>
        <c:smooth val="0"/>
        <c:axId val="818190783"/>
        <c:axId val="1444429376"/>
      </c:lineChart>
      <c:catAx>
        <c:axId val="81819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444429376"/>
        <c:crosses val="autoZero"/>
        <c:auto val="1"/>
        <c:lblAlgn val="ctr"/>
        <c:lblOffset val="100"/>
        <c:noMultiLvlLbl val="0"/>
      </c:catAx>
      <c:valAx>
        <c:axId val="1444429376"/>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a:latin typeface="Times New Roman" panose="02020603050405020304" pitchFamily="18" charset="0"/>
                    <a:cs typeface="Times New Roman" panose="02020603050405020304" pitchFamily="18" charset="0"/>
                  </a:rPr>
                  <a:t>FSD业务营业收入</a:t>
                </a:r>
                <a:r>
                  <a:rPr lang="en-US" sz="1100" baseline="0">
                    <a:latin typeface="Times New Roman" panose="02020603050405020304" pitchFamily="18" charset="0"/>
                    <a:cs typeface="Times New Roman" panose="02020603050405020304" pitchFamily="18" charset="0"/>
                  </a:rPr>
                  <a:t> (百万美元)</a:t>
                </a:r>
                <a:endParaRPr lang="en-US" sz="1100">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818190783"/>
        <c:crosses val="autoZero"/>
        <c:crossBetween val="between"/>
      </c:valAx>
      <c:spPr>
        <a:noFill/>
        <a:ln>
          <a:noFill/>
        </a:ln>
        <a:effectLst/>
      </c:spPr>
    </c:plotArea>
    <c:legend>
      <c:legendPos val="b"/>
      <c:layout>
        <c:manualLayout>
          <c:xMode val="edge"/>
          <c:yMode val="edge"/>
          <c:x val="0.70169263668060633"/>
          <c:y val="1.3642988775339249E-2"/>
          <c:w val="0.29830735506310091"/>
          <c:h val="4.7879007482078705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420719955899619E-2"/>
          <c:y val="9.5009776167571128E-2"/>
          <c:w val="0.90712733477299079"/>
          <c:h val="0.75349265629742546"/>
        </c:manualLayout>
      </c:layout>
      <c:lineChart>
        <c:grouping val="standard"/>
        <c:varyColors val="0"/>
        <c:ser>
          <c:idx val="0"/>
          <c:order val="0"/>
          <c:tx>
            <c:strRef>
              <c:f>'Tesla FSD'!$B$167</c:f>
              <c:strCache>
                <c:ptCount val="1"/>
                <c:pt idx="0">
                  <c:v>Model 3/Y占比</c:v>
                </c:pt>
              </c:strCache>
            </c:strRef>
          </c:tx>
          <c:spPr>
            <a:ln w="22225" cap="rnd">
              <a:solidFill>
                <a:schemeClr val="accent1"/>
              </a:solidFill>
              <a:round/>
            </a:ln>
            <a:effectLst/>
          </c:spPr>
          <c:marker>
            <c:symbol val="circle"/>
            <c:size val="6"/>
            <c:spPr>
              <a:solidFill>
                <a:schemeClr val="accent1"/>
              </a:solidFill>
              <a:ln w="9525">
                <a:solidFill>
                  <a:schemeClr val="accent1"/>
                </a:solidFill>
              </a:ln>
              <a:effectLst/>
            </c:spPr>
          </c:marker>
          <c:cat>
            <c:strRef>
              <c:f>'Tesla FSD'!$A$168:$A$195</c:f>
              <c:strCache>
                <c:ptCount val="28"/>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pt idx="25">
                  <c:v> Q1 2023 </c:v>
                </c:pt>
                <c:pt idx="26">
                  <c:v> Q2 2023 </c:v>
                </c:pt>
                <c:pt idx="27">
                  <c:v> Q3 2023 </c:v>
                </c:pt>
              </c:strCache>
            </c:strRef>
          </c:cat>
          <c:val>
            <c:numRef>
              <c:f>'Tesla FSD'!$B$168:$B$195</c:f>
              <c:numCache>
                <c:formatCode>0.00%</c:formatCode>
                <c:ptCount val="28"/>
                <c:pt idx="0">
                  <c:v>0</c:v>
                </c:pt>
                <c:pt idx="1">
                  <c:v>0</c:v>
                </c:pt>
                <c:pt idx="2">
                  <c:v>0</c:v>
                </c:pt>
                <c:pt idx="3">
                  <c:v>0.50213248290171364</c:v>
                </c:pt>
                <c:pt idx="4">
                  <c:v>0.51320386354295111</c:v>
                </c:pt>
                <c:pt idx="5">
                  <c:v>0.27276060939427277</c:v>
                </c:pt>
                <c:pt idx="6">
                  <c:v>0.45253630298273156</c:v>
                </c:pt>
                <c:pt idx="7">
                  <c:v>0.66923306475678901</c:v>
                </c:pt>
                <c:pt idx="8">
                  <c:v>0.69651298287272168</c:v>
                </c:pt>
                <c:pt idx="9">
                  <c:v>0.80813722845491043</c:v>
                </c:pt>
                <c:pt idx="10">
                  <c:v>0.81414908343470782</c:v>
                </c:pt>
                <c:pt idx="11">
                  <c:v>0.82010783446175373</c:v>
                </c:pt>
                <c:pt idx="12">
                  <c:v>0.82626343726303586</c:v>
                </c:pt>
                <c:pt idx="13">
                  <c:v>0.86180166335201591</c:v>
                </c:pt>
                <c:pt idx="14">
                  <c:v>0.88322276132950461</c:v>
                </c:pt>
                <c:pt idx="15">
                  <c:v>0.89057474228650435</c:v>
                </c:pt>
                <c:pt idx="16">
                  <c:v>0.89502233390713304</c:v>
                </c:pt>
                <c:pt idx="17">
                  <c:v>0.9890692640692641</c:v>
                </c:pt>
                <c:pt idx="18">
                  <c:v>0.99060869565217391</c:v>
                </c:pt>
                <c:pt idx="19">
                  <c:v>0.96156237049316207</c:v>
                </c:pt>
                <c:pt idx="20">
                  <c:v>0.96192482177576155</c:v>
                </c:pt>
                <c:pt idx="21">
                  <c:v>0.95251057900712144</c:v>
                </c:pt>
                <c:pt idx="22">
                  <c:v>0.93654370914230745</c:v>
                </c:pt>
                <c:pt idx="23">
                  <c:v>0.94569409301108109</c:v>
                </c:pt>
                <c:pt idx="24">
                  <c:v>0.95769077028607519</c:v>
                </c:pt>
                <c:pt idx="25">
                  <c:v>0.97470883830919297</c:v>
                </c:pt>
                <c:pt idx="26">
                  <c:v>0.95875702578624444</c:v>
                </c:pt>
                <c:pt idx="27">
                  <c:v>0.96325785698031763</c:v>
                </c:pt>
              </c:numCache>
            </c:numRef>
          </c:val>
          <c:smooth val="0"/>
          <c:extLst>
            <c:ext xmlns:c16="http://schemas.microsoft.com/office/drawing/2014/chart" uri="{C3380CC4-5D6E-409C-BE32-E72D297353CC}">
              <c16:uniqueId val="{00000000-A7FF-534F-BCF5-BE384DA51255}"/>
            </c:ext>
          </c:extLst>
        </c:ser>
        <c:ser>
          <c:idx val="1"/>
          <c:order val="1"/>
          <c:tx>
            <c:strRef>
              <c:f>'Tesla FSD'!$C$167</c:f>
              <c:strCache>
                <c:ptCount val="1"/>
                <c:pt idx="0">
                  <c:v>Model S/X占比</c:v>
                </c:pt>
              </c:strCache>
            </c:strRef>
          </c:tx>
          <c:spPr>
            <a:ln w="22225" cap="rnd">
              <a:solidFill>
                <a:srgbClr val="C00000"/>
              </a:solidFill>
              <a:round/>
            </a:ln>
            <a:effectLst/>
          </c:spPr>
          <c:marker>
            <c:symbol val="triangle"/>
            <c:size val="6"/>
            <c:spPr>
              <a:solidFill>
                <a:srgbClr val="C00000"/>
              </a:solidFill>
              <a:ln w="9525">
                <a:solidFill>
                  <a:srgbClr val="C00000"/>
                </a:solidFill>
              </a:ln>
              <a:effectLst/>
            </c:spPr>
          </c:marker>
          <c:cat>
            <c:strRef>
              <c:f>'Tesla FSD'!$A$168:$A$195</c:f>
              <c:strCache>
                <c:ptCount val="28"/>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pt idx="25">
                  <c:v> Q1 2023 </c:v>
                </c:pt>
                <c:pt idx="26">
                  <c:v> Q2 2023 </c:v>
                </c:pt>
                <c:pt idx="27">
                  <c:v> Q3 2023 </c:v>
                </c:pt>
              </c:strCache>
            </c:strRef>
          </c:cat>
          <c:val>
            <c:numRef>
              <c:f>'Tesla FSD'!$C$168:$C$195</c:f>
              <c:numCache>
                <c:formatCode>0.00%</c:formatCode>
                <c:ptCount val="28"/>
                <c:pt idx="0">
                  <c:v>1</c:v>
                </c:pt>
                <c:pt idx="1">
                  <c:v>1</c:v>
                </c:pt>
                <c:pt idx="2">
                  <c:v>1</c:v>
                </c:pt>
                <c:pt idx="3">
                  <c:v>0.49786751709828631</c:v>
                </c:pt>
                <c:pt idx="4">
                  <c:v>0.48679613645704889</c:v>
                </c:pt>
                <c:pt idx="5">
                  <c:v>0.72723939060572729</c:v>
                </c:pt>
                <c:pt idx="6">
                  <c:v>0.54746369701726849</c:v>
                </c:pt>
                <c:pt idx="7">
                  <c:v>0.33076693524321099</c:v>
                </c:pt>
                <c:pt idx="8">
                  <c:v>0.30348701712727832</c:v>
                </c:pt>
                <c:pt idx="9">
                  <c:v>0.19186277154508957</c:v>
                </c:pt>
                <c:pt idx="10">
                  <c:v>0.18585091656529218</c:v>
                </c:pt>
                <c:pt idx="11">
                  <c:v>0.17989216553824625</c:v>
                </c:pt>
                <c:pt idx="12">
                  <c:v>0.1737365627369642</c:v>
                </c:pt>
                <c:pt idx="13">
                  <c:v>0.13819833664798409</c:v>
                </c:pt>
                <c:pt idx="14">
                  <c:v>0.11677723867049543</c:v>
                </c:pt>
                <c:pt idx="15">
                  <c:v>0.10942525771349566</c:v>
                </c:pt>
                <c:pt idx="16">
                  <c:v>0.10497766609286699</c:v>
                </c:pt>
                <c:pt idx="17">
                  <c:v>1.0930735930735931E-2</c:v>
                </c:pt>
                <c:pt idx="18">
                  <c:v>9.391304347826087E-3</c:v>
                </c:pt>
                <c:pt idx="19">
                  <c:v>3.8437629506837961E-2</c:v>
                </c:pt>
                <c:pt idx="20">
                  <c:v>3.8075178224238497E-2</c:v>
                </c:pt>
                <c:pt idx="21">
                  <c:v>4.748942099287852E-2</c:v>
                </c:pt>
                <c:pt idx="22">
                  <c:v>6.3456290857692541E-2</c:v>
                </c:pt>
                <c:pt idx="23">
                  <c:v>5.4305906988918941E-2</c:v>
                </c:pt>
                <c:pt idx="24">
                  <c:v>4.2309229713924763E-2</c:v>
                </c:pt>
                <c:pt idx="25">
                  <c:v>2.5291161690806977E-2</c:v>
                </c:pt>
                <c:pt idx="26">
                  <c:v>4.1242974213755522E-2</c:v>
                </c:pt>
                <c:pt idx="27">
                  <c:v>3.6742143019682386E-2</c:v>
                </c:pt>
              </c:numCache>
            </c:numRef>
          </c:val>
          <c:smooth val="0"/>
          <c:extLst>
            <c:ext xmlns:c16="http://schemas.microsoft.com/office/drawing/2014/chart" uri="{C3380CC4-5D6E-409C-BE32-E72D297353CC}">
              <c16:uniqueId val="{00000001-A7FF-534F-BCF5-BE384DA51255}"/>
            </c:ext>
          </c:extLst>
        </c:ser>
        <c:dLbls>
          <c:showLegendKey val="0"/>
          <c:showVal val="0"/>
          <c:showCatName val="0"/>
          <c:showSerName val="0"/>
          <c:showPercent val="0"/>
          <c:showBubbleSize val="0"/>
        </c:dLbls>
        <c:marker val="1"/>
        <c:smooth val="0"/>
        <c:axId val="1910415728"/>
        <c:axId val="1180974319"/>
      </c:lineChart>
      <c:catAx>
        <c:axId val="191041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180974319"/>
        <c:crosses val="autoZero"/>
        <c:auto val="1"/>
        <c:lblAlgn val="ctr"/>
        <c:lblOffset val="100"/>
        <c:noMultiLvlLbl val="0"/>
      </c:catAx>
      <c:valAx>
        <c:axId val="1180974319"/>
        <c:scaling>
          <c:orientation val="minMax"/>
          <c:max val="1"/>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910415728"/>
        <c:crosses val="autoZero"/>
        <c:crossBetween val="between"/>
      </c:valAx>
      <c:spPr>
        <a:noFill/>
        <a:ln>
          <a:noFill/>
        </a:ln>
        <a:effectLst/>
      </c:spPr>
    </c:plotArea>
    <c:legend>
      <c:legendPos val="b"/>
      <c:layout>
        <c:manualLayout>
          <c:xMode val="edge"/>
          <c:yMode val="edge"/>
          <c:x val="0.62710955093297627"/>
          <c:y val="2.3688195011553854E-2"/>
          <c:w val="0.33994926899255495"/>
          <c:h val="4.70212920518407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22399394855187"/>
          <c:y val="7.6056625654977797E-2"/>
          <c:w val="0.8679138597531536"/>
          <c:h val="0.78267088711070765"/>
        </c:manualLayout>
      </c:layout>
      <c:barChart>
        <c:barDir val="col"/>
        <c:grouping val="stacked"/>
        <c:varyColors val="0"/>
        <c:ser>
          <c:idx val="0"/>
          <c:order val="0"/>
          <c:tx>
            <c:strRef>
              <c:f>'Tesla FSD'!$B$197</c:f>
              <c:strCache>
                <c:ptCount val="1"/>
                <c:pt idx="0">
                  <c:v> Auto </c:v>
                </c:pt>
              </c:strCache>
            </c:strRef>
          </c:tx>
          <c:spPr>
            <a:solidFill>
              <a:srgbClr val="0070C0"/>
            </a:solidFill>
            <a:ln>
              <a:noFill/>
            </a:ln>
            <a:effectLst/>
          </c:spPr>
          <c:invertIfNegative val="0"/>
          <c:cat>
            <c:strRef>
              <c:f>'Tesla FSD'!$A$198:$A$202</c:f>
              <c:strCache>
                <c:ptCount val="5"/>
                <c:pt idx="0">
                  <c:v>2021A</c:v>
                </c:pt>
                <c:pt idx="1">
                  <c:v>2022A</c:v>
                </c:pt>
                <c:pt idx="2">
                  <c:v>2023E</c:v>
                </c:pt>
                <c:pt idx="3">
                  <c:v>2024E</c:v>
                </c:pt>
                <c:pt idx="4">
                  <c:v>2025E</c:v>
                </c:pt>
              </c:strCache>
            </c:strRef>
          </c:cat>
          <c:val>
            <c:numRef>
              <c:f>'Tesla FSD'!$B$198:$B$202</c:f>
              <c:numCache>
                <c:formatCode>0.00</c:formatCode>
                <c:ptCount val="5"/>
                <c:pt idx="0">
                  <c:v>1.6571955939356691</c:v>
                </c:pt>
                <c:pt idx="1">
                  <c:v>3.5411848526919951</c:v>
                </c:pt>
                <c:pt idx="2">
                  <c:v>2.4632413675404914</c:v>
                </c:pt>
                <c:pt idx="3">
                  <c:v>3.0482298429478858</c:v>
                </c:pt>
                <c:pt idx="4">
                  <c:v>3.9312145536647543</c:v>
                </c:pt>
              </c:numCache>
            </c:numRef>
          </c:val>
          <c:extLst>
            <c:ext xmlns:c16="http://schemas.microsoft.com/office/drawing/2014/chart" uri="{C3380CC4-5D6E-409C-BE32-E72D297353CC}">
              <c16:uniqueId val="{00000000-EFF0-BE44-8735-AF6317ACC5AC}"/>
            </c:ext>
          </c:extLst>
        </c:ser>
        <c:ser>
          <c:idx val="1"/>
          <c:order val="1"/>
          <c:tx>
            <c:strRef>
              <c:f>'Tesla FSD'!$C$197</c:f>
              <c:strCache>
                <c:ptCount val="1"/>
                <c:pt idx="0">
                  <c:v> Services </c:v>
                </c:pt>
              </c:strCache>
            </c:strRef>
          </c:tx>
          <c:spPr>
            <a:solidFill>
              <a:schemeClr val="accent5"/>
            </a:solidFill>
            <a:ln>
              <a:noFill/>
            </a:ln>
            <a:effectLst/>
          </c:spPr>
          <c:invertIfNegative val="0"/>
          <c:cat>
            <c:strRef>
              <c:f>'Tesla FSD'!$A$198:$A$202</c:f>
              <c:strCache>
                <c:ptCount val="5"/>
                <c:pt idx="0">
                  <c:v>2021A</c:v>
                </c:pt>
                <c:pt idx="1">
                  <c:v>2022A</c:v>
                </c:pt>
                <c:pt idx="2">
                  <c:v>2023E</c:v>
                </c:pt>
                <c:pt idx="3">
                  <c:v>2024E</c:v>
                </c:pt>
                <c:pt idx="4">
                  <c:v>2025E</c:v>
                </c:pt>
              </c:strCache>
            </c:strRef>
          </c:cat>
          <c:val>
            <c:numRef>
              <c:f>'Tesla FSD'!$C$198:$C$202</c:f>
              <c:numCache>
                <c:formatCode>0.00</c:formatCode>
                <c:ptCount val="5"/>
                <c:pt idx="0">
                  <c:v>-1.2453814709827992E-2</c:v>
                </c:pt>
                <c:pt idx="1">
                  <c:v>3.6616999800730944E-2</c:v>
                </c:pt>
                <c:pt idx="2">
                  <c:v>9.327988389214778E-2</c:v>
                </c:pt>
                <c:pt idx="3">
                  <c:v>0.18423729578745376</c:v>
                </c:pt>
                <c:pt idx="4">
                  <c:v>0.3027778186070389</c:v>
                </c:pt>
              </c:numCache>
            </c:numRef>
          </c:val>
          <c:extLst>
            <c:ext xmlns:c16="http://schemas.microsoft.com/office/drawing/2014/chart" uri="{C3380CC4-5D6E-409C-BE32-E72D297353CC}">
              <c16:uniqueId val="{00000001-EFF0-BE44-8735-AF6317ACC5AC}"/>
            </c:ext>
          </c:extLst>
        </c:ser>
        <c:ser>
          <c:idx val="2"/>
          <c:order val="2"/>
          <c:tx>
            <c:strRef>
              <c:f>'Tesla FSD'!$D$197</c:f>
              <c:strCache>
                <c:ptCount val="1"/>
                <c:pt idx="0">
                  <c:v> Energy </c:v>
                </c:pt>
              </c:strCache>
            </c:strRef>
          </c:tx>
          <c:spPr>
            <a:solidFill>
              <a:srgbClr val="00B0F0"/>
            </a:solidFill>
            <a:ln>
              <a:noFill/>
            </a:ln>
            <a:effectLst/>
          </c:spPr>
          <c:invertIfNegative val="0"/>
          <c:cat>
            <c:strRef>
              <c:f>'Tesla FSD'!$A$198:$A$202</c:f>
              <c:strCache>
                <c:ptCount val="5"/>
                <c:pt idx="0">
                  <c:v>2021A</c:v>
                </c:pt>
                <c:pt idx="1">
                  <c:v>2022A</c:v>
                </c:pt>
                <c:pt idx="2">
                  <c:v>2023E</c:v>
                </c:pt>
                <c:pt idx="3">
                  <c:v>2024E</c:v>
                </c:pt>
                <c:pt idx="4">
                  <c:v>2025E</c:v>
                </c:pt>
              </c:strCache>
            </c:strRef>
          </c:cat>
          <c:val>
            <c:numRef>
              <c:f>'Tesla FSD'!$D$198:$D$202</c:f>
              <c:numCache>
                <c:formatCode>0.00</c:formatCode>
                <c:ptCount val="5"/>
                <c:pt idx="0">
                  <c:v>-1.5362977926756465E-2</c:v>
                </c:pt>
                <c:pt idx="1">
                  <c:v>4.9979601623746511E-2</c:v>
                </c:pt>
                <c:pt idx="2">
                  <c:v>3.4548768234457239E-2</c:v>
                </c:pt>
                <c:pt idx="3">
                  <c:v>2.5633467177048109E-2</c:v>
                </c:pt>
                <c:pt idx="4">
                  <c:v>4.4829609455096529E-2</c:v>
                </c:pt>
              </c:numCache>
            </c:numRef>
          </c:val>
          <c:extLst>
            <c:ext xmlns:c16="http://schemas.microsoft.com/office/drawing/2014/chart" uri="{C3380CC4-5D6E-409C-BE32-E72D297353CC}">
              <c16:uniqueId val="{00000002-EFF0-BE44-8735-AF6317ACC5AC}"/>
            </c:ext>
          </c:extLst>
        </c:ser>
        <c:ser>
          <c:idx val="3"/>
          <c:order val="3"/>
          <c:tx>
            <c:strRef>
              <c:f>'Tesla FSD'!$E$197</c:f>
              <c:strCache>
                <c:ptCount val="1"/>
                <c:pt idx="0">
                  <c:v> FSD </c:v>
                </c:pt>
              </c:strCache>
            </c:strRef>
          </c:tx>
          <c:spPr>
            <a:solidFill>
              <a:srgbClr val="C00000">
                <a:alpha val="67059"/>
              </a:srgbClr>
            </a:solidFill>
            <a:ln>
              <a:noFill/>
            </a:ln>
            <a:effectLst/>
          </c:spPr>
          <c:invertIfNegative val="0"/>
          <c:cat>
            <c:strRef>
              <c:f>'Tesla FSD'!$A$198:$A$202</c:f>
              <c:strCache>
                <c:ptCount val="5"/>
                <c:pt idx="0">
                  <c:v>2021A</c:v>
                </c:pt>
                <c:pt idx="1">
                  <c:v>2022A</c:v>
                </c:pt>
                <c:pt idx="2">
                  <c:v>2023E</c:v>
                </c:pt>
                <c:pt idx="3">
                  <c:v>2024E</c:v>
                </c:pt>
                <c:pt idx="4">
                  <c:v>2025E</c:v>
                </c:pt>
              </c:strCache>
            </c:strRef>
          </c:cat>
          <c:val>
            <c:numRef>
              <c:f>'Tesla FSD'!$E$198:$E$202</c:f>
              <c:numCache>
                <c:formatCode>0.00</c:formatCode>
                <c:ptCount val="5"/>
                <c:pt idx="2">
                  <c:v>0.32858995726001705</c:v>
                </c:pt>
                <c:pt idx="3">
                  <c:v>0.63370810611058315</c:v>
                </c:pt>
                <c:pt idx="4">
                  <c:v>0.9000463847316118</c:v>
                </c:pt>
              </c:numCache>
            </c:numRef>
          </c:val>
          <c:extLst>
            <c:ext xmlns:c16="http://schemas.microsoft.com/office/drawing/2014/chart" uri="{C3380CC4-5D6E-409C-BE32-E72D297353CC}">
              <c16:uniqueId val="{00000003-EFF0-BE44-8735-AF6317ACC5AC}"/>
            </c:ext>
          </c:extLst>
        </c:ser>
        <c:dLbls>
          <c:showLegendKey val="0"/>
          <c:showVal val="0"/>
          <c:showCatName val="0"/>
          <c:showSerName val="0"/>
          <c:showPercent val="0"/>
          <c:showBubbleSize val="0"/>
        </c:dLbls>
        <c:gapWidth val="70"/>
        <c:overlap val="100"/>
        <c:axId val="799923439"/>
        <c:axId val="1142027600"/>
      </c:barChart>
      <c:catAx>
        <c:axId val="79992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ln>
                  <a:noFill/>
                </a:ln>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142027600"/>
        <c:crosses val="autoZero"/>
        <c:auto val="1"/>
        <c:lblAlgn val="ctr"/>
        <c:lblOffset val="100"/>
        <c:noMultiLvlLbl val="0"/>
      </c:catAx>
      <c:valAx>
        <c:axId val="1142027600"/>
        <c:scaling>
          <c:orientation val="minMax"/>
          <c:max val="7"/>
          <c:min val="0"/>
        </c:scaling>
        <c:delete val="0"/>
        <c:axPos val="l"/>
        <c:title>
          <c:tx>
            <c:rich>
              <a:bodyPr rot="-5400000" spcFirstLastPara="1" vertOverflow="ellipsis" vert="horz" wrap="square" anchor="ctr" anchorCtr="1"/>
              <a:lstStyle/>
              <a:p>
                <a:pPr>
                  <a:defRPr sz="1100" b="0" i="0" u="none" strike="noStrike" kern="1200" baseline="0">
                    <a:ln>
                      <a:noFill/>
                    </a:ln>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a:latin typeface="Times New Roman" panose="02020603050405020304" pitchFamily="18" charset="0"/>
                    <a:cs typeface="Times New Roman" panose="02020603050405020304" pitchFamily="18" charset="0"/>
                  </a:rPr>
                  <a:t>EPS</a:t>
                </a:r>
                <a:r>
                  <a:rPr lang="en-US" sz="1100" baseline="0">
                    <a:latin typeface="Times New Roman" panose="02020603050405020304" pitchFamily="18" charset="0"/>
                    <a:cs typeface="Times New Roman" panose="02020603050405020304" pitchFamily="18" charset="0"/>
                  </a:rPr>
                  <a:t> (美元)</a:t>
                </a:r>
                <a:endParaRPr lang="en-US" sz="1100">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100" b="0" i="0" u="none" strike="noStrike" kern="1200" baseline="0">
                  <a:ln>
                    <a:noFill/>
                  </a:ln>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ln>
                  <a:noFill/>
                </a:ln>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799923439"/>
        <c:crosses val="autoZero"/>
        <c:crossBetween val="between"/>
        <c:majorUnit val="1"/>
      </c:valAx>
      <c:spPr>
        <a:noFill/>
        <a:ln>
          <a:noFill/>
        </a:ln>
        <a:effectLst/>
      </c:spPr>
    </c:plotArea>
    <c:legend>
      <c:legendPos val="b"/>
      <c:layout>
        <c:manualLayout>
          <c:xMode val="edge"/>
          <c:yMode val="edge"/>
          <c:x val="0.50615171752324106"/>
          <c:y val="7.6883067729024016E-3"/>
          <c:w val="0.44156489411225924"/>
          <c:h val="6.4493323635614497E-2"/>
        </c:manualLayout>
      </c:layout>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247594050743664E-2"/>
          <c:y val="0.17592592592592593"/>
          <c:w val="0.89019685039370078"/>
          <c:h val="0.73577136191309422"/>
        </c:manualLayout>
      </c:layout>
      <c:lineChart>
        <c:grouping val="standard"/>
        <c:varyColors val="0"/>
        <c:ser>
          <c:idx val="0"/>
          <c:order val="0"/>
          <c:tx>
            <c:strRef>
              <c:f>'Tesla FSD'!$B$216</c:f>
              <c:strCache>
                <c:ptCount val="1"/>
                <c:pt idx="0">
                  <c:v> TSLA合理价值 </c:v>
                </c:pt>
              </c:strCache>
            </c:strRef>
          </c:tx>
          <c:spPr>
            <a:ln w="22225" cap="rnd">
              <a:solidFill>
                <a:schemeClr val="accent1"/>
              </a:solidFill>
              <a:round/>
            </a:ln>
            <a:effectLst/>
          </c:spPr>
          <c:marker>
            <c:symbol val="circle"/>
            <c:size val="5"/>
            <c:spPr>
              <a:solidFill>
                <a:schemeClr val="accent1"/>
              </a:solidFill>
              <a:ln w="9525">
                <a:solidFill>
                  <a:schemeClr val="accent1"/>
                </a:solidFill>
              </a:ln>
              <a:effectLst/>
            </c:spPr>
          </c:marker>
          <c:cat>
            <c:strRef>
              <c:f>'Tesla FSD'!$A$217:$A$219</c:f>
              <c:strCache>
                <c:ptCount val="3"/>
                <c:pt idx="0">
                  <c:v>2023E</c:v>
                </c:pt>
                <c:pt idx="1">
                  <c:v>2024E</c:v>
                </c:pt>
                <c:pt idx="2">
                  <c:v>2025E</c:v>
                </c:pt>
              </c:strCache>
            </c:strRef>
          </c:cat>
          <c:val>
            <c:numRef>
              <c:f>'Tesla FSD'!$B$217:$B$219</c:f>
              <c:numCache>
                <c:formatCode>_(* #,##0.00_);_(* \(#,##0.00\);_(* "-"??_);_(@_)</c:formatCode>
                <c:ptCount val="3"/>
                <c:pt idx="0">
                  <c:v>107.84782380537125</c:v>
                </c:pt>
                <c:pt idx="1">
                  <c:v>118.63260618590839</c:v>
                </c:pt>
                <c:pt idx="2">
                  <c:v>130.49586680449923</c:v>
                </c:pt>
              </c:numCache>
            </c:numRef>
          </c:val>
          <c:smooth val="0"/>
          <c:extLst>
            <c:ext xmlns:c16="http://schemas.microsoft.com/office/drawing/2014/chart" uri="{C3380CC4-5D6E-409C-BE32-E72D297353CC}">
              <c16:uniqueId val="{00000000-A994-F14D-B0B9-C73D2E33AF97}"/>
            </c:ext>
          </c:extLst>
        </c:ser>
        <c:ser>
          <c:idx val="1"/>
          <c:order val="1"/>
          <c:tx>
            <c:strRef>
              <c:f>'Tesla FSD'!$C$216</c:f>
              <c:strCache>
                <c:ptCount val="1"/>
                <c:pt idx="0">
                  <c:v> 合理PE倍数 </c:v>
                </c:pt>
              </c:strCache>
            </c:strRef>
          </c:tx>
          <c:spPr>
            <a:ln w="22225" cap="rnd">
              <a:solidFill>
                <a:srgbClr val="C00000">
                  <a:alpha val="78039"/>
                </a:srgbClr>
              </a:solidFill>
              <a:round/>
            </a:ln>
            <a:effectLst/>
          </c:spPr>
          <c:marker>
            <c:symbol val="triangle"/>
            <c:size val="6"/>
            <c:spPr>
              <a:solidFill>
                <a:srgbClr val="C00000"/>
              </a:solidFill>
              <a:ln w="9525">
                <a:solidFill>
                  <a:srgbClr val="C00000">
                    <a:alpha val="78039"/>
                  </a:srgbClr>
                </a:solidFill>
              </a:ln>
              <a:effectLst/>
            </c:spPr>
          </c:marker>
          <c:cat>
            <c:strRef>
              <c:f>'Tesla FSD'!$A$217:$A$219</c:f>
              <c:strCache>
                <c:ptCount val="3"/>
                <c:pt idx="0">
                  <c:v>2023E</c:v>
                </c:pt>
                <c:pt idx="1">
                  <c:v>2024E</c:v>
                </c:pt>
                <c:pt idx="2">
                  <c:v>2025E</c:v>
                </c:pt>
              </c:strCache>
            </c:strRef>
          </c:cat>
          <c:val>
            <c:numRef>
              <c:f>'Tesla FSD'!$C$217:$C$219</c:f>
              <c:numCache>
                <c:formatCode>_(* #,##0.00_);_(* \(#,##0.00\);_(* "-"??_);_(@_)</c:formatCode>
                <c:ptCount val="3"/>
                <c:pt idx="0">
                  <c:v>36.93848758336545</c:v>
                </c:pt>
                <c:pt idx="1">
                  <c:v>30.4826405828777</c:v>
                </c:pt>
                <c:pt idx="2">
                  <c:v>25.1977570331136</c:v>
                </c:pt>
              </c:numCache>
            </c:numRef>
          </c:val>
          <c:smooth val="0"/>
          <c:extLst>
            <c:ext xmlns:c16="http://schemas.microsoft.com/office/drawing/2014/chart" uri="{C3380CC4-5D6E-409C-BE32-E72D297353CC}">
              <c16:uniqueId val="{00000001-A994-F14D-B0B9-C73D2E33AF97}"/>
            </c:ext>
          </c:extLst>
        </c:ser>
        <c:dLbls>
          <c:showLegendKey val="0"/>
          <c:showVal val="0"/>
          <c:showCatName val="0"/>
          <c:showSerName val="0"/>
          <c:showPercent val="0"/>
          <c:showBubbleSize val="0"/>
        </c:dLbls>
        <c:marker val="1"/>
        <c:smooth val="0"/>
        <c:axId val="105088879"/>
        <c:axId val="105803247"/>
      </c:lineChart>
      <c:catAx>
        <c:axId val="10508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05803247"/>
        <c:crosses val="autoZero"/>
        <c:auto val="1"/>
        <c:lblAlgn val="ctr"/>
        <c:lblOffset val="100"/>
        <c:noMultiLvlLbl val="0"/>
      </c:catAx>
      <c:valAx>
        <c:axId val="105803247"/>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05088879"/>
        <c:crosses val="autoZero"/>
        <c:crossBetween val="between"/>
      </c:valAx>
      <c:spPr>
        <a:noFill/>
        <a:ln>
          <a:noFill/>
        </a:ln>
        <a:effectLst/>
      </c:spPr>
    </c:plotArea>
    <c:legend>
      <c:legendPos val="b"/>
      <c:layout>
        <c:manualLayout>
          <c:xMode val="edge"/>
          <c:yMode val="edge"/>
          <c:x val="0.45893571867748278"/>
          <c:y val="8.793980297917306E-2"/>
          <c:w val="0.48973283881076579"/>
          <c:h val="6.86811875788253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'Tesla FSD'!$B$234</c:f>
              <c:strCache>
                <c:ptCount val="1"/>
                <c:pt idx="0">
                  <c:v> 单季度驾驶里程数据 </c:v>
                </c:pt>
              </c:strCache>
            </c:strRef>
          </c:tx>
          <c:spPr>
            <a:solidFill>
              <a:schemeClr val="accent1"/>
            </a:solidFill>
            <a:ln>
              <a:noFill/>
            </a:ln>
            <a:effectLst/>
          </c:spPr>
          <c:invertIfNegative val="0"/>
          <c:cat>
            <c:strRef>
              <c:f>'Tesla FSD'!$A$235:$A$242</c:f>
              <c:strCache>
                <c:ptCount val="8"/>
                <c:pt idx="0">
                  <c:v>Q1 2021</c:v>
                </c:pt>
                <c:pt idx="1">
                  <c:v>Q2 2021</c:v>
                </c:pt>
                <c:pt idx="2">
                  <c:v>Q3 2021</c:v>
                </c:pt>
                <c:pt idx="3">
                  <c:v>Q4 2021</c:v>
                </c:pt>
                <c:pt idx="4">
                  <c:v>Q1 2022</c:v>
                </c:pt>
                <c:pt idx="5">
                  <c:v>Q2 2022</c:v>
                </c:pt>
                <c:pt idx="6">
                  <c:v>Q3 2022</c:v>
                </c:pt>
                <c:pt idx="7">
                  <c:v>Q4 2022</c:v>
                </c:pt>
              </c:strCache>
            </c:strRef>
          </c:cat>
          <c:val>
            <c:numRef>
              <c:f>'Tesla FSD'!$B$235:$B$242</c:f>
              <c:numCache>
                <c:formatCode>_(* #,##0.0_);_(* \(#,##0.0\);_(* "-"??_);_(@_)</c:formatCode>
                <c:ptCount val="8"/>
                <c:pt idx="0">
                  <c:v>2</c:v>
                </c:pt>
                <c:pt idx="1">
                  <c:v>3</c:v>
                </c:pt>
                <c:pt idx="2">
                  <c:v>9</c:v>
                </c:pt>
                <c:pt idx="3">
                  <c:v>11</c:v>
                </c:pt>
                <c:pt idx="4">
                  <c:v>14</c:v>
                </c:pt>
                <c:pt idx="5">
                  <c:v>20</c:v>
                </c:pt>
                <c:pt idx="6">
                  <c:v>25</c:v>
                </c:pt>
                <c:pt idx="7">
                  <c:v>25.6</c:v>
                </c:pt>
              </c:numCache>
            </c:numRef>
          </c:val>
          <c:extLst>
            <c:ext xmlns:c16="http://schemas.microsoft.com/office/drawing/2014/chart" uri="{C3380CC4-5D6E-409C-BE32-E72D297353CC}">
              <c16:uniqueId val="{00000000-68DA-4641-8F6C-305CC6E4A6DC}"/>
            </c:ext>
          </c:extLst>
        </c:ser>
        <c:ser>
          <c:idx val="1"/>
          <c:order val="1"/>
          <c:tx>
            <c:strRef>
              <c:f>'Tesla FSD'!$C$234</c:f>
              <c:strCache>
                <c:ptCount val="1"/>
                <c:pt idx="0">
                  <c:v> 总累计行驶里程数据 </c:v>
                </c:pt>
              </c:strCache>
            </c:strRef>
          </c:tx>
          <c:spPr>
            <a:solidFill>
              <a:srgbClr val="C00000">
                <a:alpha val="70000"/>
              </a:srgbClr>
            </a:solidFill>
            <a:ln>
              <a:noFill/>
            </a:ln>
            <a:effectLst/>
          </c:spPr>
          <c:invertIfNegative val="0"/>
          <c:cat>
            <c:strRef>
              <c:f>'Tesla FSD'!$A$235:$A$242</c:f>
              <c:strCache>
                <c:ptCount val="8"/>
                <c:pt idx="0">
                  <c:v>Q1 2021</c:v>
                </c:pt>
                <c:pt idx="1">
                  <c:v>Q2 2021</c:v>
                </c:pt>
                <c:pt idx="2">
                  <c:v>Q3 2021</c:v>
                </c:pt>
                <c:pt idx="3">
                  <c:v>Q4 2021</c:v>
                </c:pt>
                <c:pt idx="4">
                  <c:v>Q1 2022</c:v>
                </c:pt>
                <c:pt idx="5">
                  <c:v>Q2 2022</c:v>
                </c:pt>
                <c:pt idx="6">
                  <c:v>Q3 2022</c:v>
                </c:pt>
                <c:pt idx="7">
                  <c:v>Q4 2022</c:v>
                </c:pt>
              </c:strCache>
            </c:strRef>
          </c:cat>
          <c:val>
            <c:numRef>
              <c:f>'Tesla FSD'!$C$235:$C$242</c:f>
              <c:numCache>
                <c:formatCode>_(* #,##0.0_);_(* \(#,##0.0\);_(* "-"??_);_(@_)</c:formatCode>
                <c:ptCount val="8"/>
                <c:pt idx="0">
                  <c:v>2</c:v>
                </c:pt>
                <c:pt idx="1">
                  <c:v>5</c:v>
                </c:pt>
                <c:pt idx="2">
                  <c:v>14</c:v>
                </c:pt>
                <c:pt idx="3">
                  <c:v>25</c:v>
                </c:pt>
                <c:pt idx="4">
                  <c:v>39</c:v>
                </c:pt>
                <c:pt idx="5">
                  <c:v>59</c:v>
                </c:pt>
                <c:pt idx="6">
                  <c:v>84</c:v>
                </c:pt>
                <c:pt idx="7">
                  <c:v>109.6</c:v>
                </c:pt>
              </c:numCache>
            </c:numRef>
          </c:val>
          <c:extLst>
            <c:ext xmlns:c16="http://schemas.microsoft.com/office/drawing/2014/chart" uri="{C3380CC4-5D6E-409C-BE32-E72D297353CC}">
              <c16:uniqueId val="{00000001-68DA-4641-8F6C-305CC6E4A6DC}"/>
            </c:ext>
          </c:extLst>
        </c:ser>
        <c:dLbls>
          <c:showLegendKey val="0"/>
          <c:showVal val="0"/>
          <c:showCatName val="0"/>
          <c:showSerName val="0"/>
          <c:showPercent val="0"/>
          <c:showBubbleSize val="0"/>
        </c:dLbls>
        <c:gapWidth val="101"/>
        <c:overlap val="-11"/>
        <c:axId val="1729347520"/>
        <c:axId val="1619161248"/>
      </c:barChart>
      <c:catAx>
        <c:axId val="172934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619161248"/>
        <c:crosses val="autoZero"/>
        <c:auto val="1"/>
        <c:lblAlgn val="ctr"/>
        <c:lblOffset val="100"/>
        <c:noMultiLvlLbl val="0"/>
      </c:catAx>
      <c:valAx>
        <c:axId val="1619161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000">
                    <a:latin typeface="Times New Roman" panose="02020603050405020304" pitchFamily="18" charset="0"/>
                    <a:cs typeface="Times New Roman" panose="02020603050405020304" pitchFamily="18" charset="0"/>
                  </a:rPr>
                  <a:t>行驶里程</a:t>
                </a:r>
                <a:r>
                  <a:rPr lang="zh-CN" altLang="en-US" sz="1000">
                    <a:latin typeface="Times New Roman" panose="02020603050405020304" pitchFamily="18" charset="0"/>
                    <a:cs typeface="Times New Roman" panose="02020603050405020304" pitchFamily="18" charset="0"/>
                  </a:rPr>
                  <a:t>（亿公里）</a:t>
                </a:r>
                <a:endParaRPr lang="en-US" sz="1000">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729347520"/>
        <c:crosses val="autoZero"/>
        <c:crossBetween val="between"/>
      </c:valAx>
      <c:spPr>
        <a:noFill/>
        <a:ln>
          <a:noFill/>
        </a:ln>
        <a:effectLst/>
      </c:spPr>
    </c:plotArea>
    <c:legend>
      <c:legendPos val="b"/>
      <c:layout>
        <c:manualLayout>
          <c:xMode val="edge"/>
          <c:yMode val="edge"/>
          <c:x val="0.45637774446885476"/>
          <c:y val="1.6518631612139147E-2"/>
          <c:w val="0.51066805750731181"/>
          <c:h val="5.45826213311343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'Tesla FSD'!$B$251</c:f>
              <c:strCache>
                <c:ptCount val="1"/>
                <c:pt idx="0">
                  <c:v> 亚太 </c:v>
                </c:pt>
              </c:strCache>
            </c:strRef>
          </c:tx>
          <c:spPr>
            <a:ln w="22225" cap="rnd">
              <a:solidFill>
                <a:schemeClr val="accent5">
                  <a:lumMod val="40000"/>
                  <a:lumOff val="60000"/>
                </a:schemeClr>
              </a:solidFill>
              <a:round/>
            </a:ln>
            <a:effectLst/>
          </c:spPr>
          <c:marker>
            <c:symbol val="square"/>
            <c:size val="5"/>
            <c:spPr>
              <a:solidFill>
                <a:schemeClr val="accent5">
                  <a:lumMod val="40000"/>
                  <a:lumOff val="60000"/>
                </a:schemeClr>
              </a:solidFill>
              <a:ln w="9525">
                <a:solidFill>
                  <a:schemeClr val="accent5">
                    <a:lumMod val="40000"/>
                    <a:lumOff val="60000"/>
                  </a:schemeClr>
                </a:solidFill>
              </a:ln>
              <a:effectLst/>
            </c:spPr>
          </c:marker>
          <c:cat>
            <c:strRef>
              <c:f>'Tesla FSD'!$A$252:$A$276</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FSD'!$B$252:$B$276</c:f>
              <c:numCache>
                <c:formatCode>_(* #,##0_);_(* \(#,##0\);_(* "-"??_);_(@_)</c:formatCode>
                <c:ptCount val="25"/>
                <c:pt idx="0">
                  <c:v>110</c:v>
                </c:pt>
                <c:pt idx="1">
                  <c:v>202</c:v>
                </c:pt>
                <c:pt idx="2">
                  <c:v>145</c:v>
                </c:pt>
                <c:pt idx="3">
                  <c:v>178</c:v>
                </c:pt>
                <c:pt idx="4">
                  <c:v>136</c:v>
                </c:pt>
                <c:pt idx="5">
                  <c:v>150</c:v>
                </c:pt>
                <c:pt idx="6">
                  <c:v>182</c:v>
                </c:pt>
                <c:pt idx="7">
                  <c:v>103</c:v>
                </c:pt>
                <c:pt idx="8">
                  <c:v>99</c:v>
                </c:pt>
                <c:pt idx="9">
                  <c:v>161</c:v>
                </c:pt>
                <c:pt idx="10">
                  <c:v>256</c:v>
                </c:pt>
                <c:pt idx="11">
                  <c:v>275</c:v>
                </c:pt>
                <c:pt idx="12">
                  <c:v>343</c:v>
                </c:pt>
                <c:pt idx="13">
                  <c:v>434</c:v>
                </c:pt>
                <c:pt idx="14">
                  <c:v>512</c:v>
                </c:pt>
                <c:pt idx="15">
                  <c:v>531</c:v>
                </c:pt>
                <c:pt idx="16">
                  <c:v>619</c:v>
                </c:pt>
                <c:pt idx="17">
                  <c:v>634</c:v>
                </c:pt>
                <c:pt idx="18">
                  <c:v>486</c:v>
                </c:pt>
                <c:pt idx="19">
                  <c:v>368</c:v>
                </c:pt>
                <c:pt idx="20">
                  <c:v>524</c:v>
                </c:pt>
                <c:pt idx="21">
                  <c:v>510</c:v>
                </c:pt>
                <c:pt idx="22">
                  <c:v>405</c:v>
                </c:pt>
                <c:pt idx="23">
                  <c:v>596</c:v>
                </c:pt>
                <c:pt idx="24">
                  <c:v>1214.6353333333309</c:v>
                </c:pt>
              </c:numCache>
            </c:numRef>
          </c:val>
          <c:smooth val="0"/>
          <c:extLst>
            <c:ext xmlns:c16="http://schemas.microsoft.com/office/drawing/2014/chart" uri="{C3380CC4-5D6E-409C-BE32-E72D297353CC}">
              <c16:uniqueId val="{00000000-3274-6D4B-A6A4-9A6948F9E8C0}"/>
            </c:ext>
          </c:extLst>
        </c:ser>
        <c:ser>
          <c:idx val="1"/>
          <c:order val="1"/>
          <c:tx>
            <c:strRef>
              <c:f>'Tesla FSD'!$C$251</c:f>
              <c:strCache>
                <c:ptCount val="1"/>
                <c:pt idx="0">
                  <c:v> 欧洲 </c:v>
                </c:pt>
              </c:strCache>
            </c:strRef>
          </c:tx>
          <c:spPr>
            <a:ln w="22225" cap="rnd">
              <a:solidFill>
                <a:srgbClr val="00B0F0"/>
              </a:solidFill>
              <a:round/>
            </a:ln>
            <a:effectLst/>
          </c:spPr>
          <c:marker>
            <c:symbol val="triangle"/>
            <c:size val="6"/>
            <c:spPr>
              <a:solidFill>
                <a:srgbClr val="00B0F0"/>
              </a:solidFill>
              <a:ln w="9525">
                <a:solidFill>
                  <a:srgbClr val="00B0F0"/>
                </a:solidFill>
              </a:ln>
              <a:effectLst/>
            </c:spPr>
          </c:marker>
          <c:cat>
            <c:strRef>
              <c:f>'Tesla FSD'!$A$252:$A$276</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FSD'!$C$252:$C$276</c:f>
              <c:numCache>
                <c:formatCode>_(* #,##0_);_(* \(#,##0\);_(* "-"??_);_(@_)</c:formatCode>
                <c:ptCount val="25"/>
                <c:pt idx="0">
                  <c:v>629</c:v>
                </c:pt>
                <c:pt idx="1">
                  <c:v>957</c:v>
                </c:pt>
                <c:pt idx="2">
                  <c:v>792</c:v>
                </c:pt>
                <c:pt idx="3">
                  <c:v>1016</c:v>
                </c:pt>
                <c:pt idx="4">
                  <c:v>1288</c:v>
                </c:pt>
                <c:pt idx="5">
                  <c:v>1715</c:v>
                </c:pt>
                <c:pt idx="6">
                  <c:v>411</c:v>
                </c:pt>
                <c:pt idx="7">
                  <c:v>1471</c:v>
                </c:pt>
                <c:pt idx="8">
                  <c:v>1813</c:v>
                </c:pt>
                <c:pt idx="9">
                  <c:v>6640</c:v>
                </c:pt>
                <c:pt idx="10">
                  <c:v>12649</c:v>
                </c:pt>
                <c:pt idx="11">
                  <c:v>13288</c:v>
                </c:pt>
                <c:pt idx="12">
                  <c:v>10837</c:v>
                </c:pt>
                <c:pt idx="13">
                  <c:v>6192</c:v>
                </c:pt>
                <c:pt idx="14">
                  <c:v>4394</c:v>
                </c:pt>
                <c:pt idx="15">
                  <c:v>5904</c:v>
                </c:pt>
                <c:pt idx="16">
                  <c:v>4696</c:v>
                </c:pt>
                <c:pt idx="17">
                  <c:v>3768</c:v>
                </c:pt>
                <c:pt idx="18">
                  <c:v>5816</c:v>
                </c:pt>
                <c:pt idx="19">
                  <c:v>5933</c:v>
                </c:pt>
                <c:pt idx="20">
                  <c:v>5600</c:v>
                </c:pt>
                <c:pt idx="21">
                  <c:v>3834</c:v>
                </c:pt>
                <c:pt idx="22">
                  <c:v>1661</c:v>
                </c:pt>
                <c:pt idx="23">
                  <c:v>4598</c:v>
                </c:pt>
                <c:pt idx="24">
                  <c:v>5057.8</c:v>
                </c:pt>
              </c:numCache>
            </c:numRef>
          </c:val>
          <c:smooth val="0"/>
          <c:extLst>
            <c:ext xmlns:c16="http://schemas.microsoft.com/office/drawing/2014/chart" uri="{C3380CC4-5D6E-409C-BE32-E72D297353CC}">
              <c16:uniqueId val="{00000001-3274-6D4B-A6A4-9A6948F9E8C0}"/>
            </c:ext>
          </c:extLst>
        </c:ser>
        <c:ser>
          <c:idx val="2"/>
          <c:order val="2"/>
          <c:tx>
            <c:strRef>
              <c:f>'Tesla FSD'!$D$251</c:f>
              <c:strCache>
                <c:ptCount val="1"/>
                <c:pt idx="0">
                  <c:v> 北美 </c:v>
                </c:pt>
              </c:strCache>
            </c:strRef>
          </c:tx>
          <c:spPr>
            <a:ln w="22225" cap="rnd">
              <a:solidFill>
                <a:srgbClr val="0070C0"/>
              </a:solidFill>
              <a:round/>
            </a:ln>
            <a:effectLst/>
          </c:spPr>
          <c:marker>
            <c:symbol val="diamond"/>
            <c:size val="7"/>
            <c:spPr>
              <a:solidFill>
                <a:srgbClr val="0070C0"/>
              </a:solidFill>
              <a:ln w="9525">
                <a:solidFill>
                  <a:srgbClr val="0070C0"/>
                </a:solidFill>
              </a:ln>
              <a:effectLst/>
            </c:spPr>
          </c:marker>
          <c:cat>
            <c:strRef>
              <c:f>'Tesla FSD'!$A$252:$A$276</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FSD'!$D$252:$D$276</c:f>
              <c:numCache>
                <c:formatCode>_(* #,##0_);_(* \(#,##0\);_(* "-"??_);_(@_)</c:formatCode>
                <c:ptCount val="25"/>
                <c:pt idx="0">
                  <c:v>2031</c:v>
                </c:pt>
                <c:pt idx="1">
                  <c:v>1661</c:v>
                </c:pt>
                <c:pt idx="2">
                  <c:v>1665</c:v>
                </c:pt>
                <c:pt idx="3">
                  <c:v>1915</c:v>
                </c:pt>
                <c:pt idx="4">
                  <c:v>2580</c:v>
                </c:pt>
                <c:pt idx="5">
                  <c:v>2965</c:v>
                </c:pt>
                <c:pt idx="6">
                  <c:v>3352</c:v>
                </c:pt>
                <c:pt idx="7">
                  <c:v>17106</c:v>
                </c:pt>
                <c:pt idx="8">
                  <c:v>14551</c:v>
                </c:pt>
                <c:pt idx="9">
                  <c:v>9929</c:v>
                </c:pt>
                <c:pt idx="10">
                  <c:v>30632</c:v>
                </c:pt>
                <c:pt idx="11">
                  <c:v>28028</c:v>
                </c:pt>
                <c:pt idx="12">
                  <c:v>28626</c:v>
                </c:pt>
                <c:pt idx="13">
                  <c:v>14955</c:v>
                </c:pt>
                <c:pt idx="14">
                  <c:v>17675</c:v>
                </c:pt>
                <c:pt idx="15">
                  <c:v>21899</c:v>
                </c:pt>
                <c:pt idx="16">
                  <c:v>26628</c:v>
                </c:pt>
                <c:pt idx="17">
                  <c:v>18991</c:v>
                </c:pt>
                <c:pt idx="18">
                  <c:v>15518</c:v>
                </c:pt>
                <c:pt idx="19">
                  <c:v>15302</c:v>
                </c:pt>
                <c:pt idx="20">
                  <c:v>16946</c:v>
                </c:pt>
                <c:pt idx="21">
                  <c:v>17864</c:v>
                </c:pt>
                <c:pt idx="22">
                  <c:v>18649</c:v>
                </c:pt>
                <c:pt idx="23">
                  <c:v>20328</c:v>
                </c:pt>
                <c:pt idx="24">
                  <c:v>24393.599999999999</c:v>
                </c:pt>
              </c:numCache>
            </c:numRef>
          </c:val>
          <c:smooth val="0"/>
          <c:extLst>
            <c:ext xmlns:c16="http://schemas.microsoft.com/office/drawing/2014/chart" uri="{C3380CC4-5D6E-409C-BE32-E72D297353CC}">
              <c16:uniqueId val="{00000002-3274-6D4B-A6A4-9A6948F9E8C0}"/>
            </c:ext>
          </c:extLst>
        </c:ser>
        <c:ser>
          <c:idx val="3"/>
          <c:order val="3"/>
          <c:tx>
            <c:strRef>
              <c:f>'Tesla FSD'!$E$251</c:f>
              <c:strCache>
                <c:ptCount val="1"/>
                <c:pt idx="0">
                  <c:v> 全球 </c:v>
                </c:pt>
              </c:strCache>
            </c:strRef>
          </c:tx>
          <c:spPr>
            <a:ln w="22225" cap="rnd">
              <a:solidFill>
                <a:srgbClr val="C00000"/>
              </a:solidFill>
              <a:round/>
            </a:ln>
            <a:effectLst/>
          </c:spPr>
          <c:marker>
            <c:symbol val="circle"/>
            <c:size val="6"/>
            <c:spPr>
              <a:solidFill>
                <a:srgbClr val="C00000"/>
              </a:solidFill>
              <a:ln w="19050">
                <a:solidFill>
                  <a:srgbClr val="C00000"/>
                </a:solidFill>
              </a:ln>
              <a:effectLst/>
            </c:spPr>
          </c:marker>
          <c:cat>
            <c:strRef>
              <c:f>'Tesla FSD'!$A$252:$A$276</c:f>
              <c:strCache>
                <c:ptCount val="25"/>
                <c:pt idx="0">
                  <c:v> Q4 2016 </c:v>
                </c:pt>
                <c:pt idx="1">
                  <c:v> Q1 2017 </c:v>
                </c:pt>
                <c:pt idx="2">
                  <c:v> Q2 2017 </c:v>
                </c:pt>
                <c:pt idx="3">
                  <c:v> Q3 2017 </c:v>
                </c:pt>
                <c:pt idx="4">
                  <c:v> Q4 2017 </c:v>
                </c:pt>
                <c:pt idx="5">
                  <c:v> Q1 2018 </c:v>
                </c:pt>
                <c:pt idx="6">
                  <c:v> Q2 2018 </c:v>
                </c:pt>
                <c:pt idx="7">
                  <c:v> Q3 2018 </c:v>
                </c:pt>
                <c:pt idx="8">
                  <c:v> Q4 2018 </c:v>
                </c:pt>
                <c:pt idx="9">
                  <c:v> Q1 2019 </c:v>
                </c:pt>
                <c:pt idx="10">
                  <c:v> Q2 2019 </c:v>
                </c:pt>
                <c:pt idx="11">
                  <c:v> Q3 2019 </c:v>
                </c:pt>
                <c:pt idx="12">
                  <c:v> Q4 2019 </c:v>
                </c:pt>
                <c:pt idx="13">
                  <c:v> Q1 2020  </c:v>
                </c:pt>
                <c:pt idx="14">
                  <c:v> Q2 2020  </c:v>
                </c:pt>
                <c:pt idx="15">
                  <c:v> Q3 2020 </c:v>
                </c:pt>
                <c:pt idx="16">
                  <c:v> Q4 2020 </c:v>
                </c:pt>
                <c:pt idx="17">
                  <c:v> Q1 2021 </c:v>
                </c:pt>
                <c:pt idx="18">
                  <c:v> Q2 2021 </c:v>
                </c:pt>
                <c:pt idx="19">
                  <c:v> Q3 2021 </c:v>
                </c:pt>
                <c:pt idx="20">
                  <c:v> Q4 2021 </c:v>
                </c:pt>
                <c:pt idx="21">
                  <c:v> Q1 2022 </c:v>
                </c:pt>
                <c:pt idx="22">
                  <c:v> Q2 2022 </c:v>
                </c:pt>
                <c:pt idx="23">
                  <c:v> Q3 2022 </c:v>
                </c:pt>
                <c:pt idx="24">
                  <c:v> Q4 2022 </c:v>
                </c:pt>
              </c:strCache>
            </c:strRef>
          </c:cat>
          <c:val>
            <c:numRef>
              <c:f>'Tesla FSD'!$E$252:$E$276</c:f>
              <c:numCache>
                <c:formatCode>_(* #,##0_);_(* \(#,##0\);_(* "-"??_);_(@_)</c:formatCode>
                <c:ptCount val="25"/>
                <c:pt idx="0">
                  <c:v>2770</c:v>
                </c:pt>
                <c:pt idx="1">
                  <c:v>2820</c:v>
                </c:pt>
                <c:pt idx="2">
                  <c:v>2602</c:v>
                </c:pt>
                <c:pt idx="3">
                  <c:v>3109</c:v>
                </c:pt>
                <c:pt idx="4">
                  <c:v>4004</c:v>
                </c:pt>
                <c:pt idx="5">
                  <c:v>4830</c:v>
                </c:pt>
                <c:pt idx="6">
                  <c:v>3945</c:v>
                </c:pt>
                <c:pt idx="7">
                  <c:v>18680</c:v>
                </c:pt>
                <c:pt idx="8">
                  <c:v>16463</c:v>
                </c:pt>
                <c:pt idx="9">
                  <c:v>16730</c:v>
                </c:pt>
                <c:pt idx="10">
                  <c:v>43537</c:v>
                </c:pt>
                <c:pt idx="11">
                  <c:v>41591</c:v>
                </c:pt>
                <c:pt idx="12">
                  <c:v>39806</c:v>
                </c:pt>
                <c:pt idx="13">
                  <c:v>21581</c:v>
                </c:pt>
                <c:pt idx="14">
                  <c:v>22581</c:v>
                </c:pt>
                <c:pt idx="15">
                  <c:v>28334</c:v>
                </c:pt>
                <c:pt idx="16">
                  <c:v>31943</c:v>
                </c:pt>
                <c:pt idx="17">
                  <c:v>23393</c:v>
                </c:pt>
                <c:pt idx="18">
                  <c:v>21820</c:v>
                </c:pt>
                <c:pt idx="19">
                  <c:v>21603</c:v>
                </c:pt>
                <c:pt idx="20">
                  <c:v>23070</c:v>
                </c:pt>
                <c:pt idx="21">
                  <c:v>22208</c:v>
                </c:pt>
                <c:pt idx="22">
                  <c:v>20715</c:v>
                </c:pt>
                <c:pt idx="23">
                  <c:v>25522</c:v>
                </c:pt>
                <c:pt idx="24">
                  <c:v>30666.03533333333</c:v>
                </c:pt>
              </c:numCache>
            </c:numRef>
          </c:val>
          <c:smooth val="0"/>
          <c:extLst>
            <c:ext xmlns:c16="http://schemas.microsoft.com/office/drawing/2014/chart" uri="{C3380CC4-5D6E-409C-BE32-E72D297353CC}">
              <c16:uniqueId val="{00000003-3274-6D4B-A6A4-9A6948F9E8C0}"/>
            </c:ext>
          </c:extLst>
        </c:ser>
        <c:dLbls>
          <c:showLegendKey val="0"/>
          <c:showVal val="0"/>
          <c:showCatName val="0"/>
          <c:showSerName val="0"/>
          <c:showPercent val="0"/>
          <c:showBubbleSize val="0"/>
        </c:dLbls>
        <c:marker val="1"/>
        <c:smooth val="0"/>
        <c:axId val="1533488000"/>
        <c:axId val="1526950592"/>
      </c:lineChart>
      <c:catAx>
        <c:axId val="153348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526950592"/>
        <c:crosses val="autoZero"/>
        <c:auto val="1"/>
        <c:lblAlgn val="ctr"/>
        <c:lblOffset val="100"/>
        <c:noMultiLvlLbl val="0"/>
      </c:catAx>
      <c:valAx>
        <c:axId val="152695059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533488000"/>
        <c:crosses val="autoZero"/>
        <c:crossBetween val="between"/>
        <c:majorUnit val="10000"/>
      </c:valAx>
      <c:spPr>
        <a:noFill/>
        <a:ln>
          <a:noFill/>
        </a:ln>
        <a:effectLst/>
      </c:spPr>
    </c:plotArea>
    <c:legend>
      <c:legendPos val="b"/>
      <c:layout>
        <c:manualLayout>
          <c:xMode val="edge"/>
          <c:yMode val="edge"/>
          <c:x val="0.48476528423871823"/>
          <c:y val="8.5333283057913694E-3"/>
          <c:w val="0.47595440097863728"/>
          <c:h val="5.701053415620345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'【Draft】Beakdown analysis BYD'!$C$98:$C$104</c:f>
              <c:strCache>
                <c:ptCount val="7"/>
                <c:pt idx="0">
                  <c:v>2022Q1</c:v>
                </c:pt>
                <c:pt idx="1">
                  <c:v>2022Q2</c:v>
                </c:pt>
                <c:pt idx="2">
                  <c:v>2022Q3</c:v>
                </c:pt>
                <c:pt idx="3">
                  <c:v>2022Q4</c:v>
                </c:pt>
                <c:pt idx="4">
                  <c:v>2023Q1</c:v>
                </c:pt>
                <c:pt idx="5">
                  <c:v>2023Q2</c:v>
                </c:pt>
                <c:pt idx="6">
                  <c:v>2023Q3</c:v>
                </c:pt>
              </c:strCache>
            </c:strRef>
          </c:cat>
          <c:val>
            <c:numRef>
              <c:f>'【Draft】Beakdown analysis BYD'!$D$98:$D$104</c:f>
              <c:numCache>
                <c:formatCode>General</c:formatCode>
                <c:ptCount val="7"/>
                <c:pt idx="0">
                  <c:v>15.84</c:v>
                </c:pt>
                <c:pt idx="1">
                  <c:v>17.27</c:v>
                </c:pt>
                <c:pt idx="2">
                  <c:v>16.68</c:v>
                </c:pt>
                <c:pt idx="3">
                  <c:v>17.64</c:v>
                </c:pt>
                <c:pt idx="4">
                  <c:v>17.12</c:v>
                </c:pt>
                <c:pt idx="5">
                  <c:v>15.73</c:v>
                </c:pt>
                <c:pt idx="6">
                  <c:v>15.36</c:v>
                </c:pt>
              </c:numCache>
            </c:numRef>
          </c:val>
          <c:smooth val="0"/>
          <c:extLst>
            <c:ext xmlns:c16="http://schemas.microsoft.com/office/drawing/2014/chart" uri="{C3380CC4-5D6E-409C-BE32-E72D297353CC}">
              <c16:uniqueId val="{00000000-8B97-864E-9E7E-B0749F936BBA}"/>
            </c:ext>
          </c:extLst>
        </c:ser>
        <c:dLbls>
          <c:showLegendKey val="0"/>
          <c:showVal val="0"/>
          <c:showCatName val="0"/>
          <c:showSerName val="0"/>
          <c:showPercent val="0"/>
          <c:showBubbleSize val="0"/>
        </c:dLbls>
        <c:marker val="1"/>
        <c:smooth val="0"/>
        <c:axId val="1477217856"/>
        <c:axId val="1477076640"/>
      </c:lineChart>
      <c:catAx>
        <c:axId val="147721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477076640"/>
        <c:crosses val="autoZero"/>
        <c:auto val="1"/>
        <c:lblAlgn val="ctr"/>
        <c:lblOffset val="100"/>
        <c:noMultiLvlLbl val="0"/>
      </c:catAx>
      <c:valAx>
        <c:axId val="1477076640"/>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a:latin typeface="Times New Roman" panose="02020603050405020304" pitchFamily="18" charset="0"/>
                    <a:cs typeface="Times New Roman" panose="02020603050405020304" pitchFamily="18" charset="0"/>
                  </a:rPr>
                  <a:t>ASP</a:t>
                </a:r>
                <a:r>
                  <a:rPr lang="zh-CN" altLang="en-US" sz="1100">
                    <a:latin typeface="Times New Roman" panose="02020603050405020304" pitchFamily="18" charset="0"/>
                    <a:cs typeface="Times New Roman" panose="02020603050405020304" pitchFamily="18" charset="0"/>
                  </a:rPr>
                  <a:t>（万元）</a:t>
                </a:r>
                <a:endParaRPr lang="en-US" sz="1100">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zh-CN"/>
          </a:p>
        </c:txPr>
        <c:crossAx val="1477217856"/>
        <c:crosses val="autoZero"/>
        <c:crossBetween val="between"/>
        <c:maj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val>
            <c:numRef>
              <c:f>Charts!$A$7:$H$7</c:f>
              <c:numCache>
                <c:formatCode>General</c:formatCode>
                <c:ptCount val="8"/>
                <c:pt idx="0">
                  <c:v>83940</c:v>
                </c:pt>
                <c:pt idx="1">
                  <c:v>101027</c:v>
                </c:pt>
                <c:pt idx="2">
                  <c:v>214459</c:v>
                </c:pt>
                <c:pt idx="3">
                  <c:v>365232</c:v>
                </c:pt>
                <c:pt idx="4">
                  <c:v>356554</c:v>
                </c:pt>
                <c:pt idx="5">
                  <c:v>472000</c:v>
                </c:pt>
                <c:pt idx="6">
                  <c:v>590000</c:v>
                </c:pt>
                <c:pt idx="7">
                  <c:v>590000</c:v>
                </c:pt>
              </c:numCache>
            </c:numRef>
          </c:val>
          <c:extLst>
            <c:ext xmlns:c16="http://schemas.microsoft.com/office/drawing/2014/chart" uri="{C3380CC4-5D6E-409C-BE32-E72D297353CC}">
              <c16:uniqueId val="{00000001-3233-4710-B1C7-608D7D9BC70C}"/>
            </c:ext>
          </c:extLst>
        </c:ser>
        <c:dLbls>
          <c:showLegendKey val="0"/>
          <c:showVal val="0"/>
          <c:showCatName val="0"/>
          <c:showSerName val="0"/>
          <c:showPercent val="0"/>
          <c:showBubbleSize val="0"/>
        </c:dLbls>
        <c:gapWidth val="219"/>
        <c:overlap val="-27"/>
        <c:axId val="1022244872"/>
        <c:axId val="1578640536"/>
      </c:barChart>
      <c:catAx>
        <c:axId val="10222448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78640536"/>
        <c:crosses val="autoZero"/>
        <c:auto val="1"/>
        <c:lblAlgn val="ctr"/>
        <c:lblOffset val="100"/>
        <c:noMultiLvlLbl val="0"/>
      </c:catAx>
      <c:valAx>
        <c:axId val="1578640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22244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营业收入</c:v>
          </c:tx>
          <c:spPr>
            <a:solidFill>
              <a:schemeClr val="accent1"/>
            </a:solidFill>
            <a:ln>
              <a:noFill/>
            </a:ln>
            <a:effectLst/>
          </c:spPr>
          <c:invertIfNegative val="0"/>
          <c:cat>
            <c:numRef>
              <c:f>'Earning Forecast'!$B$1:$F$1</c:f>
              <c:numCache>
                <c:formatCode>General</c:formatCode>
                <c:ptCount val="5"/>
                <c:pt idx="0">
                  <c:v>2016</c:v>
                </c:pt>
                <c:pt idx="1">
                  <c:v>2017</c:v>
                </c:pt>
                <c:pt idx="2">
                  <c:v>2018</c:v>
                </c:pt>
                <c:pt idx="3">
                  <c:v>2019</c:v>
                </c:pt>
                <c:pt idx="4">
                  <c:v>2020</c:v>
                </c:pt>
              </c:numCache>
            </c:numRef>
          </c:cat>
          <c:val>
            <c:numRef>
              <c:f>'Earning Forecast'!$B$39:$F$39</c:f>
              <c:numCache>
                <c:formatCode>#,##0_ </c:formatCode>
                <c:ptCount val="5"/>
                <c:pt idx="0">
                  <c:v>7000129</c:v>
                </c:pt>
                <c:pt idx="1">
                  <c:v>11759210</c:v>
                </c:pt>
                <c:pt idx="2">
                  <c:v>21460800</c:v>
                </c:pt>
                <c:pt idx="3">
                  <c:v>24578000</c:v>
                </c:pt>
                <c:pt idx="4">
                  <c:v>31536000</c:v>
                </c:pt>
              </c:numCache>
            </c:numRef>
          </c:val>
          <c:extLst>
            <c:ext xmlns:c16="http://schemas.microsoft.com/office/drawing/2014/chart" uri="{C3380CC4-5D6E-409C-BE32-E72D297353CC}">
              <c16:uniqueId val="{00000000-B008-4265-B40B-9F0A4759D735}"/>
            </c:ext>
          </c:extLst>
        </c:ser>
        <c:dLbls>
          <c:showLegendKey val="0"/>
          <c:showVal val="0"/>
          <c:showCatName val="0"/>
          <c:showSerName val="0"/>
          <c:showPercent val="0"/>
          <c:showBubbleSize val="0"/>
        </c:dLbls>
        <c:gapWidth val="219"/>
        <c:axId val="400566128"/>
        <c:axId val="400574032"/>
      </c:barChart>
      <c:lineChart>
        <c:grouping val="standard"/>
        <c:varyColors val="0"/>
        <c:ser>
          <c:idx val="1"/>
          <c:order val="1"/>
          <c:tx>
            <c:v>同比增长</c:v>
          </c:tx>
          <c:spPr>
            <a:ln w="28575" cap="rnd">
              <a:solidFill>
                <a:schemeClr val="accent2"/>
              </a:solidFill>
              <a:round/>
            </a:ln>
            <a:effectLst/>
          </c:spPr>
          <c:marker>
            <c:symbol val="none"/>
          </c:marker>
          <c:cat>
            <c:numRef>
              <c:f>'Earning Forecast'!$B$1:$F$1</c:f>
              <c:numCache>
                <c:formatCode>General</c:formatCode>
                <c:ptCount val="5"/>
                <c:pt idx="0">
                  <c:v>2016</c:v>
                </c:pt>
                <c:pt idx="1">
                  <c:v>2017</c:v>
                </c:pt>
                <c:pt idx="2">
                  <c:v>2018</c:v>
                </c:pt>
                <c:pt idx="3">
                  <c:v>2019</c:v>
                </c:pt>
                <c:pt idx="4">
                  <c:v>2020</c:v>
                </c:pt>
              </c:numCache>
            </c:numRef>
          </c:cat>
          <c:val>
            <c:numRef>
              <c:f>'Earning Forecast'!$B$40:$F$40</c:f>
              <c:numCache>
                <c:formatCode>0.0%</c:formatCode>
                <c:ptCount val="5"/>
                <c:pt idx="1">
                  <c:v>0.67985618550743854</c:v>
                </c:pt>
                <c:pt idx="2">
                  <c:v>0.82502055835383503</c:v>
                </c:pt>
                <c:pt idx="3">
                  <c:v>0.14525087601580555</c:v>
                </c:pt>
                <c:pt idx="4">
                  <c:v>0.28309870615998056</c:v>
                </c:pt>
              </c:numCache>
            </c:numRef>
          </c:val>
          <c:smooth val="0"/>
          <c:extLst>
            <c:ext xmlns:c16="http://schemas.microsoft.com/office/drawing/2014/chart" uri="{C3380CC4-5D6E-409C-BE32-E72D297353CC}">
              <c16:uniqueId val="{00000005-B008-4265-B40B-9F0A4759D735}"/>
            </c:ext>
          </c:extLst>
        </c:ser>
        <c:dLbls>
          <c:showLegendKey val="0"/>
          <c:showVal val="0"/>
          <c:showCatName val="0"/>
          <c:showSerName val="0"/>
          <c:showPercent val="0"/>
          <c:showBubbleSize val="0"/>
        </c:dLbls>
        <c:marker val="1"/>
        <c:smooth val="0"/>
        <c:axId val="400535760"/>
        <c:axId val="400547824"/>
      </c:lineChart>
      <c:catAx>
        <c:axId val="40056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0574032"/>
        <c:crosses val="autoZero"/>
        <c:auto val="1"/>
        <c:lblAlgn val="ctr"/>
        <c:lblOffset val="100"/>
        <c:noMultiLvlLbl val="0"/>
      </c:catAx>
      <c:valAx>
        <c:axId val="40057403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0566128"/>
        <c:crosses val="autoZero"/>
        <c:crossBetween val="between"/>
      </c:valAx>
      <c:valAx>
        <c:axId val="4005478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0535760"/>
        <c:crosses val="max"/>
        <c:crossBetween val="between"/>
      </c:valAx>
      <c:catAx>
        <c:axId val="400535760"/>
        <c:scaling>
          <c:orientation val="minMax"/>
        </c:scaling>
        <c:delete val="1"/>
        <c:axPos val="b"/>
        <c:numFmt formatCode="General" sourceLinked="1"/>
        <c:majorTickMark val="out"/>
        <c:minorTickMark val="none"/>
        <c:tickLblPos val="nextTo"/>
        <c:crossAx val="4005478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83277242990488"/>
          <c:y val="4.9283154121863799E-2"/>
          <c:w val="0.81433691586870971"/>
          <c:h val="0.78847686144495099"/>
        </c:manualLayout>
      </c:layout>
      <c:barChart>
        <c:barDir val="col"/>
        <c:grouping val="stacked"/>
        <c:varyColors val="0"/>
        <c:ser>
          <c:idx val="0"/>
          <c:order val="0"/>
          <c:tx>
            <c:strRef>
              <c:f>'Earning Forecast'!$A$4</c:f>
              <c:strCache>
                <c:ptCount val="1"/>
                <c:pt idx="0">
                  <c:v>Automotive Sales&amp;Leasing</c:v>
                </c:pt>
              </c:strCache>
            </c:strRef>
          </c:tx>
          <c:spPr>
            <a:solidFill>
              <a:schemeClr val="accent1"/>
            </a:solidFill>
            <a:ln>
              <a:noFill/>
            </a:ln>
            <a:effectLst/>
          </c:spPr>
          <c:invertIfNegative val="0"/>
          <c:cat>
            <c:numRef>
              <c:f>'Earning Forecast'!$B$1:$F$1</c:f>
              <c:numCache>
                <c:formatCode>General</c:formatCode>
                <c:ptCount val="5"/>
                <c:pt idx="0">
                  <c:v>2016</c:v>
                </c:pt>
                <c:pt idx="1">
                  <c:v>2017</c:v>
                </c:pt>
                <c:pt idx="2">
                  <c:v>2018</c:v>
                </c:pt>
                <c:pt idx="3">
                  <c:v>2019</c:v>
                </c:pt>
                <c:pt idx="4">
                  <c:v>2020</c:v>
                </c:pt>
              </c:numCache>
            </c:numRef>
          </c:cat>
          <c:val>
            <c:numRef>
              <c:f>'Earning Forecast'!$B$5:$F$5</c:f>
              <c:numCache>
                <c:formatCode>#,##0_ </c:formatCode>
                <c:ptCount val="5"/>
                <c:pt idx="0">
                  <c:v>6350769</c:v>
                </c:pt>
                <c:pt idx="1">
                  <c:v>9641750</c:v>
                </c:pt>
                <c:pt idx="2">
                  <c:v>18514520</c:v>
                </c:pt>
                <c:pt idx="3">
                  <c:v>20821000</c:v>
                </c:pt>
                <c:pt idx="4">
                  <c:v>27236000</c:v>
                </c:pt>
              </c:numCache>
            </c:numRef>
          </c:val>
          <c:extLst>
            <c:ext xmlns:c16="http://schemas.microsoft.com/office/drawing/2014/chart" uri="{C3380CC4-5D6E-409C-BE32-E72D297353CC}">
              <c16:uniqueId val="{00000000-82B9-45DC-A227-5F0657ED6369}"/>
            </c:ext>
          </c:extLst>
        </c:ser>
        <c:ser>
          <c:idx val="1"/>
          <c:order val="1"/>
          <c:tx>
            <c:strRef>
              <c:f>'Earning Forecast'!$A$11</c:f>
              <c:strCache>
                <c:ptCount val="1"/>
                <c:pt idx="0">
                  <c:v>Services &amp; Other</c:v>
                </c:pt>
              </c:strCache>
            </c:strRef>
          </c:tx>
          <c:spPr>
            <a:solidFill>
              <a:schemeClr val="accent2"/>
            </a:solidFill>
            <a:ln>
              <a:noFill/>
            </a:ln>
            <a:effectLst/>
          </c:spPr>
          <c:invertIfNegative val="0"/>
          <c:cat>
            <c:numRef>
              <c:f>'Earning Forecast'!$B$1:$F$1</c:f>
              <c:numCache>
                <c:formatCode>General</c:formatCode>
                <c:ptCount val="5"/>
                <c:pt idx="0">
                  <c:v>2016</c:v>
                </c:pt>
                <c:pt idx="1">
                  <c:v>2017</c:v>
                </c:pt>
                <c:pt idx="2">
                  <c:v>2018</c:v>
                </c:pt>
                <c:pt idx="3">
                  <c:v>2019</c:v>
                </c:pt>
                <c:pt idx="4">
                  <c:v>2020</c:v>
                </c:pt>
              </c:numCache>
            </c:numRef>
          </c:cat>
          <c:val>
            <c:numRef>
              <c:f>'Earning Forecast'!$B$12:$F$12</c:f>
              <c:numCache>
                <c:formatCode>#,##0_ </c:formatCode>
                <c:ptCount val="5"/>
                <c:pt idx="0">
                  <c:v>467970</c:v>
                </c:pt>
                <c:pt idx="1">
                  <c:v>1001190</c:v>
                </c:pt>
                <c:pt idx="2">
                  <c:v>1391040</c:v>
                </c:pt>
                <c:pt idx="3">
                  <c:v>2226000</c:v>
                </c:pt>
                <c:pt idx="4">
                  <c:v>2306000</c:v>
                </c:pt>
              </c:numCache>
            </c:numRef>
          </c:val>
          <c:extLst>
            <c:ext xmlns:c16="http://schemas.microsoft.com/office/drawing/2014/chart" uri="{C3380CC4-5D6E-409C-BE32-E72D297353CC}">
              <c16:uniqueId val="{00000001-82B9-45DC-A227-5F0657ED6369}"/>
            </c:ext>
          </c:extLst>
        </c:ser>
        <c:ser>
          <c:idx val="2"/>
          <c:order val="2"/>
          <c:tx>
            <c:strRef>
              <c:f>'Earning Forecast'!$A$19</c:f>
              <c:strCache>
                <c:ptCount val="1"/>
                <c:pt idx="0">
                  <c:v>Energy Generation &amp; Storage</c:v>
                </c:pt>
              </c:strCache>
            </c:strRef>
          </c:tx>
          <c:spPr>
            <a:solidFill>
              <a:schemeClr val="accent3"/>
            </a:solidFill>
            <a:ln>
              <a:noFill/>
            </a:ln>
            <a:effectLst/>
          </c:spPr>
          <c:invertIfNegative val="0"/>
          <c:cat>
            <c:numRef>
              <c:f>'Earning Forecast'!$B$1:$F$1</c:f>
              <c:numCache>
                <c:formatCode>General</c:formatCode>
                <c:ptCount val="5"/>
                <c:pt idx="0">
                  <c:v>2016</c:v>
                </c:pt>
                <c:pt idx="1">
                  <c:v>2017</c:v>
                </c:pt>
                <c:pt idx="2">
                  <c:v>2018</c:v>
                </c:pt>
                <c:pt idx="3">
                  <c:v>2019</c:v>
                </c:pt>
                <c:pt idx="4">
                  <c:v>2020</c:v>
                </c:pt>
              </c:numCache>
            </c:numRef>
          </c:cat>
          <c:val>
            <c:numRef>
              <c:f>'Earning Forecast'!$B$20:$F$20</c:f>
              <c:numCache>
                <c:formatCode>#,##0_ </c:formatCode>
                <c:ptCount val="5"/>
                <c:pt idx="0">
                  <c:v>181390</c:v>
                </c:pt>
                <c:pt idx="1">
                  <c:v>1116270</c:v>
                </c:pt>
                <c:pt idx="2">
                  <c:v>1555240</c:v>
                </c:pt>
                <c:pt idx="3">
                  <c:v>1531000</c:v>
                </c:pt>
                <c:pt idx="4">
                  <c:v>1994000</c:v>
                </c:pt>
              </c:numCache>
            </c:numRef>
          </c:val>
          <c:extLst>
            <c:ext xmlns:c16="http://schemas.microsoft.com/office/drawing/2014/chart" uri="{C3380CC4-5D6E-409C-BE32-E72D297353CC}">
              <c16:uniqueId val="{00000002-82B9-45DC-A227-5F0657ED6369}"/>
            </c:ext>
          </c:extLst>
        </c:ser>
        <c:dLbls>
          <c:showLegendKey val="0"/>
          <c:showVal val="0"/>
          <c:showCatName val="0"/>
          <c:showSerName val="0"/>
          <c:showPercent val="0"/>
          <c:showBubbleSize val="0"/>
        </c:dLbls>
        <c:gapWidth val="150"/>
        <c:overlap val="100"/>
        <c:axId val="2020802159"/>
        <c:axId val="2020805071"/>
      </c:barChart>
      <c:lineChart>
        <c:grouping val="standard"/>
        <c:varyColors val="0"/>
        <c:ser>
          <c:idx val="3"/>
          <c:order val="3"/>
          <c:tx>
            <c:strRef>
              <c:f>Charts!$A$9</c:f>
              <c:strCache>
                <c:ptCount val="1"/>
                <c:pt idx="0">
                  <c:v>汽车销售占比</c:v>
                </c:pt>
              </c:strCache>
            </c:strRef>
          </c:tx>
          <c:spPr>
            <a:ln w="28575" cap="rnd">
              <a:solidFill>
                <a:schemeClr val="accent4"/>
              </a:solidFill>
              <a:round/>
            </a:ln>
            <a:effectLst/>
          </c:spPr>
          <c:marker>
            <c:symbol val="none"/>
          </c:marker>
          <c:cat>
            <c:numRef>
              <c:f>'Earning Forecast'!$B$1:$F$1</c:f>
              <c:numCache>
                <c:formatCode>General</c:formatCode>
                <c:ptCount val="5"/>
                <c:pt idx="0">
                  <c:v>2016</c:v>
                </c:pt>
                <c:pt idx="1">
                  <c:v>2017</c:v>
                </c:pt>
                <c:pt idx="2">
                  <c:v>2018</c:v>
                </c:pt>
                <c:pt idx="3">
                  <c:v>2019</c:v>
                </c:pt>
                <c:pt idx="4">
                  <c:v>2020</c:v>
                </c:pt>
              </c:numCache>
            </c:numRef>
          </c:cat>
          <c:val>
            <c:numRef>
              <c:f>Charts!$A$10:$E$10</c:f>
              <c:numCache>
                <c:formatCode>0%</c:formatCode>
                <c:ptCount val="5"/>
                <c:pt idx="0">
                  <c:v>0.90723599522237375</c:v>
                </c:pt>
                <c:pt idx="1">
                  <c:v>0.81993178113155563</c:v>
                </c:pt>
                <c:pt idx="2">
                  <c:v>0.86271341236114218</c:v>
                </c:pt>
                <c:pt idx="3">
                  <c:v>0.847139718447392</c:v>
                </c:pt>
                <c:pt idx="4">
                  <c:v>0.86364789446981227</c:v>
                </c:pt>
              </c:numCache>
            </c:numRef>
          </c:val>
          <c:smooth val="0"/>
          <c:extLst>
            <c:ext xmlns:c16="http://schemas.microsoft.com/office/drawing/2014/chart" uri="{C3380CC4-5D6E-409C-BE32-E72D297353CC}">
              <c16:uniqueId val="{00000006-82B9-45DC-A227-5F0657ED6369}"/>
            </c:ext>
          </c:extLst>
        </c:ser>
        <c:dLbls>
          <c:showLegendKey val="0"/>
          <c:showVal val="0"/>
          <c:showCatName val="0"/>
          <c:showSerName val="0"/>
          <c:showPercent val="0"/>
          <c:showBubbleSize val="0"/>
        </c:dLbls>
        <c:marker val="1"/>
        <c:smooth val="0"/>
        <c:axId val="2041624239"/>
        <c:axId val="2041609679"/>
      </c:lineChart>
      <c:catAx>
        <c:axId val="202080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20805071"/>
        <c:crosses val="autoZero"/>
        <c:auto val="1"/>
        <c:lblAlgn val="ctr"/>
        <c:lblOffset val="100"/>
        <c:noMultiLvlLbl val="0"/>
      </c:catAx>
      <c:valAx>
        <c:axId val="2020805071"/>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20802159"/>
        <c:crosses val="autoZero"/>
        <c:crossBetween val="between"/>
      </c:valAx>
      <c:valAx>
        <c:axId val="204160967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41624239"/>
        <c:crosses val="max"/>
        <c:crossBetween val="between"/>
      </c:valAx>
      <c:catAx>
        <c:axId val="2041624239"/>
        <c:scaling>
          <c:orientation val="minMax"/>
        </c:scaling>
        <c:delete val="1"/>
        <c:axPos val="b"/>
        <c:numFmt formatCode="General" sourceLinked="1"/>
        <c:majorTickMark val="out"/>
        <c:minorTickMark val="none"/>
        <c:tickLblPos val="nextTo"/>
        <c:crossAx val="2041609679"/>
        <c:crosses val="autoZero"/>
        <c:auto val="1"/>
        <c:lblAlgn val="ctr"/>
        <c:lblOffset val="100"/>
        <c:noMultiLvlLbl val="0"/>
      </c:catAx>
      <c:spPr>
        <a:noFill/>
        <a:ln>
          <a:noFill/>
        </a:ln>
        <a:effectLst/>
      </c:spPr>
    </c:plotArea>
    <c:legend>
      <c:legendPos val="r"/>
      <c:layout>
        <c:manualLayout>
          <c:xMode val="edge"/>
          <c:yMode val="edge"/>
          <c:x val="0.14446124906655575"/>
          <c:y val="0.89735736980245895"/>
          <c:w val="0.67623269074124359"/>
          <c:h val="7.16788345782259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净利润</c:v>
          </c:tx>
          <c:spPr>
            <a:solidFill>
              <a:schemeClr val="accent1"/>
            </a:solidFill>
            <a:ln>
              <a:noFill/>
            </a:ln>
            <a:effectLst/>
          </c:spPr>
          <c:invertIfNegative val="0"/>
          <c:cat>
            <c:numRef>
              <c:f>'Earning Forecast'!$B$1:$F$1</c:f>
              <c:numCache>
                <c:formatCode>General</c:formatCode>
                <c:ptCount val="5"/>
                <c:pt idx="0">
                  <c:v>2016</c:v>
                </c:pt>
                <c:pt idx="1">
                  <c:v>2017</c:v>
                </c:pt>
                <c:pt idx="2">
                  <c:v>2018</c:v>
                </c:pt>
                <c:pt idx="3">
                  <c:v>2019</c:v>
                </c:pt>
                <c:pt idx="4">
                  <c:v>2020</c:v>
                </c:pt>
              </c:numCache>
            </c:numRef>
          </c:cat>
          <c:val>
            <c:numRef>
              <c:f>'Earning Forecast'!$B$59:$F$59</c:f>
              <c:numCache>
                <c:formatCode>#,##0_ </c:formatCode>
                <c:ptCount val="5"/>
                <c:pt idx="0">
                  <c:v>-773046</c:v>
                </c:pt>
                <c:pt idx="1">
                  <c:v>-2239902</c:v>
                </c:pt>
                <c:pt idx="2">
                  <c:v>-875683</c:v>
                </c:pt>
                <c:pt idx="3">
                  <c:v>-775000</c:v>
                </c:pt>
                <c:pt idx="4">
                  <c:v>862000</c:v>
                </c:pt>
              </c:numCache>
            </c:numRef>
          </c:val>
          <c:extLst>
            <c:ext xmlns:c16="http://schemas.microsoft.com/office/drawing/2014/chart" uri="{C3380CC4-5D6E-409C-BE32-E72D297353CC}">
              <c16:uniqueId val="{00000000-C28E-49A4-BAC8-71CC0C06D2FB}"/>
            </c:ext>
          </c:extLst>
        </c:ser>
        <c:dLbls>
          <c:showLegendKey val="0"/>
          <c:showVal val="0"/>
          <c:showCatName val="0"/>
          <c:showSerName val="0"/>
          <c:showPercent val="0"/>
          <c:showBubbleSize val="0"/>
        </c:dLbls>
        <c:gapWidth val="219"/>
        <c:axId val="2020780943"/>
        <c:axId val="2020781359"/>
      </c:barChart>
      <c:lineChart>
        <c:grouping val="standard"/>
        <c:varyColors val="0"/>
        <c:ser>
          <c:idx val="1"/>
          <c:order val="1"/>
          <c:tx>
            <c:v>同比变化</c:v>
          </c:tx>
          <c:spPr>
            <a:ln w="28575" cap="rnd">
              <a:solidFill>
                <a:schemeClr val="accent2"/>
              </a:solidFill>
              <a:round/>
            </a:ln>
            <a:effectLst/>
          </c:spPr>
          <c:marker>
            <c:symbol val="none"/>
          </c:marker>
          <c:cat>
            <c:numRef>
              <c:f>'Earning Forecast'!$C$1:$F$1</c:f>
              <c:numCache>
                <c:formatCode>General</c:formatCode>
                <c:ptCount val="4"/>
                <c:pt idx="0">
                  <c:v>2017</c:v>
                </c:pt>
                <c:pt idx="1">
                  <c:v>2018</c:v>
                </c:pt>
                <c:pt idx="2">
                  <c:v>2019</c:v>
                </c:pt>
                <c:pt idx="3">
                  <c:v>2020</c:v>
                </c:pt>
              </c:numCache>
            </c:numRef>
          </c:cat>
          <c:val>
            <c:numRef>
              <c:f>Charts!$A$13:$D$13</c:f>
              <c:numCache>
                <c:formatCode>0%</c:formatCode>
                <c:ptCount val="4"/>
                <c:pt idx="0">
                  <c:v>-1.8975015717046593</c:v>
                </c:pt>
                <c:pt idx="1">
                  <c:v>0.60905298535382357</c:v>
                </c:pt>
                <c:pt idx="2">
                  <c:v>0.11497653831352217</c:v>
                </c:pt>
                <c:pt idx="3">
                  <c:v>2.1122580645161291</c:v>
                </c:pt>
              </c:numCache>
            </c:numRef>
          </c:val>
          <c:smooth val="0"/>
          <c:extLst>
            <c:ext xmlns:c16="http://schemas.microsoft.com/office/drawing/2014/chart" uri="{C3380CC4-5D6E-409C-BE32-E72D297353CC}">
              <c16:uniqueId val="{00000003-C28E-49A4-BAC8-71CC0C06D2FB}"/>
            </c:ext>
          </c:extLst>
        </c:ser>
        <c:dLbls>
          <c:showLegendKey val="0"/>
          <c:showVal val="0"/>
          <c:showCatName val="0"/>
          <c:showSerName val="0"/>
          <c:showPercent val="0"/>
          <c:showBubbleSize val="0"/>
        </c:dLbls>
        <c:marker val="1"/>
        <c:smooth val="0"/>
        <c:axId val="2020814639"/>
        <c:axId val="2020810063"/>
      </c:lineChart>
      <c:catAx>
        <c:axId val="202078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20781359"/>
        <c:crosses val="autoZero"/>
        <c:auto val="1"/>
        <c:lblAlgn val="ctr"/>
        <c:lblOffset val="100"/>
        <c:noMultiLvlLbl val="0"/>
      </c:catAx>
      <c:valAx>
        <c:axId val="2020781359"/>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20780943"/>
        <c:crosses val="autoZero"/>
        <c:crossBetween val="between"/>
      </c:valAx>
      <c:valAx>
        <c:axId val="202081006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20814639"/>
        <c:crosses val="max"/>
        <c:crossBetween val="between"/>
      </c:valAx>
      <c:catAx>
        <c:axId val="2020814639"/>
        <c:scaling>
          <c:orientation val="minMax"/>
        </c:scaling>
        <c:delete val="1"/>
        <c:axPos val="b"/>
        <c:numFmt formatCode="General" sourceLinked="1"/>
        <c:majorTickMark val="out"/>
        <c:minorTickMark val="none"/>
        <c:tickLblPos val="nextTo"/>
        <c:crossAx val="20208100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803958880139984"/>
          <c:y val="5.0925925925925923E-2"/>
          <c:w val="0.77418263342082227"/>
          <c:h val="0.73519320501603957"/>
        </c:manualLayout>
      </c:layout>
      <c:barChart>
        <c:barDir val="col"/>
        <c:grouping val="stacked"/>
        <c:varyColors val="0"/>
        <c:ser>
          <c:idx val="2"/>
          <c:order val="0"/>
          <c:tx>
            <c:v>行政管理及销售费用</c:v>
          </c:tx>
          <c:spPr>
            <a:solidFill>
              <a:schemeClr val="accent3"/>
            </a:solidFill>
            <a:ln>
              <a:noFill/>
            </a:ln>
            <a:effectLst/>
          </c:spPr>
          <c:invertIfNegative val="0"/>
          <c:cat>
            <c:numRef>
              <c:f>'Earning Forecast'!$B$1:$F$1</c:f>
              <c:numCache>
                <c:formatCode>General</c:formatCode>
                <c:ptCount val="5"/>
                <c:pt idx="0">
                  <c:v>2016</c:v>
                </c:pt>
                <c:pt idx="1">
                  <c:v>2017</c:v>
                </c:pt>
                <c:pt idx="2">
                  <c:v>2018</c:v>
                </c:pt>
                <c:pt idx="3">
                  <c:v>2019</c:v>
                </c:pt>
                <c:pt idx="4">
                  <c:v>2020</c:v>
                </c:pt>
              </c:numCache>
            </c:numRef>
          </c:cat>
          <c:val>
            <c:numRef>
              <c:f>'Earning Forecast'!$B$43:$F$43</c:f>
              <c:numCache>
                <c:formatCode>#,##0_ </c:formatCode>
                <c:ptCount val="5"/>
                <c:pt idx="0">
                  <c:v>1432189</c:v>
                </c:pt>
                <c:pt idx="1">
                  <c:v>2476500</c:v>
                </c:pt>
                <c:pt idx="2">
                  <c:v>2834491</c:v>
                </c:pt>
                <c:pt idx="3">
                  <c:v>2795000</c:v>
                </c:pt>
                <c:pt idx="4">
                  <c:v>3145000</c:v>
                </c:pt>
              </c:numCache>
            </c:numRef>
          </c:val>
          <c:extLst>
            <c:ext xmlns:c16="http://schemas.microsoft.com/office/drawing/2014/chart" uri="{C3380CC4-5D6E-409C-BE32-E72D297353CC}">
              <c16:uniqueId val="{00000003-B363-49B6-ABB9-9F88C9104E59}"/>
            </c:ext>
          </c:extLst>
        </c:ser>
        <c:ser>
          <c:idx val="1"/>
          <c:order val="1"/>
          <c:tx>
            <c:v>研发费用</c:v>
          </c:tx>
          <c:spPr>
            <a:solidFill>
              <a:schemeClr val="accent2"/>
            </a:solidFill>
            <a:ln>
              <a:noFill/>
            </a:ln>
            <a:effectLst/>
          </c:spPr>
          <c:invertIfNegative val="0"/>
          <c:cat>
            <c:numRef>
              <c:f>'Earning Forecast'!$B$1:$F$1</c:f>
              <c:numCache>
                <c:formatCode>General</c:formatCode>
                <c:ptCount val="5"/>
                <c:pt idx="0">
                  <c:v>2016</c:v>
                </c:pt>
                <c:pt idx="1">
                  <c:v>2017</c:v>
                </c:pt>
                <c:pt idx="2">
                  <c:v>2018</c:v>
                </c:pt>
                <c:pt idx="3">
                  <c:v>2019</c:v>
                </c:pt>
                <c:pt idx="4">
                  <c:v>2020</c:v>
                </c:pt>
              </c:numCache>
            </c:numRef>
          </c:cat>
          <c:val>
            <c:numRef>
              <c:f>'Earning Forecast'!$B$45:$F$45</c:f>
              <c:numCache>
                <c:formatCode>#,##0_ </c:formatCode>
                <c:ptCount val="5"/>
                <c:pt idx="0">
                  <c:v>834408</c:v>
                </c:pt>
                <c:pt idx="1">
                  <c:v>1378073</c:v>
                </c:pt>
                <c:pt idx="2">
                  <c:v>1460370</c:v>
                </c:pt>
                <c:pt idx="3">
                  <c:v>1343000</c:v>
                </c:pt>
                <c:pt idx="4">
                  <c:v>1491000</c:v>
                </c:pt>
              </c:numCache>
            </c:numRef>
          </c:val>
          <c:extLst>
            <c:ext xmlns:c16="http://schemas.microsoft.com/office/drawing/2014/chart" uri="{C3380CC4-5D6E-409C-BE32-E72D297353CC}">
              <c16:uniqueId val="{00000002-B363-49B6-ABB9-9F88C9104E59}"/>
            </c:ext>
          </c:extLst>
        </c:ser>
        <c:dLbls>
          <c:showLegendKey val="0"/>
          <c:showVal val="0"/>
          <c:showCatName val="0"/>
          <c:showSerName val="0"/>
          <c:showPercent val="0"/>
          <c:showBubbleSize val="0"/>
        </c:dLbls>
        <c:gapWidth val="150"/>
        <c:overlap val="100"/>
        <c:axId val="1917148959"/>
        <c:axId val="1917149375"/>
      </c:barChart>
      <c:lineChart>
        <c:grouping val="standard"/>
        <c:varyColors val="0"/>
        <c:ser>
          <c:idx val="0"/>
          <c:order val="2"/>
          <c:tx>
            <c:v>研发费用占比</c:v>
          </c:tx>
          <c:spPr>
            <a:ln w="28575" cap="rnd">
              <a:solidFill>
                <a:schemeClr val="accent1"/>
              </a:solidFill>
              <a:round/>
            </a:ln>
            <a:effectLst/>
          </c:spPr>
          <c:marker>
            <c:symbol val="none"/>
          </c:marker>
          <c:cat>
            <c:numRef>
              <c:f>'Earning Forecast'!$B$1:$F$1</c:f>
              <c:numCache>
                <c:formatCode>General</c:formatCode>
                <c:ptCount val="5"/>
                <c:pt idx="0">
                  <c:v>2016</c:v>
                </c:pt>
                <c:pt idx="1">
                  <c:v>2017</c:v>
                </c:pt>
                <c:pt idx="2">
                  <c:v>2018</c:v>
                </c:pt>
                <c:pt idx="3">
                  <c:v>2019</c:v>
                </c:pt>
                <c:pt idx="4">
                  <c:v>2020</c:v>
                </c:pt>
              </c:numCache>
            </c:numRef>
          </c:cat>
          <c:val>
            <c:numRef>
              <c:f>Charts!$A$16:$E$16</c:f>
              <c:numCache>
                <c:formatCode>0%</c:formatCode>
                <c:ptCount val="5"/>
                <c:pt idx="0">
                  <c:v>0.3681324911309774</c:v>
                </c:pt>
                <c:pt idx="1">
                  <c:v>0.35751638378621964</c:v>
                </c:pt>
                <c:pt idx="2">
                  <c:v>0.34002730239698092</c:v>
                </c:pt>
                <c:pt idx="3">
                  <c:v>0.32455292411793135</c:v>
                </c:pt>
                <c:pt idx="4">
                  <c:v>0.3216134598792062</c:v>
                </c:pt>
              </c:numCache>
            </c:numRef>
          </c:val>
          <c:smooth val="0"/>
          <c:extLst>
            <c:ext xmlns:c16="http://schemas.microsoft.com/office/drawing/2014/chart" uri="{C3380CC4-5D6E-409C-BE32-E72D297353CC}">
              <c16:uniqueId val="{00000000-B363-49B6-ABB9-9F88C9104E59}"/>
            </c:ext>
          </c:extLst>
        </c:ser>
        <c:dLbls>
          <c:showLegendKey val="0"/>
          <c:showVal val="0"/>
          <c:showCatName val="0"/>
          <c:showSerName val="0"/>
          <c:showPercent val="0"/>
          <c:showBubbleSize val="0"/>
        </c:dLbls>
        <c:marker val="1"/>
        <c:smooth val="0"/>
        <c:axId val="2041579311"/>
        <c:axId val="2041583471"/>
      </c:lineChart>
      <c:catAx>
        <c:axId val="191714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17149375"/>
        <c:crosses val="autoZero"/>
        <c:auto val="1"/>
        <c:lblAlgn val="ctr"/>
        <c:lblOffset val="100"/>
        <c:noMultiLvlLbl val="0"/>
      </c:catAx>
      <c:valAx>
        <c:axId val="1917149375"/>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17148959"/>
        <c:crosses val="autoZero"/>
        <c:crossBetween val="between"/>
      </c:valAx>
      <c:valAx>
        <c:axId val="204158347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41579311"/>
        <c:crosses val="max"/>
        <c:crossBetween val="between"/>
      </c:valAx>
      <c:catAx>
        <c:axId val="2041579311"/>
        <c:scaling>
          <c:orientation val="minMax"/>
        </c:scaling>
        <c:delete val="1"/>
        <c:axPos val="b"/>
        <c:numFmt formatCode="General" sourceLinked="1"/>
        <c:majorTickMark val="out"/>
        <c:minorTickMark val="none"/>
        <c:tickLblPos val="nextTo"/>
        <c:crossAx val="2041583471"/>
        <c:crosses val="autoZero"/>
        <c:auto val="1"/>
        <c:lblAlgn val="ctr"/>
        <c:lblOffset val="100"/>
        <c:noMultiLvlLbl val="0"/>
      </c:catAx>
      <c:spPr>
        <a:noFill/>
        <a:ln>
          <a:noFill/>
        </a:ln>
        <a:effectLst/>
      </c:spPr>
    </c:plotArea>
    <c:legend>
      <c:legendPos val="r"/>
      <c:layout>
        <c:manualLayout>
          <c:xMode val="edge"/>
          <c:yMode val="edge"/>
          <c:x val="4.7537401574803163E-2"/>
          <c:y val="0.90335593467483233"/>
          <c:w val="0.95246259842519687"/>
          <c:h val="5.902887139107611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产量</c:v>
          </c:tx>
          <c:spPr>
            <a:solidFill>
              <a:schemeClr val="accent1"/>
            </a:solidFill>
            <a:ln>
              <a:noFill/>
            </a:ln>
            <a:effectLst/>
          </c:spPr>
          <c:invertIfNegative val="0"/>
          <c:cat>
            <c:strRef>
              <c:f>'Capacity Detail'!$BC$2:$BJ$2</c:f>
              <c:strCache>
                <c:ptCount val="8"/>
                <c:pt idx="0">
                  <c:v>2016</c:v>
                </c:pt>
                <c:pt idx="1">
                  <c:v>2017</c:v>
                </c:pt>
                <c:pt idx="2">
                  <c:v>2018</c:v>
                </c:pt>
                <c:pt idx="3">
                  <c:v>2019</c:v>
                </c:pt>
                <c:pt idx="4">
                  <c:v>2020</c:v>
                </c:pt>
                <c:pt idx="5">
                  <c:v>2021</c:v>
                </c:pt>
                <c:pt idx="6">
                  <c:v>2022</c:v>
                </c:pt>
                <c:pt idx="7">
                  <c:v>2023E</c:v>
                </c:pt>
              </c:strCache>
            </c:strRef>
          </c:cat>
          <c:val>
            <c:numRef>
              <c:f>'Capacity Detail'!$BC$7:$BJ$7</c:f>
              <c:numCache>
                <c:formatCode>#,##0_);[Red]\(#,##0\)</c:formatCode>
                <c:ptCount val="8"/>
                <c:pt idx="0">
                  <c:v>83940</c:v>
                </c:pt>
                <c:pt idx="1">
                  <c:v>101027</c:v>
                </c:pt>
                <c:pt idx="2">
                  <c:v>214459</c:v>
                </c:pt>
                <c:pt idx="3">
                  <c:v>365232</c:v>
                </c:pt>
                <c:pt idx="4">
                  <c:v>509737</c:v>
                </c:pt>
                <c:pt idx="5">
                  <c:v>930422</c:v>
                </c:pt>
                <c:pt idx="6">
                  <c:v>1335000</c:v>
                </c:pt>
                <c:pt idx="7">
                  <c:v>1796333.3333333335</c:v>
                </c:pt>
              </c:numCache>
            </c:numRef>
          </c:val>
          <c:extLst>
            <c:ext xmlns:c16="http://schemas.microsoft.com/office/drawing/2014/chart" uri="{C3380CC4-5D6E-409C-BE32-E72D297353CC}">
              <c16:uniqueId val="{00000000-22C4-414D-8EC2-B68B4B982DE6}"/>
            </c:ext>
          </c:extLst>
        </c:ser>
        <c:dLbls>
          <c:showLegendKey val="0"/>
          <c:showVal val="0"/>
          <c:showCatName val="0"/>
          <c:showSerName val="0"/>
          <c:showPercent val="0"/>
          <c:showBubbleSize val="0"/>
        </c:dLbls>
        <c:gapWidth val="219"/>
        <c:overlap val="-27"/>
        <c:axId val="1826017984"/>
        <c:axId val="1826020480"/>
      </c:barChart>
      <c:catAx>
        <c:axId val="182601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26020480"/>
        <c:crosses val="autoZero"/>
        <c:auto val="1"/>
        <c:lblAlgn val="ctr"/>
        <c:lblOffset val="100"/>
        <c:noMultiLvlLbl val="0"/>
      </c:catAx>
      <c:valAx>
        <c:axId val="1826020480"/>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2601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'Earning Forecast'!$A$4</c:f>
              <c:strCache>
                <c:ptCount val="1"/>
                <c:pt idx="0">
                  <c:v>Automotive Sales&amp;Leasing</c:v>
                </c:pt>
              </c:strCache>
            </c:strRef>
          </c:tx>
          <c:spPr>
            <a:solidFill>
              <a:schemeClr val="accent1"/>
            </a:solidFill>
            <a:ln>
              <a:noFill/>
            </a:ln>
            <a:effectLst/>
          </c:spPr>
          <c:invertIfNegative val="0"/>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Forecast'!$B$7:$I$7</c:f>
              <c:numCache>
                <c:formatCode>#,##0_ </c:formatCode>
                <c:ptCount val="8"/>
                <c:pt idx="0">
                  <c:v>1600685</c:v>
                </c:pt>
                <c:pt idx="1">
                  <c:v>2209000</c:v>
                </c:pt>
                <c:pt idx="2">
                  <c:v>4341000</c:v>
                </c:pt>
                <c:pt idx="3">
                  <c:v>4423000</c:v>
                </c:pt>
                <c:pt idx="4">
                  <c:v>6977000</c:v>
                </c:pt>
                <c:pt idx="5">
                  <c:v>13839000</c:v>
                </c:pt>
                <c:pt idx="6">
                  <c:v>20405549.553054743</c:v>
                </c:pt>
                <c:pt idx="7">
                  <c:v>15657082.007335201</c:v>
                </c:pt>
              </c:numCache>
            </c:numRef>
          </c:val>
          <c:extLst>
            <c:ext xmlns:c16="http://schemas.microsoft.com/office/drawing/2014/chart" uri="{C3380CC4-5D6E-409C-BE32-E72D297353CC}">
              <c16:uniqueId val="{00000000-F11A-4543-A624-15350F92B782}"/>
            </c:ext>
          </c:extLst>
        </c:ser>
        <c:ser>
          <c:idx val="1"/>
          <c:order val="1"/>
          <c:tx>
            <c:strRef>
              <c:f>'Earning Forecast'!$A$11</c:f>
              <c:strCache>
                <c:ptCount val="1"/>
                <c:pt idx="0">
                  <c:v>Services &amp; Other</c:v>
                </c:pt>
              </c:strCache>
            </c:strRef>
          </c:tx>
          <c:spPr>
            <a:solidFill>
              <a:schemeClr val="accent2"/>
            </a:solidFill>
            <a:ln>
              <a:noFill/>
            </a:ln>
            <a:effectLst/>
          </c:spPr>
          <c:invertIfNegative val="0"/>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Forecast'!$B$15:$I$15</c:f>
              <c:numCache>
                <c:formatCode>#,##0_ </c:formatCode>
                <c:ptCount val="8"/>
                <c:pt idx="0">
                  <c:v>-4490</c:v>
                </c:pt>
                <c:pt idx="1">
                  <c:v>-227837</c:v>
                </c:pt>
                <c:pt idx="2">
                  <c:v>-489313</c:v>
                </c:pt>
                <c:pt idx="3">
                  <c:v>-544000</c:v>
                </c:pt>
                <c:pt idx="4">
                  <c:v>-365000</c:v>
                </c:pt>
                <c:pt idx="5">
                  <c:v>-104000</c:v>
                </c:pt>
                <c:pt idx="6">
                  <c:v>211000</c:v>
                </c:pt>
                <c:pt idx="7">
                  <c:v>592914.20279789355</c:v>
                </c:pt>
              </c:numCache>
            </c:numRef>
          </c:val>
          <c:extLst>
            <c:ext xmlns:c16="http://schemas.microsoft.com/office/drawing/2014/chart" uri="{C3380CC4-5D6E-409C-BE32-E72D297353CC}">
              <c16:uniqueId val="{00000001-F11A-4543-A624-15350F92B782}"/>
            </c:ext>
          </c:extLst>
        </c:ser>
        <c:ser>
          <c:idx val="2"/>
          <c:order val="2"/>
          <c:tx>
            <c:strRef>
              <c:f>'Earning Forecast'!$A$19</c:f>
              <c:strCache>
                <c:ptCount val="1"/>
                <c:pt idx="0">
                  <c:v>Energy Generation &amp; Storage</c:v>
                </c:pt>
              </c:strCache>
            </c:strRef>
          </c:tx>
          <c:spPr>
            <a:solidFill>
              <a:schemeClr val="accent3"/>
            </a:solidFill>
            <a:ln>
              <a:noFill/>
            </a:ln>
            <a:effectLst/>
          </c:spPr>
          <c:invertIfNegative val="0"/>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Forecast'!$B$22:$I$22</c:f>
              <c:numCache>
                <c:formatCode>#,##0_ </c:formatCode>
                <c:ptCount val="8"/>
                <c:pt idx="0">
                  <c:v>3062</c:v>
                </c:pt>
                <c:pt idx="1">
                  <c:v>242000</c:v>
                </c:pt>
                <c:pt idx="2">
                  <c:v>242000</c:v>
                </c:pt>
                <c:pt idx="3">
                  <c:v>190000</c:v>
                </c:pt>
                <c:pt idx="4">
                  <c:v>18000</c:v>
                </c:pt>
                <c:pt idx="5">
                  <c:v>-128294</c:v>
                </c:pt>
                <c:pt idx="6">
                  <c:v>288000</c:v>
                </c:pt>
                <c:pt idx="7">
                  <c:v>219602.06767695994</c:v>
                </c:pt>
              </c:numCache>
            </c:numRef>
          </c:val>
          <c:extLst>
            <c:ext xmlns:c16="http://schemas.microsoft.com/office/drawing/2014/chart" uri="{C3380CC4-5D6E-409C-BE32-E72D297353CC}">
              <c16:uniqueId val="{00000002-F11A-4543-A624-15350F92B782}"/>
            </c:ext>
          </c:extLst>
        </c:ser>
        <c:dLbls>
          <c:showLegendKey val="0"/>
          <c:showVal val="0"/>
          <c:showCatName val="0"/>
          <c:showSerName val="0"/>
          <c:showPercent val="0"/>
          <c:showBubbleSize val="0"/>
        </c:dLbls>
        <c:gapWidth val="219"/>
        <c:overlap val="-27"/>
        <c:axId val="1826015904"/>
        <c:axId val="1826016320"/>
      </c:barChart>
      <c:catAx>
        <c:axId val="182601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26016320"/>
        <c:crosses val="autoZero"/>
        <c:auto val="1"/>
        <c:lblAlgn val="ctr"/>
        <c:lblOffset val="100"/>
        <c:noMultiLvlLbl val="0"/>
      </c:catAx>
      <c:valAx>
        <c:axId val="1826016320"/>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2601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1B-43D4-ACC2-433EA1B6E4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1B-43D4-ACC2-433EA1B6E4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1B-43D4-ACC2-433EA1B6E4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1B-43D4-ACC2-433EA1B6E47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31B-43D4-ACC2-433EA1B6E47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31B-43D4-ACC2-433EA1B6E47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zh-CN"/>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Charts!$A$33:$A$38</c:f>
              <c:strCache>
                <c:ptCount val="6"/>
                <c:pt idx="0">
                  <c:v>宁德时代</c:v>
                </c:pt>
                <c:pt idx="1">
                  <c:v>比亚迪</c:v>
                </c:pt>
                <c:pt idx="2">
                  <c:v>中航锂电</c:v>
                </c:pt>
                <c:pt idx="3">
                  <c:v>LG新能源</c:v>
                </c:pt>
                <c:pt idx="4">
                  <c:v>国轩高科</c:v>
                </c:pt>
                <c:pt idx="5">
                  <c:v>其他</c:v>
                </c:pt>
              </c:strCache>
            </c:strRef>
          </c:cat>
          <c:val>
            <c:numRef>
              <c:f>Charts!$B$33:$B$38</c:f>
              <c:numCache>
                <c:formatCode>General</c:formatCode>
                <c:ptCount val="6"/>
                <c:pt idx="0">
                  <c:v>46.79</c:v>
                </c:pt>
                <c:pt idx="1">
                  <c:v>14.73</c:v>
                </c:pt>
                <c:pt idx="2">
                  <c:v>5.64</c:v>
                </c:pt>
                <c:pt idx="3">
                  <c:v>5.08</c:v>
                </c:pt>
                <c:pt idx="4">
                  <c:v>4.72</c:v>
                </c:pt>
                <c:pt idx="5" formatCode="0.00">
                  <c:v>15.19753937007872</c:v>
                </c:pt>
              </c:numCache>
            </c:numRef>
          </c:val>
          <c:extLst>
            <c:ext xmlns:c16="http://schemas.microsoft.com/office/drawing/2014/chart" uri="{C3380CC4-5D6E-409C-BE32-E72D297353CC}">
              <c16:uniqueId val="{00000000-5CBA-4892-A358-BA7B8F4B86F2}"/>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Charts!$A$43:$A$52</c:f>
              <c:strCache>
                <c:ptCount val="10"/>
                <c:pt idx="0">
                  <c:v>特斯拉</c:v>
                </c:pt>
                <c:pt idx="1">
                  <c:v>弗迪动力</c:v>
                </c:pt>
                <c:pt idx="2">
                  <c:v>蔚来驱动科技</c:v>
                </c:pt>
                <c:pt idx="3">
                  <c:v>日本电产</c:v>
                </c:pt>
                <c:pt idx="4">
                  <c:v>上海变速器</c:v>
                </c:pt>
                <c:pt idx="5">
                  <c:v>上海电驱动</c:v>
                </c:pt>
                <c:pt idx="6">
                  <c:v>小鹏汽车</c:v>
                </c:pt>
                <c:pt idx="7">
                  <c:v>蜂巢电驱动</c:v>
                </c:pt>
                <c:pt idx="8">
                  <c:v>零跑科技</c:v>
                </c:pt>
                <c:pt idx="9">
                  <c:v>汇川技术</c:v>
                </c:pt>
              </c:strCache>
            </c:strRef>
          </c:cat>
          <c:val>
            <c:numRef>
              <c:f>Charts!$B$43:$B$52</c:f>
              <c:numCache>
                <c:formatCode>General</c:formatCode>
                <c:ptCount val="10"/>
                <c:pt idx="0">
                  <c:v>187922</c:v>
                </c:pt>
                <c:pt idx="1">
                  <c:v>95752</c:v>
                </c:pt>
                <c:pt idx="2">
                  <c:v>82262</c:v>
                </c:pt>
                <c:pt idx="3">
                  <c:v>53737</c:v>
                </c:pt>
                <c:pt idx="4">
                  <c:v>26337</c:v>
                </c:pt>
                <c:pt idx="5">
                  <c:v>22549</c:v>
                </c:pt>
                <c:pt idx="6">
                  <c:v>19848</c:v>
                </c:pt>
                <c:pt idx="7">
                  <c:v>18306</c:v>
                </c:pt>
                <c:pt idx="8">
                  <c:v>13760</c:v>
                </c:pt>
                <c:pt idx="9">
                  <c:v>12447</c:v>
                </c:pt>
              </c:numCache>
            </c:numRef>
          </c:val>
          <c:extLst>
            <c:ext xmlns:c16="http://schemas.microsoft.com/office/drawing/2014/chart" uri="{C3380CC4-5D6E-409C-BE32-E72D297353CC}">
              <c16:uniqueId val="{00000000-0137-4EA6-960D-BE7C5468EB80}"/>
            </c:ext>
          </c:extLst>
        </c:ser>
        <c:dLbls>
          <c:showLegendKey val="0"/>
          <c:showVal val="0"/>
          <c:showCatName val="0"/>
          <c:showSerName val="0"/>
          <c:showPercent val="0"/>
          <c:showBubbleSize val="0"/>
        </c:dLbls>
        <c:gapWidth val="219"/>
        <c:overlap val="-27"/>
        <c:axId val="140117696"/>
        <c:axId val="140118112"/>
      </c:barChart>
      <c:catAx>
        <c:axId val="14011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0118112"/>
        <c:crosses val="autoZero"/>
        <c:auto val="1"/>
        <c:lblAlgn val="ctr"/>
        <c:lblOffset val="100"/>
        <c:noMultiLvlLbl val="0"/>
      </c:catAx>
      <c:valAx>
        <c:axId val="140118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011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EA-495F-93FE-02242AE5A1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EA-495F-93FE-02242AE5A1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D6FB-4459-9E26-6A480E8825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D6FB-4459-9E26-6A480E8825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3EA-495F-93FE-02242AE5A1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3EA-495F-93FE-02242AE5A145}"/>
              </c:ext>
            </c:extLst>
          </c:dPt>
          <c:dLbls>
            <c:dLbl>
              <c:idx val="2"/>
              <c:layout>
                <c:manualLayout>
                  <c:x val="-8.8888888888888892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FB-4459-9E26-6A480E882555}"/>
                </c:ext>
              </c:extLst>
            </c:dLbl>
            <c:dLbl>
              <c:idx val="3"/>
              <c:layout>
                <c:manualLayout>
                  <c:x val="-6.3888888888888884E-2"/>
                  <c:y val="2.6523613350041651E-1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6FB-4459-9E26-6A480E88255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zh-CN"/>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Charts!$A$68:$A$73</c:f>
              <c:strCache>
                <c:ptCount val="6"/>
                <c:pt idx="0">
                  <c:v>英飞凌</c:v>
                </c:pt>
                <c:pt idx="1">
                  <c:v>比亚迪微电子</c:v>
                </c:pt>
                <c:pt idx="2">
                  <c:v>三菱电机</c:v>
                </c:pt>
                <c:pt idx="3">
                  <c:v>赛米控</c:v>
                </c:pt>
                <c:pt idx="4">
                  <c:v>斯达</c:v>
                </c:pt>
                <c:pt idx="5">
                  <c:v>其他</c:v>
                </c:pt>
              </c:strCache>
            </c:strRef>
          </c:cat>
          <c:val>
            <c:numRef>
              <c:f>Charts!$B$68:$B$73</c:f>
              <c:numCache>
                <c:formatCode>General</c:formatCode>
                <c:ptCount val="6"/>
                <c:pt idx="0">
                  <c:v>627503</c:v>
                </c:pt>
                <c:pt idx="1">
                  <c:v>194293</c:v>
                </c:pt>
                <c:pt idx="2">
                  <c:v>56364</c:v>
                </c:pt>
                <c:pt idx="3">
                  <c:v>32717</c:v>
                </c:pt>
                <c:pt idx="4">
                  <c:v>17129</c:v>
                </c:pt>
                <c:pt idx="5">
                  <c:v>52875</c:v>
                </c:pt>
              </c:numCache>
            </c:numRef>
          </c:val>
          <c:extLst>
            <c:ext xmlns:c16="http://schemas.microsoft.com/office/drawing/2014/chart" uri="{C3380CC4-5D6E-409C-BE32-E72D297353CC}">
              <c16:uniqueId val="{00000000-D6FB-4459-9E26-6A480E882555}"/>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'Earning Forecast'!$A$4</c:f>
              <c:strCache>
                <c:ptCount val="1"/>
                <c:pt idx="0">
                  <c:v>Automotive Sales&amp;Leasing</c:v>
                </c:pt>
              </c:strCache>
            </c:strRef>
          </c:tx>
          <c:spPr>
            <a:ln w="28575" cap="rnd">
              <a:solidFill>
                <a:schemeClr val="accent1"/>
              </a:solidFill>
              <a:round/>
            </a:ln>
            <a:effectLst/>
          </c:spPr>
          <c:marker>
            <c:symbol val="none"/>
          </c:marker>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Forecast'!$B$9:$I$9</c:f>
              <c:numCache>
                <c:formatCode>0.0%</c:formatCode>
                <c:ptCount val="8"/>
                <c:pt idx="0">
                  <c:v>0.252</c:v>
                </c:pt>
                <c:pt idx="1">
                  <c:v>0.23</c:v>
                </c:pt>
                <c:pt idx="2">
                  <c:v>0.23</c:v>
                </c:pt>
                <c:pt idx="3">
                  <c:v>0.21</c:v>
                </c:pt>
                <c:pt idx="4">
                  <c:v>0.26</c:v>
                </c:pt>
                <c:pt idx="5">
                  <c:v>0.29300050813008133</c:v>
                </c:pt>
                <c:pt idx="6">
                  <c:v>0.28554405912309666</c:v>
                </c:pt>
                <c:pt idx="7">
                  <c:v>0.18655646668018067</c:v>
                </c:pt>
              </c:numCache>
            </c:numRef>
          </c:val>
          <c:smooth val="0"/>
          <c:extLst>
            <c:ext xmlns:c16="http://schemas.microsoft.com/office/drawing/2014/chart" uri="{C3380CC4-5D6E-409C-BE32-E72D297353CC}">
              <c16:uniqueId val="{00000000-267C-4E03-879C-9515AA0E7C3F}"/>
            </c:ext>
          </c:extLst>
        </c:ser>
        <c:ser>
          <c:idx val="1"/>
          <c:order val="1"/>
          <c:tx>
            <c:strRef>
              <c:f>'Earning Forecast'!$A$11</c:f>
              <c:strCache>
                <c:ptCount val="1"/>
                <c:pt idx="0">
                  <c:v>Services &amp; Other</c:v>
                </c:pt>
              </c:strCache>
            </c:strRef>
          </c:tx>
          <c:spPr>
            <a:ln w="28575" cap="rnd">
              <a:solidFill>
                <a:schemeClr val="accent2"/>
              </a:solidFill>
              <a:round/>
            </a:ln>
            <a:effectLst/>
          </c:spPr>
          <c:marker>
            <c:symbol val="none"/>
          </c:marker>
          <c:val>
            <c:numRef>
              <c:f>'Earning Forecast'!$B$17:$I$17</c:f>
              <c:numCache>
                <c:formatCode>0.0%</c:formatCode>
                <c:ptCount val="8"/>
                <c:pt idx="0">
                  <c:v>-9.5945911293838105E-3</c:v>
                </c:pt>
                <c:pt idx="1">
                  <c:v>-0.22756733271073801</c:v>
                </c:pt>
                <c:pt idx="2">
                  <c:v>-0.35176030037935602</c:v>
                </c:pt>
                <c:pt idx="3">
                  <c:v>-0.24438454627133899</c:v>
                </c:pt>
                <c:pt idx="4">
                  <c:v>-0.158282740676496</c:v>
                </c:pt>
                <c:pt idx="5">
                  <c:v>-2.7354024197790636E-2</c:v>
                </c:pt>
                <c:pt idx="6">
                  <c:v>3.4641274010835658E-2</c:v>
                </c:pt>
                <c:pt idx="7">
                  <c:v>8.4641274010835654E-2</c:v>
                </c:pt>
              </c:numCache>
            </c:numRef>
          </c:val>
          <c:smooth val="0"/>
          <c:extLst>
            <c:ext xmlns:c16="http://schemas.microsoft.com/office/drawing/2014/chart" uri="{C3380CC4-5D6E-409C-BE32-E72D297353CC}">
              <c16:uniqueId val="{00000001-267C-4E03-879C-9515AA0E7C3F}"/>
            </c:ext>
          </c:extLst>
        </c:ser>
        <c:ser>
          <c:idx val="2"/>
          <c:order val="2"/>
          <c:tx>
            <c:strRef>
              <c:f>'Earning Forecast'!$A$19</c:f>
              <c:strCache>
                <c:ptCount val="1"/>
                <c:pt idx="0">
                  <c:v>Energy Generation &amp; Storage</c:v>
                </c:pt>
              </c:strCache>
            </c:strRef>
          </c:tx>
          <c:spPr>
            <a:ln w="28575" cap="rnd">
              <a:solidFill>
                <a:schemeClr val="accent3"/>
              </a:solidFill>
              <a:round/>
            </a:ln>
            <a:effectLst/>
          </c:spPr>
          <c:marker>
            <c:symbol val="none"/>
          </c:marker>
          <c:val>
            <c:numRef>
              <c:f>'Earning Forecast'!$B$24:$I$24</c:f>
              <c:numCache>
                <c:formatCode>0.0%</c:formatCode>
                <c:ptCount val="8"/>
                <c:pt idx="0">
                  <c:v>1.6880381931045099E-2</c:v>
                </c:pt>
                <c:pt idx="1">
                  <c:v>0.21684587813620099</c:v>
                </c:pt>
                <c:pt idx="2">
                  <c:v>0.15562700964630199</c:v>
                </c:pt>
                <c:pt idx="3">
                  <c:v>0.12410189418680601</c:v>
                </c:pt>
                <c:pt idx="4">
                  <c:v>9.0270812437311908E-3</c:v>
                </c:pt>
                <c:pt idx="5">
                  <c:v>-4.5999999999999999E-2</c:v>
                </c:pt>
                <c:pt idx="6">
                  <c:v>7.3676132003069841E-2</c:v>
                </c:pt>
                <c:pt idx="7" formatCode="0%">
                  <c:v>4.020127685840176E-2</c:v>
                </c:pt>
              </c:numCache>
            </c:numRef>
          </c:val>
          <c:smooth val="0"/>
          <c:extLst>
            <c:ext xmlns:c16="http://schemas.microsoft.com/office/drawing/2014/chart" uri="{C3380CC4-5D6E-409C-BE32-E72D297353CC}">
              <c16:uniqueId val="{00000002-267C-4E03-879C-9515AA0E7C3F}"/>
            </c:ext>
          </c:extLst>
        </c:ser>
        <c:dLbls>
          <c:showLegendKey val="0"/>
          <c:showVal val="0"/>
          <c:showCatName val="0"/>
          <c:showSerName val="0"/>
          <c:showPercent val="0"/>
          <c:showBubbleSize val="0"/>
        </c:dLbls>
        <c:smooth val="0"/>
        <c:axId val="1826009664"/>
        <c:axId val="1826007168"/>
      </c:lineChart>
      <c:catAx>
        <c:axId val="182600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26007168"/>
        <c:crosses val="autoZero"/>
        <c:auto val="1"/>
        <c:lblAlgn val="ctr"/>
        <c:lblOffset val="100"/>
        <c:noMultiLvlLbl val="0"/>
      </c:catAx>
      <c:valAx>
        <c:axId val="18260071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2600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二次充电电池及光伏</c:v>
          </c:tx>
          <c:spPr>
            <a:solidFill>
              <a:schemeClr val="accent1"/>
            </a:solidFill>
            <a:ln>
              <a:noFill/>
            </a:ln>
            <a:effectLst/>
          </c:spPr>
          <c:invertIfNegative val="0"/>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Forecast'!$B$98:$I$98</c:f>
              <c:numCache>
                <c:formatCode>#,##0_ </c:formatCode>
                <c:ptCount val="8"/>
                <c:pt idx="0">
                  <c:v>924528.61599999946</c:v>
                </c:pt>
                <c:pt idx="1">
                  <c:v>843147.06200000085</c:v>
                </c:pt>
                <c:pt idx="2">
                  <c:v>953623.00549999997</c:v>
                </c:pt>
                <c:pt idx="3">
                  <c:v>1432700.2923999997</c:v>
                </c:pt>
                <c:pt idx="4">
                  <c:v>2060996.6948000006</c:v>
                </c:pt>
                <c:pt idx="5">
                  <c:v>914122.03959999979</c:v>
                </c:pt>
                <c:pt idx="6">
                  <c:v>2428817.9590817783</c:v>
                </c:pt>
                <c:pt idx="7">
                  <c:v>3362554.2320517371</c:v>
                </c:pt>
              </c:numCache>
            </c:numRef>
          </c:val>
          <c:extLst>
            <c:ext xmlns:c16="http://schemas.microsoft.com/office/drawing/2014/chart" uri="{C3380CC4-5D6E-409C-BE32-E72D297353CC}">
              <c16:uniqueId val="{00000000-D722-4065-BFC0-2B89992D294C}"/>
            </c:ext>
          </c:extLst>
        </c:ser>
        <c:ser>
          <c:idx val="1"/>
          <c:order val="1"/>
          <c:tx>
            <c:v>手机零部件及组装</c:v>
          </c:tx>
          <c:spPr>
            <a:solidFill>
              <a:schemeClr val="accent2"/>
            </a:solidFill>
            <a:ln>
              <a:noFill/>
            </a:ln>
            <a:effectLst/>
          </c:spPr>
          <c:invertIfNegative val="0"/>
          <c:val>
            <c:numRef>
              <c:f>'Earning Forecast'!$B$107:$I$107</c:f>
              <c:numCache>
                <c:formatCode>#,##0_ </c:formatCode>
                <c:ptCount val="8"/>
                <c:pt idx="0">
                  <c:v>3398437.2320000008</c:v>
                </c:pt>
                <c:pt idx="1">
                  <c:v>4966065.0459999964</c:v>
                </c:pt>
                <c:pt idx="2">
                  <c:v>6126647.3404999971</c:v>
                </c:pt>
                <c:pt idx="3">
                  <c:v>5597078.8900000006</c:v>
                </c:pt>
                <c:pt idx="4">
                  <c:v>6036777.5168000013</c:v>
                </c:pt>
                <c:pt idx="5">
                  <c:v>5787045.2749999911</c:v>
                </c:pt>
                <c:pt idx="6">
                  <c:v>5936614.4799999893</c:v>
                </c:pt>
                <c:pt idx="7">
                  <c:v>8312946.0633240333</c:v>
                </c:pt>
              </c:numCache>
            </c:numRef>
          </c:val>
          <c:extLst>
            <c:ext xmlns:c16="http://schemas.microsoft.com/office/drawing/2014/chart" uri="{C3380CC4-5D6E-409C-BE32-E72D297353CC}">
              <c16:uniqueId val="{00000001-D722-4065-BFC0-2B89992D294C}"/>
            </c:ext>
          </c:extLst>
        </c:ser>
        <c:ser>
          <c:idx val="2"/>
          <c:order val="2"/>
          <c:tx>
            <c:v>汽车及相关产品</c:v>
          </c:tx>
          <c:spPr>
            <a:solidFill>
              <a:schemeClr val="accent3"/>
            </a:solidFill>
            <a:ln>
              <a:noFill/>
            </a:ln>
            <a:effectLst/>
          </c:spPr>
          <c:invertIfNegative val="0"/>
          <c:val>
            <c:numRef>
              <c:f>'Earning Forecast'!$B$85:$I$85</c:f>
              <c:numCache>
                <c:formatCode>#,##0_ </c:formatCode>
                <c:ptCount val="8"/>
                <c:pt idx="0">
                  <c:v>14711535.039999999</c:v>
                </c:pt>
                <c:pt idx="1">
                  <c:v>12168219.662</c:v>
                </c:pt>
                <c:pt idx="2">
                  <c:v>13600342.511200003</c:v>
                </c:pt>
                <c:pt idx="3">
                  <c:v>11595835.074799992</c:v>
                </c:pt>
                <c:pt idx="4">
                  <c:v>19148033.923200004</c:v>
                </c:pt>
                <c:pt idx="5">
                  <c:v>16895483.434900001</c:v>
                </c:pt>
                <c:pt idx="6">
                  <c:v>63775712.623418212</c:v>
                </c:pt>
                <c:pt idx="7">
                  <c:v>92019770.703350782</c:v>
                </c:pt>
              </c:numCache>
            </c:numRef>
          </c:val>
          <c:extLst>
            <c:ext xmlns:c16="http://schemas.microsoft.com/office/drawing/2014/chart" uri="{C3380CC4-5D6E-409C-BE32-E72D297353CC}">
              <c16:uniqueId val="{00000002-D722-4065-BFC0-2B89992D294C}"/>
            </c:ext>
          </c:extLst>
        </c:ser>
        <c:dLbls>
          <c:showLegendKey val="0"/>
          <c:showVal val="0"/>
          <c:showCatName val="0"/>
          <c:showSerName val="0"/>
          <c:showPercent val="0"/>
          <c:showBubbleSize val="0"/>
        </c:dLbls>
        <c:gapWidth val="219"/>
        <c:overlap val="-27"/>
        <c:axId val="139511664"/>
        <c:axId val="139512496"/>
      </c:barChart>
      <c:catAx>
        <c:axId val="13951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9512496"/>
        <c:crosses val="autoZero"/>
        <c:auto val="1"/>
        <c:lblAlgn val="ctr"/>
        <c:lblOffset val="100"/>
        <c:noMultiLvlLbl val="0"/>
      </c:catAx>
      <c:valAx>
        <c:axId val="139512496"/>
        <c:scaling>
          <c:orientation val="minMax"/>
        </c:scaling>
        <c:delete val="0"/>
        <c:axPos val="l"/>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951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二次充电电池及光伏</c:v>
          </c:tx>
          <c:spPr>
            <a:ln w="28575" cap="rnd">
              <a:solidFill>
                <a:schemeClr val="accent1"/>
              </a:solidFill>
              <a:round/>
            </a:ln>
            <a:effectLst/>
          </c:spPr>
          <c:marker>
            <c:symbol val="none"/>
          </c:marker>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Forecast'!$B$99:$I$99</c:f>
              <c:numCache>
                <c:formatCode>0.0%</c:formatCode>
                <c:ptCount val="8"/>
                <c:pt idx="0">
                  <c:v>0.1301594761120054</c:v>
                </c:pt>
                <c:pt idx="1">
                  <c:v>9.9873724063272745E-2</c:v>
                </c:pt>
                <c:pt idx="2">
                  <c:v>0.10985082207003673</c:v>
                </c:pt>
                <c:pt idx="3">
                  <c:v>0.14741989940834488</c:v>
                </c:pt>
                <c:pt idx="4">
                  <c:v>0.1760838525124071</c:v>
                </c:pt>
                <c:pt idx="5">
                  <c:v>5.935070425077401E-2</c:v>
                </c:pt>
                <c:pt idx="6">
                  <c:v>0.12761815205717533</c:v>
                </c:pt>
                <c:pt idx="7">
                  <c:v>0.12101756960678549</c:v>
                </c:pt>
              </c:numCache>
            </c:numRef>
          </c:val>
          <c:smooth val="0"/>
          <c:extLst>
            <c:ext xmlns:c16="http://schemas.microsoft.com/office/drawing/2014/chart" uri="{C3380CC4-5D6E-409C-BE32-E72D297353CC}">
              <c16:uniqueId val="{00000000-1E7F-4E1E-88A4-03BE77F2D693}"/>
            </c:ext>
          </c:extLst>
        </c:ser>
        <c:ser>
          <c:idx val="1"/>
          <c:order val="1"/>
          <c:tx>
            <c:v>手机零部件及组装业务</c:v>
          </c:tx>
          <c:spPr>
            <a:ln w="28575" cap="rnd">
              <a:solidFill>
                <a:schemeClr val="accent2"/>
              </a:solidFill>
              <a:round/>
            </a:ln>
            <a:effectLst/>
          </c:spPr>
          <c:marker>
            <c:symbol val="none"/>
          </c:marker>
          <c:val>
            <c:numRef>
              <c:f>'Earning Forecast'!$B$108:$I$108</c:f>
              <c:numCache>
                <c:formatCode>0.0%</c:formatCode>
                <c:ptCount val="8"/>
                <c:pt idx="0">
                  <c:v>8.9238661911594949E-2</c:v>
                </c:pt>
                <c:pt idx="1">
                  <c:v>0.12506488747782926</c:v>
                </c:pt>
                <c:pt idx="2">
                  <c:v>0.14819785057207124</c:v>
                </c:pt>
                <c:pt idx="3">
                  <c:v>0.10656578169002152</c:v>
                </c:pt>
                <c:pt idx="4">
                  <c:v>0.10170721295657138</c:v>
                </c:pt>
                <c:pt idx="5">
                  <c:v>6.764860383585497E-2</c:v>
                </c:pt>
                <c:pt idx="6">
                  <c:v>6.0077489916253696E-2</c:v>
                </c:pt>
                <c:pt idx="7">
                  <c:v>7.6477768902893345E-2</c:v>
                </c:pt>
              </c:numCache>
            </c:numRef>
          </c:val>
          <c:smooth val="0"/>
          <c:extLst>
            <c:ext xmlns:c16="http://schemas.microsoft.com/office/drawing/2014/chart" uri="{C3380CC4-5D6E-409C-BE32-E72D297353CC}">
              <c16:uniqueId val="{00000001-1E7F-4E1E-88A4-03BE77F2D693}"/>
            </c:ext>
          </c:extLst>
        </c:ser>
        <c:ser>
          <c:idx val="2"/>
          <c:order val="2"/>
          <c:tx>
            <c:v>汽车及相关产品</c:v>
          </c:tx>
          <c:spPr>
            <a:ln w="28575" cap="rnd">
              <a:solidFill>
                <a:schemeClr val="accent3"/>
              </a:solidFill>
              <a:round/>
            </a:ln>
            <a:effectLst/>
          </c:spPr>
          <c:marker>
            <c:symbol val="none"/>
          </c:marker>
          <c:val>
            <c:numRef>
              <c:f>'Earning Forecast'!$B$86:$I$86</c:f>
              <c:numCache>
                <c:formatCode>0.0%</c:formatCode>
                <c:ptCount val="8"/>
                <c:pt idx="0">
                  <c:v>0.2673750580039741</c:v>
                </c:pt>
                <c:pt idx="1">
                  <c:v>0.2232677299643169</c:v>
                </c:pt>
                <c:pt idx="2">
                  <c:v>0.18950202117208179</c:v>
                </c:pt>
                <c:pt idx="3">
                  <c:v>0.19476579919014489</c:v>
                </c:pt>
                <c:pt idx="4">
                  <c:v>0.23363259055147215</c:v>
                </c:pt>
                <c:pt idx="5">
                  <c:v>0.15407228654093841</c:v>
                </c:pt>
                <c:pt idx="6">
                  <c:v>0.2086496998221857</c:v>
                </c:pt>
                <c:pt idx="7">
                  <c:v>0.21313142940347451</c:v>
                </c:pt>
              </c:numCache>
            </c:numRef>
          </c:val>
          <c:smooth val="0"/>
          <c:extLst>
            <c:ext xmlns:c16="http://schemas.microsoft.com/office/drawing/2014/chart" uri="{C3380CC4-5D6E-409C-BE32-E72D297353CC}">
              <c16:uniqueId val="{00000002-1E7F-4E1E-88A4-03BE77F2D693}"/>
            </c:ext>
          </c:extLst>
        </c:ser>
        <c:ser>
          <c:idx val="3"/>
          <c:order val="3"/>
          <c:tx>
            <c:v>综合毛利率</c:v>
          </c:tx>
          <c:spPr>
            <a:ln w="28575" cap="rnd">
              <a:solidFill>
                <a:schemeClr val="accent4"/>
              </a:solidFill>
              <a:round/>
            </a:ln>
            <a:effectLst/>
          </c:spPr>
          <c:marker>
            <c:symbol val="none"/>
          </c:marker>
          <c:val>
            <c:numRef>
              <c:f>'Earning Forecast'!$B$125:$I$125</c:f>
              <c:numCache>
                <c:formatCode>0.0%</c:formatCode>
                <c:ptCount val="8"/>
                <c:pt idx="0">
                  <c:v>0.18978843372949075</c:v>
                </c:pt>
                <c:pt idx="1">
                  <c:v>0.17471959787790456</c:v>
                </c:pt>
                <c:pt idx="2">
                  <c:v>0.14834244833923382</c:v>
                </c:pt>
                <c:pt idx="3">
                  <c:v>0.14843383561268234</c:v>
                </c:pt>
                <c:pt idx="4">
                  <c:v>0.17751831533814638</c:v>
                </c:pt>
                <c:pt idx="5">
                  <c:v>0.11184368277890194</c:v>
                </c:pt>
                <c:pt idx="6">
                  <c:v>0.17043133196813048</c:v>
                </c:pt>
                <c:pt idx="7">
                  <c:v>0.18240140607670358</c:v>
                </c:pt>
              </c:numCache>
            </c:numRef>
          </c:val>
          <c:smooth val="0"/>
          <c:extLst>
            <c:ext xmlns:c16="http://schemas.microsoft.com/office/drawing/2014/chart" uri="{C3380CC4-5D6E-409C-BE32-E72D297353CC}">
              <c16:uniqueId val="{00000001-C06E-4630-9BB2-47C7AACD06B5}"/>
            </c:ext>
          </c:extLst>
        </c:ser>
        <c:dLbls>
          <c:showLegendKey val="0"/>
          <c:showVal val="0"/>
          <c:showCatName val="0"/>
          <c:showSerName val="0"/>
          <c:showPercent val="0"/>
          <c:showBubbleSize val="0"/>
        </c:dLbls>
        <c:smooth val="0"/>
        <c:axId val="255265776"/>
        <c:axId val="255287824"/>
      </c:lineChart>
      <c:catAx>
        <c:axId val="25526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55287824"/>
        <c:crosses val="autoZero"/>
        <c:auto val="1"/>
        <c:lblAlgn val="ctr"/>
        <c:lblOffset val="100"/>
        <c:noMultiLvlLbl val="0"/>
      </c:catAx>
      <c:valAx>
        <c:axId val="25528782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5526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营业收入</c:v>
          </c:tx>
          <c:spPr>
            <a:solidFill>
              <a:schemeClr val="accent1"/>
            </a:solidFill>
            <a:ln>
              <a:noFill/>
            </a:ln>
            <a:effectLst/>
          </c:spPr>
          <c:invertIfNegative val="0"/>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Forecast'!$B$121:$I$121</c:f>
              <c:numCache>
                <c:formatCode>#,##0_ </c:formatCode>
                <c:ptCount val="8"/>
                <c:pt idx="0">
                  <c:v>100207703</c:v>
                </c:pt>
                <c:pt idx="1">
                  <c:v>102650614</c:v>
                </c:pt>
                <c:pt idx="2">
                  <c:v>121790925</c:v>
                </c:pt>
                <c:pt idx="3">
                  <c:v>121778117</c:v>
                </c:pt>
                <c:pt idx="4">
                  <c:v>153469184</c:v>
                </c:pt>
                <c:pt idx="5">
                  <c:v>211299918</c:v>
                </c:pt>
                <c:pt idx="6">
                  <c:v>424061535</c:v>
                </c:pt>
                <c:pt idx="7">
                  <c:v>568790312.46836209</c:v>
                </c:pt>
              </c:numCache>
            </c:numRef>
          </c:val>
          <c:extLst>
            <c:ext xmlns:c16="http://schemas.microsoft.com/office/drawing/2014/chart" uri="{C3380CC4-5D6E-409C-BE32-E72D297353CC}">
              <c16:uniqueId val="{00000000-F23D-4405-87D1-743DCA35B428}"/>
            </c:ext>
          </c:extLst>
        </c:ser>
        <c:dLbls>
          <c:showLegendKey val="0"/>
          <c:showVal val="0"/>
          <c:showCatName val="0"/>
          <c:showSerName val="0"/>
          <c:showPercent val="0"/>
          <c:showBubbleSize val="0"/>
        </c:dLbls>
        <c:gapWidth val="219"/>
        <c:axId val="400566128"/>
        <c:axId val="400574032"/>
      </c:barChart>
      <c:lineChart>
        <c:grouping val="standard"/>
        <c:varyColors val="0"/>
        <c:ser>
          <c:idx val="1"/>
          <c:order val="1"/>
          <c:tx>
            <c:v>同比增长</c:v>
          </c:tx>
          <c:spPr>
            <a:ln w="28575" cap="rnd">
              <a:solidFill>
                <a:schemeClr val="accent2"/>
              </a:solidFill>
              <a:round/>
            </a:ln>
            <a:effectLst/>
          </c:spPr>
          <c:marker>
            <c:symbol val="none"/>
          </c:marker>
          <c:cat>
            <c:strRef>
              <c:f>'Earning Forecast'!$C$1:$I$1</c:f>
              <c:strCache>
                <c:ptCount val="7"/>
                <c:pt idx="0">
                  <c:v>2017</c:v>
                </c:pt>
                <c:pt idx="1">
                  <c:v>2018</c:v>
                </c:pt>
                <c:pt idx="2">
                  <c:v>2019</c:v>
                </c:pt>
                <c:pt idx="3">
                  <c:v>2020</c:v>
                </c:pt>
                <c:pt idx="4">
                  <c:v>2021</c:v>
                </c:pt>
                <c:pt idx="5">
                  <c:v>2022</c:v>
                </c:pt>
                <c:pt idx="6">
                  <c:v>2023E</c:v>
                </c:pt>
              </c:strCache>
            </c:strRef>
          </c:cat>
          <c:val>
            <c:numRef>
              <c:f>'Earning Forecast'!$C$122:$I$122</c:f>
              <c:numCache>
                <c:formatCode>0.0%</c:formatCode>
                <c:ptCount val="7"/>
                <c:pt idx="0">
                  <c:v>2.4378475175705905E-2</c:v>
                </c:pt>
                <c:pt idx="1">
                  <c:v>0.18646075512027616</c:v>
                </c:pt>
                <c:pt idx="2">
                  <c:v>-1.0516382891423426E-4</c:v>
                </c:pt>
                <c:pt idx="3">
                  <c:v>0.26023613914148469</c:v>
                </c:pt>
                <c:pt idx="4">
                  <c:v>0.37682310215450165</c:v>
                </c:pt>
                <c:pt idx="5">
                  <c:v>1.0069176505785489</c:v>
                </c:pt>
                <c:pt idx="6">
                  <c:v>0.34129192469286829</c:v>
                </c:pt>
              </c:numCache>
            </c:numRef>
          </c:val>
          <c:smooth val="0"/>
          <c:extLst>
            <c:ext xmlns:c16="http://schemas.microsoft.com/office/drawing/2014/chart" uri="{C3380CC4-5D6E-409C-BE32-E72D297353CC}">
              <c16:uniqueId val="{00000001-F23D-4405-87D1-743DCA35B428}"/>
            </c:ext>
          </c:extLst>
        </c:ser>
        <c:dLbls>
          <c:showLegendKey val="0"/>
          <c:showVal val="0"/>
          <c:showCatName val="0"/>
          <c:showSerName val="0"/>
          <c:showPercent val="0"/>
          <c:showBubbleSize val="0"/>
        </c:dLbls>
        <c:marker val="1"/>
        <c:smooth val="0"/>
        <c:axId val="400535760"/>
        <c:axId val="400547824"/>
      </c:lineChart>
      <c:catAx>
        <c:axId val="40056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0574032"/>
        <c:crosses val="autoZero"/>
        <c:auto val="1"/>
        <c:lblAlgn val="ctr"/>
        <c:lblOffset val="100"/>
        <c:noMultiLvlLbl val="0"/>
      </c:catAx>
      <c:valAx>
        <c:axId val="400574032"/>
        <c:scaling>
          <c:orientation val="minMax"/>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0566128"/>
        <c:crosses val="autoZero"/>
        <c:crossBetween val="between"/>
      </c:valAx>
      <c:valAx>
        <c:axId val="400547824"/>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0535760"/>
        <c:crosses val="max"/>
        <c:crossBetween val="between"/>
      </c:valAx>
      <c:catAx>
        <c:axId val="400535760"/>
        <c:scaling>
          <c:orientation val="minMax"/>
        </c:scaling>
        <c:delete val="1"/>
        <c:axPos val="b"/>
        <c:numFmt formatCode="General" sourceLinked="1"/>
        <c:majorTickMark val="out"/>
        <c:minorTickMark val="none"/>
        <c:tickLblPos val="nextTo"/>
        <c:crossAx val="4005478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83277242990488"/>
          <c:y val="4.9283154121863799E-2"/>
          <c:w val="0.81433691586870971"/>
          <c:h val="0.78847686144495099"/>
        </c:manualLayout>
      </c:layout>
      <c:barChart>
        <c:barDir val="col"/>
        <c:grouping val="stacked"/>
        <c:varyColors val="0"/>
        <c:ser>
          <c:idx val="2"/>
          <c:order val="0"/>
          <c:tx>
            <c:v>汽车及相关产品</c:v>
          </c:tx>
          <c:spPr>
            <a:solidFill>
              <a:schemeClr val="accent3"/>
            </a:solidFill>
            <a:ln>
              <a:noFill/>
            </a:ln>
            <a:effectLst/>
          </c:spPr>
          <c:invertIfNegative val="0"/>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Forecast'!$B$81:$I$81</c:f>
              <c:numCache>
                <c:formatCode>#,##0_ </c:formatCode>
                <c:ptCount val="8"/>
                <c:pt idx="0">
                  <c:v>55022092</c:v>
                </c:pt>
                <c:pt idx="1">
                  <c:v>54500575</c:v>
                </c:pt>
                <c:pt idx="2">
                  <c:v>71768852</c:v>
                </c:pt>
                <c:pt idx="3">
                  <c:v>59537327</c:v>
                </c:pt>
                <c:pt idx="4">
                  <c:v>81957889</c:v>
                </c:pt>
                <c:pt idx="5" formatCode="#,##0">
                  <c:v>109659458</c:v>
                </c:pt>
                <c:pt idx="6" formatCode="#,##0">
                  <c:v>305659258.92905092</c:v>
                </c:pt>
                <c:pt idx="7">
                  <c:v>431751295.24960929</c:v>
                </c:pt>
              </c:numCache>
            </c:numRef>
          </c:val>
          <c:extLst>
            <c:ext xmlns:c16="http://schemas.microsoft.com/office/drawing/2014/chart" uri="{C3380CC4-5D6E-409C-BE32-E72D297353CC}">
              <c16:uniqueId val="{00000002-0BAC-46EE-88B9-45F4A3FE9EAE}"/>
            </c:ext>
          </c:extLst>
        </c:ser>
        <c:ser>
          <c:idx val="1"/>
          <c:order val="1"/>
          <c:tx>
            <c:v>手机零部件及组装</c:v>
          </c:tx>
          <c:spPr>
            <a:solidFill>
              <a:schemeClr val="accent2"/>
            </a:solidFill>
            <a:ln>
              <a:noFill/>
            </a:ln>
            <a:effectLst/>
          </c:spPr>
          <c:invertIfNegative val="0"/>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Forecast'!$B$103:$I$103</c:f>
              <c:numCache>
                <c:formatCode>#,##0_ </c:formatCode>
                <c:ptCount val="8"/>
                <c:pt idx="0">
                  <c:v>38082566</c:v>
                </c:pt>
                <c:pt idx="1">
                  <c:v>39707908</c:v>
                </c:pt>
                <c:pt idx="2">
                  <c:v>41341000</c:v>
                </c:pt>
                <c:pt idx="3">
                  <c:v>52522290</c:v>
                </c:pt>
                <c:pt idx="4">
                  <c:v>59354468</c:v>
                </c:pt>
                <c:pt idx="5" formatCode="#,##0">
                  <c:v>85545672</c:v>
                </c:pt>
                <c:pt idx="6" formatCode="#,##0">
                  <c:v>98815954</c:v>
                </c:pt>
                <c:pt idx="7">
                  <c:v>108697549.40000001</c:v>
                </c:pt>
              </c:numCache>
            </c:numRef>
          </c:val>
          <c:extLst>
            <c:ext xmlns:c16="http://schemas.microsoft.com/office/drawing/2014/chart" uri="{C3380CC4-5D6E-409C-BE32-E72D297353CC}">
              <c16:uniqueId val="{00000001-0BAC-46EE-88B9-45F4A3FE9EAE}"/>
            </c:ext>
          </c:extLst>
        </c:ser>
        <c:ser>
          <c:idx val="0"/>
          <c:order val="2"/>
          <c:tx>
            <c:v>二次充电电池及光伏</c:v>
          </c:tx>
          <c:spPr>
            <a:solidFill>
              <a:schemeClr val="accent1"/>
            </a:solidFill>
            <a:ln>
              <a:noFill/>
            </a:ln>
            <a:effectLst/>
          </c:spPr>
          <c:invertIfNegative val="0"/>
          <c:cat>
            <c:strRef>
              <c:f>'Earning Forecast'!$B$1:$I$1</c:f>
              <c:strCache>
                <c:ptCount val="8"/>
                <c:pt idx="0">
                  <c:v>2016</c:v>
                </c:pt>
                <c:pt idx="1">
                  <c:v>2017</c:v>
                </c:pt>
                <c:pt idx="2">
                  <c:v>2018</c:v>
                </c:pt>
                <c:pt idx="3">
                  <c:v>2019</c:v>
                </c:pt>
                <c:pt idx="4">
                  <c:v>2020</c:v>
                </c:pt>
                <c:pt idx="5">
                  <c:v>2021</c:v>
                </c:pt>
                <c:pt idx="6">
                  <c:v>2022</c:v>
                </c:pt>
                <c:pt idx="7">
                  <c:v>2023E</c:v>
                </c:pt>
              </c:strCache>
            </c:strRef>
          </c:cat>
          <c:val>
            <c:numRef>
              <c:f>'Earning Forecast'!$B$92:$I$92</c:f>
              <c:numCache>
                <c:formatCode>#,##0_ </c:formatCode>
                <c:ptCount val="8"/>
                <c:pt idx="0">
                  <c:v>7103045</c:v>
                </c:pt>
                <c:pt idx="1">
                  <c:v>8442131</c:v>
                </c:pt>
                <c:pt idx="2">
                  <c:v>8681073</c:v>
                </c:pt>
                <c:pt idx="3">
                  <c:v>9718500</c:v>
                </c:pt>
                <c:pt idx="4">
                  <c:v>11704632</c:v>
                </c:pt>
                <c:pt idx="5" formatCode="#,##0">
                  <c:v>15402042</c:v>
                </c:pt>
                <c:pt idx="6">
                  <c:v>19031916.070949078</c:v>
                </c:pt>
                <c:pt idx="7">
                  <c:v>27785669.824451655</c:v>
                </c:pt>
              </c:numCache>
            </c:numRef>
          </c:val>
          <c:extLst>
            <c:ext xmlns:c16="http://schemas.microsoft.com/office/drawing/2014/chart" uri="{C3380CC4-5D6E-409C-BE32-E72D297353CC}">
              <c16:uniqueId val="{00000000-0BAC-46EE-88B9-45F4A3FE9EAE}"/>
            </c:ext>
          </c:extLst>
        </c:ser>
        <c:dLbls>
          <c:showLegendKey val="0"/>
          <c:showVal val="0"/>
          <c:showCatName val="0"/>
          <c:showSerName val="0"/>
          <c:showPercent val="0"/>
          <c:showBubbleSize val="0"/>
        </c:dLbls>
        <c:gapWidth val="150"/>
        <c:overlap val="100"/>
        <c:axId val="2020802159"/>
        <c:axId val="2020805071"/>
      </c:barChart>
      <c:catAx>
        <c:axId val="202080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20805071"/>
        <c:crosses val="autoZero"/>
        <c:auto val="1"/>
        <c:lblAlgn val="ctr"/>
        <c:lblOffset val="100"/>
        <c:noMultiLvlLbl val="0"/>
      </c:catAx>
      <c:valAx>
        <c:axId val="2020805071"/>
        <c:scaling>
          <c:orientation val="minMax"/>
        </c:scaling>
        <c:delete val="0"/>
        <c:axPos val="l"/>
        <c:numFmt formatCode="#,##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20802159"/>
        <c:crosses val="autoZero"/>
        <c:crossBetween val="between"/>
      </c:valAx>
      <c:spPr>
        <a:noFill/>
        <a:ln>
          <a:noFill/>
        </a:ln>
        <a:effectLst/>
      </c:spPr>
    </c:plotArea>
    <c:legend>
      <c:legendPos val="r"/>
      <c:layout>
        <c:manualLayout>
          <c:xMode val="edge"/>
          <c:yMode val="edge"/>
          <c:x val="0.14446124906655575"/>
          <c:y val="0.89735736980245895"/>
          <c:w val="0.67623269074124359"/>
          <c:h val="7.16788345782259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营业收入</c:v>
          </c:tx>
          <c:spPr>
            <a:solidFill>
              <a:schemeClr val="accent1"/>
            </a:solidFill>
            <a:ln>
              <a:noFill/>
            </a:ln>
            <a:effectLst/>
          </c:spPr>
          <c:invertIfNegative val="0"/>
          <c:cat>
            <c:strRef>
              <c:f>'Earning Forecast'!$D$1:$I$1</c:f>
              <c:strCache>
                <c:ptCount val="6"/>
                <c:pt idx="0">
                  <c:v>2018</c:v>
                </c:pt>
                <c:pt idx="1">
                  <c:v>2019</c:v>
                </c:pt>
                <c:pt idx="2">
                  <c:v>2020</c:v>
                </c:pt>
                <c:pt idx="3">
                  <c:v>2021</c:v>
                </c:pt>
                <c:pt idx="4">
                  <c:v>2022</c:v>
                </c:pt>
                <c:pt idx="5">
                  <c:v>2023E</c:v>
                </c:pt>
              </c:strCache>
            </c:strRef>
          </c:cat>
          <c:val>
            <c:numRef>
              <c:f>'Earning Forecast'!$D$179:$I$179</c:f>
              <c:numCache>
                <c:formatCode>#,##0</c:formatCode>
                <c:ptCount val="6"/>
                <c:pt idx="0">
                  <c:v>720117</c:v>
                </c:pt>
                <c:pt idx="1">
                  <c:v>1123978</c:v>
                </c:pt>
                <c:pt idx="2">
                  <c:v>2491637</c:v>
                </c:pt>
                <c:pt idx="3">
                  <c:v>5670593</c:v>
                </c:pt>
                <c:pt idx="4">
                  <c:v>7143270</c:v>
                </c:pt>
                <c:pt idx="5">
                  <c:v>10315111.718103144</c:v>
                </c:pt>
              </c:numCache>
            </c:numRef>
          </c:val>
          <c:extLst>
            <c:ext xmlns:c16="http://schemas.microsoft.com/office/drawing/2014/chart" uri="{C3380CC4-5D6E-409C-BE32-E72D297353CC}">
              <c16:uniqueId val="{00000000-13CA-4485-8C18-CF1DE8696E17}"/>
            </c:ext>
          </c:extLst>
        </c:ser>
        <c:dLbls>
          <c:showLegendKey val="0"/>
          <c:showVal val="0"/>
          <c:showCatName val="0"/>
          <c:showSerName val="0"/>
          <c:showPercent val="0"/>
          <c:showBubbleSize val="0"/>
        </c:dLbls>
        <c:gapWidth val="219"/>
        <c:axId val="400566128"/>
        <c:axId val="400574032"/>
      </c:barChart>
      <c:lineChart>
        <c:grouping val="standard"/>
        <c:varyColors val="0"/>
        <c:ser>
          <c:idx val="1"/>
          <c:order val="1"/>
          <c:tx>
            <c:v>同比增长</c:v>
          </c:tx>
          <c:spPr>
            <a:ln w="28575" cap="rnd">
              <a:solidFill>
                <a:schemeClr val="accent2"/>
              </a:solidFill>
              <a:round/>
            </a:ln>
            <a:effectLst/>
          </c:spPr>
          <c:marker>
            <c:symbol val="none"/>
          </c:marker>
          <c:cat>
            <c:strRef>
              <c:f>'Earning Forecast'!$E$1:$I$1</c:f>
              <c:strCache>
                <c:ptCount val="5"/>
                <c:pt idx="0">
                  <c:v>2019</c:v>
                </c:pt>
                <c:pt idx="1">
                  <c:v>2020</c:v>
                </c:pt>
                <c:pt idx="2">
                  <c:v>2021</c:v>
                </c:pt>
                <c:pt idx="3">
                  <c:v>2022</c:v>
                </c:pt>
                <c:pt idx="4">
                  <c:v>2023E</c:v>
                </c:pt>
              </c:strCache>
            </c:strRef>
          </c:cat>
          <c:val>
            <c:numRef>
              <c:f>'Earning Forecast'!$E$180:$I$180</c:f>
              <c:numCache>
                <c:formatCode>0.0%</c:formatCode>
                <c:ptCount val="5"/>
                <c:pt idx="0">
                  <c:v>0.56082692118086364</c:v>
                </c:pt>
                <c:pt idx="1">
                  <c:v>1.2168022861657435</c:v>
                </c:pt>
                <c:pt idx="2">
                  <c:v>1.2758503746733574</c:v>
                </c:pt>
                <c:pt idx="3">
                  <c:v>0.25970423199125725</c:v>
                </c:pt>
                <c:pt idx="4">
                  <c:v>0.44403217547469787</c:v>
                </c:pt>
              </c:numCache>
            </c:numRef>
          </c:val>
          <c:smooth val="0"/>
          <c:extLst>
            <c:ext xmlns:c16="http://schemas.microsoft.com/office/drawing/2014/chart" uri="{C3380CC4-5D6E-409C-BE32-E72D297353CC}">
              <c16:uniqueId val="{00000001-13CA-4485-8C18-CF1DE8696E17}"/>
            </c:ext>
          </c:extLst>
        </c:ser>
        <c:dLbls>
          <c:showLegendKey val="0"/>
          <c:showVal val="0"/>
          <c:showCatName val="0"/>
          <c:showSerName val="0"/>
          <c:showPercent val="0"/>
          <c:showBubbleSize val="0"/>
        </c:dLbls>
        <c:marker val="1"/>
        <c:smooth val="0"/>
        <c:axId val="400535760"/>
        <c:axId val="400547824"/>
      </c:lineChart>
      <c:catAx>
        <c:axId val="40056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0574032"/>
        <c:crosses val="autoZero"/>
        <c:auto val="1"/>
        <c:lblAlgn val="ctr"/>
        <c:lblOffset val="100"/>
        <c:noMultiLvlLbl val="0"/>
      </c:catAx>
      <c:valAx>
        <c:axId val="400574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0566128"/>
        <c:crosses val="autoZero"/>
        <c:crossBetween val="between"/>
      </c:valAx>
      <c:valAx>
        <c:axId val="400547824"/>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0535760"/>
        <c:crosses val="max"/>
        <c:crossBetween val="between"/>
      </c:valAx>
      <c:catAx>
        <c:axId val="400535760"/>
        <c:scaling>
          <c:orientation val="minMax"/>
        </c:scaling>
        <c:delete val="1"/>
        <c:axPos val="b"/>
        <c:numFmt formatCode="General" sourceLinked="1"/>
        <c:majorTickMark val="out"/>
        <c:minorTickMark val="none"/>
        <c:tickLblPos val="nextTo"/>
        <c:crossAx val="4005478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83277242990488"/>
          <c:y val="4.9283154121863799E-2"/>
          <c:w val="0.81433691586870971"/>
          <c:h val="0.78847686144495099"/>
        </c:manualLayout>
      </c:layout>
      <c:barChart>
        <c:barDir val="col"/>
        <c:grouping val="stacked"/>
        <c:varyColors val="0"/>
        <c:ser>
          <c:idx val="0"/>
          <c:order val="0"/>
          <c:tx>
            <c:v>汽车销售</c:v>
          </c:tx>
          <c:spPr>
            <a:solidFill>
              <a:schemeClr val="accent1"/>
            </a:solidFill>
            <a:ln>
              <a:noFill/>
            </a:ln>
            <a:effectLst/>
          </c:spPr>
          <c:invertIfNegative val="0"/>
          <c:cat>
            <c:strRef>
              <c:f>'Earning Forecast'!$D$1:$I$1</c:f>
              <c:strCache>
                <c:ptCount val="6"/>
                <c:pt idx="0">
                  <c:v>2018</c:v>
                </c:pt>
                <c:pt idx="1">
                  <c:v>2019</c:v>
                </c:pt>
                <c:pt idx="2">
                  <c:v>2020</c:v>
                </c:pt>
                <c:pt idx="3">
                  <c:v>2021</c:v>
                </c:pt>
                <c:pt idx="4">
                  <c:v>2022</c:v>
                </c:pt>
                <c:pt idx="5">
                  <c:v>2023E</c:v>
                </c:pt>
              </c:strCache>
            </c:strRef>
          </c:cat>
          <c:val>
            <c:numRef>
              <c:f>'Earning Forecast'!$D$162:$I$162</c:f>
              <c:numCache>
                <c:formatCode>#,##0</c:formatCode>
                <c:ptCount val="6"/>
                <c:pt idx="0">
                  <c:v>705762</c:v>
                </c:pt>
                <c:pt idx="1">
                  <c:v>1058220</c:v>
                </c:pt>
                <c:pt idx="2">
                  <c:v>2326823</c:v>
                </c:pt>
                <c:pt idx="3">
                  <c:v>5205056</c:v>
                </c:pt>
                <c:pt idx="4">
                  <c:v>6597834</c:v>
                </c:pt>
                <c:pt idx="5">
                  <c:v>9397288.436553821</c:v>
                </c:pt>
              </c:numCache>
            </c:numRef>
          </c:val>
          <c:extLst>
            <c:ext xmlns:c16="http://schemas.microsoft.com/office/drawing/2014/chart" uri="{C3380CC4-5D6E-409C-BE32-E72D297353CC}">
              <c16:uniqueId val="{00000004-DC06-434F-BB87-C27426220B49}"/>
            </c:ext>
          </c:extLst>
        </c:ser>
        <c:ser>
          <c:idx val="1"/>
          <c:order val="1"/>
          <c:tx>
            <c:v>其他业务</c:v>
          </c:tx>
          <c:spPr>
            <a:solidFill>
              <a:schemeClr val="accent2"/>
            </a:solidFill>
            <a:ln>
              <a:noFill/>
            </a:ln>
            <a:effectLst/>
          </c:spPr>
          <c:invertIfNegative val="0"/>
          <c:val>
            <c:numRef>
              <c:f>'Earning Forecast'!$D$170:$I$170</c:f>
              <c:numCache>
                <c:formatCode>#,##0</c:formatCode>
                <c:ptCount val="6"/>
                <c:pt idx="0">
                  <c:v>14355</c:v>
                </c:pt>
                <c:pt idx="1">
                  <c:v>65758</c:v>
                </c:pt>
                <c:pt idx="2">
                  <c:v>164814</c:v>
                </c:pt>
                <c:pt idx="3">
                  <c:v>465537</c:v>
                </c:pt>
                <c:pt idx="4">
                  <c:v>545436</c:v>
                </c:pt>
                <c:pt idx="5">
                  <c:v>917823.28154932277</c:v>
                </c:pt>
              </c:numCache>
            </c:numRef>
          </c:val>
          <c:extLst>
            <c:ext xmlns:c16="http://schemas.microsoft.com/office/drawing/2014/chart" uri="{C3380CC4-5D6E-409C-BE32-E72D297353CC}">
              <c16:uniqueId val="{00000005-DC06-434F-BB87-C27426220B49}"/>
            </c:ext>
          </c:extLst>
        </c:ser>
        <c:dLbls>
          <c:showLegendKey val="0"/>
          <c:showVal val="0"/>
          <c:showCatName val="0"/>
          <c:showSerName val="0"/>
          <c:showPercent val="0"/>
          <c:showBubbleSize val="0"/>
        </c:dLbls>
        <c:gapWidth val="150"/>
        <c:overlap val="100"/>
        <c:axId val="2020802159"/>
        <c:axId val="2020805071"/>
      </c:barChart>
      <c:catAx>
        <c:axId val="202080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20805071"/>
        <c:crosses val="autoZero"/>
        <c:auto val="1"/>
        <c:lblAlgn val="ctr"/>
        <c:lblOffset val="100"/>
        <c:noMultiLvlLbl val="0"/>
      </c:catAx>
      <c:valAx>
        <c:axId val="20208050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20802159"/>
        <c:crosses val="autoZero"/>
        <c:crossBetween val="between"/>
      </c:valAx>
      <c:spPr>
        <a:noFill/>
        <a:ln>
          <a:noFill/>
        </a:ln>
        <a:effectLst/>
      </c:spPr>
    </c:plotArea>
    <c:legend>
      <c:legendPos val="r"/>
      <c:layout>
        <c:manualLayout>
          <c:xMode val="edge"/>
          <c:yMode val="edge"/>
          <c:x val="0.14446124906655575"/>
          <c:y val="0.92069998603115788"/>
          <c:w val="0.76346572676778757"/>
          <c:h val="7.9300013968842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4414938027298"/>
          <c:y val="5.1935788479697827E-2"/>
          <c:w val="0.78541531166249212"/>
          <c:h val="0.83947119924457037"/>
        </c:manualLayout>
      </c:layout>
      <c:barChart>
        <c:barDir val="col"/>
        <c:grouping val="clustered"/>
        <c:varyColors val="0"/>
        <c:ser>
          <c:idx val="0"/>
          <c:order val="0"/>
          <c:tx>
            <c:v>汽车销售</c:v>
          </c:tx>
          <c:spPr>
            <a:solidFill>
              <a:schemeClr val="accent1"/>
            </a:solidFill>
            <a:ln>
              <a:noFill/>
            </a:ln>
            <a:effectLst/>
          </c:spPr>
          <c:invertIfNegative val="0"/>
          <c:cat>
            <c:strRef>
              <c:f>'Earning Forecast'!$D$1:$I$1</c:f>
              <c:strCache>
                <c:ptCount val="6"/>
                <c:pt idx="0">
                  <c:v>2018</c:v>
                </c:pt>
                <c:pt idx="1">
                  <c:v>2019</c:v>
                </c:pt>
                <c:pt idx="2">
                  <c:v>2020</c:v>
                </c:pt>
                <c:pt idx="3">
                  <c:v>2021</c:v>
                </c:pt>
                <c:pt idx="4">
                  <c:v>2022</c:v>
                </c:pt>
                <c:pt idx="5">
                  <c:v>2023E</c:v>
                </c:pt>
              </c:strCache>
            </c:strRef>
          </c:cat>
          <c:val>
            <c:numRef>
              <c:f>'Earning Forecast'!$D$165:$I$165</c:f>
              <c:numCache>
                <c:formatCode>#,##0</c:formatCode>
                <c:ptCount val="6"/>
                <c:pt idx="0">
                  <c:v>-11296</c:v>
                </c:pt>
                <c:pt idx="1">
                  <c:v>-104703</c:v>
                </c:pt>
                <c:pt idx="2">
                  <c:v>295287</c:v>
                </c:pt>
                <c:pt idx="3">
                  <c:v>1044016</c:v>
                </c:pt>
                <c:pt idx="4">
                  <c:v>903958</c:v>
                </c:pt>
                <c:pt idx="5">
                  <c:v>1381479.3691498355</c:v>
                </c:pt>
              </c:numCache>
            </c:numRef>
          </c:val>
          <c:extLst>
            <c:ext xmlns:c16="http://schemas.microsoft.com/office/drawing/2014/chart" uri="{C3380CC4-5D6E-409C-BE32-E72D297353CC}">
              <c16:uniqueId val="{00000004-C210-4C91-99C4-8C0AD0FD5F91}"/>
            </c:ext>
          </c:extLst>
        </c:ser>
        <c:ser>
          <c:idx val="1"/>
          <c:order val="1"/>
          <c:tx>
            <c:v>其他服务</c:v>
          </c:tx>
          <c:spPr>
            <a:solidFill>
              <a:schemeClr val="accent2"/>
            </a:solidFill>
            <a:ln>
              <a:noFill/>
            </a:ln>
            <a:effectLst/>
          </c:spPr>
          <c:invertIfNegative val="0"/>
          <c:val>
            <c:numRef>
              <c:f>'Earning Forecast'!$D$174:$I$174</c:f>
              <c:numCache>
                <c:formatCode>#,##0</c:formatCode>
                <c:ptCount val="6"/>
                <c:pt idx="0">
                  <c:v>-25920</c:v>
                </c:pt>
                <c:pt idx="1">
                  <c:v>-67496</c:v>
                </c:pt>
                <c:pt idx="2">
                  <c:v>-8174</c:v>
                </c:pt>
                <c:pt idx="3">
                  <c:v>26415</c:v>
                </c:pt>
                <c:pt idx="4">
                  <c:v>-158149</c:v>
                </c:pt>
                <c:pt idx="5">
                  <c:v>-266122.57744949701</c:v>
                </c:pt>
              </c:numCache>
            </c:numRef>
          </c:val>
          <c:extLst>
            <c:ext xmlns:c16="http://schemas.microsoft.com/office/drawing/2014/chart" uri="{C3380CC4-5D6E-409C-BE32-E72D297353CC}">
              <c16:uniqueId val="{00000005-C210-4C91-99C4-8C0AD0FD5F91}"/>
            </c:ext>
          </c:extLst>
        </c:ser>
        <c:dLbls>
          <c:showLegendKey val="0"/>
          <c:showVal val="0"/>
          <c:showCatName val="0"/>
          <c:showSerName val="0"/>
          <c:showPercent val="0"/>
          <c:showBubbleSize val="0"/>
        </c:dLbls>
        <c:gapWidth val="219"/>
        <c:overlap val="-27"/>
        <c:axId val="139511664"/>
        <c:axId val="139512496"/>
      </c:barChart>
      <c:catAx>
        <c:axId val="13951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9512496"/>
        <c:crosses val="autoZero"/>
        <c:auto val="1"/>
        <c:lblAlgn val="ctr"/>
        <c:lblOffset val="100"/>
        <c:noMultiLvlLbl val="0"/>
      </c:catAx>
      <c:valAx>
        <c:axId val="1395124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9511664"/>
        <c:crosses val="autoZero"/>
        <c:crossBetween val="between"/>
      </c:valAx>
      <c:spPr>
        <a:noFill/>
        <a:ln>
          <a:noFill/>
        </a:ln>
        <a:effectLst/>
      </c:spPr>
    </c:plotArea>
    <c:legend>
      <c:legendPos val="r"/>
      <c:layout>
        <c:manualLayout>
          <c:xMode val="edge"/>
          <c:yMode val="edge"/>
          <c:x val="0.19189649843857393"/>
          <c:y val="0.91135449428594795"/>
          <c:w val="0.62064011550401543"/>
          <c:h val="6.9642286215639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74781277340333"/>
          <c:y val="5.0925925925925923E-2"/>
          <c:w val="0.84569663167104114"/>
          <c:h val="0.79629629629629628"/>
        </c:manualLayout>
      </c:layout>
      <c:lineChart>
        <c:grouping val="standard"/>
        <c:varyColors val="0"/>
        <c:ser>
          <c:idx val="0"/>
          <c:order val="0"/>
          <c:tx>
            <c:v>汽车销售</c:v>
          </c:tx>
          <c:spPr>
            <a:ln w="28575" cap="rnd">
              <a:solidFill>
                <a:schemeClr val="accent1"/>
              </a:solidFill>
              <a:round/>
            </a:ln>
            <a:effectLst/>
          </c:spPr>
          <c:marker>
            <c:symbol val="none"/>
          </c:marker>
          <c:cat>
            <c:strRef>
              <c:f>'Earning Forecast'!$D$1:$I$1</c:f>
              <c:strCache>
                <c:ptCount val="6"/>
                <c:pt idx="0">
                  <c:v>2018</c:v>
                </c:pt>
                <c:pt idx="1">
                  <c:v>2019</c:v>
                </c:pt>
                <c:pt idx="2">
                  <c:v>2020</c:v>
                </c:pt>
                <c:pt idx="3">
                  <c:v>2021</c:v>
                </c:pt>
                <c:pt idx="4">
                  <c:v>2022</c:v>
                </c:pt>
                <c:pt idx="5">
                  <c:v>2023E</c:v>
                </c:pt>
              </c:strCache>
            </c:strRef>
          </c:cat>
          <c:val>
            <c:numRef>
              <c:f>'Earning Forecast'!$D$166:$I$166</c:f>
              <c:numCache>
                <c:formatCode>0.0%</c:formatCode>
                <c:ptCount val="6"/>
                <c:pt idx="0">
                  <c:v>-1.6005395586614183E-2</c:v>
                </c:pt>
                <c:pt idx="1">
                  <c:v>-9.8942563928105687E-2</c:v>
                </c:pt>
                <c:pt idx="2">
                  <c:v>0.12690565633913709</c:v>
                </c:pt>
                <c:pt idx="3">
                  <c:v>0.20057728485534065</c:v>
                </c:pt>
                <c:pt idx="4">
                  <c:v>0.13700829696533742</c:v>
                </c:pt>
                <c:pt idx="5">
                  <c:v>0.14700829696533743</c:v>
                </c:pt>
              </c:numCache>
            </c:numRef>
          </c:val>
          <c:smooth val="0"/>
          <c:extLst>
            <c:ext xmlns:c16="http://schemas.microsoft.com/office/drawing/2014/chart" uri="{C3380CC4-5D6E-409C-BE32-E72D297353CC}">
              <c16:uniqueId val="{00000005-7B19-47C0-B4AE-118798E3061C}"/>
            </c:ext>
          </c:extLst>
        </c:ser>
        <c:ser>
          <c:idx val="1"/>
          <c:order val="1"/>
          <c:tx>
            <c:v>其他服务</c:v>
          </c:tx>
          <c:spPr>
            <a:ln w="28575" cap="rnd">
              <a:solidFill>
                <a:schemeClr val="accent2"/>
              </a:solidFill>
              <a:round/>
            </a:ln>
            <a:effectLst/>
          </c:spPr>
          <c:marker>
            <c:symbol val="none"/>
          </c:marker>
          <c:val>
            <c:numRef>
              <c:f>'Earning Forecast'!$D$175:$I$175</c:f>
              <c:numCache>
                <c:formatCode>0.0%</c:formatCode>
                <c:ptCount val="6"/>
                <c:pt idx="0">
                  <c:v>-1.8056426332288402</c:v>
                </c:pt>
                <c:pt idx="1">
                  <c:v>-1.0264302442288391</c:v>
                </c:pt>
                <c:pt idx="2">
                  <c:v>-4.9595301370029245E-2</c:v>
                </c:pt>
                <c:pt idx="3">
                  <c:v>5.6740924996294601E-2</c:v>
                </c:pt>
                <c:pt idx="4">
                  <c:v>-0.2899496916228485</c:v>
                </c:pt>
                <c:pt idx="5">
                  <c:v>-0.2899496916228485</c:v>
                </c:pt>
              </c:numCache>
            </c:numRef>
          </c:val>
          <c:smooth val="0"/>
          <c:extLst>
            <c:ext xmlns:c16="http://schemas.microsoft.com/office/drawing/2014/chart" uri="{C3380CC4-5D6E-409C-BE32-E72D297353CC}">
              <c16:uniqueId val="{00000006-7B19-47C0-B4AE-118798E3061C}"/>
            </c:ext>
          </c:extLst>
        </c:ser>
        <c:ser>
          <c:idx val="2"/>
          <c:order val="2"/>
          <c:tx>
            <c:v>综合毛利率</c:v>
          </c:tx>
          <c:spPr>
            <a:ln w="28575" cap="rnd">
              <a:solidFill>
                <a:schemeClr val="accent3"/>
              </a:solidFill>
              <a:round/>
            </a:ln>
            <a:effectLst/>
          </c:spPr>
          <c:marker>
            <c:symbol val="none"/>
          </c:marker>
          <c:val>
            <c:numRef>
              <c:f>'Earning Forecast'!$D$183:$I$183</c:f>
              <c:numCache>
                <c:formatCode>0.0%</c:formatCode>
                <c:ptCount val="6"/>
                <c:pt idx="0">
                  <c:v>-5.1680490809132403E-2</c:v>
                </c:pt>
                <c:pt idx="1">
                  <c:v>-0.15320495596888908</c:v>
                </c:pt>
                <c:pt idx="2">
                  <c:v>0.11523066963606657</c:v>
                </c:pt>
                <c:pt idx="3">
                  <c:v>0.1887687936693746</c:v>
                </c:pt>
                <c:pt idx="4">
                  <c:v>0.10440722526237983</c:v>
                </c:pt>
                <c:pt idx="5">
                  <c:v>0.10812842576807714</c:v>
                </c:pt>
              </c:numCache>
            </c:numRef>
          </c:val>
          <c:smooth val="0"/>
          <c:extLst>
            <c:ext xmlns:c16="http://schemas.microsoft.com/office/drawing/2014/chart" uri="{C3380CC4-5D6E-409C-BE32-E72D297353CC}">
              <c16:uniqueId val="{00000007-7B19-47C0-B4AE-118798E3061C}"/>
            </c:ext>
          </c:extLst>
        </c:ser>
        <c:dLbls>
          <c:showLegendKey val="0"/>
          <c:showVal val="0"/>
          <c:showCatName val="0"/>
          <c:showSerName val="0"/>
          <c:showPercent val="0"/>
          <c:showBubbleSize val="0"/>
        </c:dLbls>
        <c:smooth val="0"/>
        <c:axId val="255265776"/>
        <c:axId val="255287824"/>
      </c:lineChart>
      <c:catAx>
        <c:axId val="25526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55287824"/>
        <c:crosses val="autoZero"/>
        <c:auto val="1"/>
        <c:lblAlgn val="ctr"/>
        <c:lblOffset val="100"/>
        <c:noMultiLvlLbl val="0"/>
      </c:catAx>
      <c:valAx>
        <c:axId val="25528782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55265776"/>
        <c:crosses val="autoZero"/>
        <c:crossBetween val="between"/>
      </c:valAx>
      <c:spPr>
        <a:noFill/>
        <a:ln>
          <a:noFill/>
        </a:ln>
        <a:effectLst/>
      </c:spPr>
    </c:plotArea>
    <c:legend>
      <c:legendPos val="r"/>
      <c:layout>
        <c:manualLayout>
          <c:xMode val="edge"/>
          <c:yMode val="edge"/>
          <c:x val="0.21944444444444447"/>
          <c:y val="0.87818205016039663"/>
          <c:w val="0.56666666666666665"/>
          <c:h val="9.08581219014289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产能利用率</c:v>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'Capacity Detail'!$AI$2:$AP$2</c:f>
              <c:strCache>
                <c:ptCount val="8"/>
                <c:pt idx="0">
                  <c:v>2016</c:v>
                </c:pt>
                <c:pt idx="1">
                  <c:v>2017</c:v>
                </c:pt>
                <c:pt idx="2">
                  <c:v>2018</c:v>
                </c:pt>
                <c:pt idx="3">
                  <c:v>2019</c:v>
                </c:pt>
                <c:pt idx="4">
                  <c:v>2020</c:v>
                </c:pt>
                <c:pt idx="5">
                  <c:v>2021</c:v>
                </c:pt>
                <c:pt idx="6">
                  <c:v>2022</c:v>
                </c:pt>
                <c:pt idx="7">
                  <c:v>2023E</c:v>
                </c:pt>
              </c:strCache>
            </c:strRef>
          </c:cat>
          <c:val>
            <c:numRef>
              <c:f>'Capacity Detail'!$AI$7:$AP$7</c:f>
              <c:numCache>
                <c:formatCode>0.0%</c:formatCode>
                <c:ptCount val="8"/>
                <c:pt idx="0">
                  <c:v>0.55959999999999999</c:v>
                </c:pt>
                <c:pt idx="1">
                  <c:v>0.6735133333333333</c:v>
                </c:pt>
                <c:pt idx="2">
                  <c:v>0.7148633333333333</c:v>
                </c:pt>
                <c:pt idx="3">
                  <c:v>0.74537142857142857</c:v>
                </c:pt>
                <c:pt idx="4">
                  <c:v>0.65183759590792834</c:v>
                </c:pt>
                <c:pt idx="5">
                  <c:v>0.78186722689075627</c:v>
                </c:pt>
                <c:pt idx="6">
                  <c:v>0.70263157894736838</c:v>
                </c:pt>
                <c:pt idx="7">
                  <c:v>0.77539568345323751</c:v>
                </c:pt>
              </c:numCache>
            </c:numRef>
          </c:val>
          <c:smooth val="0"/>
          <c:extLst>
            <c:ext xmlns:c16="http://schemas.microsoft.com/office/drawing/2014/chart" uri="{C3380CC4-5D6E-409C-BE32-E72D297353CC}">
              <c16:uniqueId val="{00000000-DFB1-47B6-A1E8-69E04D2D6AD7}"/>
            </c:ext>
          </c:extLst>
        </c:ser>
        <c:dLbls>
          <c:showLegendKey val="0"/>
          <c:showVal val="0"/>
          <c:showCatName val="0"/>
          <c:showSerName val="0"/>
          <c:showPercent val="0"/>
          <c:showBubbleSize val="0"/>
        </c:dLbls>
        <c:smooth val="0"/>
        <c:axId val="682847280"/>
        <c:axId val="682840208"/>
      </c:lineChart>
      <c:catAx>
        <c:axId val="68284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840208"/>
        <c:crosses val="autoZero"/>
        <c:auto val="1"/>
        <c:lblAlgn val="ctr"/>
        <c:lblOffset val="100"/>
        <c:noMultiLvlLbl val="0"/>
      </c:catAx>
      <c:valAx>
        <c:axId val="682840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8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A-class Sedan Market Share Changes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Charts!$A$197</c:f>
              <c:strCache>
                <c:ptCount val="1"/>
                <c:pt idx="0">
                  <c:v>Qin Plus DMi</c:v>
                </c:pt>
              </c:strCache>
            </c:strRef>
          </c:tx>
          <c:spPr>
            <a:ln w="28575" cap="rnd">
              <a:solidFill>
                <a:schemeClr val="accent1"/>
              </a:solidFill>
              <a:round/>
            </a:ln>
            <a:effectLst/>
          </c:spPr>
          <c:marker>
            <c:symbol val="none"/>
          </c:marker>
          <c:cat>
            <c:strRef>
              <c:f>Charts!$B$196:$D$196</c:f>
              <c:strCache>
                <c:ptCount val="3"/>
                <c:pt idx="0">
                  <c:v>2020 share</c:v>
                </c:pt>
                <c:pt idx="1">
                  <c:v>2021 share</c:v>
                </c:pt>
                <c:pt idx="2">
                  <c:v>2022 M6 share</c:v>
                </c:pt>
              </c:strCache>
            </c:strRef>
          </c:cat>
          <c:val>
            <c:numRef>
              <c:f>Charts!$B$197:$D$197</c:f>
              <c:numCache>
                <c:formatCode>0.00%</c:formatCode>
                <c:ptCount val="3"/>
                <c:pt idx="0">
                  <c:v>0</c:v>
                </c:pt>
                <c:pt idx="1">
                  <c:v>2.0825592070544768E-2</c:v>
                </c:pt>
                <c:pt idx="2">
                  <c:v>3.1727258624158858E-2</c:v>
                </c:pt>
              </c:numCache>
            </c:numRef>
          </c:val>
          <c:smooth val="0"/>
          <c:extLst>
            <c:ext xmlns:c16="http://schemas.microsoft.com/office/drawing/2014/chart" uri="{C3380CC4-5D6E-409C-BE32-E72D297353CC}">
              <c16:uniqueId val="{00000001-0E37-4A8B-9C33-9D2997EF3430}"/>
            </c:ext>
          </c:extLst>
        </c:ser>
        <c:ser>
          <c:idx val="1"/>
          <c:order val="1"/>
          <c:tx>
            <c:strRef>
              <c:f>Charts!$A$198</c:f>
              <c:strCache>
                <c:ptCount val="1"/>
                <c:pt idx="0">
                  <c:v>Corolla</c:v>
                </c:pt>
              </c:strCache>
            </c:strRef>
          </c:tx>
          <c:spPr>
            <a:ln w="28575" cap="rnd">
              <a:solidFill>
                <a:schemeClr val="accent2"/>
              </a:solidFill>
              <a:round/>
            </a:ln>
            <a:effectLst/>
          </c:spPr>
          <c:marker>
            <c:symbol val="none"/>
          </c:marker>
          <c:cat>
            <c:strRef>
              <c:f>Charts!$B$196:$D$196</c:f>
              <c:strCache>
                <c:ptCount val="3"/>
                <c:pt idx="0">
                  <c:v>2020 share</c:v>
                </c:pt>
                <c:pt idx="1">
                  <c:v>2021 share</c:v>
                </c:pt>
                <c:pt idx="2">
                  <c:v>2022 M6 share</c:v>
                </c:pt>
              </c:strCache>
            </c:strRef>
          </c:cat>
          <c:val>
            <c:numRef>
              <c:f>Charts!$B$198:$D$198</c:f>
              <c:numCache>
                <c:formatCode>0.00%</c:formatCode>
                <c:ptCount val="3"/>
                <c:pt idx="0">
                  <c:v>6.1495380388263701E-2</c:v>
                </c:pt>
                <c:pt idx="1">
                  <c:v>5.5046665270424358E-2</c:v>
                </c:pt>
                <c:pt idx="2">
                  <c:v>4.1238447490127471E-2</c:v>
                </c:pt>
              </c:numCache>
            </c:numRef>
          </c:val>
          <c:smooth val="0"/>
          <c:extLst>
            <c:ext xmlns:c16="http://schemas.microsoft.com/office/drawing/2014/chart" uri="{C3380CC4-5D6E-409C-BE32-E72D297353CC}">
              <c16:uniqueId val="{00000003-0E37-4A8B-9C33-9D2997EF3430}"/>
            </c:ext>
          </c:extLst>
        </c:ser>
        <c:ser>
          <c:idx val="2"/>
          <c:order val="2"/>
          <c:tx>
            <c:strRef>
              <c:f>Charts!$A$199</c:f>
              <c:strCache>
                <c:ptCount val="1"/>
                <c:pt idx="0">
                  <c:v>Lavida</c:v>
                </c:pt>
              </c:strCache>
            </c:strRef>
          </c:tx>
          <c:spPr>
            <a:ln w="28575" cap="rnd">
              <a:solidFill>
                <a:schemeClr val="accent3"/>
              </a:solidFill>
              <a:round/>
            </a:ln>
            <a:effectLst/>
          </c:spPr>
          <c:marker>
            <c:symbol val="none"/>
          </c:marker>
          <c:cat>
            <c:strRef>
              <c:f>Charts!$B$196:$D$196</c:f>
              <c:strCache>
                <c:ptCount val="3"/>
                <c:pt idx="0">
                  <c:v>2020 share</c:v>
                </c:pt>
                <c:pt idx="1">
                  <c:v>2021 share</c:v>
                </c:pt>
                <c:pt idx="2">
                  <c:v>2022 M6 share</c:v>
                </c:pt>
              </c:strCache>
            </c:strRef>
          </c:cat>
          <c:val>
            <c:numRef>
              <c:f>Charts!$B$199:$D$199</c:f>
              <c:numCache>
                <c:formatCode>0.00%</c:formatCode>
                <c:ptCount val="3"/>
                <c:pt idx="0">
                  <c:v>8.0436540595209702E-2</c:v>
                </c:pt>
                <c:pt idx="1">
                  <c:v>7.3444409663498092E-2</c:v>
                </c:pt>
                <c:pt idx="2">
                  <c:v>6.155796261110915E-2</c:v>
                </c:pt>
              </c:numCache>
            </c:numRef>
          </c:val>
          <c:smooth val="0"/>
          <c:extLst>
            <c:ext xmlns:c16="http://schemas.microsoft.com/office/drawing/2014/chart" uri="{C3380CC4-5D6E-409C-BE32-E72D297353CC}">
              <c16:uniqueId val="{00000005-0E37-4A8B-9C33-9D2997EF3430}"/>
            </c:ext>
          </c:extLst>
        </c:ser>
        <c:dLbls>
          <c:showLegendKey val="0"/>
          <c:showVal val="0"/>
          <c:showCatName val="0"/>
          <c:showSerName val="0"/>
          <c:showPercent val="0"/>
          <c:showBubbleSize val="0"/>
        </c:dLbls>
        <c:smooth val="0"/>
        <c:axId val="377819639"/>
        <c:axId val="85387560"/>
      </c:lineChart>
      <c:catAx>
        <c:axId val="377819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387560"/>
        <c:crosses val="autoZero"/>
        <c:auto val="1"/>
        <c:lblAlgn val="ctr"/>
        <c:lblOffset val="100"/>
        <c:noMultiLvlLbl val="0"/>
      </c:catAx>
      <c:valAx>
        <c:axId val="85387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77819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Charts!$C$227</c:f>
              <c:strCache>
                <c:ptCount val="1"/>
                <c:pt idx="0">
                  <c:v>Fremont</c:v>
                </c:pt>
              </c:strCache>
            </c:strRef>
          </c:tx>
          <c:spPr>
            <a:solidFill>
              <a:schemeClr val="accent1"/>
            </a:solidFill>
            <a:ln>
              <a:noFill/>
            </a:ln>
            <a:effectLst/>
          </c:spPr>
          <c:invertIfNegative val="0"/>
          <c:cat>
            <c:strRef>
              <c:f>Charts!$D$226:$L$226</c:f>
              <c:strCache>
                <c:ptCount val="9"/>
                <c:pt idx="0">
                  <c:v>2016</c:v>
                </c:pt>
                <c:pt idx="1">
                  <c:v>2017</c:v>
                </c:pt>
                <c:pt idx="2">
                  <c:v>2018</c:v>
                </c:pt>
                <c:pt idx="3">
                  <c:v>2019</c:v>
                </c:pt>
                <c:pt idx="4">
                  <c:v>2020</c:v>
                </c:pt>
                <c:pt idx="5">
                  <c:v>2021</c:v>
                </c:pt>
                <c:pt idx="6">
                  <c:v>2022E</c:v>
                </c:pt>
                <c:pt idx="7">
                  <c:v>2023E</c:v>
                </c:pt>
                <c:pt idx="8">
                  <c:v>2024E</c:v>
                </c:pt>
              </c:strCache>
            </c:strRef>
          </c:cat>
          <c:val>
            <c:numRef>
              <c:f>Charts!$D$227:$L$227</c:f>
              <c:numCache>
                <c:formatCode>General</c:formatCode>
                <c:ptCount val="9"/>
                <c:pt idx="0">
                  <c:v>83940</c:v>
                </c:pt>
                <c:pt idx="1">
                  <c:v>101027</c:v>
                </c:pt>
                <c:pt idx="2">
                  <c:v>214459</c:v>
                </c:pt>
                <c:pt idx="3">
                  <c:v>365232</c:v>
                </c:pt>
                <c:pt idx="4">
                  <c:v>356554</c:v>
                </c:pt>
                <c:pt idx="5">
                  <c:v>444481</c:v>
                </c:pt>
                <c:pt idx="6">
                  <c:v>520000</c:v>
                </c:pt>
                <c:pt idx="7">
                  <c:v>585000</c:v>
                </c:pt>
                <c:pt idx="8">
                  <c:v>650000</c:v>
                </c:pt>
              </c:numCache>
            </c:numRef>
          </c:val>
          <c:extLst>
            <c:ext xmlns:c16="http://schemas.microsoft.com/office/drawing/2014/chart" uri="{C3380CC4-5D6E-409C-BE32-E72D297353CC}">
              <c16:uniqueId val="{00000001-E1E5-4E2F-BBD5-505950A9690F}"/>
            </c:ext>
          </c:extLst>
        </c:ser>
        <c:ser>
          <c:idx val="1"/>
          <c:order val="1"/>
          <c:tx>
            <c:strRef>
              <c:f>Charts!$C$228</c:f>
              <c:strCache>
                <c:ptCount val="1"/>
                <c:pt idx="0">
                  <c:v>Shanghai, 3</c:v>
                </c:pt>
              </c:strCache>
            </c:strRef>
          </c:tx>
          <c:spPr>
            <a:solidFill>
              <a:schemeClr val="accent2"/>
            </a:solidFill>
            <a:ln>
              <a:noFill/>
            </a:ln>
            <a:effectLst/>
          </c:spPr>
          <c:invertIfNegative val="0"/>
          <c:cat>
            <c:strRef>
              <c:f>Charts!$D$226:$L$226</c:f>
              <c:strCache>
                <c:ptCount val="9"/>
                <c:pt idx="0">
                  <c:v>2016</c:v>
                </c:pt>
                <c:pt idx="1">
                  <c:v>2017</c:v>
                </c:pt>
                <c:pt idx="2">
                  <c:v>2018</c:v>
                </c:pt>
                <c:pt idx="3">
                  <c:v>2019</c:v>
                </c:pt>
                <c:pt idx="4">
                  <c:v>2020</c:v>
                </c:pt>
                <c:pt idx="5">
                  <c:v>2021</c:v>
                </c:pt>
                <c:pt idx="6">
                  <c:v>2022E</c:v>
                </c:pt>
                <c:pt idx="7">
                  <c:v>2023E</c:v>
                </c:pt>
                <c:pt idx="8">
                  <c:v>2024E</c:v>
                </c:pt>
              </c:strCache>
            </c:strRef>
          </c:cat>
          <c:val>
            <c:numRef>
              <c:f>Charts!$D$228:$L$228</c:f>
              <c:numCache>
                <c:formatCode>General</c:formatCode>
                <c:ptCount val="9"/>
                <c:pt idx="0">
                  <c:v>0</c:v>
                </c:pt>
                <c:pt idx="1">
                  <c:v>0</c:v>
                </c:pt>
                <c:pt idx="2">
                  <c:v>0</c:v>
                </c:pt>
                <c:pt idx="3">
                  <c:v>0</c:v>
                </c:pt>
                <c:pt idx="4">
                  <c:v>153183</c:v>
                </c:pt>
                <c:pt idx="5">
                  <c:v>485787</c:v>
                </c:pt>
                <c:pt idx="6">
                  <c:v>675000</c:v>
                </c:pt>
                <c:pt idx="7">
                  <c:v>800000</c:v>
                </c:pt>
                <c:pt idx="8">
                  <c:v>850000</c:v>
                </c:pt>
              </c:numCache>
            </c:numRef>
          </c:val>
          <c:extLst>
            <c:ext xmlns:c16="http://schemas.microsoft.com/office/drawing/2014/chart" uri="{C3380CC4-5D6E-409C-BE32-E72D297353CC}">
              <c16:uniqueId val="{00000003-E1E5-4E2F-BBD5-505950A9690F}"/>
            </c:ext>
          </c:extLst>
        </c:ser>
        <c:ser>
          <c:idx val="2"/>
          <c:order val="2"/>
          <c:tx>
            <c:strRef>
              <c:f>Charts!$C$229</c:f>
              <c:strCache>
                <c:ptCount val="1"/>
                <c:pt idx="0">
                  <c:v>Berlin, 4</c:v>
                </c:pt>
              </c:strCache>
            </c:strRef>
          </c:tx>
          <c:spPr>
            <a:solidFill>
              <a:schemeClr val="accent3"/>
            </a:solidFill>
            <a:ln>
              <a:noFill/>
            </a:ln>
            <a:effectLst/>
          </c:spPr>
          <c:invertIfNegative val="0"/>
          <c:cat>
            <c:strRef>
              <c:f>Charts!$D$226:$L$226</c:f>
              <c:strCache>
                <c:ptCount val="9"/>
                <c:pt idx="0">
                  <c:v>2016</c:v>
                </c:pt>
                <c:pt idx="1">
                  <c:v>2017</c:v>
                </c:pt>
                <c:pt idx="2">
                  <c:v>2018</c:v>
                </c:pt>
                <c:pt idx="3">
                  <c:v>2019</c:v>
                </c:pt>
                <c:pt idx="4">
                  <c:v>2020</c:v>
                </c:pt>
                <c:pt idx="5">
                  <c:v>2021</c:v>
                </c:pt>
                <c:pt idx="6">
                  <c:v>2022E</c:v>
                </c:pt>
                <c:pt idx="7">
                  <c:v>2023E</c:v>
                </c:pt>
                <c:pt idx="8">
                  <c:v>2024E</c:v>
                </c:pt>
              </c:strCache>
            </c:strRef>
          </c:cat>
          <c:val>
            <c:numRef>
              <c:f>Charts!$D$229:$L$229</c:f>
              <c:numCache>
                <c:formatCode>General</c:formatCode>
                <c:ptCount val="9"/>
                <c:pt idx="0">
                  <c:v>0</c:v>
                </c:pt>
                <c:pt idx="1">
                  <c:v>0</c:v>
                </c:pt>
                <c:pt idx="2">
                  <c:v>0</c:v>
                </c:pt>
                <c:pt idx="3">
                  <c:v>0</c:v>
                </c:pt>
                <c:pt idx="4">
                  <c:v>0</c:v>
                </c:pt>
                <c:pt idx="5">
                  <c:v>154</c:v>
                </c:pt>
                <c:pt idx="6">
                  <c:v>70000</c:v>
                </c:pt>
                <c:pt idx="7">
                  <c:v>186666.66666666669</c:v>
                </c:pt>
                <c:pt idx="8">
                  <c:v>337000</c:v>
                </c:pt>
              </c:numCache>
            </c:numRef>
          </c:val>
          <c:extLst>
            <c:ext xmlns:c16="http://schemas.microsoft.com/office/drawing/2014/chart" uri="{C3380CC4-5D6E-409C-BE32-E72D297353CC}">
              <c16:uniqueId val="{00000005-E1E5-4E2F-BBD5-505950A9690F}"/>
            </c:ext>
          </c:extLst>
        </c:ser>
        <c:ser>
          <c:idx val="3"/>
          <c:order val="3"/>
          <c:tx>
            <c:strRef>
              <c:f>Charts!$C$230</c:f>
              <c:strCache>
                <c:ptCount val="1"/>
                <c:pt idx="0">
                  <c:v>Austin, Texas, 5</c:v>
                </c:pt>
              </c:strCache>
            </c:strRef>
          </c:tx>
          <c:spPr>
            <a:solidFill>
              <a:schemeClr val="accent4"/>
            </a:solidFill>
            <a:ln>
              <a:noFill/>
            </a:ln>
            <a:effectLst/>
          </c:spPr>
          <c:invertIfNegative val="0"/>
          <c:cat>
            <c:strRef>
              <c:f>Charts!$D$226:$L$226</c:f>
              <c:strCache>
                <c:ptCount val="9"/>
                <c:pt idx="0">
                  <c:v>2016</c:v>
                </c:pt>
                <c:pt idx="1">
                  <c:v>2017</c:v>
                </c:pt>
                <c:pt idx="2">
                  <c:v>2018</c:v>
                </c:pt>
                <c:pt idx="3">
                  <c:v>2019</c:v>
                </c:pt>
                <c:pt idx="4">
                  <c:v>2020</c:v>
                </c:pt>
                <c:pt idx="5">
                  <c:v>2021</c:v>
                </c:pt>
                <c:pt idx="6">
                  <c:v>2022E</c:v>
                </c:pt>
                <c:pt idx="7">
                  <c:v>2023E</c:v>
                </c:pt>
                <c:pt idx="8">
                  <c:v>2024E</c:v>
                </c:pt>
              </c:strCache>
            </c:strRef>
          </c:cat>
          <c:val>
            <c:numRef>
              <c:f>Charts!$D$230:$L$230</c:f>
              <c:numCache>
                <c:formatCode>General</c:formatCode>
                <c:ptCount val="9"/>
                <c:pt idx="0">
                  <c:v>0</c:v>
                </c:pt>
                <c:pt idx="1">
                  <c:v>0</c:v>
                </c:pt>
                <c:pt idx="2">
                  <c:v>0</c:v>
                </c:pt>
                <c:pt idx="3">
                  <c:v>0</c:v>
                </c:pt>
                <c:pt idx="4">
                  <c:v>0</c:v>
                </c:pt>
                <c:pt idx="5">
                  <c:v>0</c:v>
                </c:pt>
                <c:pt idx="6">
                  <c:v>70000</c:v>
                </c:pt>
                <c:pt idx="7">
                  <c:v>224666.66666666666</c:v>
                </c:pt>
                <c:pt idx="8">
                  <c:v>238333.33333333331</c:v>
                </c:pt>
              </c:numCache>
            </c:numRef>
          </c:val>
          <c:extLst>
            <c:ext xmlns:c16="http://schemas.microsoft.com/office/drawing/2014/chart" uri="{C3380CC4-5D6E-409C-BE32-E72D297353CC}">
              <c16:uniqueId val="{00000007-E1E5-4E2F-BBD5-505950A9690F}"/>
            </c:ext>
          </c:extLst>
        </c:ser>
        <c:dLbls>
          <c:showLegendKey val="0"/>
          <c:showVal val="0"/>
          <c:showCatName val="0"/>
          <c:showSerName val="0"/>
          <c:showPercent val="0"/>
          <c:showBubbleSize val="0"/>
        </c:dLbls>
        <c:gapWidth val="219"/>
        <c:overlap val="-27"/>
        <c:axId val="876648711"/>
        <c:axId val="140160840"/>
      </c:barChart>
      <c:catAx>
        <c:axId val="876648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0160840"/>
        <c:crosses val="autoZero"/>
        <c:auto val="1"/>
        <c:lblAlgn val="ctr"/>
        <c:lblOffset val="100"/>
        <c:noMultiLvlLbl val="0"/>
      </c:catAx>
      <c:valAx>
        <c:axId val="140160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76648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Charts!$A$240</c:f>
              <c:strCache>
                <c:ptCount val="1"/>
                <c:pt idx="0">
                  <c:v>Unit cost</c:v>
                </c:pt>
              </c:strCache>
            </c:strRef>
          </c:tx>
          <c:spPr>
            <a:ln w="28575" cap="rnd">
              <a:solidFill>
                <a:schemeClr val="accent1"/>
              </a:solidFill>
              <a:round/>
            </a:ln>
            <a:effectLst/>
          </c:spPr>
          <c:marker>
            <c:symbol val="none"/>
          </c:marker>
          <c:cat>
            <c:strRef>
              <c:f>Charts!$B$239:$J$239</c:f>
              <c:strCache>
                <c:ptCount val="9"/>
                <c:pt idx="0">
                  <c:v>2016</c:v>
                </c:pt>
                <c:pt idx="1">
                  <c:v>2017</c:v>
                </c:pt>
                <c:pt idx="2">
                  <c:v>2018</c:v>
                </c:pt>
                <c:pt idx="3">
                  <c:v>2019</c:v>
                </c:pt>
                <c:pt idx="4">
                  <c:v>2020</c:v>
                </c:pt>
                <c:pt idx="5">
                  <c:v>2021</c:v>
                </c:pt>
                <c:pt idx="6">
                  <c:v>2022E</c:v>
                </c:pt>
                <c:pt idx="7">
                  <c:v>2023E</c:v>
                </c:pt>
                <c:pt idx="8">
                  <c:v>2024E</c:v>
                </c:pt>
              </c:strCache>
            </c:strRef>
          </c:cat>
          <c:val>
            <c:numRef>
              <c:f>Charts!$B$240:$J$240</c:f>
              <c:numCache>
                <c:formatCode>0.0</c:formatCode>
                <c:ptCount val="9"/>
                <c:pt idx="0">
                  <c:v>56.589039790326424</c:v>
                </c:pt>
                <c:pt idx="1">
                  <c:v>73.571916418383211</c:v>
                </c:pt>
                <c:pt idx="2">
                  <c:v>66.089648837306896</c:v>
                </c:pt>
                <c:pt idx="3">
                  <c:v>44.897489814693124</c:v>
                </c:pt>
                <c:pt idx="4">
                  <c:v>43.808168702210843</c:v>
                </c:pt>
                <c:pt idx="5">
                  <c:v>35.078596730073492</c:v>
                </c:pt>
                <c:pt idx="6">
                  <c:v>34.285985323827518</c:v>
                </c:pt>
                <c:pt idx="7">
                  <c:v>34.791943071187248</c:v>
                </c:pt>
                <c:pt idx="8">
                  <c:v>32.34983750353075</c:v>
                </c:pt>
              </c:numCache>
            </c:numRef>
          </c:val>
          <c:smooth val="0"/>
          <c:extLst>
            <c:ext xmlns:c16="http://schemas.microsoft.com/office/drawing/2014/chart" uri="{C3380CC4-5D6E-409C-BE32-E72D297353CC}">
              <c16:uniqueId val="{00000001-ADD1-47B7-978C-9BE1974C755C}"/>
            </c:ext>
          </c:extLst>
        </c:ser>
        <c:dLbls>
          <c:showLegendKey val="0"/>
          <c:showVal val="0"/>
          <c:showCatName val="0"/>
          <c:showSerName val="0"/>
          <c:showPercent val="0"/>
          <c:showBubbleSize val="0"/>
        </c:dLbls>
        <c:smooth val="0"/>
        <c:axId val="16657111"/>
        <c:axId val="1974481175"/>
      </c:lineChart>
      <c:catAx>
        <c:axId val="16657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74481175"/>
        <c:crosses val="autoZero"/>
        <c:auto val="1"/>
        <c:lblAlgn val="ctr"/>
        <c:lblOffset val="100"/>
        <c:noMultiLvlLbl val="0"/>
      </c:catAx>
      <c:valAx>
        <c:axId val="197448117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657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Charts!$A$259</c:f>
              <c:strCache>
                <c:ptCount val="1"/>
                <c:pt idx="0">
                  <c:v>Fixed Asset Turnover Rate</c:v>
                </c:pt>
              </c:strCache>
            </c:strRef>
          </c:tx>
          <c:spPr>
            <a:ln w="28575" cap="rnd">
              <a:solidFill>
                <a:schemeClr val="accent1"/>
              </a:solidFill>
              <a:round/>
            </a:ln>
            <a:effectLst/>
          </c:spPr>
          <c:marker>
            <c:symbol val="none"/>
          </c:marker>
          <c:cat>
            <c:strRef>
              <c:f>Charts!$B$258:$H$258</c:f>
              <c:strCache>
                <c:ptCount val="7"/>
                <c:pt idx="0">
                  <c:v>2016</c:v>
                </c:pt>
                <c:pt idx="1">
                  <c:v>2017</c:v>
                </c:pt>
                <c:pt idx="2">
                  <c:v>2018</c:v>
                </c:pt>
                <c:pt idx="3">
                  <c:v>2019</c:v>
                </c:pt>
                <c:pt idx="4">
                  <c:v>2020</c:v>
                </c:pt>
                <c:pt idx="5">
                  <c:v>2021</c:v>
                </c:pt>
                <c:pt idx="6">
                  <c:v>2022E</c:v>
                </c:pt>
              </c:strCache>
            </c:strRef>
          </c:cat>
          <c:val>
            <c:numRef>
              <c:f>Charts!$B$259:$H$259</c:f>
              <c:numCache>
                <c:formatCode>General</c:formatCode>
                <c:ptCount val="7"/>
                <c:pt idx="0">
                  <c:v>0.69</c:v>
                </c:pt>
                <c:pt idx="1">
                  <c:v>0.66</c:v>
                </c:pt>
                <c:pt idx="2">
                  <c:v>1.07</c:v>
                </c:pt>
                <c:pt idx="3">
                  <c:v>1.23</c:v>
                </c:pt>
                <c:pt idx="4">
                  <c:v>1.45</c:v>
                </c:pt>
                <c:pt idx="5">
                  <c:v>1.97</c:v>
                </c:pt>
                <c:pt idx="6">
                  <c:v>2.35</c:v>
                </c:pt>
              </c:numCache>
            </c:numRef>
          </c:val>
          <c:smooth val="0"/>
          <c:extLst>
            <c:ext xmlns:c16="http://schemas.microsoft.com/office/drawing/2014/chart" uri="{C3380CC4-5D6E-409C-BE32-E72D297353CC}">
              <c16:uniqueId val="{00000001-8F88-4714-8D83-8D0C2313564C}"/>
            </c:ext>
          </c:extLst>
        </c:ser>
        <c:dLbls>
          <c:showLegendKey val="0"/>
          <c:showVal val="0"/>
          <c:showCatName val="0"/>
          <c:showSerName val="0"/>
          <c:showPercent val="0"/>
          <c:showBubbleSize val="0"/>
        </c:dLbls>
        <c:smooth val="0"/>
        <c:axId val="641460407"/>
        <c:axId val="1304571176"/>
      </c:lineChart>
      <c:catAx>
        <c:axId val="641460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04571176"/>
        <c:crosses val="autoZero"/>
        <c:auto val="1"/>
        <c:lblAlgn val="ctr"/>
        <c:lblOffset val="100"/>
        <c:noMultiLvlLbl val="0"/>
      </c:catAx>
      <c:valAx>
        <c:axId val="1304571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1460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Charts!$A$272</c:f>
              <c:strCache>
                <c:ptCount val="1"/>
                <c:pt idx="0">
                  <c:v>Period cost%</c:v>
                </c:pt>
              </c:strCache>
            </c:strRef>
          </c:tx>
          <c:spPr>
            <a:ln w="28575" cap="rnd">
              <a:solidFill>
                <a:schemeClr val="accent1"/>
              </a:solidFill>
              <a:round/>
            </a:ln>
            <a:effectLst/>
          </c:spPr>
          <c:marker>
            <c:symbol val="none"/>
          </c:marker>
          <c:cat>
            <c:strRef>
              <c:f>Charts!$B$271:$K$271</c:f>
              <c:strCache>
                <c:ptCount val="10"/>
                <c:pt idx="0">
                  <c:v>2016</c:v>
                </c:pt>
                <c:pt idx="1">
                  <c:v>2017</c:v>
                </c:pt>
                <c:pt idx="2">
                  <c:v>2018</c:v>
                </c:pt>
                <c:pt idx="3">
                  <c:v>2019</c:v>
                </c:pt>
                <c:pt idx="4">
                  <c:v>2020</c:v>
                </c:pt>
                <c:pt idx="5">
                  <c:v>2021</c:v>
                </c:pt>
                <c:pt idx="6">
                  <c:v>2022E</c:v>
                </c:pt>
                <c:pt idx="7">
                  <c:v>2023E</c:v>
                </c:pt>
                <c:pt idx="8">
                  <c:v>2024E</c:v>
                </c:pt>
                <c:pt idx="9">
                  <c:v>2025E</c:v>
                </c:pt>
              </c:strCache>
            </c:strRef>
          </c:cat>
          <c:val>
            <c:numRef>
              <c:f>Charts!$B$272:$K$272</c:f>
              <c:numCache>
                <c:formatCode>0.0%</c:formatCode>
                <c:ptCount val="10"/>
                <c:pt idx="0">
                  <c:v>0.20459465818415631</c:v>
                </c:pt>
                <c:pt idx="1">
                  <c:v>0.21060088220212073</c:v>
                </c:pt>
                <c:pt idx="2">
                  <c:v>0.13207760195332885</c:v>
                </c:pt>
                <c:pt idx="3">
                  <c:v>0.11371958662218244</c:v>
                </c:pt>
                <c:pt idx="4">
                  <c:v>9.9727295788939629E-2</c:v>
                </c:pt>
                <c:pt idx="5">
                  <c:v>8.3923229845976624E-2</c:v>
                </c:pt>
                <c:pt idx="6">
                  <c:v>4.8439763325231394E-2</c:v>
                </c:pt>
                <c:pt idx="7">
                  <c:v>4.3595786992708253E-2</c:v>
                </c:pt>
                <c:pt idx="8">
                  <c:v>3.9236208293437429E-2</c:v>
                </c:pt>
                <c:pt idx="9">
                  <c:v>3.5312587464093687E-2</c:v>
                </c:pt>
              </c:numCache>
            </c:numRef>
          </c:val>
          <c:smooth val="0"/>
          <c:extLst>
            <c:ext xmlns:c16="http://schemas.microsoft.com/office/drawing/2014/chart" uri="{C3380CC4-5D6E-409C-BE32-E72D297353CC}">
              <c16:uniqueId val="{00000001-C325-447A-ABAE-54204FF7CCFC}"/>
            </c:ext>
          </c:extLst>
        </c:ser>
        <c:dLbls>
          <c:showLegendKey val="0"/>
          <c:showVal val="0"/>
          <c:showCatName val="0"/>
          <c:showSerName val="0"/>
          <c:showPercent val="0"/>
          <c:showBubbleSize val="0"/>
        </c:dLbls>
        <c:smooth val="0"/>
        <c:axId val="1992295464"/>
        <c:axId val="1992296904"/>
      </c:lineChart>
      <c:catAx>
        <c:axId val="1992295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92296904"/>
        <c:crosses val="autoZero"/>
        <c:auto val="1"/>
        <c:lblAlgn val="ctr"/>
        <c:lblOffset val="100"/>
        <c:noMultiLvlLbl val="0"/>
      </c:catAx>
      <c:valAx>
        <c:axId val="199229690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92295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Charts!$A$292</c:f>
              <c:strCache>
                <c:ptCount val="1"/>
                <c:pt idx="0">
                  <c:v>Model Y</c:v>
                </c:pt>
              </c:strCache>
            </c:strRef>
          </c:tx>
          <c:spPr>
            <a:ln w="28575" cap="rnd">
              <a:solidFill>
                <a:schemeClr val="accent1"/>
              </a:solidFill>
              <a:round/>
            </a:ln>
            <a:effectLst/>
          </c:spPr>
          <c:marker>
            <c:symbol val="none"/>
          </c:marker>
          <c:cat>
            <c:strRef>
              <c:f>Charts!$B$291:$G$291</c:f>
              <c:strCache>
                <c:ptCount val="6"/>
                <c:pt idx="0">
                  <c:v>2020</c:v>
                </c:pt>
                <c:pt idx="1">
                  <c:v>2021</c:v>
                </c:pt>
                <c:pt idx="2">
                  <c:v>2022E</c:v>
                </c:pt>
                <c:pt idx="3">
                  <c:v>2023E</c:v>
                </c:pt>
                <c:pt idx="4">
                  <c:v>2024E</c:v>
                </c:pt>
                <c:pt idx="5">
                  <c:v>2025E</c:v>
                </c:pt>
              </c:strCache>
            </c:strRef>
          </c:cat>
          <c:val>
            <c:numRef>
              <c:f>Charts!$B$292:$G$292</c:f>
              <c:numCache>
                <c:formatCode>#,##0</c:formatCode>
                <c:ptCount val="6"/>
                <c:pt idx="0">
                  <c:v>81067</c:v>
                </c:pt>
                <c:pt idx="1">
                  <c:v>185093</c:v>
                </c:pt>
                <c:pt idx="2">
                  <c:v>245610.09432142857</c:v>
                </c:pt>
                <c:pt idx="3">
                  <c:v>290130.07008474023</c:v>
                </c:pt>
                <c:pt idx="4">
                  <c:v>329307.10880362662</c:v>
                </c:pt>
                <c:pt idx="5">
                  <c:v>347462.26354344777</c:v>
                </c:pt>
              </c:numCache>
            </c:numRef>
          </c:val>
          <c:smooth val="0"/>
          <c:extLst>
            <c:ext xmlns:c16="http://schemas.microsoft.com/office/drawing/2014/chart" uri="{C3380CC4-5D6E-409C-BE32-E72D297353CC}">
              <c16:uniqueId val="{00000001-1D7A-488F-A51B-F80C54B41F52}"/>
            </c:ext>
          </c:extLst>
        </c:ser>
        <c:dLbls>
          <c:showLegendKey val="0"/>
          <c:showVal val="0"/>
          <c:showCatName val="0"/>
          <c:showSerName val="0"/>
          <c:showPercent val="0"/>
          <c:showBubbleSize val="0"/>
        </c:dLbls>
        <c:smooth val="0"/>
        <c:axId val="1388006167"/>
        <c:axId val="1387984087"/>
      </c:lineChart>
      <c:catAx>
        <c:axId val="1388006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7984087"/>
        <c:crosses val="autoZero"/>
        <c:auto val="1"/>
        <c:lblAlgn val="ctr"/>
        <c:lblOffset val="100"/>
        <c:noMultiLvlLbl val="0"/>
      </c:catAx>
      <c:valAx>
        <c:axId val="13879840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8006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Charts!$A$298</c:f>
              <c:strCache>
                <c:ptCount val="1"/>
                <c:pt idx="0">
                  <c:v>Model 3</c:v>
                </c:pt>
              </c:strCache>
            </c:strRef>
          </c:tx>
          <c:spPr>
            <a:ln w="28575" cap="rnd">
              <a:solidFill>
                <a:schemeClr val="accent1"/>
              </a:solidFill>
              <a:round/>
            </a:ln>
            <a:effectLst/>
          </c:spPr>
          <c:marker>
            <c:symbol val="none"/>
          </c:marker>
          <c:cat>
            <c:strRef>
              <c:f>Charts!$B$297:$G$297</c:f>
              <c:strCache>
                <c:ptCount val="6"/>
                <c:pt idx="0">
                  <c:v>2020</c:v>
                </c:pt>
                <c:pt idx="1">
                  <c:v>2021</c:v>
                </c:pt>
                <c:pt idx="2">
                  <c:v>2022E</c:v>
                </c:pt>
                <c:pt idx="3">
                  <c:v>2023E</c:v>
                </c:pt>
                <c:pt idx="4">
                  <c:v>2024E</c:v>
                </c:pt>
                <c:pt idx="5">
                  <c:v>2025E</c:v>
                </c:pt>
              </c:strCache>
            </c:strRef>
          </c:cat>
          <c:val>
            <c:numRef>
              <c:f>Charts!$B$298:$G$298</c:f>
              <c:numCache>
                <c:formatCode>#,##0</c:formatCode>
                <c:ptCount val="6"/>
                <c:pt idx="0">
                  <c:v>137459</c:v>
                </c:pt>
                <c:pt idx="1">
                  <c:v>150890</c:v>
                </c:pt>
                <c:pt idx="2">
                  <c:v>124456</c:v>
                </c:pt>
                <c:pt idx="3">
                  <c:v>169160.20632591745</c:v>
                </c:pt>
                <c:pt idx="4">
                  <c:v>215789.26250028473</c:v>
                </c:pt>
                <c:pt idx="5">
                  <c:v>258904.28976005487</c:v>
                </c:pt>
              </c:numCache>
            </c:numRef>
          </c:val>
          <c:smooth val="0"/>
          <c:extLst>
            <c:ext xmlns:c16="http://schemas.microsoft.com/office/drawing/2014/chart" uri="{C3380CC4-5D6E-409C-BE32-E72D297353CC}">
              <c16:uniqueId val="{00000001-6BC4-46A9-9740-28460BCB6101}"/>
            </c:ext>
          </c:extLst>
        </c:ser>
        <c:dLbls>
          <c:showLegendKey val="0"/>
          <c:showVal val="0"/>
          <c:showCatName val="0"/>
          <c:showSerName val="0"/>
          <c:showPercent val="0"/>
          <c:showBubbleSize val="0"/>
        </c:dLbls>
        <c:smooth val="0"/>
        <c:axId val="1749428951"/>
        <c:axId val="1749423671"/>
      </c:lineChart>
      <c:catAx>
        <c:axId val="1749428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49423671"/>
        <c:crosses val="autoZero"/>
        <c:auto val="1"/>
        <c:lblAlgn val="ctr"/>
        <c:lblOffset val="100"/>
        <c:noMultiLvlLbl val="0"/>
      </c:catAx>
      <c:valAx>
        <c:axId val="17494236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49428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Charts!$A$317</c:f>
              <c:strCache>
                <c:ptCount val="1"/>
                <c:pt idx="0">
                  <c:v>收盘价</c:v>
                </c:pt>
              </c:strCache>
            </c:strRef>
          </c:tx>
          <c:spPr>
            <a:ln w="28575" cap="rnd">
              <a:solidFill>
                <a:srgbClr val="2F75B5"/>
              </a:solidFill>
              <a:prstDash val="solid"/>
              <a:round/>
            </a:ln>
            <a:effectLst/>
          </c:spPr>
          <c:marker>
            <c:symbol val="none"/>
          </c:marker>
          <c:cat>
            <c:numRef>
              <c:f>Charts!$B$316:$KP$316</c:f>
              <c:numCache>
                <c:formatCode>m/d/yyyy</c:formatCode>
                <c:ptCount val="301"/>
                <c:pt idx="0">
                  <c:v>44564</c:v>
                </c:pt>
                <c:pt idx="1">
                  <c:v>44565</c:v>
                </c:pt>
                <c:pt idx="2">
                  <c:v>44566</c:v>
                </c:pt>
                <c:pt idx="3">
                  <c:v>44567</c:v>
                </c:pt>
                <c:pt idx="4">
                  <c:v>44568</c:v>
                </c:pt>
                <c:pt idx="5">
                  <c:v>44571</c:v>
                </c:pt>
                <c:pt idx="6">
                  <c:v>44572</c:v>
                </c:pt>
                <c:pt idx="7">
                  <c:v>44573</c:v>
                </c:pt>
                <c:pt idx="8">
                  <c:v>44574</c:v>
                </c:pt>
                <c:pt idx="9">
                  <c:v>44575</c:v>
                </c:pt>
                <c:pt idx="10">
                  <c:v>44579</c:v>
                </c:pt>
                <c:pt idx="11">
                  <c:v>44580</c:v>
                </c:pt>
                <c:pt idx="12">
                  <c:v>44581</c:v>
                </c:pt>
                <c:pt idx="13">
                  <c:v>44582</c:v>
                </c:pt>
                <c:pt idx="14">
                  <c:v>44585</c:v>
                </c:pt>
                <c:pt idx="15">
                  <c:v>44586</c:v>
                </c:pt>
                <c:pt idx="16">
                  <c:v>44587</c:v>
                </c:pt>
                <c:pt idx="17">
                  <c:v>44588</c:v>
                </c:pt>
                <c:pt idx="18">
                  <c:v>44589</c:v>
                </c:pt>
                <c:pt idx="19">
                  <c:v>44592</c:v>
                </c:pt>
                <c:pt idx="20">
                  <c:v>44593</c:v>
                </c:pt>
                <c:pt idx="21">
                  <c:v>44594</c:v>
                </c:pt>
                <c:pt idx="22">
                  <c:v>44595</c:v>
                </c:pt>
                <c:pt idx="23">
                  <c:v>44596</c:v>
                </c:pt>
                <c:pt idx="24">
                  <c:v>44599</c:v>
                </c:pt>
                <c:pt idx="25">
                  <c:v>44600</c:v>
                </c:pt>
                <c:pt idx="26">
                  <c:v>44601</c:v>
                </c:pt>
                <c:pt idx="27">
                  <c:v>44602</c:v>
                </c:pt>
                <c:pt idx="28">
                  <c:v>44603</c:v>
                </c:pt>
                <c:pt idx="29">
                  <c:v>44606</c:v>
                </c:pt>
                <c:pt idx="30">
                  <c:v>44607</c:v>
                </c:pt>
                <c:pt idx="31">
                  <c:v>44608</c:v>
                </c:pt>
                <c:pt idx="32">
                  <c:v>44609</c:v>
                </c:pt>
                <c:pt idx="33">
                  <c:v>44610</c:v>
                </c:pt>
                <c:pt idx="34">
                  <c:v>44614</c:v>
                </c:pt>
                <c:pt idx="35">
                  <c:v>44615</c:v>
                </c:pt>
                <c:pt idx="36">
                  <c:v>44616</c:v>
                </c:pt>
                <c:pt idx="37">
                  <c:v>44617</c:v>
                </c:pt>
                <c:pt idx="38">
                  <c:v>44620</c:v>
                </c:pt>
                <c:pt idx="39">
                  <c:v>44621</c:v>
                </c:pt>
                <c:pt idx="40">
                  <c:v>44622</c:v>
                </c:pt>
                <c:pt idx="41">
                  <c:v>44623</c:v>
                </c:pt>
                <c:pt idx="42">
                  <c:v>44624</c:v>
                </c:pt>
                <c:pt idx="43">
                  <c:v>44627</c:v>
                </c:pt>
                <c:pt idx="44">
                  <c:v>44628</c:v>
                </c:pt>
                <c:pt idx="45">
                  <c:v>44629</c:v>
                </c:pt>
                <c:pt idx="46">
                  <c:v>44630</c:v>
                </c:pt>
                <c:pt idx="47">
                  <c:v>44631</c:v>
                </c:pt>
                <c:pt idx="48">
                  <c:v>44634</c:v>
                </c:pt>
                <c:pt idx="49">
                  <c:v>44635</c:v>
                </c:pt>
                <c:pt idx="50">
                  <c:v>44636</c:v>
                </c:pt>
                <c:pt idx="51">
                  <c:v>44637</c:v>
                </c:pt>
                <c:pt idx="52">
                  <c:v>44638</c:v>
                </c:pt>
                <c:pt idx="53">
                  <c:v>44641</c:v>
                </c:pt>
                <c:pt idx="54">
                  <c:v>44642</c:v>
                </c:pt>
                <c:pt idx="55">
                  <c:v>44643</c:v>
                </c:pt>
                <c:pt idx="56">
                  <c:v>44644</c:v>
                </c:pt>
                <c:pt idx="57">
                  <c:v>44645</c:v>
                </c:pt>
                <c:pt idx="58">
                  <c:v>44648</c:v>
                </c:pt>
                <c:pt idx="59">
                  <c:v>44649</c:v>
                </c:pt>
                <c:pt idx="60">
                  <c:v>44650</c:v>
                </c:pt>
                <c:pt idx="61">
                  <c:v>44651</c:v>
                </c:pt>
                <c:pt idx="62">
                  <c:v>44652</c:v>
                </c:pt>
                <c:pt idx="63">
                  <c:v>44655</c:v>
                </c:pt>
                <c:pt idx="64">
                  <c:v>44656</c:v>
                </c:pt>
                <c:pt idx="65">
                  <c:v>44657</c:v>
                </c:pt>
                <c:pt idx="66">
                  <c:v>44658</c:v>
                </c:pt>
                <c:pt idx="67">
                  <c:v>44659</c:v>
                </c:pt>
                <c:pt idx="68">
                  <c:v>44662</c:v>
                </c:pt>
                <c:pt idx="69">
                  <c:v>44663</c:v>
                </c:pt>
                <c:pt idx="70">
                  <c:v>44664</c:v>
                </c:pt>
                <c:pt idx="71">
                  <c:v>44665</c:v>
                </c:pt>
                <c:pt idx="72">
                  <c:v>44669</c:v>
                </c:pt>
                <c:pt idx="73">
                  <c:v>44670</c:v>
                </c:pt>
                <c:pt idx="74">
                  <c:v>44671</c:v>
                </c:pt>
                <c:pt idx="75">
                  <c:v>44672</c:v>
                </c:pt>
                <c:pt idx="76">
                  <c:v>44673</c:v>
                </c:pt>
                <c:pt idx="77">
                  <c:v>44676</c:v>
                </c:pt>
                <c:pt idx="78">
                  <c:v>44677</c:v>
                </c:pt>
                <c:pt idx="79">
                  <c:v>44678</c:v>
                </c:pt>
                <c:pt idx="80">
                  <c:v>44679</c:v>
                </c:pt>
                <c:pt idx="81">
                  <c:v>44680</c:v>
                </c:pt>
                <c:pt idx="82">
                  <c:v>44683</c:v>
                </c:pt>
                <c:pt idx="83">
                  <c:v>44684</c:v>
                </c:pt>
                <c:pt idx="84">
                  <c:v>44685</c:v>
                </c:pt>
                <c:pt idx="85">
                  <c:v>44686</c:v>
                </c:pt>
                <c:pt idx="86">
                  <c:v>44687</c:v>
                </c:pt>
                <c:pt idx="87">
                  <c:v>44690</c:v>
                </c:pt>
                <c:pt idx="88">
                  <c:v>44691</c:v>
                </c:pt>
                <c:pt idx="89">
                  <c:v>44692</c:v>
                </c:pt>
                <c:pt idx="90">
                  <c:v>44693</c:v>
                </c:pt>
                <c:pt idx="91">
                  <c:v>44694</c:v>
                </c:pt>
                <c:pt idx="92">
                  <c:v>44697</c:v>
                </c:pt>
                <c:pt idx="93">
                  <c:v>44698</c:v>
                </c:pt>
                <c:pt idx="94">
                  <c:v>44699</c:v>
                </c:pt>
                <c:pt idx="95">
                  <c:v>44700</c:v>
                </c:pt>
                <c:pt idx="96">
                  <c:v>44701</c:v>
                </c:pt>
                <c:pt idx="97">
                  <c:v>44704</c:v>
                </c:pt>
                <c:pt idx="98">
                  <c:v>44705</c:v>
                </c:pt>
                <c:pt idx="99">
                  <c:v>44706</c:v>
                </c:pt>
                <c:pt idx="100">
                  <c:v>44707</c:v>
                </c:pt>
                <c:pt idx="101">
                  <c:v>44708</c:v>
                </c:pt>
                <c:pt idx="102">
                  <c:v>44712</c:v>
                </c:pt>
                <c:pt idx="103">
                  <c:v>44713</c:v>
                </c:pt>
                <c:pt idx="104">
                  <c:v>44714</c:v>
                </c:pt>
                <c:pt idx="105">
                  <c:v>44715</c:v>
                </c:pt>
                <c:pt idx="106">
                  <c:v>44718</c:v>
                </c:pt>
                <c:pt idx="107">
                  <c:v>44719</c:v>
                </c:pt>
                <c:pt idx="108">
                  <c:v>44720</c:v>
                </c:pt>
                <c:pt idx="109">
                  <c:v>44721</c:v>
                </c:pt>
                <c:pt idx="110">
                  <c:v>44722</c:v>
                </c:pt>
                <c:pt idx="111">
                  <c:v>44725</c:v>
                </c:pt>
                <c:pt idx="112">
                  <c:v>44726</c:v>
                </c:pt>
                <c:pt idx="113">
                  <c:v>44727</c:v>
                </c:pt>
                <c:pt idx="114">
                  <c:v>44728</c:v>
                </c:pt>
                <c:pt idx="115">
                  <c:v>44729</c:v>
                </c:pt>
                <c:pt idx="116">
                  <c:v>44733</c:v>
                </c:pt>
                <c:pt idx="117">
                  <c:v>44734</c:v>
                </c:pt>
                <c:pt idx="118">
                  <c:v>44735</c:v>
                </c:pt>
                <c:pt idx="119">
                  <c:v>44736</c:v>
                </c:pt>
                <c:pt idx="120">
                  <c:v>44739</c:v>
                </c:pt>
                <c:pt idx="121">
                  <c:v>44740</c:v>
                </c:pt>
                <c:pt idx="122">
                  <c:v>44741</c:v>
                </c:pt>
                <c:pt idx="123">
                  <c:v>44742</c:v>
                </c:pt>
                <c:pt idx="124">
                  <c:v>44743</c:v>
                </c:pt>
                <c:pt idx="125">
                  <c:v>44747</c:v>
                </c:pt>
                <c:pt idx="126">
                  <c:v>44748</c:v>
                </c:pt>
                <c:pt idx="127">
                  <c:v>44749</c:v>
                </c:pt>
                <c:pt idx="128">
                  <c:v>44750</c:v>
                </c:pt>
                <c:pt idx="129">
                  <c:v>44753</c:v>
                </c:pt>
                <c:pt idx="130">
                  <c:v>44754</c:v>
                </c:pt>
                <c:pt idx="131">
                  <c:v>44755</c:v>
                </c:pt>
                <c:pt idx="132">
                  <c:v>44756</c:v>
                </c:pt>
                <c:pt idx="133">
                  <c:v>44757</c:v>
                </c:pt>
                <c:pt idx="134">
                  <c:v>44760</c:v>
                </c:pt>
                <c:pt idx="135">
                  <c:v>44761</c:v>
                </c:pt>
                <c:pt idx="136">
                  <c:v>44762</c:v>
                </c:pt>
                <c:pt idx="137">
                  <c:v>44763</c:v>
                </c:pt>
                <c:pt idx="138">
                  <c:v>44764</c:v>
                </c:pt>
                <c:pt idx="139">
                  <c:v>44767</c:v>
                </c:pt>
                <c:pt idx="140">
                  <c:v>44768</c:v>
                </c:pt>
                <c:pt idx="141">
                  <c:v>44769</c:v>
                </c:pt>
                <c:pt idx="142">
                  <c:v>44770</c:v>
                </c:pt>
                <c:pt idx="143">
                  <c:v>44771</c:v>
                </c:pt>
                <c:pt idx="144">
                  <c:v>44774</c:v>
                </c:pt>
                <c:pt idx="145">
                  <c:v>44775</c:v>
                </c:pt>
                <c:pt idx="146">
                  <c:v>44776</c:v>
                </c:pt>
                <c:pt idx="147">
                  <c:v>44777</c:v>
                </c:pt>
                <c:pt idx="148">
                  <c:v>44778</c:v>
                </c:pt>
                <c:pt idx="149">
                  <c:v>44781</c:v>
                </c:pt>
                <c:pt idx="150">
                  <c:v>44782</c:v>
                </c:pt>
                <c:pt idx="151">
                  <c:v>44783</c:v>
                </c:pt>
                <c:pt idx="152">
                  <c:v>44784</c:v>
                </c:pt>
                <c:pt idx="153">
                  <c:v>44785</c:v>
                </c:pt>
                <c:pt idx="154">
                  <c:v>44788</c:v>
                </c:pt>
                <c:pt idx="155">
                  <c:v>44789</c:v>
                </c:pt>
                <c:pt idx="156">
                  <c:v>44790</c:v>
                </c:pt>
                <c:pt idx="157">
                  <c:v>44791</c:v>
                </c:pt>
                <c:pt idx="158">
                  <c:v>44792</c:v>
                </c:pt>
                <c:pt idx="159">
                  <c:v>44795</c:v>
                </c:pt>
                <c:pt idx="160">
                  <c:v>44796</c:v>
                </c:pt>
                <c:pt idx="161">
                  <c:v>44797</c:v>
                </c:pt>
                <c:pt idx="162">
                  <c:v>44798</c:v>
                </c:pt>
                <c:pt idx="163">
                  <c:v>44799</c:v>
                </c:pt>
                <c:pt idx="164">
                  <c:v>44802</c:v>
                </c:pt>
                <c:pt idx="165">
                  <c:v>44803</c:v>
                </c:pt>
                <c:pt idx="166">
                  <c:v>44804</c:v>
                </c:pt>
                <c:pt idx="167">
                  <c:v>44805</c:v>
                </c:pt>
                <c:pt idx="168">
                  <c:v>44806</c:v>
                </c:pt>
                <c:pt idx="169">
                  <c:v>44810</c:v>
                </c:pt>
                <c:pt idx="170">
                  <c:v>44811</c:v>
                </c:pt>
                <c:pt idx="171">
                  <c:v>44812</c:v>
                </c:pt>
                <c:pt idx="172">
                  <c:v>44813</c:v>
                </c:pt>
                <c:pt idx="173">
                  <c:v>44816</c:v>
                </c:pt>
                <c:pt idx="174">
                  <c:v>44817</c:v>
                </c:pt>
                <c:pt idx="175">
                  <c:v>44818</c:v>
                </c:pt>
                <c:pt idx="176">
                  <c:v>44819</c:v>
                </c:pt>
                <c:pt idx="177">
                  <c:v>44820</c:v>
                </c:pt>
                <c:pt idx="178">
                  <c:v>44823</c:v>
                </c:pt>
                <c:pt idx="179">
                  <c:v>44824</c:v>
                </c:pt>
                <c:pt idx="180">
                  <c:v>44825</c:v>
                </c:pt>
                <c:pt idx="181">
                  <c:v>44826</c:v>
                </c:pt>
                <c:pt idx="182">
                  <c:v>44827</c:v>
                </c:pt>
                <c:pt idx="183">
                  <c:v>44830</c:v>
                </c:pt>
                <c:pt idx="184">
                  <c:v>44831</c:v>
                </c:pt>
                <c:pt idx="185">
                  <c:v>44832</c:v>
                </c:pt>
                <c:pt idx="186">
                  <c:v>44833</c:v>
                </c:pt>
                <c:pt idx="187">
                  <c:v>44834</c:v>
                </c:pt>
                <c:pt idx="188">
                  <c:v>44837</c:v>
                </c:pt>
                <c:pt idx="189">
                  <c:v>44838</c:v>
                </c:pt>
                <c:pt idx="190">
                  <c:v>44839</c:v>
                </c:pt>
                <c:pt idx="191">
                  <c:v>44840</c:v>
                </c:pt>
                <c:pt idx="192">
                  <c:v>44841</c:v>
                </c:pt>
                <c:pt idx="193">
                  <c:v>44844</c:v>
                </c:pt>
                <c:pt idx="194">
                  <c:v>44845</c:v>
                </c:pt>
                <c:pt idx="195">
                  <c:v>44846</c:v>
                </c:pt>
                <c:pt idx="196">
                  <c:v>44847</c:v>
                </c:pt>
                <c:pt idx="197">
                  <c:v>44848</c:v>
                </c:pt>
                <c:pt idx="198">
                  <c:v>44851</c:v>
                </c:pt>
                <c:pt idx="199">
                  <c:v>44852</c:v>
                </c:pt>
                <c:pt idx="200">
                  <c:v>44853</c:v>
                </c:pt>
                <c:pt idx="201">
                  <c:v>44854</c:v>
                </c:pt>
                <c:pt idx="202">
                  <c:v>44855</c:v>
                </c:pt>
                <c:pt idx="203">
                  <c:v>44858</c:v>
                </c:pt>
                <c:pt idx="204">
                  <c:v>44859</c:v>
                </c:pt>
                <c:pt idx="205">
                  <c:v>44860</c:v>
                </c:pt>
                <c:pt idx="206">
                  <c:v>44861</c:v>
                </c:pt>
                <c:pt idx="207">
                  <c:v>44862</c:v>
                </c:pt>
                <c:pt idx="208">
                  <c:v>44865</c:v>
                </c:pt>
                <c:pt idx="209">
                  <c:v>44866</c:v>
                </c:pt>
                <c:pt idx="210">
                  <c:v>44867</c:v>
                </c:pt>
                <c:pt idx="211">
                  <c:v>44868</c:v>
                </c:pt>
                <c:pt idx="212">
                  <c:v>44869</c:v>
                </c:pt>
                <c:pt idx="213">
                  <c:v>44872</c:v>
                </c:pt>
                <c:pt idx="214">
                  <c:v>44873</c:v>
                </c:pt>
                <c:pt idx="215">
                  <c:v>44874</c:v>
                </c:pt>
                <c:pt idx="216">
                  <c:v>44875</c:v>
                </c:pt>
                <c:pt idx="217">
                  <c:v>44876</c:v>
                </c:pt>
                <c:pt idx="218">
                  <c:v>44879</c:v>
                </c:pt>
                <c:pt idx="219">
                  <c:v>44880</c:v>
                </c:pt>
                <c:pt idx="220">
                  <c:v>44881</c:v>
                </c:pt>
                <c:pt idx="221">
                  <c:v>44882</c:v>
                </c:pt>
                <c:pt idx="222">
                  <c:v>44883</c:v>
                </c:pt>
                <c:pt idx="223">
                  <c:v>44886</c:v>
                </c:pt>
                <c:pt idx="224">
                  <c:v>44887</c:v>
                </c:pt>
                <c:pt idx="225">
                  <c:v>44888</c:v>
                </c:pt>
                <c:pt idx="226">
                  <c:v>44890</c:v>
                </c:pt>
                <c:pt idx="227">
                  <c:v>44893</c:v>
                </c:pt>
                <c:pt idx="228">
                  <c:v>44894</c:v>
                </c:pt>
                <c:pt idx="229">
                  <c:v>44895</c:v>
                </c:pt>
                <c:pt idx="230">
                  <c:v>44896</c:v>
                </c:pt>
                <c:pt idx="231">
                  <c:v>44897</c:v>
                </c:pt>
                <c:pt idx="232">
                  <c:v>44900</c:v>
                </c:pt>
                <c:pt idx="233">
                  <c:v>44901</c:v>
                </c:pt>
                <c:pt idx="234">
                  <c:v>44902</c:v>
                </c:pt>
                <c:pt idx="235">
                  <c:v>44903</c:v>
                </c:pt>
                <c:pt idx="236">
                  <c:v>44904</c:v>
                </c:pt>
                <c:pt idx="237">
                  <c:v>44907</c:v>
                </c:pt>
                <c:pt idx="238">
                  <c:v>44908</c:v>
                </c:pt>
                <c:pt idx="239">
                  <c:v>44909</c:v>
                </c:pt>
                <c:pt idx="240">
                  <c:v>44910</c:v>
                </c:pt>
                <c:pt idx="241">
                  <c:v>44911</c:v>
                </c:pt>
                <c:pt idx="242">
                  <c:v>44914</c:v>
                </c:pt>
                <c:pt idx="243">
                  <c:v>44915</c:v>
                </c:pt>
                <c:pt idx="244">
                  <c:v>44916</c:v>
                </c:pt>
                <c:pt idx="245">
                  <c:v>44917</c:v>
                </c:pt>
                <c:pt idx="246">
                  <c:v>44918</c:v>
                </c:pt>
                <c:pt idx="247">
                  <c:v>44922</c:v>
                </c:pt>
                <c:pt idx="248">
                  <c:v>44923</c:v>
                </c:pt>
                <c:pt idx="249">
                  <c:v>44924</c:v>
                </c:pt>
                <c:pt idx="250">
                  <c:v>44925</c:v>
                </c:pt>
                <c:pt idx="251">
                  <c:v>44929</c:v>
                </c:pt>
                <c:pt idx="252">
                  <c:v>44930</c:v>
                </c:pt>
                <c:pt idx="253">
                  <c:v>44931</c:v>
                </c:pt>
                <c:pt idx="254">
                  <c:v>44932</c:v>
                </c:pt>
                <c:pt idx="255">
                  <c:v>44935</c:v>
                </c:pt>
                <c:pt idx="256">
                  <c:v>44936</c:v>
                </c:pt>
                <c:pt idx="257">
                  <c:v>44937</c:v>
                </c:pt>
                <c:pt idx="258">
                  <c:v>44938</c:v>
                </c:pt>
                <c:pt idx="259">
                  <c:v>44939</c:v>
                </c:pt>
                <c:pt idx="260">
                  <c:v>44943</c:v>
                </c:pt>
                <c:pt idx="261">
                  <c:v>44944</c:v>
                </c:pt>
                <c:pt idx="262">
                  <c:v>44945</c:v>
                </c:pt>
                <c:pt idx="263">
                  <c:v>44946</c:v>
                </c:pt>
                <c:pt idx="264">
                  <c:v>44949</c:v>
                </c:pt>
                <c:pt idx="265">
                  <c:v>44950</c:v>
                </c:pt>
                <c:pt idx="266">
                  <c:v>44951</c:v>
                </c:pt>
                <c:pt idx="267">
                  <c:v>44952</c:v>
                </c:pt>
                <c:pt idx="268">
                  <c:v>44953</c:v>
                </c:pt>
                <c:pt idx="269">
                  <c:v>44956</c:v>
                </c:pt>
                <c:pt idx="270">
                  <c:v>44957</c:v>
                </c:pt>
                <c:pt idx="271">
                  <c:v>44958</c:v>
                </c:pt>
                <c:pt idx="272">
                  <c:v>44959</c:v>
                </c:pt>
                <c:pt idx="273">
                  <c:v>44960</c:v>
                </c:pt>
                <c:pt idx="274">
                  <c:v>44963</c:v>
                </c:pt>
                <c:pt idx="275">
                  <c:v>44964</c:v>
                </c:pt>
                <c:pt idx="276">
                  <c:v>44965</c:v>
                </c:pt>
                <c:pt idx="277">
                  <c:v>44966</c:v>
                </c:pt>
                <c:pt idx="278">
                  <c:v>44967</c:v>
                </c:pt>
                <c:pt idx="279">
                  <c:v>44970</c:v>
                </c:pt>
                <c:pt idx="280">
                  <c:v>44971</c:v>
                </c:pt>
                <c:pt idx="281">
                  <c:v>44972</c:v>
                </c:pt>
                <c:pt idx="282">
                  <c:v>44973</c:v>
                </c:pt>
                <c:pt idx="283">
                  <c:v>44974</c:v>
                </c:pt>
                <c:pt idx="284">
                  <c:v>44978</c:v>
                </c:pt>
                <c:pt idx="285">
                  <c:v>44979</c:v>
                </c:pt>
                <c:pt idx="286">
                  <c:v>44980</c:v>
                </c:pt>
                <c:pt idx="287">
                  <c:v>44981</c:v>
                </c:pt>
                <c:pt idx="288">
                  <c:v>44984</c:v>
                </c:pt>
                <c:pt idx="289">
                  <c:v>44985</c:v>
                </c:pt>
                <c:pt idx="290">
                  <c:v>44986</c:v>
                </c:pt>
                <c:pt idx="291">
                  <c:v>44987</c:v>
                </c:pt>
                <c:pt idx="292">
                  <c:v>44988</c:v>
                </c:pt>
                <c:pt idx="293">
                  <c:v>44991</c:v>
                </c:pt>
                <c:pt idx="294">
                  <c:v>44992</c:v>
                </c:pt>
                <c:pt idx="295">
                  <c:v>44993</c:v>
                </c:pt>
                <c:pt idx="296">
                  <c:v>44994</c:v>
                </c:pt>
                <c:pt idx="297">
                  <c:v>44995</c:v>
                </c:pt>
                <c:pt idx="298">
                  <c:v>44998</c:v>
                </c:pt>
                <c:pt idx="299">
                  <c:v>44999</c:v>
                </c:pt>
                <c:pt idx="300">
                  <c:v>45000</c:v>
                </c:pt>
              </c:numCache>
            </c:numRef>
          </c:cat>
          <c:val>
            <c:numRef>
              <c:f>Charts!$B$317:$KP$317</c:f>
              <c:numCache>
                <c:formatCode>General</c:formatCode>
                <c:ptCount val="301"/>
                <c:pt idx="0">
                  <c:v>1199.78</c:v>
                </c:pt>
                <c:pt idx="1">
                  <c:v>1149.5899999999999</c:v>
                </c:pt>
                <c:pt idx="2">
                  <c:v>1088.1199999999999</c:v>
                </c:pt>
                <c:pt idx="3">
                  <c:v>1064.7</c:v>
                </c:pt>
                <c:pt idx="4">
                  <c:v>1026.96</c:v>
                </c:pt>
                <c:pt idx="5">
                  <c:v>1058.1199999999999</c:v>
                </c:pt>
                <c:pt idx="6">
                  <c:v>1064.4000000000001</c:v>
                </c:pt>
                <c:pt idx="7">
                  <c:v>1106.22</c:v>
                </c:pt>
                <c:pt idx="8">
                  <c:v>1031.56</c:v>
                </c:pt>
                <c:pt idx="9">
                  <c:v>1049.6099999999999</c:v>
                </c:pt>
                <c:pt idx="10">
                  <c:v>1030.51</c:v>
                </c:pt>
                <c:pt idx="11">
                  <c:v>995.65</c:v>
                </c:pt>
                <c:pt idx="12">
                  <c:v>996.27</c:v>
                </c:pt>
                <c:pt idx="13">
                  <c:v>943.9</c:v>
                </c:pt>
                <c:pt idx="14">
                  <c:v>930</c:v>
                </c:pt>
                <c:pt idx="15">
                  <c:v>918.4</c:v>
                </c:pt>
                <c:pt idx="16">
                  <c:v>937.41</c:v>
                </c:pt>
                <c:pt idx="17">
                  <c:v>829.1</c:v>
                </c:pt>
                <c:pt idx="18">
                  <c:v>846.35</c:v>
                </c:pt>
                <c:pt idx="19">
                  <c:v>936.72</c:v>
                </c:pt>
                <c:pt idx="20">
                  <c:v>931.25</c:v>
                </c:pt>
                <c:pt idx="21">
                  <c:v>905.66</c:v>
                </c:pt>
                <c:pt idx="22">
                  <c:v>891.14</c:v>
                </c:pt>
                <c:pt idx="23">
                  <c:v>923.32</c:v>
                </c:pt>
                <c:pt idx="24">
                  <c:v>907.34</c:v>
                </c:pt>
                <c:pt idx="25">
                  <c:v>922</c:v>
                </c:pt>
                <c:pt idx="26">
                  <c:v>932</c:v>
                </c:pt>
                <c:pt idx="27">
                  <c:v>904.55</c:v>
                </c:pt>
                <c:pt idx="28">
                  <c:v>860</c:v>
                </c:pt>
                <c:pt idx="29">
                  <c:v>875.76</c:v>
                </c:pt>
                <c:pt idx="30">
                  <c:v>922.43</c:v>
                </c:pt>
                <c:pt idx="31">
                  <c:v>923.39</c:v>
                </c:pt>
                <c:pt idx="32">
                  <c:v>876.35</c:v>
                </c:pt>
                <c:pt idx="33">
                  <c:v>856.98</c:v>
                </c:pt>
                <c:pt idx="34">
                  <c:v>821.53</c:v>
                </c:pt>
                <c:pt idx="35">
                  <c:v>764.04</c:v>
                </c:pt>
                <c:pt idx="36">
                  <c:v>800.77</c:v>
                </c:pt>
                <c:pt idx="37">
                  <c:v>809.87</c:v>
                </c:pt>
                <c:pt idx="38">
                  <c:v>870.43</c:v>
                </c:pt>
                <c:pt idx="39">
                  <c:v>864.37</c:v>
                </c:pt>
                <c:pt idx="40">
                  <c:v>879.89</c:v>
                </c:pt>
                <c:pt idx="41">
                  <c:v>839.29</c:v>
                </c:pt>
                <c:pt idx="42">
                  <c:v>838.29</c:v>
                </c:pt>
                <c:pt idx="43">
                  <c:v>804.58</c:v>
                </c:pt>
                <c:pt idx="44">
                  <c:v>824.4</c:v>
                </c:pt>
                <c:pt idx="45">
                  <c:v>858.97</c:v>
                </c:pt>
                <c:pt idx="46">
                  <c:v>838.3</c:v>
                </c:pt>
                <c:pt idx="47">
                  <c:v>795.35</c:v>
                </c:pt>
                <c:pt idx="48">
                  <c:v>766.37</c:v>
                </c:pt>
                <c:pt idx="49">
                  <c:v>801.89</c:v>
                </c:pt>
                <c:pt idx="50">
                  <c:v>840.23</c:v>
                </c:pt>
                <c:pt idx="51">
                  <c:v>871.6</c:v>
                </c:pt>
                <c:pt idx="52">
                  <c:v>905.39</c:v>
                </c:pt>
                <c:pt idx="53">
                  <c:v>921.16</c:v>
                </c:pt>
                <c:pt idx="54">
                  <c:v>993.98</c:v>
                </c:pt>
                <c:pt idx="55">
                  <c:v>999.11</c:v>
                </c:pt>
                <c:pt idx="56">
                  <c:v>1013.92</c:v>
                </c:pt>
                <c:pt idx="57">
                  <c:v>1010.64</c:v>
                </c:pt>
                <c:pt idx="58">
                  <c:v>1091.8399999999999</c:v>
                </c:pt>
                <c:pt idx="59">
                  <c:v>1099.57</c:v>
                </c:pt>
                <c:pt idx="60">
                  <c:v>1093.99</c:v>
                </c:pt>
                <c:pt idx="61">
                  <c:v>1077.5999999999999</c:v>
                </c:pt>
                <c:pt idx="62">
                  <c:v>1084.5899999999999</c:v>
                </c:pt>
                <c:pt idx="63">
                  <c:v>1145.45</c:v>
                </c:pt>
                <c:pt idx="64">
                  <c:v>1091.26</c:v>
                </c:pt>
                <c:pt idx="65">
                  <c:v>1045.76</c:v>
                </c:pt>
                <c:pt idx="66">
                  <c:v>1057.26</c:v>
                </c:pt>
                <c:pt idx="67">
                  <c:v>1025.49</c:v>
                </c:pt>
                <c:pt idx="68">
                  <c:v>975.93</c:v>
                </c:pt>
                <c:pt idx="69">
                  <c:v>986.95</c:v>
                </c:pt>
                <c:pt idx="70">
                  <c:v>1022.37</c:v>
                </c:pt>
                <c:pt idx="71">
                  <c:v>985</c:v>
                </c:pt>
                <c:pt idx="72">
                  <c:v>1004.29</c:v>
                </c:pt>
                <c:pt idx="73">
                  <c:v>1028.1500000000001</c:v>
                </c:pt>
                <c:pt idx="74">
                  <c:v>977.2</c:v>
                </c:pt>
                <c:pt idx="75">
                  <c:v>1008.78</c:v>
                </c:pt>
                <c:pt idx="76">
                  <c:v>1005.05</c:v>
                </c:pt>
                <c:pt idx="77">
                  <c:v>998.02</c:v>
                </c:pt>
                <c:pt idx="78">
                  <c:v>876.42</c:v>
                </c:pt>
                <c:pt idx="79">
                  <c:v>881.51</c:v>
                </c:pt>
                <c:pt idx="80">
                  <c:v>877.51</c:v>
                </c:pt>
                <c:pt idx="81">
                  <c:v>870.76</c:v>
                </c:pt>
                <c:pt idx="82">
                  <c:v>902.94</c:v>
                </c:pt>
                <c:pt idx="83">
                  <c:v>909.25</c:v>
                </c:pt>
                <c:pt idx="84">
                  <c:v>952.62</c:v>
                </c:pt>
                <c:pt idx="85">
                  <c:v>873.28</c:v>
                </c:pt>
                <c:pt idx="86">
                  <c:v>865.65</c:v>
                </c:pt>
                <c:pt idx="87">
                  <c:v>787.11</c:v>
                </c:pt>
                <c:pt idx="88">
                  <c:v>800.04</c:v>
                </c:pt>
                <c:pt idx="89">
                  <c:v>734</c:v>
                </c:pt>
                <c:pt idx="90">
                  <c:v>728</c:v>
                </c:pt>
                <c:pt idx="91">
                  <c:v>769.59</c:v>
                </c:pt>
                <c:pt idx="92">
                  <c:v>724.37</c:v>
                </c:pt>
                <c:pt idx="93">
                  <c:v>761.61</c:v>
                </c:pt>
                <c:pt idx="94">
                  <c:v>709.81</c:v>
                </c:pt>
                <c:pt idx="95">
                  <c:v>709.42</c:v>
                </c:pt>
                <c:pt idx="96">
                  <c:v>663.9</c:v>
                </c:pt>
                <c:pt idx="97">
                  <c:v>674.9</c:v>
                </c:pt>
                <c:pt idx="98">
                  <c:v>628.16</c:v>
                </c:pt>
                <c:pt idx="99">
                  <c:v>658.8</c:v>
                </c:pt>
                <c:pt idx="100">
                  <c:v>707.73</c:v>
                </c:pt>
                <c:pt idx="101">
                  <c:v>759.63</c:v>
                </c:pt>
                <c:pt idx="102">
                  <c:v>758.26</c:v>
                </c:pt>
                <c:pt idx="103">
                  <c:v>740.37</c:v>
                </c:pt>
                <c:pt idx="104">
                  <c:v>775</c:v>
                </c:pt>
                <c:pt idx="105">
                  <c:v>703.55</c:v>
                </c:pt>
                <c:pt idx="106">
                  <c:v>714.84</c:v>
                </c:pt>
                <c:pt idx="107">
                  <c:v>716.66</c:v>
                </c:pt>
                <c:pt idx="108">
                  <c:v>725.6</c:v>
                </c:pt>
                <c:pt idx="109">
                  <c:v>719.12</c:v>
                </c:pt>
                <c:pt idx="110">
                  <c:v>696.69</c:v>
                </c:pt>
                <c:pt idx="111">
                  <c:v>647.21</c:v>
                </c:pt>
                <c:pt idx="112">
                  <c:v>662.67</c:v>
                </c:pt>
                <c:pt idx="113">
                  <c:v>699</c:v>
                </c:pt>
                <c:pt idx="114">
                  <c:v>639.29999999999995</c:v>
                </c:pt>
                <c:pt idx="115">
                  <c:v>650.28</c:v>
                </c:pt>
                <c:pt idx="116">
                  <c:v>711.11</c:v>
                </c:pt>
                <c:pt idx="117">
                  <c:v>708.26</c:v>
                </c:pt>
                <c:pt idx="118">
                  <c:v>705.21</c:v>
                </c:pt>
                <c:pt idx="119">
                  <c:v>737.12</c:v>
                </c:pt>
                <c:pt idx="120">
                  <c:v>734.76</c:v>
                </c:pt>
                <c:pt idx="121">
                  <c:v>697.99</c:v>
                </c:pt>
                <c:pt idx="122">
                  <c:v>685.47</c:v>
                </c:pt>
                <c:pt idx="123">
                  <c:v>673.42</c:v>
                </c:pt>
                <c:pt idx="124">
                  <c:v>681.79</c:v>
                </c:pt>
                <c:pt idx="125">
                  <c:v>699.2</c:v>
                </c:pt>
                <c:pt idx="126">
                  <c:v>695.2</c:v>
                </c:pt>
                <c:pt idx="127">
                  <c:v>733.63</c:v>
                </c:pt>
                <c:pt idx="128">
                  <c:v>752.29</c:v>
                </c:pt>
                <c:pt idx="129">
                  <c:v>703.03</c:v>
                </c:pt>
                <c:pt idx="130">
                  <c:v>699.21</c:v>
                </c:pt>
                <c:pt idx="131">
                  <c:v>711.12</c:v>
                </c:pt>
                <c:pt idx="132">
                  <c:v>714.94</c:v>
                </c:pt>
                <c:pt idx="133">
                  <c:v>720.2</c:v>
                </c:pt>
                <c:pt idx="134">
                  <c:v>721.64</c:v>
                </c:pt>
                <c:pt idx="135">
                  <c:v>736.59</c:v>
                </c:pt>
                <c:pt idx="136">
                  <c:v>742.5</c:v>
                </c:pt>
                <c:pt idx="137">
                  <c:v>815.12</c:v>
                </c:pt>
                <c:pt idx="138">
                  <c:v>816.73</c:v>
                </c:pt>
                <c:pt idx="139">
                  <c:v>805.3</c:v>
                </c:pt>
                <c:pt idx="140">
                  <c:v>776.58</c:v>
                </c:pt>
                <c:pt idx="141">
                  <c:v>824.46</c:v>
                </c:pt>
                <c:pt idx="142">
                  <c:v>842.7</c:v>
                </c:pt>
                <c:pt idx="143">
                  <c:v>891.45</c:v>
                </c:pt>
                <c:pt idx="144">
                  <c:v>891.83</c:v>
                </c:pt>
                <c:pt idx="145">
                  <c:v>901.76</c:v>
                </c:pt>
                <c:pt idx="146">
                  <c:v>922.19</c:v>
                </c:pt>
                <c:pt idx="147">
                  <c:v>925.9</c:v>
                </c:pt>
                <c:pt idx="148">
                  <c:v>864.51</c:v>
                </c:pt>
                <c:pt idx="149">
                  <c:v>871.27</c:v>
                </c:pt>
                <c:pt idx="150">
                  <c:v>850</c:v>
                </c:pt>
                <c:pt idx="151">
                  <c:v>883.07</c:v>
                </c:pt>
                <c:pt idx="152">
                  <c:v>859.89</c:v>
                </c:pt>
                <c:pt idx="153">
                  <c:v>900.09</c:v>
                </c:pt>
                <c:pt idx="154">
                  <c:v>927.96</c:v>
                </c:pt>
                <c:pt idx="155">
                  <c:v>919.69</c:v>
                </c:pt>
                <c:pt idx="156">
                  <c:v>911.99</c:v>
                </c:pt>
                <c:pt idx="157">
                  <c:v>908.61</c:v>
                </c:pt>
                <c:pt idx="158">
                  <c:v>890</c:v>
                </c:pt>
                <c:pt idx="159">
                  <c:v>869.74</c:v>
                </c:pt>
                <c:pt idx="160">
                  <c:v>889.36</c:v>
                </c:pt>
                <c:pt idx="161">
                  <c:v>891.29</c:v>
                </c:pt>
                <c:pt idx="162">
                  <c:v>296.07</c:v>
                </c:pt>
                <c:pt idx="163">
                  <c:v>288.08999999999997</c:v>
                </c:pt>
                <c:pt idx="164">
                  <c:v>284.82</c:v>
                </c:pt>
                <c:pt idx="165">
                  <c:v>277.7</c:v>
                </c:pt>
                <c:pt idx="166">
                  <c:v>275.61</c:v>
                </c:pt>
                <c:pt idx="167">
                  <c:v>277.16000000000003</c:v>
                </c:pt>
                <c:pt idx="168">
                  <c:v>270.20999999999998</c:v>
                </c:pt>
                <c:pt idx="169">
                  <c:v>274.42</c:v>
                </c:pt>
                <c:pt idx="170">
                  <c:v>283.7</c:v>
                </c:pt>
                <c:pt idx="171">
                  <c:v>289.26</c:v>
                </c:pt>
                <c:pt idx="172">
                  <c:v>299.68</c:v>
                </c:pt>
                <c:pt idx="173">
                  <c:v>304.42</c:v>
                </c:pt>
                <c:pt idx="174">
                  <c:v>292.13</c:v>
                </c:pt>
                <c:pt idx="175">
                  <c:v>302.61</c:v>
                </c:pt>
                <c:pt idx="176">
                  <c:v>303.75</c:v>
                </c:pt>
                <c:pt idx="177">
                  <c:v>303.35000000000002</c:v>
                </c:pt>
                <c:pt idx="178">
                  <c:v>309.07</c:v>
                </c:pt>
                <c:pt idx="179">
                  <c:v>308.73</c:v>
                </c:pt>
                <c:pt idx="180">
                  <c:v>300.8</c:v>
                </c:pt>
                <c:pt idx="181">
                  <c:v>288.58999999999997</c:v>
                </c:pt>
                <c:pt idx="182">
                  <c:v>275.33</c:v>
                </c:pt>
                <c:pt idx="183">
                  <c:v>276.01</c:v>
                </c:pt>
                <c:pt idx="184">
                  <c:v>282.94</c:v>
                </c:pt>
                <c:pt idx="185">
                  <c:v>287.81</c:v>
                </c:pt>
                <c:pt idx="186">
                  <c:v>268.20999999999998</c:v>
                </c:pt>
                <c:pt idx="187">
                  <c:v>265.25</c:v>
                </c:pt>
                <c:pt idx="188">
                  <c:v>242.4</c:v>
                </c:pt>
                <c:pt idx="189">
                  <c:v>249.44</c:v>
                </c:pt>
                <c:pt idx="190">
                  <c:v>240.81</c:v>
                </c:pt>
                <c:pt idx="191">
                  <c:v>238.13</c:v>
                </c:pt>
                <c:pt idx="192">
                  <c:v>223.07</c:v>
                </c:pt>
                <c:pt idx="193">
                  <c:v>222.96</c:v>
                </c:pt>
                <c:pt idx="194">
                  <c:v>216.5</c:v>
                </c:pt>
                <c:pt idx="195">
                  <c:v>217.24</c:v>
                </c:pt>
                <c:pt idx="196">
                  <c:v>221.72</c:v>
                </c:pt>
                <c:pt idx="197">
                  <c:v>204.99</c:v>
                </c:pt>
                <c:pt idx="198">
                  <c:v>219.35</c:v>
                </c:pt>
                <c:pt idx="199">
                  <c:v>220.19</c:v>
                </c:pt>
                <c:pt idx="200">
                  <c:v>222.04</c:v>
                </c:pt>
                <c:pt idx="201">
                  <c:v>207.28</c:v>
                </c:pt>
                <c:pt idx="202">
                  <c:v>214.44</c:v>
                </c:pt>
                <c:pt idx="203">
                  <c:v>211.25</c:v>
                </c:pt>
                <c:pt idx="204">
                  <c:v>222.42</c:v>
                </c:pt>
                <c:pt idx="205">
                  <c:v>224.64</c:v>
                </c:pt>
                <c:pt idx="206">
                  <c:v>225.09</c:v>
                </c:pt>
                <c:pt idx="207">
                  <c:v>228.52</c:v>
                </c:pt>
                <c:pt idx="208">
                  <c:v>227.54</c:v>
                </c:pt>
                <c:pt idx="209">
                  <c:v>227.82</c:v>
                </c:pt>
                <c:pt idx="210">
                  <c:v>214.98</c:v>
                </c:pt>
                <c:pt idx="211">
                  <c:v>215.31</c:v>
                </c:pt>
                <c:pt idx="212">
                  <c:v>207.47</c:v>
                </c:pt>
                <c:pt idx="213">
                  <c:v>197.08</c:v>
                </c:pt>
                <c:pt idx="214">
                  <c:v>191.3</c:v>
                </c:pt>
                <c:pt idx="215">
                  <c:v>177.59</c:v>
                </c:pt>
                <c:pt idx="216">
                  <c:v>190.72</c:v>
                </c:pt>
                <c:pt idx="217">
                  <c:v>195.97</c:v>
                </c:pt>
                <c:pt idx="218">
                  <c:v>190.95</c:v>
                </c:pt>
                <c:pt idx="219">
                  <c:v>194.42</c:v>
                </c:pt>
                <c:pt idx="220">
                  <c:v>186.92</c:v>
                </c:pt>
                <c:pt idx="221">
                  <c:v>183.17</c:v>
                </c:pt>
                <c:pt idx="222">
                  <c:v>180.19</c:v>
                </c:pt>
                <c:pt idx="223">
                  <c:v>167.87</c:v>
                </c:pt>
                <c:pt idx="224">
                  <c:v>169.91</c:v>
                </c:pt>
                <c:pt idx="225">
                  <c:v>183.2</c:v>
                </c:pt>
                <c:pt idx="226">
                  <c:v>182.86</c:v>
                </c:pt>
                <c:pt idx="227">
                  <c:v>182.92</c:v>
                </c:pt>
                <c:pt idx="228">
                  <c:v>180.83</c:v>
                </c:pt>
                <c:pt idx="229">
                  <c:v>194.7</c:v>
                </c:pt>
                <c:pt idx="230">
                  <c:v>194.7</c:v>
                </c:pt>
                <c:pt idx="231">
                  <c:v>194.86</c:v>
                </c:pt>
                <c:pt idx="232">
                  <c:v>182.45</c:v>
                </c:pt>
                <c:pt idx="233">
                  <c:v>179.82</c:v>
                </c:pt>
                <c:pt idx="234">
                  <c:v>174.04</c:v>
                </c:pt>
                <c:pt idx="235">
                  <c:v>173.44</c:v>
                </c:pt>
                <c:pt idx="236">
                  <c:v>179.05</c:v>
                </c:pt>
                <c:pt idx="237">
                  <c:v>167.82</c:v>
                </c:pt>
                <c:pt idx="238">
                  <c:v>160.94999999999999</c:v>
                </c:pt>
                <c:pt idx="239">
                  <c:v>156.80000000000001</c:v>
                </c:pt>
                <c:pt idx="240">
                  <c:v>157.66999999999999</c:v>
                </c:pt>
                <c:pt idx="241">
                  <c:v>150.22999999999999</c:v>
                </c:pt>
                <c:pt idx="242">
                  <c:v>149.87</c:v>
                </c:pt>
                <c:pt idx="243">
                  <c:v>137.80000000000001</c:v>
                </c:pt>
                <c:pt idx="244">
                  <c:v>137.57</c:v>
                </c:pt>
                <c:pt idx="245">
                  <c:v>125.35</c:v>
                </c:pt>
                <c:pt idx="246">
                  <c:v>123.15</c:v>
                </c:pt>
                <c:pt idx="247">
                  <c:v>109.1</c:v>
                </c:pt>
                <c:pt idx="248">
                  <c:v>112.71</c:v>
                </c:pt>
                <c:pt idx="249">
                  <c:v>121.82</c:v>
                </c:pt>
                <c:pt idx="250">
                  <c:v>123.18</c:v>
                </c:pt>
                <c:pt idx="251">
                  <c:v>108.1</c:v>
                </c:pt>
                <c:pt idx="252">
                  <c:v>113.64</c:v>
                </c:pt>
                <c:pt idx="253">
                  <c:v>110.34</c:v>
                </c:pt>
                <c:pt idx="254">
                  <c:v>113.06</c:v>
                </c:pt>
                <c:pt idx="255">
                  <c:v>119.77</c:v>
                </c:pt>
                <c:pt idx="256">
                  <c:v>118.85</c:v>
                </c:pt>
                <c:pt idx="257">
                  <c:v>123.22</c:v>
                </c:pt>
                <c:pt idx="258">
                  <c:v>123.56</c:v>
                </c:pt>
                <c:pt idx="259">
                  <c:v>122.4</c:v>
                </c:pt>
                <c:pt idx="260">
                  <c:v>131.49</c:v>
                </c:pt>
                <c:pt idx="261">
                  <c:v>128.78</c:v>
                </c:pt>
                <c:pt idx="262">
                  <c:v>127.17</c:v>
                </c:pt>
                <c:pt idx="263">
                  <c:v>133.41999999999999</c:v>
                </c:pt>
                <c:pt idx="264">
                  <c:v>143.75</c:v>
                </c:pt>
                <c:pt idx="265">
                  <c:v>143.88999999999999</c:v>
                </c:pt>
                <c:pt idx="266">
                  <c:v>144.43</c:v>
                </c:pt>
                <c:pt idx="267">
                  <c:v>160.27000000000001</c:v>
                </c:pt>
                <c:pt idx="268">
                  <c:v>177.9</c:v>
                </c:pt>
                <c:pt idx="269">
                  <c:v>166.66</c:v>
                </c:pt>
                <c:pt idx="270">
                  <c:v>173.22</c:v>
                </c:pt>
                <c:pt idx="271">
                  <c:v>181.41</c:v>
                </c:pt>
                <c:pt idx="272">
                  <c:v>188.27</c:v>
                </c:pt>
                <c:pt idx="273">
                  <c:v>189.98</c:v>
                </c:pt>
                <c:pt idx="274">
                  <c:v>194.76</c:v>
                </c:pt>
                <c:pt idx="275">
                  <c:v>196.81</c:v>
                </c:pt>
                <c:pt idx="276">
                  <c:v>201.29</c:v>
                </c:pt>
                <c:pt idx="277">
                  <c:v>207.32</c:v>
                </c:pt>
                <c:pt idx="278">
                  <c:v>196.89</c:v>
                </c:pt>
                <c:pt idx="279">
                  <c:v>194.64</c:v>
                </c:pt>
                <c:pt idx="280">
                  <c:v>209.25</c:v>
                </c:pt>
                <c:pt idx="281">
                  <c:v>214.24</c:v>
                </c:pt>
                <c:pt idx="282">
                  <c:v>202.04</c:v>
                </c:pt>
                <c:pt idx="283">
                  <c:v>208.31</c:v>
                </c:pt>
                <c:pt idx="284">
                  <c:v>197.37</c:v>
                </c:pt>
                <c:pt idx="285">
                  <c:v>200.86</c:v>
                </c:pt>
                <c:pt idx="286">
                  <c:v>202.07</c:v>
                </c:pt>
                <c:pt idx="287">
                  <c:v>196.88</c:v>
                </c:pt>
                <c:pt idx="288">
                  <c:v>207.63</c:v>
                </c:pt>
                <c:pt idx="289">
                  <c:v>205.71</c:v>
                </c:pt>
                <c:pt idx="290">
                  <c:v>202.77</c:v>
                </c:pt>
                <c:pt idx="291">
                  <c:v>190.9</c:v>
                </c:pt>
                <c:pt idx="292">
                  <c:v>197.79</c:v>
                </c:pt>
                <c:pt idx="293">
                  <c:v>193.81</c:v>
                </c:pt>
                <c:pt idx="294">
                  <c:v>187.71</c:v>
                </c:pt>
                <c:pt idx="295">
                  <c:v>182</c:v>
                </c:pt>
                <c:pt idx="296">
                  <c:v>172.92</c:v>
                </c:pt>
                <c:pt idx="297">
                  <c:v>173.44</c:v>
                </c:pt>
                <c:pt idx="298">
                  <c:v>174.48</c:v>
                </c:pt>
                <c:pt idx="299">
                  <c:v>183.26</c:v>
                </c:pt>
                <c:pt idx="300">
                  <c:v>180.45</c:v>
                </c:pt>
              </c:numCache>
            </c:numRef>
          </c:val>
          <c:smooth val="0"/>
          <c:extLst>
            <c:ext xmlns:c16="http://schemas.microsoft.com/office/drawing/2014/chart" uri="{C3380CC4-5D6E-409C-BE32-E72D297353CC}">
              <c16:uniqueId val="{00000002-CBC8-49B8-B28F-36BCE44ECDAC}"/>
            </c:ext>
          </c:extLst>
        </c:ser>
        <c:dLbls>
          <c:showLegendKey val="0"/>
          <c:showVal val="0"/>
          <c:showCatName val="0"/>
          <c:showSerName val="0"/>
          <c:showPercent val="0"/>
          <c:showBubbleSize val="0"/>
        </c:dLbls>
        <c:smooth val="0"/>
        <c:axId val="672922312"/>
        <c:axId val="672912232"/>
      </c:lineChart>
      <c:dateAx>
        <c:axId val="6729223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zh-CN"/>
          </a:p>
        </c:txPr>
        <c:crossAx val="672912232"/>
        <c:crosses val="autoZero"/>
        <c:auto val="1"/>
        <c:lblOffset val="100"/>
        <c:baseTimeUnit val="days"/>
      </c:dateAx>
      <c:valAx>
        <c:axId val="672912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2922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Charts!$A$337</c:f>
              <c:strCache>
                <c:ptCount val="1"/>
                <c:pt idx="0">
                  <c:v>PE</c:v>
                </c:pt>
              </c:strCache>
            </c:strRef>
          </c:tx>
          <c:spPr>
            <a:ln w="28575" cap="rnd">
              <a:solidFill>
                <a:schemeClr val="accent1"/>
              </a:solidFill>
              <a:round/>
            </a:ln>
            <a:effectLst/>
          </c:spPr>
          <c:marker>
            <c:symbol val="none"/>
          </c:marker>
          <c:cat>
            <c:numRef>
              <c:f>Charts!$B$336:$ACW$336</c:f>
              <c:numCache>
                <c:formatCode>m/d/yyyy</c:formatCode>
                <c:ptCount val="776"/>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pt idx="253">
                  <c:v>44200</c:v>
                </c:pt>
                <c:pt idx="254">
                  <c:v>44201</c:v>
                </c:pt>
                <c:pt idx="255">
                  <c:v>44202</c:v>
                </c:pt>
                <c:pt idx="256">
                  <c:v>44203</c:v>
                </c:pt>
                <c:pt idx="257">
                  <c:v>44204</c:v>
                </c:pt>
                <c:pt idx="258">
                  <c:v>44207</c:v>
                </c:pt>
                <c:pt idx="259">
                  <c:v>44208</c:v>
                </c:pt>
                <c:pt idx="260">
                  <c:v>44209</c:v>
                </c:pt>
                <c:pt idx="261">
                  <c:v>44210</c:v>
                </c:pt>
                <c:pt idx="262">
                  <c:v>44211</c:v>
                </c:pt>
                <c:pt idx="263">
                  <c:v>44215</c:v>
                </c:pt>
                <c:pt idx="264">
                  <c:v>44216</c:v>
                </c:pt>
                <c:pt idx="265">
                  <c:v>44217</c:v>
                </c:pt>
                <c:pt idx="266">
                  <c:v>44218</c:v>
                </c:pt>
                <c:pt idx="267">
                  <c:v>44221</c:v>
                </c:pt>
                <c:pt idx="268">
                  <c:v>44222</c:v>
                </c:pt>
                <c:pt idx="269">
                  <c:v>44223</c:v>
                </c:pt>
                <c:pt idx="270">
                  <c:v>44224</c:v>
                </c:pt>
                <c:pt idx="271">
                  <c:v>44225</c:v>
                </c:pt>
                <c:pt idx="272">
                  <c:v>44228</c:v>
                </c:pt>
                <c:pt idx="273">
                  <c:v>44229</c:v>
                </c:pt>
                <c:pt idx="274">
                  <c:v>44230</c:v>
                </c:pt>
                <c:pt idx="275">
                  <c:v>44231</c:v>
                </c:pt>
                <c:pt idx="276">
                  <c:v>44232</c:v>
                </c:pt>
                <c:pt idx="277">
                  <c:v>44235</c:v>
                </c:pt>
                <c:pt idx="278">
                  <c:v>44236</c:v>
                </c:pt>
                <c:pt idx="279">
                  <c:v>44237</c:v>
                </c:pt>
                <c:pt idx="280">
                  <c:v>44238</c:v>
                </c:pt>
                <c:pt idx="281">
                  <c:v>44239</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44266</c:v>
                </c:pt>
                <c:pt idx="300">
                  <c:v>44267</c:v>
                </c:pt>
                <c:pt idx="301">
                  <c:v>44270</c:v>
                </c:pt>
                <c:pt idx="302">
                  <c:v>44271</c:v>
                </c:pt>
                <c:pt idx="303">
                  <c:v>44272</c:v>
                </c:pt>
                <c:pt idx="304">
                  <c:v>44273</c:v>
                </c:pt>
                <c:pt idx="305">
                  <c:v>44274</c:v>
                </c:pt>
                <c:pt idx="306">
                  <c:v>44277</c:v>
                </c:pt>
                <c:pt idx="307">
                  <c:v>44278</c:v>
                </c:pt>
                <c:pt idx="308">
                  <c:v>44279</c:v>
                </c:pt>
                <c:pt idx="309">
                  <c:v>44280</c:v>
                </c:pt>
                <c:pt idx="310">
                  <c:v>44281</c:v>
                </c:pt>
                <c:pt idx="311">
                  <c:v>44284</c:v>
                </c:pt>
                <c:pt idx="312">
                  <c:v>44285</c:v>
                </c:pt>
                <c:pt idx="313">
                  <c:v>44286</c:v>
                </c:pt>
                <c:pt idx="314">
                  <c:v>44287</c:v>
                </c:pt>
                <c:pt idx="315">
                  <c:v>44291</c:v>
                </c:pt>
                <c:pt idx="316">
                  <c:v>44292</c:v>
                </c:pt>
                <c:pt idx="317">
                  <c:v>44293</c:v>
                </c:pt>
                <c:pt idx="318">
                  <c:v>44294</c:v>
                </c:pt>
                <c:pt idx="319">
                  <c:v>44295</c:v>
                </c:pt>
                <c:pt idx="320">
                  <c:v>44298</c:v>
                </c:pt>
                <c:pt idx="321">
                  <c:v>44299</c:v>
                </c:pt>
                <c:pt idx="322">
                  <c:v>44300</c:v>
                </c:pt>
                <c:pt idx="323">
                  <c:v>44301</c:v>
                </c:pt>
                <c:pt idx="324">
                  <c:v>44302</c:v>
                </c:pt>
                <c:pt idx="325">
                  <c:v>44305</c:v>
                </c:pt>
                <c:pt idx="326">
                  <c:v>44306</c:v>
                </c:pt>
                <c:pt idx="327">
                  <c:v>44307</c:v>
                </c:pt>
                <c:pt idx="328">
                  <c:v>44308</c:v>
                </c:pt>
                <c:pt idx="329">
                  <c:v>44309</c:v>
                </c:pt>
                <c:pt idx="330">
                  <c:v>44312</c:v>
                </c:pt>
                <c:pt idx="331">
                  <c:v>44313</c:v>
                </c:pt>
                <c:pt idx="332">
                  <c:v>44314</c:v>
                </c:pt>
                <c:pt idx="333">
                  <c:v>44315</c:v>
                </c:pt>
                <c:pt idx="334">
                  <c:v>44316</c:v>
                </c:pt>
                <c:pt idx="335">
                  <c:v>44319</c:v>
                </c:pt>
                <c:pt idx="336">
                  <c:v>44320</c:v>
                </c:pt>
                <c:pt idx="337">
                  <c:v>44321</c:v>
                </c:pt>
                <c:pt idx="338">
                  <c:v>44322</c:v>
                </c:pt>
                <c:pt idx="339">
                  <c:v>44323</c:v>
                </c:pt>
                <c:pt idx="340">
                  <c:v>44326</c:v>
                </c:pt>
                <c:pt idx="341">
                  <c:v>44327</c:v>
                </c:pt>
                <c:pt idx="342">
                  <c:v>44328</c:v>
                </c:pt>
                <c:pt idx="343">
                  <c:v>44329</c:v>
                </c:pt>
                <c:pt idx="344">
                  <c:v>44330</c:v>
                </c:pt>
                <c:pt idx="345">
                  <c:v>44333</c:v>
                </c:pt>
                <c:pt idx="346">
                  <c:v>44334</c:v>
                </c:pt>
                <c:pt idx="347">
                  <c:v>44335</c:v>
                </c:pt>
                <c:pt idx="348">
                  <c:v>44336</c:v>
                </c:pt>
                <c:pt idx="349">
                  <c:v>44337</c:v>
                </c:pt>
                <c:pt idx="350">
                  <c:v>44340</c:v>
                </c:pt>
                <c:pt idx="351">
                  <c:v>44341</c:v>
                </c:pt>
                <c:pt idx="352">
                  <c:v>44342</c:v>
                </c:pt>
                <c:pt idx="353">
                  <c:v>44343</c:v>
                </c:pt>
                <c:pt idx="354">
                  <c:v>44344</c:v>
                </c:pt>
                <c:pt idx="355">
                  <c:v>44348</c:v>
                </c:pt>
                <c:pt idx="356">
                  <c:v>44349</c:v>
                </c:pt>
                <c:pt idx="357">
                  <c:v>44350</c:v>
                </c:pt>
                <c:pt idx="358">
                  <c:v>44351</c:v>
                </c:pt>
                <c:pt idx="359">
                  <c:v>44354</c:v>
                </c:pt>
                <c:pt idx="360">
                  <c:v>44355</c:v>
                </c:pt>
                <c:pt idx="361">
                  <c:v>44356</c:v>
                </c:pt>
                <c:pt idx="362">
                  <c:v>44357</c:v>
                </c:pt>
                <c:pt idx="363">
                  <c:v>44358</c:v>
                </c:pt>
                <c:pt idx="364">
                  <c:v>44361</c:v>
                </c:pt>
                <c:pt idx="365">
                  <c:v>44362</c:v>
                </c:pt>
                <c:pt idx="366">
                  <c:v>44363</c:v>
                </c:pt>
                <c:pt idx="367">
                  <c:v>44364</c:v>
                </c:pt>
                <c:pt idx="368">
                  <c:v>44365</c:v>
                </c:pt>
                <c:pt idx="369">
                  <c:v>44368</c:v>
                </c:pt>
                <c:pt idx="370">
                  <c:v>44369</c:v>
                </c:pt>
                <c:pt idx="371">
                  <c:v>44370</c:v>
                </c:pt>
                <c:pt idx="372">
                  <c:v>44371</c:v>
                </c:pt>
                <c:pt idx="373">
                  <c:v>44372</c:v>
                </c:pt>
                <c:pt idx="374">
                  <c:v>44375</c:v>
                </c:pt>
                <c:pt idx="375">
                  <c:v>44376</c:v>
                </c:pt>
                <c:pt idx="376">
                  <c:v>44377</c:v>
                </c:pt>
                <c:pt idx="377">
                  <c:v>44378</c:v>
                </c:pt>
                <c:pt idx="378">
                  <c:v>44379</c:v>
                </c:pt>
                <c:pt idx="379">
                  <c:v>44383</c:v>
                </c:pt>
                <c:pt idx="380">
                  <c:v>44384</c:v>
                </c:pt>
                <c:pt idx="381">
                  <c:v>44385</c:v>
                </c:pt>
                <c:pt idx="382">
                  <c:v>44386</c:v>
                </c:pt>
                <c:pt idx="383">
                  <c:v>44389</c:v>
                </c:pt>
                <c:pt idx="384">
                  <c:v>44390</c:v>
                </c:pt>
                <c:pt idx="385">
                  <c:v>44391</c:v>
                </c:pt>
                <c:pt idx="386">
                  <c:v>44392</c:v>
                </c:pt>
                <c:pt idx="387">
                  <c:v>44393</c:v>
                </c:pt>
                <c:pt idx="388">
                  <c:v>44396</c:v>
                </c:pt>
                <c:pt idx="389">
                  <c:v>44397</c:v>
                </c:pt>
                <c:pt idx="390">
                  <c:v>44398</c:v>
                </c:pt>
                <c:pt idx="391">
                  <c:v>44399</c:v>
                </c:pt>
                <c:pt idx="392">
                  <c:v>44400</c:v>
                </c:pt>
                <c:pt idx="393">
                  <c:v>44403</c:v>
                </c:pt>
                <c:pt idx="394">
                  <c:v>44404</c:v>
                </c:pt>
                <c:pt idx="395">
                  <c:v>44405</c:v>
                </c:pt>
                <c:pt idx="396">
                  <c:v>44406</c:v>
                </c:pt>
                <c:pt idx="397">
                  <c:v>44407</c:v>
                </c:pt>
                <c:pt idx="398">
                  <c:v>44410</c:v>
                </c:pt>
                <c:pt idx="399">
                  <c:v>44411</c:v>
                </c:pt>
                <c:pt idx="400">
                  <c:v>44412</c:v>
                </c:pt>
                <c:pt idx="401">
                  <c:v>44413</c:v>
                </c:pt>
                <c:pt idx="402">
                  <c:v>44414</c:v>
                </c:pt>
                <c:pt idx="403">
                  <c:v>44417</c:v>
                </c:pt>
                <c:pt idx="404">
                  <c:v>44418</c:v>
                </c:pt>
                <c:pt idx="405">
                  <c:v>44419</c:v>
                </c:pt>
                <c:pt idx="406">
                  <c:v>44420</c:v>
                </c:pt>
                <c:pt idx="407">
                  <c:v>44421</c:v>
                </c:pt>
                <c:pt idx="408">
                  <c:v>44424</c:v>
                </c:pt>
                <c:pt idx="409">
                  <c:v>44425</c:v>
                </c:pt>
                <c:pt idx="410">
                  <c:v>44426</c:v>
                </c:pt>
                <c:pt idx="411">
                  <c:v>44427</c:v>
                </c:pt>
                <c:pt idx="412">
                  <c:v>44428</c:v>
                </c:pt>
                <c:pt idx="413">
                  <c:v>44431</c:v>
                </c:pt>
                <c:pt idx="414">
                  <c:v>44432</c:v>
                </c:pt>
                <c:pt idx="415">
                  <c:v>44433</c:v>
                </c:pt>
                <c:pt idx="416">
                  <c:v>44434</c:v>
                </c:pt>
                <c:pt idx="417">
                  <c:v>44435</c:v>
                </c:pt>
                <c:pt idx="418">
                  <c:v>44438</c:v>
                </c:pt>
                <c:pt idx="419">
                  <c:v>44439</c:v>
                </c:pt>
                <c:pt idx="420">
                  <c:v>44440</c:v>
                </c:pt>
                <c:pt idx="421">
                  <c:v>44441</c:v>
                </c:pt>
                <c:pt idx="422">
                  <c:v>44442</c:v>
                </c:pt>
                <c:pt idx="423">
                  <c:v>44446</c:v>
                </c:pt>
                <c:pt idx="424">
                  <c:v>44447</c:v>
                </c:pt>
                <c:pt idx="425">
                  <c:v>44448</c:v>
                </c:pt>
                <c:pt idx="426">
                  <c:v>44449</c:v>
                </c:pt>
                <c:pt idx="427">
                  <c:v>44452</c:v>
                </c:pt>
                <c:pt idx="428">
                  <c:v>44453</c:v>
                </c:pt>
                <c:pt idx="429">
                  <c:v>44454</c:v>
                </c:pt>
                <c:pt idx="430">
                  <c:v>44455</c:v>
                </c:pt>
                <c:pt idx="431">
                  <c:v>44456</c:v>
                </c:pt>
                <c:pt idx="432">
                  <c:v>44459</c:v>
                </c:pt>
                <c:pt idx="433">
                  <c:v>44460</c:v>
                </c:pt>
                <c:pt idx="434">
                  <c:v>44461</c:v>
                </c:pt>
                <c:pt idx="435">
                  <c:v>44462</c:v>
                </c:pt>
                <c:pt idx="436">
                  <c:v>44463</c:v>
                </c:pt>
                <c:pt idx="437">
                  <c:v>44466</c:v>
                </c:pt>
                <c:pt idx="438">
                  <c:v>44467</c:v>
                </c:pt>
                <c:pt idx="439">
                  <c:v>44468</c:v>
                </c:pt>
                <c:pt idx="440">
                  <c:v>44469</c:v>
                </c:pt>
                <c:pt idx="441">
                  <c:v>44470</c:v>
                </c:pt>
                <c:pt idx="442">
                  <c:v>44473</c:v>
                </c:pt>
                <c:pt idx="443">
                  <c:v>44474</c:v>
                </c:pt>
                <c:pt idx="444">
                  <c:v>44475</c:v>
                </c:pt>
                <c:pt idx="445">
                  <c:v>44476</c:v>
                </c:pt>
                <c:pt idx="446">
                  <c:v>44477</c:v>
                </c:pt>
                <c:pt idx="447">
                  <c:v>44480</c:v>
                </c:pt>
                <c:pt idx="448">
                  <c:v>44481</c:v>
                </c:pt>
                <c:pt idx="449">
                  <c:v>44482</c:v>
                </c:pt>
                <c:pt idx="450">
                  <c:v>44483</c:v>
                </c:pt>
                <c:pt idx="451">
                  <c:v>44484</c:v>
                </c:pt>
                <c:pt idx="452">
                  <c:v>44487</c:v>
                </c:pt>
                <c:pt idx="453">
                  <c:v>44488</c:v>
                </c:pt>
                <c:pt idx="454">
                  <c:v>44489</c:v>
                </c:pt>
                <c:pt idx="455">
                  <c:v>44490</c:v>
                </c:pt>
                <c:pt idx="456">
                  <c:v>44491</c:v>
                </c:pt>
                <c:pt idx="457">
                  <c:v>44494</c:v>
                </c:pt>
                <c:pt idx="458">
                  <c:v>44495</c:v>
                </c:pt>
                <c:pt idx="459">
                  <c:v>44496</c:v>
                </c:pt>
                <c:pt idx="460">
                  <c:v>44497</c:v>
                </c:pt>
                <c:pt idx="461">
                  <c:v>44498</c:v>
                </c:pt>
                <c:pt idx="462">
                  <c:v>44501</c:v>
                </c:pt>
                <c:pt idx="463">
                  <c:v>44502</c:v>
                </c:pt>
                <c:pt idx="464">
                  <c:v>44503</c:v>
                </c:pt>
                <c:pt idx="465">
                  <c:v>44504</c:v>
                </c:pt>
                <c:pt idx="466">
                  <c:v>44505</c:v>
                </c:pt>
                <c:pt idx="467">
                  <c:v>44508</c:v>
                </c:pt>
                <c:pt idx="468">
                  <c:v>44509</c:v>
                </c:pt>
                <c:pt idx="469">
                  <c:v>44510</c:v>
                </c:pt>
                <c:pt idx="470">
                  <c:v>44511</c:v>
                </c:pt>
                <c:pt idx="471">
                  <c:v>44512</c:v>
                </c:pt>
                <c:pt idx="472">
                  <c:v>44515</c:v>
                </c:pt>
                <c:pt idx="473">
                  <c:v>44516</c:v>
                </c:pt>
                <c:pt idx="474">
                  <c:v>44517</c:v>
                </c:pt>
                <c:pt idx="475">
                  <c:v>44518</c:v>
                </c:pt>
                <c:pt idx="476">
                  <c:v>44519</c:v>
                </c:pt>
                <c:pt idx="477">
                  <c:v>44522</c:v>
                </c:pt>
                <c:pt idx="478">
                  <c:v>44523</c:v>
                </c:pt>
                <c:pt idx="479">
                  <c:v>44524</c:v>
                </c:pt>
                <c:pt idx="480">
                  <c:v>44526</c:v>
                </c:pt>
                <c:pt idx="481">
                  <c:v>44529</c:v>
                </c:pt>
                <c:pt idx="482">
                  <c:v>44530</c:v>
                </c:pt>
                <c:pt idx="483">
                  <c:v>44531</c:v>
                </c:pt>
                <c:pt idx="484">
                  <c:v>44532</c:v>
                </c:pt>
                <c:pt idx="485">
                  <c:v>44533</c:v>
                </c:pt>
                <c:pt idx="486">
                  <c:v>44536</c:v>
                </c:pt>
                <c:pt idx="487">
                  <c:v>44537</c:v>
                </c:pt>
                <c:pt idx="488">
                  <c:v>44538</c:v>
                </c:pt>
                <c:pt idx="489">
                  <c:v>44539</c:v>
                </c:pt>
                <c:pt idx="490">
                  <c:v>44540</c:v>
                </c:pt>
                <c:pt idx="491">
                  <c:v>44543</c:v>
                </c:pt>
                <c:pt idx="492">
                  <c:v>44544</c:v>
                </c:pt>
                <c:pt idx="493">
                  <c:v>44545</c:v>
                </c:pt>
                <c:pt idx="494">
                  <c:v>44546</c:v>
                </c:pt>
                <c:pt idx="495">
                  <c:v>44547</c:v>
                </c:pt>
                <c:pt idx="496">
                  <c:v>44550</c:v>
                </c:pt>
                <c:pt idx="497">
                  <c:v>44551</c:v>
                </c:pt>
                <c:pt idx="498">
                  <c:v>44552</c:v>
                </c:pt>
                <c:pt idx="499">
                  <c:v>44553</c:v>
                </c:pt>
                <c:pt idx="500">
                  <c:v>44557</c:v>
                </c:pt>
                <c:pt idx="501">
                  <c:v>44558</c:v>
                </c:pt>
                <c:pt idx="502">
                  <c:v>44559</c:v>
                </c:pt>
                <c:pt idx="503">
                  <c:v>44560</c:v>
                </c:pt>
                <c:pt idx="504">
                  <c:v>44561</c:v>
                </c:pt>
                <c:pt idx="505">
                  <c:v>44564</c:v>
                </c:pt>
                <c:pt idx="506">
                  <c:v>44565</c:v>
                </c:pt>
                <c:pt idx="507">
                  <c:v>44566</c:v>
                </c:pt>
                <c:pt idx="508">
                  <c:v>44567</c:v>
                </c:pt>
                <c:pt idx="509">
                  <c:v>44568</c:v>
                </c:pt>
                <c:pt idx="510">
                  <c:v>44571</c:v>
                </c:pt>
                <c:pt idx="511">
                  <c:v>44572</c:v>
                </c:pt>
                <c:pt idx="512">
                  <c:v>44573</c:v>
                </c:pt>
                <c:pt idx="513">
                  <c:v>44574</c:v>
                </c:pt>
                <c:pt idx="514">
                  <c:v>44575</c:v>
                </c:pt>
                <c:pt idx="515">
                  <c:v>44579</c:v>
                </c:pt>
                <c:pt idx="516">
                  <c:v>44580</c:v>
                </c:pt>
                <c:pt idx="517">
                  <c:v>44581</c:v>
                </c:pt>
                <c:pt idx="518">
                  <c:v>44582</c:v>
                </c:pt>
                <c:pt idx="519">
                  <c:v>44585</c:v>
                </c:pt>
                <c:pt idx="520">
                  <c:v>44586</c:v>
                </c:pt>
                <c:pt idx="521">
                  <c:v>44587</c:v>
                </c:pt>
                <c:pt idx="522">
                  <c:v>44588</c:v>
                </c:pt>
                <c:pt idx="523">
                  <c:v>44589</c:v>
                </c:pt>
                <c:pt idx="524">
                  <c:v>44592</c:v>
                </c:pt>
                <c:pt idx="525">
                  <c:v>44593</c:v>
                </c:pt>
                <c:pt idx="526">
                  <c:v>44594</c:v>
                </c:pt>
                <c:pt idx="527">
                  <c:v>44595</c:v>
                </c:pt>
                <c:pt idx="528">
                  <c:v>44596</c:v>
                </c:pt>
                <c:pt idx="529">
                  <c:v>44599</c:v>
                </c:pt>
                <c:pt idx="530">
                  <c:v>44600</c:v>
                </c:pt>
                <c:pt idx="531">
                  <c:v>44601</c:v>
                </c:pt>
                <c:pt idx="532">
                  <c:v>44602</c:v>
                </c:pt>
                <c:pt idx="533">
                  <c:v>44603</c:v>
                </c:pt>
                <c:pt idx="534">
                  <c:v>44606</c:v>
                </c:pt>
                <c:pt idx="535">
                  <c:v>44607</c:v>
                </c:pt>
                <c:pt idx="536">
                  <c:v>44608</c:v>
                </c:pt>
                <c:pt idx="537">
                  <c:v>44609</c:v>
                </c:pt>
                <c:pt idx="538">
                  <c:v>44610</c:v>
                </c:pt>
                <c:pt idx="539">
                  <c:v>44614</c:v>
                </c:pt>
                <c:pt idx="540">
                  <c:v>44615</c:v>
                </c:pt>
                <c:pt idx="541">
                  <c:v>44616</c:v>
                </c:pt>
                <c:pt idx="542">
                  <c:v>44617</c:v>
                </c:pt>
                <c:pt idx="543">
                  <c:v>44620</c:v>
                </c:pt>
                <c:pt idx="544">
                  <c:v>44621</c:v>
                </c:pt>
                <c:pt idx="545">
                  <c:v>44622</c:v>
                </c:pt>
                <c:pt idx="546">
                  <c:v>44623</c:v>
                </c:pt>
                <c:pt idx="547">
                  <c:v>44624</c:v>
                </c:pt>
                <c:pt idx="548">
                  <c:v>44627</c:v>
                </c:pt>
                <c:pt idx="549">
                  <c:v>44628</c:v>
                </c:pt>
                <c:pt idx="550">
                  <c:v>44629</c:v>
                </c:pt>
                <c:pt idx="551">
                  <c:v>44630</c:v>
                </c:pt>
                <c:pt idx="552">
                  <c:v>44631</c:v>
                </c:pt>
                <c:pt idx="553">
                  <c:v>44634</c:v>
                </c:pt>
                <c:pt idx="554">
                  <c:v>44635</c:v>
                </c:pt>
                <c:pt idx="555">
                  <c:v>44636</c:v>
                </c:pt>
                <c:pt idx="556">
                  <c:v>44637</c:v>
                </c:pt>
                <c:pt idx="557">
                  <c:v>44638</c:v>
                </c:pt>
                <c:pt idx="558">
                  <c:v>44641</c:v>
                </c:pt>
                <c:pt idx="559">
                  <c:v>44642</c:v>
                </c:pt>
                <c:pt idx="560">
                  <c:v>44643</c:v>
                </c:pt>
                <c:pt idx="561">
                  <c:v>44644</c:v>
                </c:pt>
                <c:pt idx="562">
                  <c:v>44645</c:v>
                </c:pt>
                <c:pt idx="563">
                  <c:v>44648</c:v>
                </c:pt>
                <c:pt idx="564">
                  <c:v>44649</c:v>
                </c:pt>
                <c:pt idx="565">
                  <c:v>44650</c:v>
                </c:pt>
                <c:pt idx="566">
                  <c:v>44651</c:v>
                </c:pt>
                <c:pt idx="567">
                  <c:v>44652</c:v>
                </c:pt>
                <c:pt idx="568">
                  <c:v>44655</c:v>
                </c:pt>
                <c:pt idx="569">
                  <c:v>44656</c:v>
                </c:pt>
                <c:pt idx="570">
                  <c:v>44657</c:v>
                </c:pt>
                <c:pt idx="571">
                  <c:v>44658</c:v>
                </c:pt>
                <c:pt idx="572">
                  <c:v>44659</c:v>
                </c:pt>
                <c:pt idx="573">
                  <c:v>44662</c:v>
                </c:pt>
                <c:pt idx="574">
                  <c:v>44663</c:v>
                </c:pt>
                <c:pt idx="575">
                  <c:v>44664</c:v>
                </c:pt>
                <c:pt idx="576">
                  <c:v>44665</c:v>
                </c:pt>
                <c:pt idx="577">
                  <c:v>44669</c:v>
                </c:pt>
                <c:pt idx="578">
                  <c:v>44670</c:v>
                </c:pt>
                <c:pt idx="579">
                  <c:v>44671</c:v>
                </c:pt>
                <c:pt idx="580">
                  <c:v>44672</c:v>
                </c:pt>
                <c:pt idx="581">
                  <c:v>44673</c:v>
                </c:pt>
                <c:pt idx="582">
                  <c:v>44676</c:v>
                </c:pt>
                <c:pt idx="583">
                  <c:v>44677</c:v>
                </c:pt>
                <c:pt idx="584">
                  <c:v>44678</c:v>
                </c:pt>
                <c:pt idx="585">
                  <c:v>44679</c:v>
                </c:pt>
                <c:pt idx="586">
                  <c:v>44680</c:v>
                </c:pt>
                <c:pt idx="587">
                  <c:v>44683</c:v>
                </c:pt>
                <c:pt idx="588">
                  <c:v>44684</c:v>
                </c:pt>
                <c:pt idx="589">
                  <c:v>44685</c:v>
                </c:pt>
                <c:pt idx="590">
                  <c:v>44686</c:v>
                </c:pt>
                <c:pt idx="591">
                  <c:v>44687</c:v>
                </c:pt>
                <c:pt idx="592">
                  <c:v>44690</c:v>
                </c:pt>
                <c:pt idx="593">
                  <c:v>44691</c:v>
                </c:pt>
                <c:pt idx="594">
                  <c:v>44692</c:v>
                </c:pt>
                <c:pt idx="595">
                  <c:v>44693</c:v>
                </c:pt>
                <c:pt idx="596">
                  <c:v>44694</c:v>
                </c:pt>
                <c:pt idx="597">
                  <c:v>44697</c:v>
                </c:pt>
                <c:pt idx="598">
                  <c:v>44698</c:v>
                </c:pt>
                <c:pt idx="599">
                  <c:v>44699</c:v>
                </c:pt>
                <c:pt idx="600">
                  <c:v>44700</c:v>
                </c:pt>
                <c:pt idx="601">
                  <c:v>44701</c:v>
                </c:pt>
                <c:pt idx="602">
                  <c:v>44704</c:v>
                </c:pt>
                <c:pt idx="603">
                  <c:v>44705</c:v>
                </c:pt>
                <c:pt idx="604">
                  <c:v>44706</c:v>
                </c:pt>
                <c:pt idx="605">
                  <c:v>44707</c:v>
                </c:pt>
                <c:pt idx="606">
                  <c:v>44708</c:v>
                </c:pt>
                <c:pt idx="607">
                  <c:v>44712</c:v>
                </c:pt>
                <c:pt idx="608">
                  <c:v>44713</c:v>
                </c:pt>
                <c:pt idx="609">
                  <c:v>44714</c:v>
                </c:pt>
                <c:pt idx="610">
                  <c:v>44715</c:v>
                </c:pt>
                <c:pt idx="611">
                  <c:v>44718</c:v>
                </c:pt>
                <c:pt idx="612">
                  <c:v>44719</c:v>
                </c:pt>
                <c:pt idx="613">
                  <c:v>44720</c:v>
                </c:pt>
                <c:pt idx="614">
                  <c:v>44721</c:v>
                </c:pt>
                <c:pt idx="615">
                  <c:v>44722</c:v>
                </c:pt>
                <c:pt idx="616">
                  <c:v>44725</c:v>
                </c:pt>
                <c:pt idx="617">
                  <c:v>44726</c:v>
                </c:pt>
                <c:pt idx="618">
                  <c:v>44727</c:v>
                </c:pt>
                <c:pt idx="619">
                  <c:v>44728</c:v>
                </c:pt>
                <c:pt idx="620">
                  <c:v>44729</c:v>
                </c:pt>
                <c:pt idx="621">
                  <c:v>44733</c:v>
                </c:pt>
                <c:pt idx="622">
                  <c:v>44734</c:v>
                </c:pt>
                <c:pt idx="623">
                  <c:v>44735</c:v>
                </c:pt>
                <c:pt idx="624">
                  <c:v>44736</c:v>
                </c:pt>
                <c:pt idx="625">
                  <c:v>44739</c:v>
                </c:pt>
                <c:pt idx="626">
                  <c:v>44740</c:v>
                </c:pt>
                <c:pt idx="627">
                  <c:v>44741</c:v>
                </c:pt>
                <c:pt idx="628">
                  <c:v>44742</c:v>
                </c:pt>
                <c:pt idx="629">
                  <c:v>44743</c:v>
                </c:pt>
                <c:pt idx="630">
                  <c:v>44747</c:v>
                </c:pt>
                <c:pt idx="631">
                  <c:v>44748</c:v>
                </c:pt>
                <c:pt idx="632">
                  <c:v>44749</c:v>
                </c:pt>
                <c:pt idx="633">
                  <c:v>44750</c:v>
                </c:pt>
                <c:pt idx="634">
                  <c:v>44753</c:v>
                </c:pt>
                <c:pt idx="635">
                  <c:v>44754</c:v>
                </c:pt>
                <c:pt idx="636">
                  <c:v>44755</c:v>
                </c:pt>
                <c:pt idx="637">
                  <c:v>44756</c:v>
                </c:pt>
                <c:pt idx="638">
                  <c:v>44757</c:v>
                </c:pt>
                <c:pt idx="639">
                  <c:v>44760</c:v>
                </c:pt>
                <c:pt idx="640">
                  <c:v>44761</c:v>
                </c:pt>
                <c:pt idx="641">
                  <c:v>44762</c:v>
                </c:pt>
                <c:pt idx="642">
                  <c:v>44763</c:v>
                </c:pt>
                <c:pt idx="643">
                  <c:v>44764</c:v>
                </c:pt>
                <c:pt idx="644">
                  <c:v>44767</c:v>
                </c:pt>
                <c:pt idx="645">
                  <c:v>44768</c:v>
                </c:pt>
                <c:pt idx="646">
                  <c:v>44769</c:v>
                </c:pt>
                <c:pt idx="647">
                  <c:v>44770</c:v>
                </c:pt>
                <c:pt idx="648">
                  <c:v>44771</c:v>
                </c:pt>
                <c:pt idx="649">
                  <c:v>44774</c:v>
                </c:pt>
                <c:pt idx="650">
                  <c:v>44775</c:v>
                </c:pt>
                <c:pt idx="651">
                  <c:v>44776</c:v>
                </c:pt>
                <c:pt idx="652">
                  <c:v>44777</c:v>
                </c:pt>
                <c:pt idx="653">
                  <c:v>44778</c:v>
                </c:pt>
                <c:pt idx="654">
                  <c:v>44781</c:v>
                </c:pt>
                <c:pt idx="655">
                  <c:v>44782</c:v>
                </c:pt>
                <c:pt idx="656">
                  <c:v>44783</c:v>
                </c:pt>
                <c:pt idx="657">
                  <c:v>44784</c:v>
                </c:pt>
                <c:pt idx="658">
                  <c:v>44785</c:v>
                </c:pt>
                <c:pt idx="659">
                  <c:v>44788</c:v>
                </c:pt>
                <c:pt idx="660">
                  <c:v>44789</c:v>
                </c:pt>
                <c:pt idx="661">
                  <c:v>44790</c:v>
                </c:pt>
                <c:pt idx="662">
                  <c:v>44791</c:v>
                </c:pt>
                <c:pt idx="663">
                  <c:v>44792</c:v>
                </c:pt>
                <c:pt idx="664">
                  <c:v>44795</c:v>
                </c:pt>
                <c:pt idx="665">
                  <c:v>44796</c:v>
                </c:pt>
                <c:pt idx="666">
                  <c:v>44797</c:v>
                </c:pt>
                <c:pt idx="667">
                  <c:v>44798</c:v>
                </c:pt>
                <c:pt idx="668">
                  <c:v>44799</c:v>
                </c:pt>
                <c:pt idx="669">
                  <c:v>44802</c:v>
                </c:pt>
                <c:pt idx="670">
                  <c:v>44803</c:v>
                </c:pt>
                <c:pt idx="671">
                  <c:v>44804</c:v>
                </c:pt>
                <c:pt idx="672">
                  <c:v>44805</c:v>
                </c:pt>
                <c:pt idx="673">
                  <c:v>44806</c:v>
                </c:pt>
                <c:pt idx="674">
                  <c:v>44810</c:v>
                </c:pt>
                <c:pt idx="675">
                  <c:v>44811</c:v>
                </c:pt>
                <c:pt idx="676">
                  <c:v>44812</c:v>
                </c:pt>
                <c:pt idx="677">
                  <c:v>44813</c:v>
                </c:pt>
                <c:pt idx="678">
                  <c:v>44816</c:v>
                </c:pt>
                <c:pt idx="679">
                  <c:v>44817</c:v>
                </c:pt>
                <c:pt idx="680">
                  <c:v>44818</c:v>
                </c:pt>
                <c:pt idx="681">
                  <c:v>44819</c:v>
                </c:pt>
                <c:pt idx="682">
                  <c:v>44820</c:v>
                </c:pt>
                <c:pt idx="683">
                  <c:v>44823</c:v>
                </c:pt>
                <c:pt idx="684">
                  <c:v>44824</c:v>
                </c:pt>
                <c:pt idx="685">
                  <c:v>44825</c:v>
                </c:pt>
                <c:pt idx="686">
                  <c:v>44826</c:v>
                </c:pt>
                <c:pt idx="687">
                  <c:v>44827</c:v>
                </c:pt>
                <c:pt idx="688">
                  <c:v>44830</c:v>
                </c:pt>
                <c:pt idx="689">
                  <c:v>44831</c:v>
                </c:pt>
                <c:pt idx="690">
                  <c:v>44832</c:v>
                </c:pt>
                <c:pt idx="691">
                  <c:v>44833</c:v>
                </c:pt>
                <c:pt idx="692">
                  <c:v>44834</c:v>
                </c:pt>
                <c:pt idx="693">
                  <c:v>44837</c:v>
                </c:pt>
                <c:pt idx="694">
                  <c:v>44838</c:v>
                </c:pt>
                <c:pt idx="695">
                  <c:v>44839</c:v>
                </c:pt>
                <c:pt idx="696">
                  <c:v>44840</c:v>
                </c:pt>
                <c:pt idx="697">
                  <c:v>44841</c:v>
                </c:pt>
                <c:pt idx="698">
                  <c:v>44844</c:v>
                </c:pt>
                <c:pt idx="699">
                  <c:v>44845</c:v>
                </c:pt>
                <c:pt idx="700">
                  <c:v>44846</c:v>
                </c:pt>
                <c:pt idx="701">
                  <c:v>44847</c:v>
                </c:pt>
                <c:pt idx="702">
                  <c:v>44848</c:v>
                </c:pt>
                <c:pt idx="703">
                  <c:v>44851</c:v>
                </c:pt>
                <c:pt idx="704">
                  <c:v>44852</c:v>
                </c:pt>
                <c:pt idx="705">
                  <c:v>44853</c:v>
                </c:pt>
                <c:pt idx="706">
                  <c:v>44854</c:v>
                </c:pt>
                <c:pt idx="707">
                  <c:v>44855</c:v>
                </c:pt>
                <c:pt idx="708">
                  <c:v>44858</c:v>
                </c:pt>
                <c:pt idx="709">
                  <c:v>44859</c:v>
                </c:pt>
                <c:pt idx="710">
                  <c:v>44860</c:v>
                </c:pt>
                <c:pt idx="711">
                  <c:v>44861</c:v>
                </c:pt>
                <c:pt idx="712">
                  <c:v>44862</c:v>
                </c:pt>
                <c:pt idx="713">
                  <c:v>44865</c:v>
                </c:pt>
                <c:pt idx="714">
                  <c:v>44866</c:v>
                </c:pt>
                <c:pt idx="715">
                  <c:v>44867</c:v>
                </c:pt>
                <c:pt idx="716">
                  <c:v>44868</c:v>
                </c:pt>
                <c:pt idx="717">
                  <c:v>44869</c:v>
                </c:pt>
                <c:pt idx="718">
                  <c:v>44872</c:v>
                </c:pt>
                <c:pt idx="719">
                  <c:v>44873</c:v>
                </c:pt>
                <c:pt idx="720">
                  <c:v>44874</c:v>
                </c:pt>
                <c:pt idx="721">
                  <c:v>44875</c:v>
                </c:pt>
                <c:pt idx="722">
                  <c:v>44876</c:v>
                </c:pt>
                <c:pt idx="723">
                  <c:v>44879</c:v>
                </c:pt>
                <c:pt idx="724">
                  <c:v>44880</c:v>
                </c:pt>
                <c:pt idx="725">
                  <c:v>44881</c:v>
                </c:pt>
                <c:pt idx="726">
                  <c:v>44882</c:v>
                </c:pt>
                <c:pt idx="727">
                  <c:v>44883</c:v>
                </c:pt>
                <c:pt idx="728">
                  <c:v>44886</c:v>
                </c:pt>
                <c:pt idx="729">
                  <c:v>44887</c:v>
                </c:pt>
                <c:pt idx="730">
                  <c:v>44888</c:v>
                </c:pt>
                <c:pt idx="731">
                  <c:v>44890</c:v>
                </c:pt>
                <c:pt idx="732">
                  <c:v>44893</c:v>
                </c:pt>
                <c:pt idx="733">
                  <c:v>44894</c:v>
                </c:pt>
                <c:pt idx="734">
                  <c:v>44895</c:v>
                </c:pt>
                <c:pt idx="735">
                  <c:v>44896</c:v>
                </c:pt>
                <c:pt idx="736">
                  <c:v>44897</c:v>
                </c:pt>
                <c:pt idx="737">
                  <c:v>44900</c:v>
                </c:pt>
                <c:pt idx="738">
                  <c:v>44901</c:v>
                </c:pt>
                <c:pt idx="739">
                  <c:v>44902</c:v>
                </c:pt>
                <c:pt idx="740">
                  <c:v>44903</c:v>
                </c:pt>
                <c:pt idx="741">
                  <c:v>44904</c:v>
                </c:pt>
                <c:pt idx="742">
                  <c:v>44907</c:v>
                </c:pt>
                <c:pt idx="743">
                  <c:v>44908</c:v>
                </c:pt>
                <c:pt idx="744">
                  <c:v>44909</c:v>
                </c:pt>
                <c:pt idx="745">
                  <c:v>44910</c:v>
                </c:pt>
                <c:pt idx="746">
                  <c:v>44911</c:v>
                </c:pt>
                <c:pt idx="747">
                  <c:v>44914</c:v>
                </c:pt>
                <c:pt idx="748">
                  <c:v>44915</c:v>
                </c:pt>
                <c:pt idx="749">
                  <c:v>44916</c:v>
                </c:pt>
                <c:pt idx="750">
                  <c:v>44917</c:v>
                </c:pt>
                <c:pt idx="751">
                  <c:v>44918</c:v>
                </c:pt>
                <c:pt idx="752">
                  <c:v>44922</c:v>
                </c:pt>
                <c:pt idx="753">
                  <c:v>44923</c:v>
                </c:pt>
                <c:pt idx="754">
                  <c:v>44924</c:v>
                </c:pt>
                <c:pt idx="755">
                  <c:v>44925</c:v>
                </c:pt>
                <c:pt idx="756">
                  <c:v>44929</c:v>
                </c:pt>
                <c:pt idx="757">
                  <c:v>44930</c:v>
                </c:pt>
                <c:pt idx="758">
                  <c:v>44931</c:v>
                </c:pt>
                <c:pt idx="759">
                  <c:v>44932</c:v>
                </c:pt>
                <c:pt idx="760">
                  <c:v>44935</c:v>
                </c:pt>
                <c:pt idx="761">
                  <c:v>44936</c:v>
                </c:pt>
                <c:pt idx="762">
                  <c:v>44937</c:v>
                </c:pt>
                <c:pt idx="763">
                  <c:v>44938</c:v>
                </c:pt>
                <c:pt idx="764">
                  <c:v>44939</c:v>
                </c:pt>
                <c:pt idx="765">
                  <c:v>44943</c:v>
                </c:pt>
                <c:pt idx="766">
                  <c:v>44944</c:v>
                </c:pt>
                <c:pt idx="767">
                  <c:v>44945</c:v>
                </c:pt>
                <c:pt idx="768">
                  <c:v>44946</c:v>
                </c:pt>
                <c:pt idx="769">
                  <c:v>44949</c:v>
                </c:pt>
                <c:pt idx="770">
                  <c:v>44950</c:v>
                </c:pt>
                <c:pt idx="771">
                  <c:v>44951</c:v>
                </c:pt>
                <c:pt idx="772">
                  <c:v>44952</c:v>
                </c:pt>
                <c:pt idx="773">
                  <c:v>44953</c:v>
                </c:pt>
                <c:pt idx="774">
                  <c:v>44956</c:v>
                </c:pt>
                <c:pt idx="775">
                  <c:v>44957</c:v>
                </c:pt>
              </c:numCache>
            </c:numRef>
          </c:cat>
          <c:val>
            <c:numRef>
              <c:f>Charts!$B$337:$ACW$337</c:f>
              <c:numCache>
                <c:formatCode>General</c:formatCode>
                <c:ptCount val="776"/>
                <c:pt idx="0">
                  <c:v>-93.77</c:v>
                </c:pt>
                <c:pt idx="1">
                  <c:v>-96.54</c:v>
                </c:pt>
                <c:pt idx="2">
                  <c:v>-98.4</c:v>
                </c:pt>
                <c:pt idx="3">
                  <c:v>-102.22</c:v>
                </c:pt>
                <c:pt idx="4">
                  <c:v>-107.25</c:v>
                </c:pt>
                <c:pt idx="5">
                  <c:v>-104.9</c:v>
                </c:pt>
                <c:pt idx="6">
                  <c:v>-104.2</c:v>
                </c:pt>
                <c:pt idx="7">
                  <c:v>-114.38</c:v>
                </c:pt>
                <c:pt idx="8">
                  <c:v>-117.23</c:v>
                </c:pt>
                <c:pt idx="9">
                  <c:v>-113</c:v>
                </c:pt>
                <c:pt idx="10">
                  <c:v>-111.9</c:v>
                </c:pt>
                <c:pt idx="11">
                  <c:v>-111.25</c:v>
                </c:pt>
                <c:pt idx="12">
                  <c:v>-119.25</c:v>
                </c:pt>
                <c:pt idx="13">
                  <c:v>-124.12</c:v>
                </c:pt>
                <c:pt idx="14">
                  <c:v>-124.7</c:v>
                </c:pt>
                <c:pt idx="15">
                  <c:v>-123.09</c:v>
                </c:pt>
                <c:pt idx="16">
                  <c:v>-121.61</c:v>
                </c:pt>
                <c:pt idx="17">
                  <c:v>-123.54</c:v>
                </c:pt>
                <c:pt idx="18">
                  <c:v>-121.49</c:v>
                </c:pt>
                <c:pt idx="19">
                  <c:v>-133.99</c:v>
                </c:pt>
                <c:pt idx="20">
                  <c:v>-136.04</c:v>
                </c:pt>
                <c:pt idx="21">
                  <c:v>-163.1</c:v>
                </c:pt>
                <c:pt idx="22">
                  <c:v>-185.49</c:v>
                </c:pt>
                <c:pt idx="23">
                  <c:v>-153.63</c:v>
                </c:pt>
                <c:pt idx="24">
                  <c:v>-156.61000000000001</c:v>
                </c:pt>
                <c:pt idx="25">
                  <c:v>-156.41999999999999</c:v>
                </c:pt>
                <c:pt idx="26">
                  <c:v>-161.28</c:v>
                </c:pt>
                <c:pt idx="27">
                  <c:v>-161.91999999999999</c:v>
                </c:pt>
                <c:pt idx="28">
                  <c:v>-160.44</c:v>
                </c:pt>
                <c:pt idx="29">
                  <c:v>-171.35</c:v>
                </c:pt>
                <c:pt idx="30">
                  <c:v>-170.51</c:v>
                </c:pt>
                <c:pt idx="31">
                  <c:v>-182.95</c:v>
                </c:pt>
                <c:pt idx="32">
                  <c:v>-195.52</c:v>
                </c:pt>
                <c:pt idx="33">
                  <c:v>-191.69</c:v>
                </c:pt>
                <c:pt idx="34">
                  <c:v>-192.02</c:v>
                </c:pt>
                <c:pt idx="35">
                  <c:v>-177.7</c:v>
                </c:pt>
                <c:pt idx="36">
                  <c:v>-170.48</c:v>
                </c:pt>
                <c:pt idx="37">
                  <c:v>-165.98</c:v>
                </c:pt>
                <c:pt idx="38">
                  <c:v>-144.71</c:v>
                </c:pt>
                <c:pt idx="39">
                  <c:v>-142.36000000000001</c:v>
                </c:pt>
                <c:pt idx="40">
                  <c:v>-158.47999999999999</c:v>
                </c:pt>
                <c:pt idx="41">
                  <c:v>-158.88999999999999</c:v>
                </c:pt>
                <c:pt idx="42">
                  <c:v>-159.74</c:v>
                </c:pt>
                <c:pt idx="43">
                  <c:v>-154.41999999999999</c:v>
                </c:pt>
                <c:pt idx="44">
                  <c:v>-149.93</c:v>
                </c:pt>
                <c:pt idx="45">
                  <c:v>-129.58000000000001</c:v>
                </c:pt>
                <c:pt idx="46">
                  <c:v>-137.54</c:v>
                </c:pt>
                <c:pt idx="47">
                  <c:v>-135.16999999999999</c:v>
                </c:pt>
                <c:pt idx="48">
                  <c:v>-119.47</c:v>
                </c:pt>
                <c:pt idx="49">
                  <c:v>-116.5</c:v>
                </c:pt>
                <c:pt idx="50">
                  <c:v>-94.86</c:v>
                </c:pt>
                <c:pt idx="51">
                  <c:v>-91.69</c:v>
                </c:pt>
                <c:pt idx="52">
                  <c:v>-76.98</c:v>
                </c:pt>
                <c:pt idx="53">
                  <c:v>-91.14</c:v>
                </c:pt>
                <c:pt idx="54">
                  <c:v>-91.12</c:v>
                </c:pt>
                <c:pt idx="55">
                  <c:v>-92.56</c:v>
                </c:pt>
                <c:pt idx="56">
                  <c:v>-107.63</c:v>
                </c:pt>
                <c:pt idx="57">
                  <c:v>-114.93</c:v>
                </c:pt>
                <c:pt idx="58">
                  <c:v>-112.56</c:v>
                </c:pt>
                <c:pt idx="59">
                  <c:v>-109.62</c:v>
                </c:pt>
                <c:pt idx="60">
                  <c:v>-107.02</c:v>
                </c:pt>
                <c:pt idx="61">
                  <c:v>-111.68</c:v>
                </c:pt>
                <c:pt idx="62">
                  <c:v>-102.63</c:v>
                </c:pt>
                <c:pt idx="63">
                  <c:v>-96.86</c:v>
                </c:pt>
                <c:pt idx="64">
                  <c:v>-102.3</c:v>
                </c:pt>
                <c:pt idx="65">
                  <c:v>-110.02</c:v>
                </c:pt>
                <c:pt idx="66">
                  <c:v>-116.25</c:v>
                </c:pt>
                <c:pt idx="67">
                  <c:v>-116.97</c:v>
                </c:pt>
                <c:pt idx="68">
                  <c:v>-122.12</c:v>
                </c:pt>
                <c:pt idx="69">
                  <c:v>-138.72999999999999</c:v>
                </c:pt>
                <c:pt idx="70">
                  <c:v>-151.29</c:v>
                </c:pt>
                <c:pt idx="71">
                  <c:v>-155.54</c:v>
                </c:pt>
                <c:pt idx="72">
                  <c:v>-158.82</c:v>
                </c:pt>
                <c:pt idx="73">
                  <c:v>-160.66999999999999</c:v>
                </c:pt>
                <c:pt idx="74">
                  <c:v>-159.07</c:v>
                </c:pt>
                <c:pt idx="75">
                  <c:v>-146.36000000000001</c:v>
                </c:pt>
                <c:pt idx="76">
                  <c:v>-156.03</c:v>
                </c:pt>
                <c:pt idx="77">
                  <c:v>-150.38999999999999</c:v>
                </c:pt>
                <c:pt idx="78">
                  <c:v>-154.55000000000001</c:v>
                </c:pt>
                <c:pt idx="79">
                  <c:v>-170.23</c:v>
                </c:pt>
                <c:pt idx="80">
                  <c:v>-163.92</c:v>
                </c:pt>
                <c:pt idx="81" formatCode="#,##0.00">
                  <c:v>-1022.232</c:v>
                </c:pt>
                <c:pt idx="82" formatCode="#,##0.00">
                  <c:v>-1007.458</c:v>
                </c:pt>
                <c:pt idx="83">
                  <c:v>-903.66</c:v>
                </c:pt>
                <c:pt idx="84">
                  <c:v>-980.8</c:v>
                </c:pt>
                <c:pt idx="85">
                  <c:v>-989.84</c:v>
                </c:pt>
                <c:pt idx="86" formatCode="#,##0.00">
                  <c:v>-1008.36</c:v>
                </c:pt>
                <c:pt idx="87" formatCode="#,##0.00">
                  <c:v>-1005.087</c:v>
                </c:pt>
                <c:pt idx="88" formatCode="#,##0.00">
                  <c:v>-1055.829</c:v>
                </c:pt>
                <c:pt idx="89" formatCode="#,##0.00">
                  <c:v>-1045.3530000000001</c:v>
                </c:pt>
                <c:pt idx="90" formatCode="#,##0.00">
                  <c:v>-1041.953</c:v>
                </c:pt>
                <c:pt idx="91" formatCode="#,##0.00">
                  <c:v>-1018.202</c:v>
                </c:pt>
                <c:pt idx="92" formatCode="#,##0.00">
                  <c:v>-1034.126</c:v>
                </c:pt>
                <c:pt idx="93" formatCode="#,##0.00">
                  <c:v>-1028.771</c:v>
                </c:pt>
                <c:pt idx="94" formatCode="#,##0.00">
                  <c:v>-1047.385</c:v>
                </c:pt>
                <c:pt idx="95" formatCode="#,##0.00">
                  <c:v>-1040.1510000000001</c:v>
                </c:pt>
                <c:pt idx="96" formatCode="#,##0.00">
                  <c:v>-1049.8699999999999</c:v>
                </c:pt>
                <c:pt idx="97" formatCode="#,##0.00">
                  <c:v>-1065.3689999999999</c:v>
                </c:pt>
                <c:pt idx="98" formatCode="#,##0.00">
                  <c:v>-1051.569</c:v>
                </c:pt>
                <c:pt idx="99" formatCode="#,##0.00">
                  <c:v>-1054.1310000000001</c:v>
                </c:pt>
                <c:pt idx="100" formatCode="#,##0.00">
                  <c:v>-1055.8820000000001</c:v>
                </c:pt>
                <c:pt idx="101" formatCode="#,##0.00">
                  <c:v>-1037.319</c:v>
                </c:pt>
                <c:pt idx="102" formatCode="#,##0.00">
                  <c:v>-1074.895</c:v>
                </c:pt>
                <c:pt idx="103" formatCode="#,##0.00">
                  <c:v>-1156.124</c:v>
                </c:pt>
                <c:pt idx="104" formatCode="#,##0.00">
                  <c:v>-1134.8320000000001</c:v>
                </c:pt>
                <c:pt idx="105" formatCode="#,##0.00">
                  <c:v>-1136.634</c:v>
                </c:pt>
                <c:pt idx="106" formatCode="#,##0.00">
                  <c:v>-1112.7159999999999</c:v>
                </c:pt>
                <c:pt idx="107" formatCode="#,##0.00">
                  <c:v>-1140.1099999999999</c:v>
                </c:pt>
                <c:pt idx="108" formatCode="#,##0.00">
                  <c:v>-1222.8309999999999</c:v>
                </c:pt>
                <c:pt idx="109" formatCode="#,##0.00">
                  <c:v>-1210.924</c:v>
                </c:pt>
                <c:pt idx="110" formatCode="#,##0.00">
                  <c:v>-1319.546</c:v>
                </c:pt>
                <c:pt idx="111" formatCode="#,##0.00">
                  <c:v>-1252.336</c:v>
                </c:pt>
                <c:pt idx="112" formatCode="#,##0.00">
                  <c:v>-1203.9849999999999</c:v>
                </c:pt>
                <c:pt idx="113" formatCode="#,##0.00">
                  <c:v>-1275.585</c:v>
                </c:pt>
                <c:pt idx="114" formatCode="#,##0.00">
                  <c:v>-1264.2950000000001</c:v>
                </c:pt>
                <c:pt idx="115" formatCode="#,##0.00">
                  <c:v>-1276.731</c:v>
                </c:pt>
                <c:pt idx="116" formatCode="#,##0.00">
                  <c:v>-1292.3969999999999</c:v>
                </c:pt>
                <c:pt idx="117" formatCode="#,##0.00">
                  <c:v>-1288.4580000000001</c:v>
                </c:pt>
                <c:pt idx="118" formatCode="#,##0.00">
                  <c:v>-1279.9870000000001</c:v>
                </c:pt>
                <c:pt idx="119" formatCode="#,##0.00">
                  <c:v>-1289.5909999999999</c:v>
                </c:pt>
                <c:pt idx="120" formatCode="#,##0.00">
                  <c:v>-1236.902</c:v>
                </c:pt>
                <c:pt idx="121" formatCode="#,##0.00">
                  <c:v>-1269.251</c:v>
                </c:pt>
                <c:pt idx="122" formatCode="#,##0.00">
                  <c:v>-1235.473</c:v>
                </c:pt>
                <c:pt idx="123" formatCode="#,##0.00">
                  <c:v>-1299.336</c:v>
                </c:pt>
                <c:pt idx="124" formatCode="#,##0.00">
                  <c:v>-1390.039</c:v>
                </c:pt>
                <c:pt idx="125" formatCode="#,##0.00">
                  <c:v>-1441.299</c:v>
                </c:pt>
                <c:pt idx="126" formatCode="#,##0.00">
                  <c:v>-1555.9069999999999</c:v>
                </c:pt>
                <c:pt idx="127" formatCode="#,##0.00">
                  <c:v>-1765.634</c:v>
                </c:pt>
                <c:pt idx="128" formatCode="#,##0.00">
                  <c:v>-1789.1659999999999</c:v>
                </c:pt>
                <c:pt idx="129" formatCode="#,##0.00">
                  <c:v>-1758.296</c:v>
                </c:pt>
                <c:pt idx="130" formatCode="#,##0.00">
                  <c:v>-1794.856</c:v>
                </c:pt>
                <c:pt idx="131" formatCode="#,##0.00">
                  <c:v>-1988.4269999999999</c:v>
                </c:pt>
                <c:pt idx="132" formatCode="#,##0.00">
                  <c:v>-1927.164</c:v>
                </c:pt>
                <c:pt idx="133" formatCode="#,##0.00">
                  <c:v>-1952.576</c:v>
                </c:pt>
                <c:pt idx="134" formatCode="#,##0.00">
                  <c:v>-1990.1780000000001</c:v>
                </c:pt>
                <c:pt idx="135" formatCode="#,##0.00">
                  <c:v>-1931.7729999999999</c:v>
                </c:pt>
                <c:pt idx="136" formatCode="#,##0.00">
                  <c:v>-1932.03</c:v>
                </c:pt>
                <c:pt idx="137" formatCode="#,##0.00">
                  <c:v>-2115.0329999999999</c:v>
                </c:pt>
                <c:pt idx="138" formatCode="#,##0.00">
                  <c:v>-2018.9490000000001</c:v>
                </c:pt>
                <c:pt idx="139">
                  <c:v>801.8</c:v>
                </c:pt>
                <c:pt idx="140">
                  <c:v>761.89</c:v>
                </c:pt>
                <c:pt idx="141">
                  <c:v>713.52</c:v>
                </c:pt>
                <c:pt idx="142">
                  <c:v>775.25</c:v>
                </c:pt>
                <c:pt idx="143">
                  <c:v>747.72</c:v>
                </c:pt>
                <c:pt idx="144">
                  <c:v>759.18</c:v>
                </c:pt>
                <c:pt idx="145">
                  <c:v>753.29</c:v>
                </c:pt>
                <c:pt idx="146">
                  <c:v>724.56</c:v>
                </c:pt>
                <c:pt idx="147">
                  <c:v>752.03</c:v>
                </c:pt>
                <c:pt idx="148">
                  <c:v>753.04</c:v>
                </c:pt>
                <c:pt idx="149">
                  <c:v>752.04</c:v>
                </c:pt>
                <c:pt idx="150">
                  <c:v>754.35</c:v>
                </c:pt>
                <c:pt idx="151">
                  <c:v>735.68</c:v>
                </c:pt>
                <c:pt idx="152">
                  <c:v>718.39</c:v>
                </c:pt>
                <c:pt idx="153">
                  <c:v>696.02</c:v>
                </c:pt>
                <c:pt idx="154">
                  <c:v>787.36</c:v>
                </c:pt>
                <c:pt idx="155">
                  <c:v>820.9</c:v>
                </c:pt>
                <c:pt idx="156">
                  <c:v>835.95</c:v>
                </c:pt>
                <c:pt idx="157">
                  <c:v>929.6</c:v>
                </c:pt>
                <c:pt idx="158">
                  <c:v>955.66</c:v>
                </c:pt>
                <c:pt idx="159">
                  <c:v>951.32</c:v>
                </c:pt>
                <c:pt idx="160" formatCode="#,##0.00">
                  <c:v>1013.7619999999999</c:v>
                </c:pt>
                <c:pt idx="161" formatCode="#,##0.00">
                  <c:v>1038.146</c:v>
                </c:pt>
                <c:pt idx="162" formatCode="#,##0.00">
                  <c:v>1020.027</c:v>
                </c:pt>
                <c:pt idx="163" formatCode="#,##0.00">
                  <c:v>1024.655</c:v>
                </c:pt>
                <c:pt idx="164" formatCode="#,##0.00">
                  <c:v>1090.403</c:v>
                </c:pt>
                <c:pt idx="165" formatCode="#,##0.00">
                  <c:v>1133.7429999999999</c:v>
                </c:pt>
                <c:pt idx="166" formatCode="#,##0.00">
                  <c:v>1120.905</c:v>
                </c:pt>
                <c:pt idx="167" formatCode="#,##0.00">
                  <c:v>1261.79</c:v>
                </c:pt>
                <c:pt idx="168" formatCode="#,##0.00">
                  <c:v>1202.8689999999999</c:v>
                </c:pt>
                <c:pt idx="169" formatCode="#,##0.00">
                  <c:v>1132.7809999999999</c:v>
                </c:pt>
                <c:pt idx="170" formatCode="#,##0.00">
                  <c:v>1030.56</c:v>
                </c:pt>
                <c:pt idx="171" formatCode="#,##0.00">
                  <c:v>1059.223</c:v>
                </c:pt>
                <c:pt idx="172">
                  <c:v>836.12</c:v>
                </c:pt>
                <c:pt idx="173">
                  <c:v>927.45</c:v>
                </c:pt>
                <c:pt idx="174">
                  <c:v>940.27</c:v>
                </c:pt>
                <c:pt idx="175">
                  <c:v>943.76</c:v>
                </c:pt>
                <c:pt idx="176" formatCode="#,##0.00">
                  <c:v>1062.5150000000001</c:v>
                </c:pt>
                <c:pt idx="177" formatCode="#,##0.00">
                  <c:v>1138.8320000000001</c:v>
                </c:pt>
                <c:pt idx="178" formatCode="#,##0.00">
                  <c:v>1118.575</c:v>
                </c:pt>
                <c:pt idx="179" formatCode="#,##0.00">
                  <c:v>1072.162</c:v>
                </c:pt>
                <c:pt idx="180" formatCode="#,##0.00">
                  <c:v>1119.5630000000001</c:v>
                </c:pt>
                <c:pt idx="181" formatCode="#,##0.00">
                  <c:v>1137.895</c:v>
                </c:pt>
                <c:pt idx="182" formatCode="#,##0.00">
                  <c:v>1074.1880000000001</c:v>
                </c:pt>
                <c:pt idx="183">
                  <c:v>963.11</c:v>
                </c:pt>
                <c:pt idx="184">
                  <c:v>981.92</c:v>
                </c:pt>
                <c:pt idx="185" formatCode="#,##0.00">
                  <c:v>1031.421</c:v>
                </c:pt>
                <c:pt idx="186" formatCode="#,##0.00">
                  <c:v>1066.5160000000001</c:v>
                </c:pt>
                <c:pt idx="187" formatCode="#,##0.00">
                  <c:v>1061.1220000000001</c:v>
                </c:pt>
                <c:pt idx="188" formatCode="#,##0.00">
                  <c:v>1086.2909999999999</c:v>
                </c:pt>
                <c:pt idx="189" formatCode="#,##0.00">
                  <c:v>1134.7809999999999</c:v>
                </c:pt>
                <c:pt idx="190" formatCode="#,##0.00">
                  <c:v>1051.0450000000001</c:v>
                </c:pt>
                <c:pt idx="191" formatCode="#,##0.00">
                  <c:v>1077.8599999999999</c:v>
                </c:pt>
                <c:pt idx="192" formatCode="#,##0.00">
                  <c:v>1048.2339999999999</c:v>
                </c:pt>
                <c:pt idx="193" formatCode="#,##0.00">
                  <c:v>1076.8969999999999</c:v>
                </c:pt>
                <c:pt idx="194" formatCode="#,##0.00">
                  <c:v>1078.4670000000001</c:v>
                </c:pt>
                <c:pt idx="195" formatCode="#,##0.00">
                  <c:v>1098.9259999999999</c:v>
                </c:pt>
                <c:pt idx="196" formatCode="#,##0.00">
                  <c:v>1119.943</c:v>
                </c:pt>
                <c:pt idx="197" formatCode="#,##0.00">
                  <c:v>1130.9570000000001</c:v>
                </c:pt>
                <c:pt idx="198" formatCode="#,##0.00">
                  <c:v>1168.0530000000001</c:v>
                </c:pt>
                <c:pt idx="199" formatCode="#,##0.00">
                  <c:v>1136.604</c:v>
                </c:pt>
                <c:pt idx="200" formatCode="#,##0.00">
                  <c:v>1113.2829999999999</c:v>
                </c:pt>
                <c:pt idx="201" formatCode="#,##0.00">
                  <c:v>1090.9000000000001</c:v>
                </c:pt>
                <c:pt idx="202" formatCode="#,##0.00">
                  <c:v>1068.3889999999999</c:v>
                </c:pt>
                <c:pt idx="203">
                  <c:v>708.31</c:v>
                </c:pt>
                <c:pt idx="204">
                  <c:v>713.59</c:v>
                </c:pt>
                <c:pt idx="205">
                  <c:v>704.94</c:v>
                </c:pt>
                <c:pt idx="206">
                  <c:v>716.52</c:v>
                </c:pt>
                <c:pt idx="207">
                  <c:v>724.02</c:v>
                </c:pt>
                <c:pt idx="208">
                  <c:v>692.21</c:v>
                </c:pt>
                <c:pt idx="209">
                  <c:v>700.41</c:v>
                </c:pt>
                <c:pt idx="210">
                  <c:v>661.55</c:v>
                </c:pt>
                <c:pt idx="211">
                  <c:v>682.81</c:v>
                </c:pt>
                <c:pt idx="212">
                  <c:v>722.69</c:v>
                </c:pt>
                <c:pt idx="213">
                  <c:v>717.71</c:v>
                </c:pt>
                <c:pt idx="214">
                  <c:v>746.88</c:v>
                </c:pt>
                <c:pt idx="215">
                  <c:v>733</c:v>
                </c:pt>
                <c:pt idx="216">
                  <c:v>718.19</c:v>
                </c:pt>
                <c:pt idx="217">
                  <c:v>699.61</c:v>
                </c:pt>
                <c:pt idx="218">
                  <c:v>711.15</c:v>
                </c:pt>
                <c:pt idx="219">
                  <c:v>701.99</c:v>
                </c:pt>
                <c:pt idx="220">
                  <c:v>696.43</c:v>
                </c:pt>
                <c:pt idx="221">
                  <c:v>695.74</c:v>
                </c:pt>
                <c:pt idx="222">
                  <c:v>752.88</c:v>
                </c:pt>
                <c:pt idx="223">
                  <c:v>829.65</c:v>
                </c:pt>
                <c:pt idx="224">
                  <c:v>851.18</c:v>
                </c:pt>
                <c:pt idx="225">
                  <c:v>834.72</c:v>
                </c:pt>
                <c:pt idx="226">
                  <c:v>889.68</c:v>
                </c:pt>
                <c:pt idx="227">
                  <c:v>946.84</c:v>
                </c:pt>
                <c:pt idx="228">
                  <c:v>978.59</c:v>
                </c:pt>
                <c:pt idx="229">
                  <c:v>998.64</c:v>
                </c:pt>
                <c:pt idx="230">
                  <c:v>967.68</c:v>
                </c:pt>
                <c:pt idx="231">
                  <c:v>996.93</c:v>
                </c:pt>
                <c:pt idx="232">
                  <c:v>969.76</c:v>
                </c:pt>
                <c:pt idx="233" formatCode="#,##0.00">
                  <c:v>1011.628</c:v>
                </c:pt>
                <c:pt idx="234" formatCode="#,##0.00">
                  <c:v>1021.278</c:v>
                </c:pt>
                <c:pt idx="235" formatCode="#,##0.00">
                  <c:v>1094.1089999999999</c:v>
                </c:pt>
                <c:pt idx="236" formatCode="#,##0.00">
                  <c:v>1107.953</c:v>
                </c:pt>
                <c:pt idx="237" formatCode="#,##0.00">
                  <c:v>1030.5519999999999</c:v>
                </c:pt>
                <c:pt idx="238" formatCode="#,##0.00">
                  <c:v>1069.0650000000001</c:v>
                </c:pt>
                <c:pt idx="239" formatCode="#,##0.00">
                  <c:v>1039.9459999999999</c:v>
                </c:pt>
                <c:pt idx="240" formatCode="#,##0.00">
                  <c:v>1090.819</c:v>
                </c:pt>
                <c:pt idx="241" formatCode="#,##0.00">
                  <c:v>1079.6010000000001</c:v>
                </c:pt>
                <c:pt idx="242" formatCode="#,##0.00">
                  <c:v>1061.7339999999999</c:v>
                </c:pt>
                <c:pt idx="243" formatCode="#,##0.00">
                  <c:v>1118.2159999999999</c:v>
                </c:pt>
                <c:pt idx="244" formatCode="#,##0.00">
                  <c:v>1184.876</c:v>
                </c:pt>
                <c:pt idx="245" formatCode="#,##0.00">
                  <c:v>1107.9190000000001</c:v>
                </c:pt>
                <c:pt idx="246" formatCode="#,##0.00">
                  <c:v>1091.6880000000001</c:v>
                </c:pt>
                <c:pt idx="247" formatCode="#,##0.00">
                  <c:v>1101.3040000000001</c:v>
                </c:pt>
                <c:pt idx="248" formatCode="#,##0.00">
                  <c:v>1128.2239999999999</c:v>
                </c:pt>
                <c:pt idx="249" formatCode="#,##0.00">
                  <c:v>1131.4970000000001</c:v>
                </c:pt>
                <c:pt idx="250" formatCode="#,##0.00">
                  <c:v>1135.4179999999999</c:v>
                </c:pt>
                <c:pt idx="251" formatCode="#,##0.00">
                  <c:v>1184.501</c:v>
                </c:pt>
                <c:pt idx="252" formatCode="#,##0.00">
                  <c:v>1203.067</c:v>
                </c:pt>
                <c:pt idx="253" formatCode="#,##0.00">
                  <c:v>1244.154</c:v>
                </c:pt>
                <c:pt idx="254" formatCode="#,##0.00">
                  <c:v>1253.258</c:v>
                </c:pt>
                <c:pt idx="255" formatCode="#,##0.00">
                  <c:v>1288.838</c:v>
                </c:pt>
                <c:pt idx="256" formatCode="#,##0.00">
                  <c:v>1391.232</c:v>
                </c:pt>
                <c:pt idx="257" formatCode="#,##0.00">
                  <c:v>1500.309</c:v>
                </c:pt>
                <c:pt idx="258" formatCode="#,##0.00">
                  <c:v>1382.963</c:v>
                </c:pt>
                <c:pt idx="259" formatCode="#,##0.00">
                  <c:v>1448.174</c:v>
                </c:pt>
                <c:pt idx="260" formatCode="#,##0.00">
                  <c:v>1456.6469999999999</c:v>
                </c:pt>
                <c:pt idx="261" formatCode="#,##0.00">
                  <c:v>1440.605</c:v>
                </c:pt>
                <c:pt idx="262" formatCode="#,##0.00">
                  <c:v>1408.4849999999999</c:v>
                </c:pt>
                <c:pt idx="263" formatCode="#,##0.00">
                  <c:v>1439.837</c:v>
                </c:pt>
                <c:pt idx="264" formatCode="#,##0.00">
                  <c:v>1449.896</c:v>
                </c:pt>
                <c:pt idx="265" formatCode="#,##0.00">
                  <c:v>1440.587</c:v>
                </c:pt>
                <c:pt idx="266" formatCode="#,##0.00">
                  <c:v>1443.4</c:v>
                </c:pt>
                <c:pt idx="267" formatCode="#,##0.00">
                  <c:v>1501.6379999999999</c:v>
                </c:pt>
                <c:pt idx="268" formatCode="#,##0.00">
                  <c:v>1505.5429999999999</c:v>
                </c:pt>
                <c:pt idx="269" formatCode="#,##0.00">
                  <c:v>1136.114</c:v>
                </c:pt>
                <c:pt idx="270" formatCode="#,##0.00">
                  <c:v>1098.3420000000001</c:v>
                </c:pt>
                <c:pt idx="271" formatCode="#,##0.00">
                  <c:v>1043.2560000000001</c:v>
                </c:pt>
                <c:pt idx="272" formatCode="#,##0.00">
                  <c:v>1104.1010000000001</c:v>
                </c:pt>
                <c:pt idx="273" formatCode="#,##0.00">
                  <c:v>1147.4590000000001</c:v>
                </c:pt>
                <c:pt idx="274" formatCode="#,##0.00">
                  <c:v>1123.663</c:v>
                </c:pt>
                <c:pt idx="275" formatCode="#,##0.00">
                  <c:v>1117.4839999999999</c:v>
                </c:pt>
                <c:pt idx="276" formatCode="#,##0.00">
                  <c:v>1120.4290000000001</c:v>
                </c:pt>
                <c:pt idx="277" formatCode="#,##0.00">
                  <c:v>1149.4549999999999</c:v>
                </c:pt>
                <c:pt idx="278" formatCode="#,##0.00">
                  <c:v>1130.8699999999999</c:v>
                </c:pt>
                <c:pt idx="279" formatCode="#,##0.00">
                  <c:v>1071.441</c:v>
                </c:pt>
                <c:pt idx="280" formatCode="#,##0.00">
                  <c:v>1080.547</c:v>
                </c:pt>
                <c:pt idx="281" formatCode="#,##0.00">
                  <c:v>1086.4849999999999</c:v>
                </c:pt>
                <c:pt idx="282" formatCode="#,##0.00">
                  <c:v>1059.992</c:v>
                </c:pt>
                <c:pt idx="283" formatCode="#,##0.00">
                  <c:v>1062.5619999999999</c:v>
                </c:pt>
                <c:pt idx="284" formatCode="#,##0.00">
                  <c:v>1048.2239999999999</c:v>
                </c:pt>
                <c:pt idx="285" formatCode="#,##0.00">
                  <c:v>1040.1300000000001</c:v>
                </c:pt>
                <c:pt idx="286">
                  <c:v>951.2</c:v>
                </c:pt>
                <c:pt idx="287">
                  <c:v>930.35</c:v>
                </c:pt>
                <c:pt idx="288">
                  <c:v>987.84</c:v>
                </c:pt>
                <c:pt idx="289">
                  <c:v>908.23</c:v>
                </c:pt>
                <c:pt idx="290">
                  <c:v>899.28</c:v>
                </c:pt>
                <c:pt idx="291">
                  <c:v>956.43</c:v>
                </c:pt>
                <c:pt idx="292">
                  <c:v>913.84</c:v>
                </c:pt>
                <c:pt idx="293">
                  <c:v>869.59</c:v>
                </c:pt>
                <c:pt idx="294">
                  <c:v>827.31</c:v>
                </c:pt>
                <c:pt idx="295">
                  <c:v>796.04</c:v>
                </c:pt>
                <c:pt idx="296">
                  <c:v>749.51</c:v>
                </c:pt>
                <c:pt idx="297">
                  <c:v>896.72</c:v>
                </c:pt>
                <c:pt idx="298">
                  <c:v>889.38</c:v>
                </c:pt>
                <c:pt idx="299">
                  <c:v>931.36</c:v>
                </c:pt>
                <c:pt idx="300">
                  <c:v>923.55</c:v>
                </c:pt>
                <c:pt idx="301">
                  <c:v>942.47</c:v>
                </c:pt>
                <c:pt idx="302">
                  <c:v>901.12</c:v>
                </c:pt>
                <c:pt idx="303">
                  <c:v>934.31</c:v>
                </c:pt>
                <c:pt idx="304">
                  <c:v>869.54</c:v>
                </c:pt>
                <c:pt idx="305">
                  <c:v>871.82</c:v>
                </c:pt>
                <c:pt idx="306">
                  <c:v>891.96</c:v>
                </c:pt>
                <c:pt idx="307">
                  <c:v>881.52</c:v>
                </c:pt>
                <c:pt idx="308">
                  <c:v>839.07</c:v>
                </c:pt>
                <c:pt idx="309">
                  <c:v>852.54</c:v>
                </c:pt>
                <c:pt idx="310">
                  <c:v>823.68</c:v>
                </c:pt>
                <c:pt idx="311">
                  <c:v>813.8</c:v>
                </c:pt>
                <c:pt idx="312">
                  <c:v>846.19</c:v>
                </c:pt>
                <c:pt idx="313">
                  <c:v>889.2</c:v>
                </c:pt>
                <c:pt idx="314">
                  <c:v>880.98</c:v>
                </c:pt>
                <c:pt idx="315">
                  <c:v>919.98</c:v>
                </c:pt>
                <c:pt idx="316">
                  <c:v>920.74</c:v>
                </c:pt>
                <c:pt idx="317">
                  <c:v>893.25</c:v>
                </c:pt>
                <c:pt idx="318">
                  <c:v>910.33</c:v>
                </c:pt>
                <c:pt idx="319">
                  <c:v>901.3</c:v>
                </c:pt>
                <c:pt idx="320">
                  <c:v>934.53</c:v>
                </c:pt>
                <c:pt idx="321" formatCode="#,##0.00">
                  <c:v>1014.862</c:v>
                </c:pt>
                <c:pt idx="322">
                  <c:v>974.8</c:v>
                </c:pt>
                <c:pt idx="323">
                  <c:v>983.62</c:v>
                </c:pt>
                <c:pt idx="324">
                  <c:v>984.86</c:v>
                </c:pt>
                <c:pt idx="325">
                  <c:v>951.37</c:v>
                </c:pt>
                <c:pt idx="326">
                  <c:v>957.18</c:v>
                </c:pt>
                <c:pt idx="327">
                  <c:v>990.63</c:v>
                </c:pt>
                <c:pt idx="328">
                  <c:v>958.11</c:v>
                </c:pt>
                <c:pt idx="329">
                  <c:v>971.04</c:v>
                </c:pt>
                <c:pt idx="330">
                  <c:v>619.91999999999996</c:v>
                </c:pt>
                <c:pt idx="331">
                  <c:v>591.82000000000005</c:v>
                </c:pt>
                <c:pt idx="332">
                  <c:v>585.25</c:v>
                </c:pt>
                <c:pt idx="333">
                  <c:v>570.58000000000004</c:v>
                </c:pt>
                <c:pt idx="334">
                  <c:v>597.91999999999996</c:v>
                </c:pt>
                <c:pt idx="335">
                  <c:v>577.24</c:v>
                </c:pt>
                <c:pt idx="336">
                  <c:v>567.72</c:v>
                </c:pt>
                <c:pt idx="337">
                  <c:v>565.47</c:v>
                </c:pt>
                <c:pt idx="338">
                  <c:v>559.24</c:v>
                </c:pt>
                <c:pt idx="339">
                  <c:v>566.67999999999995</c:v>
                </c:pt>
                <c:pt idx="340">
                  <c:v>530.16</c:v>
                </c:pt>
                <c:pt idx="341">
                  <c:v>520.17999999999995</c:v>
                </c:pt>
                <c:pt idx="342">
                  <c:v>497.16</c:v>
                </c:pt>
                <c:pt idx="343">
                  <c:v>481.83</c:v>
                </c:pt>
                <c:pt idx="344">
                  <c:v>497.04</c:v>
                </c:pt>
                <c:pt idx="345">
                  <c:v>486.16</c:v>
                </c:pt>
                <c:pt idx="346">
                  <c:v>487.03</c:v>
                </c:pt>
                <c:pt idx="347">
                  <c:v>474.89</c:v>
                </c:pt>
                <c:pt idx="348">
                  <c:v>494.54</c:v>
                </c:pt>
                <c:pt idx="349">
                  <c:v>489.57</c:v>
                </c:pt>
                <c:pt idx="350">
                  <c:v>511.11</c:v>
                </c:pt>
                <c:pt idx="351">
                  <c:v>509.64</c:v>
                </c:pt>
                <c:pt idx="352">
                  <c:v>521.80999999999995</c:v>
                </c:pt>
                <c:pt idx="353">
                  <c:v>531.69000000000005</c:v>
                </c:pt>
                <c:pt idx="354">
                  <c:v>526.94000000000005</c:v>
                </c:pt>
                <c:pt idx="355">
                  <c:v>525.83000000000004</c:v>
                </c:pt>
                <c:pt idx="356">
                  <c:v>510</c:v>
                </c:pt>
                <c:pt idx="357">
                  <c:v>482.8</c:v>
                </c:pt>
                <c:pt idx="358">
                  <c:v>504.89</c:v>
                </c:pt>
                <c:pt idx="359">
                  <c:v>510.01</c:v>
                </c:pt>
                <c:pt idx="360">
                  <c:v>508.71</c:v>
                </c:pt>
                <c:pt idx="361">
                  <c:v>504.66</c:v>
                </c:pt>
                <c:pt idx="362">
                  <c:v>514.21</c:v>
                </c:pt>
                <c:pt idx="363">
                  <c:v>514.02</c:v>
                </c:pt>
                <c:pt idx="364">
                  <c:v>520.6</c:v>
                </c:pt>
                <c:pt idx="365">
                  <c:v>505.15</c:v>
                </c:pt>
                <c:pt idx="366">
                  <c:v>509.79</c:v>
                </c:pt>
                <c:pt idx="367">
                  <c:v>519.67999999999995</c:v>
                </c:pt>
                <c:pt idx="368">
                  <c:v>525.33000000000004</c:v>
                </c:pt>
                <c:pt idx="369">
                  <c:v>523.24</c:v>
                </c:pt>
                <c:pt idx="370">
                  <c:v>525.66999999999996</c:v>
                </c:pt>
                <c:pt idx="371">
                  <c:v>553.36</c:v>
                </c:pt>
                <c:pt idx="372">
                  <c:v>572.96</c:v>
                </c:pt>
                <c:pt idx="373">
                  <c:v>566.26</c:v>
                </c:pt>
                <c:pt idx="374">
                  <c:v>580.46</c:v>
                </c:pt>
                <c:pt idx="375">
                  <c:v>573.75</c:v>
                </c:pt>
                <c:pt idx="376">
                  <c:v>572.86</c:v>
                </c:pt>
                <c:pt idx="377">
                  <c:v>571.36</c:v>
                </c:pt>
                <c:pt idx="378">
                  <c:v>572.17999999999995</c:v>
                </c:pt>
                <c:pt idx="379">
                  <c:v>555.9</c:v>
                </c:pt>
                <c:pt idx="380">
                  <c:v>543.32000000000005</c:v>
                </c:pt>
                <c:pt idx="381">
                  <c:v>550.19000000000005</c:v>
                </c:pt>
                <c:pt idx="382">
                  <c:v>553.67999999999995</c:v>
                </c:pt>
                <c:pt idx="383">
                  <c:v>577.91</c:v>
                </c:pt>
                <c:pt idx="384">
                  <c:v>563.45000000000005</c:v>
                </c:pt>
                <c:pt idx="385">
                  <c:v>550.66999999999996</c:v>
                </c:pt>
                <c:pt idx="386">
                  <c:v>548.33000000000004</c:v>
                </c:pt>
                <c:pt idx="387">
                  <c:v>542.95000000000005</c:v>
                </c:pt>
                <c:pt idx="388">
                  <c:v>544.64</c:v>
                </c:pt>
                <c:pt idx="389">
                  <c:v>556.67999999999995</c:v>
                </c:pt>
                <c:pt idx="390">
                  <c:v>552.28</c:v>
                </c:pt>
                <c:pt idx="391">
                  <c:v>547.20000000000005</c:v>
                </c:pt>
                <c:pt idx="392">
                  <c:v>542.25</c:v>
                </c:pt>
                <c:pt idx="393">
                  <c:v>290.47000000000003</c:v>
                </c:pt>
                <c:pt idx="394">
                  <c:v>292.68</c:v>
                </c:pt>
                <c:pt idx="395">
                  <c:v>293.68</c:v>
                </c:pt>
                <c:pt idx="396">
                  <c:v>307.47000000000003</c:v>
                </c:pt>
                <c:pt idx="397">
                  <c:v>311.94</c:v>
                </c:pt>
                <c:pt idx="398">
                  <c:v>322.14</c:v>
                </c:pt>
                <c:pt idx="399">
                  <c:v>322.17</c:v>
                </c:pt>
                <c:pt idx="400">
                  <c:v>322.70999999999998</c:v>
                </c:pt>
                <c:pt idx="401">
                  <c:v>324.39</c:v>
                </c:pt>
                <c:pt idx="402">
                  <c:v>317.33999999999997</c:v>
                </c:pt>
                <c:pt idx="403">
                  <c:v>324</c:v>
                </c:pt>
                <c:pt idx="404">
                  <c:v>322.27999999999997</c:v>
                </c:pt>
                <c:pt idx="405">
                  <c:v>321.3</c:v>
                </c:pt>
                <c:pt idx="406">
                  <c:v>327.85</c:v>
                </c:pt>
                <c:pt idx="407">
                  <c:v>325.54000000000002</c:v>
                </c:pt>
                <c:pt idx="408">
                  <c:v>311.47000000000003</c:v>
                </c:pt>
                <c:pt idx="409">
                  <c:v>302.18</c:v>
                </c:pt>
                <c:pt idx="410">
                  <c:v>312.75</c:v>
                </c:pt>
                <c:pt idx="411">
                  <c:v>305.70999999999998</c:v>
                </c:pt>
                <c:pt idx="412">
                  <c:v>308.79000000000002</c:v>
                </c:pt>
                <c:pt idx="413">
                  <c:v>320.61</c:v>
                </c:pt>
                <c:pt idx="414">
                  <c:v>321.60000000000002</c:v>
                </c:pt>
                <c:pt idx="415">
                  <c:v>322.83</c:v>
                </c:pt>
                <c:pt idx="416">
                  <c:v>318.27999999999997</c:v>
                </c:pt>
                <c:pt idx="417">
                  <c:v>323.16000000000003</c:v>
                </c:pt>
                <c:pt idx="418">
                  <c:v>331.78</c:v>
                </c:pt>
                <c:pt idx="419">
                  <c:v>333.96</c:v>
                </c:pt>
                <c:pt idx="420">
                  <c:v>333.22</c:v>
                </c:pt>
                <c:pt idx="421">
                  <c:v>332.45</c:v>
                </c:pt>
                <c:pt idx="422">
                  <c:v>332.99</c:v>
                </c:pt>
                <c:pt idx="423">
                  <c:v>341.77</c:v>
                </c:pt>
                <c:pt idx="424">
                  <c:v>342.2</c:v>
                </c:pt>
                <c:pt idx="425">
                  <c:v>342.65</c:v>
                </c:pt>
                <c:pt idx="426">
                  <c:v>334.21</c:v>
                </c:pt>
                <c:pt idx="427">
                  <c:v>337.27</c:v>
                </c:pt>
                <c:pt idx="428">
                  <c:v>337.94</c:v>
                </c:pt>
                <c:pt idx="429">
                  <c:v>343.09</c:v>
                </c:pt>
                <c:pt idx="430">
                  <c:v>343.62</c:v>
                </c:pt>
                <c:pt idx="431">
                  <c:v>344.75</c:v>
                </c:pt>
                <c:pt idx="432">
                  <c:v>331.44</c:v>
                </c:pt>
                <c:pt idx="433">
                  <c:v>335.63</c:v>
                </c:pt>
                <c:pt idx="434">
                  <c:v>341.33</c:v>
                </c:pt>
                <c:pt idx="435">
                  <c:v>342.1</c:v>
                </c:pt>
                <c:pt idx="436">
                  <c:v>351.52</c:v>
                </c:pt>
                <c:pt idx="437">
                  <c:v>359.22</c:v>
                </c:pt>
                <c:pt idx="438">
                  <c:v>352.96</c:v>
                </c:pt>
                <c:pt idx="439">
                  <c:v>354.66</c:v>
                </c:pt>
                <c:pt idx="440">
                  <c:v>352.01</c:v>
                </c:pt>
                <c:pt idx="441">
                  <c:v>351.89</c:v>
                </c:pt>
                <c:pt idx="442">
                  <c:v>354.76</c:v>
                </c:pt>
                <c:pt idx="443">
                  <c:v>354.33</c:v>
                </c:pt>
                <c:pt idx="444">
                  <c:v>355.31</c:v>
                </c:pt>
                <c:pt idx="445">
                  <c:v>360.24</c:v>
                </c:pt>
                <c:pt idx="446">
                  <c:v>356.56</c:v>
                </c:pt>
                <c:pt idx="447">
                  <c:v>359.48</c:v>
                </c:pt>
                <c:pt idx="448">
                  <c:v>365.74</c:v>
                </c:pt>
                <c:pt idx="449">
                  <c:v>368.17</c:v>
                </c:pt>
                <c:pt idx="450">
                  <c:v>371.46</c:v>
                </c:pt>
                <c:pt idx="451">
                  <c:v>382.67</c:v>
                </c:pt>
                <c:pt idx="452">
                  <c:v>394.97</c:v>
                </c:pt>
                <c:pt idx="453">
                  <c:v>392.32</c:v>
                </c:pt>
                <c:pt idx="454">
                  <c:v>247.16</c:v>
                </c:pt>
                <c:pt idx="455">
                  <c:v>255.21</c:v>
                </c:pt>
                <c:pt idx="456">
                  <c:v>259.69</c:v>
                </c:pt>
                <c:pt idx="457">
                  <c:v>296.77999999999997</c:v>
                </c:pt>
                <c:pt idx="458">
                  <c:v>294.92</c:v>
                </c:pt>
                <c:pt idx="459">
                  <c:v>300.54000000000002</c:v>
                </c:pt>
                <c:pt idx="460">
                  <c:v>311.89</c:v>
                </c:pt>
                <c:pt idx="461">
                  <c:v>322.58999999999997</c:v>
                </c:pt>
                <c:pt idx="462">
                  <c:v>349.98</c:v>
                </c:pt>
                <c:pt idx="463">
                  <c:v>339.39</c:v>
                </c:pt>
                <c:pt idx="464">
                  <c:v>351.51</c:v>
                </c:pt>
                <c:pt idx="465">
                  <c:v>356.16</c:v>
                </c:pt>
                <c:pt idx="466">
                  <c:v>353.89</c:v>
                </c:pt>
                <c:pt idx="467">
                  <c:v>336.77</c:v>
                </c:pt>
                <c:pt idx="468">
                  <c:v>296.39</c:v>
                </c:pt>
                <c:pt idx="469">
                  <c:v>309.26</c:v>
                </c:pt>
                <c:pt idx="470">
                  <c:v>307.97000000000003</c:v>
                </c:pt>
                <c:pt idx="471">
                  <c:v>299.26</c:v>
                </c:pt>
                <c:pt idx="472">
                  <c:v>293.45999999999998</c:v>
                </c:pt>
                <c:pt idx="473">
                  <c:v>305.43</c:v>
                </c:pt>
                <c:pt idx="474">
                  <c:v>315.36</c:v>
                </c:pt>
                <c:pt idx="475">
                  <c:v>317.49</c:v>
                </c:pt>
                <c:pt idx="476">
                  <c:v>329.27</c:v>
                </c:pt>
                <c:pt idx="477">
                  <c:v>335.01</c:v>
                </c:pt>
                <c:pt idx="478">
                  <c:v>321.14999999999998</c:v>
                </c:pt>
                <c:pt idx="479">
                  <c:v>323.17</c:v>
                </c:pt>
                <c:pt idx="480">
                  <c:v>313.3</c:v>
                </c:pt>
                <c:pt idx="481">
                  <c:v>329.25</c:v>
                </c:pt>
                <c:pt idx="482">
                  <c:v>331.5</c:v>
                </c:pt>
                <c:pt idx="483">
                  <c:v>317.08999999999997</c:v>
                </c:pt>
                <c:pt idx="484">
                  <c:v>314.08</c:v>
                </c:pt>
                <c:pt idx="485">
                  <c:v>293.92</c:v>
                </c:pt>
                <c:pt idx="486">
                  <c:v>292.19</c:v>
                </c:pt>
                <c:pt idx="487">
                  <c:v>304.57</c:v>
                </c:pt>
                <c:pt idx="488">
                  <c:v>309.55</c:v>
                </c:pt>
                <c:pt idx="489">
                  <c:v>290.68</c:v>
                </c:pt>
                <c:pt idx="490">
                  <c:v>294.51</c:v>
                </c:pt>
                <c:pt idx="491">
                  <c:v>279.85000000000002</c:v>
                </c:pt>
                <c:pt idx="492">
                  <c:v>277.57</c:v>
                </c:pt>
                <c:pt idx="493">
                  <c:v>282.63</c:v>
                </c:pt>
                <c:pt idx="494">
                  <c:v>268.42</c:v>
                </c:pt>
                <c:pt idx="495">
                  <c:v>270.05</c:v>
                </c:pt>
                <c:pt idx="496">
                  <c:v>260.61</c:v>
                </c:pt>
                <c:pt idx="497">
                  <c:v>271.77999999999997</c:v>
                </c:pt>
                <c:pt idx="498">
                  <c:v>292.14999999999998</c:v>
                </c:pt>
                <c:pt idx="499">
                  <c:v>308.98</c:v>
                </c:pt>
                <c:pt idx="500">
                  <c:v>316.77999999999997</c:v>
                </c:pt>
                <c:pt idx="501">
                  <c:v>315.2</c:v>
                </c:pt>
                <c:pt idx="502">
                  <c:v>314.54000000000002</c:v>
                </c:pt>
                <c:pt idx="503">
                  <c:v>309.95</c:v>
                </c:pt>
                <c:pt idx="504">
                  <c:v>306.02</c:v>
                </c:pt>
                <c:pt idx="505">
                  <c:v>347.43</c:v>
                </c:pt>
                <c:pt idx="506">
                  <c:v>332.9</c:v>
                </c:pt>
                <c:pt idx="507">
                  <c:v>315.10000000000002</c:v>
                </c:pt>
                <c:pt idx="508">
                  <c:v>308.32</c:v>
                </c:pt>
                <c:pt idx="509">
                  <c:v>297.39</c:v>
                </c:pt>
                <c:pt idx="510">
                  <c:v>306.41000000000003</c:v>
                </c:pt>
                <c:pt idx="511">
                  <c:v>308.23</c:v>
                </c:pt>
                <c:pt idx="512">
                  <c:v>320.33999999999997</c:v>
                </c:pt>
                <c:pt idx="513">
                  <c:v>298.72000000000003</c:v>
                </c:pt>
                <c:pt idx="514">
                  <c:v>303.95</c:v>
                </c:pt>
                <c:pt idx="515">
                  <c:v>298.42</c:v>
                </c:pt>
                <c:pt idx="516">
                  <c:v>288.32</c:v>
                </c:pt>
                <c:pt idx="517">
                  <c:v>288.5</c:v>
                </c:pt>
                <c:pt idx="518">
                  <c:v>273.33999999999997</c:v>
                </c:pt>
                <c:pt idx="519">
                  <c:v>269.31</c:v>
                </c:pt>
                <c:pt idx="520">
                  <c:v>265.95</c:v>
                </c:pt>
                <c:pt idx="521">
                  <c:v>170.58</c:v>
                </c:pt>
                <c:pt idx="522">
                  <c:v>150.87</c:v>
                </c:pt>
                <c:pt idx="523">
                  <c:v>154.01</c:v>
                </c:pt>
                <c:pt idx="524">
                  <c:v>170.45</c:v>
                </c:pt>
                <c:pt idx="525">
                  <c:v>169.46</c:v>
                </c:pt>
                <c:pt idx="526">
                  <c:v>164.8</c:v>
                </c:pt>
                <c:pt idx="527">
                  <c:v>162.16</c:v>
                </c:pt>
                <c:pt idx="528">
                  <c:v>168.01</c:v>
                </c:pt>
                <c:pt idx="529">
                  <c:v>169.91</c:v>
                </c:pt>
                <c:pt idx="530">
                  <c:v>172.66</c:v>
                </c:pt>
                <c:pt idx="531">
                  <c:v>174.53</c:v>
                </c:pt>
                <c:pt idx="532">
                  <c:v>169.39</c:v>
                </c:pt>
                <c:pt idx="533">
                  <c:v>161.05000000000001</c:v>
                </c:pt>
                <c:pt idx="534">
                  <c:v>164</c:v>
                </c:pt>
                <c:pt idx="535">
                  <c:v>172.74</c:v>
                </c:pt>
                <c:pt idx="536">
                  <c:v>172.92</c:v>
                </c:pt>
                <c:pt idx="537">
                  <c:v>164.11</c:v>
                </c:pt>
                <c:pt idx="538">
                  <c:v>160.47999999999999</c:v>
                </c:pt>
                <c:pt idx="539">
                  <c:v>153.84</c:v>
                </c:pt>
                <c:pt idx="540">
                  <c:v>143.08000000000001</c:v>
                </c:pt>
                <c:pt idx="541">
                  <c:v>149.96</c:v>
                </c:pt>
                <c:pt idx="542">
                  <c:v>151.66</c:v>
                </c:pt>
                <c:pt idx="543">
                  <c:v>163</c:v>
                </c:pt>
                <c:pt idx="544">
                  <c:v>161.87</c:v>
                </c:pt>
                <c:pt idx="545">
                  <c:v>164.77</c:v>
                </c:pt>
                <c:pt idx="546">
                  <c:v>157.16999999999999</c:v>
                </c:pt>
                <c:pt idx="547">
                  <c:v>156.97999999999999</c:v>
                </c:pt>
                <c:pt idx="548">
                  <c:v>150.66999999999999</c:v>
                </c:pt>
                <c:pt idx="549">
                  <c:v>154.38</c:v>
                </c:pt>
                <c:pt idx="550">
                  <c:v>160.85</c:v>
                </c:pt>
                <c:pt idx="551">
                  <c:v>156.97999999999999</c:v>
                </c:pt>
                <c:pt idx="552">
                  <c:v>148.94</c:v>
                </c:pt>
                <c:pt idx="553">
                  <c:v>143.51</c:v>
                </c:pt>
                <c:pt idx="554">
                  <c:v>150.16999999999999</c:v>
                </c:pt>
                <c:pt idx="555">
                  <c:v>157.34</c:v>
                </c:pt>
                <c:pt idx="556">
                  <c:v>163.22</c:v>
                </c:pt>
                <c:pt idx="557">
                  <c:v>169.55</c:v>
                </c:pt>
                <c:pt idx="558">
                  <c:v>172.5</c:v>
                </c:pt>
                <c:pt idx="559">
                  <c:v>186.14</c:v>
                </c:pt>
                <c:pt idx="560">
                  <c:v>187.1</c:v>
                </c:pt>
                <c:pt idx="561">
                  <c:v>189.87</c:v>
                </c:pt>
                <c:pt idx="562">
                  <c:v>189.26</c:v>
                </c:pt>
                <c:pt idx="563">
                  <c:v>204.46</c:v>
                </c:pt>
                <c:pt idx="564">
                  <c:v>205.91</c:v>
                </c:pt>
                <c:pt idx="565">
                  <c:v>204.86</c:v>
                </c:pt>
                <c:pt idx="566">
                  <c:v>201.8</c:v>
                </c:pt>
                <c:pt idx="567">
                  <c:v>203.1</c:v>
                </c:pt>
                <c:pt idx="568">
                  <c:v>214.5</c:v>
                </c:pt>
                <c:pt idx="569">
                  <c:v>204.35</c:v>
                </c:pt>
                <c:pt idx="570">
                  <c:v>195.83</c:v>
                </c:pt>
                <c:pt idx="571">
                  <c:v>197.99</c:v>
                </c:pt>
                <c:pt idx="572">
                  <c:v>192.04</c:v>
                </c:pt>
                <c:pt idx="573">
                  <c:v>182.76</c:v>
                </c:pt>
                <c:pt idx="574">
                  <c:v>184.82</c:v>
                </c:pt>
                <c:pt idx="575">
                  <c:v>191.45</c:v>
                </c:pt>
                <c:pt idx="576">
                  <c:v>184.46</c:v>
                </c:pt>
                <c:pt idx="577">
                  <c:v>188.07</c:v>
                </c:pt>
                <c:pt idx="578">
                  <c:v>192.54</c:v>
                </c:pt>
                <c:pt idx="579">
                  <c:v>120.25</c:v>
                </c:pt>
                <c:pt idx="580">
                  <c:v>124.13</c:v>
                </c:pt>
                <c:pt idx="581">
                  <c:v>123.67</c:v>
                </c:pt>
                <c:pt idx="582">
                  <c:v>123.11</c:v>
                </c:pt>
                <c:pt idx="583">
                  <c:v>108.11</c:v>
                </c:pt>
                <c:pt idx="584">
                  <c:v>108.73</c:v>
                </c:pt>
                <c:pt idx="585">
                  <c:v>108.24</c:v>
                </c:pt>
                <c:pt idx="586">
                  <c:v>107.41</c:v>
                </c:pt>
                <c:pt idx="587">
                  <c:v>111.38</c:v>
                </c:pt>
                <c:pt idx="588">
                  <c:v>112.16</c:v>
                </c:pt>
                <c:pt idx="589">
                  <c:v>117.51</c:v>
                </c:pt>
                <c:pt idx="590">
                  <c:v>107.72</c:v>
                </c:pt>
                <c:pt idx="591">
                  <c:v>106.78</c:v>
                </c:pt>
                <c:pt idx="592">
                  <c:v>97.09</c:v>
                </c:pt>
                <c:pt idx="593">
                  <c:v>98.68</c:v>
                </c:pt>
                <c:pt idx="594">
                  <c:v>90.54</c:v>
                </c:pt>
                <c:pt idx="595">
                  <c:v>89.8</c:v>
                </c:pt>
                <c:pt idx="596">
                  <c:v>94.93</c:v>
                </c:pt>
                <c:pt idx="597">
                  <c:v>89.35</c:v>
                </c:pt>
                <c:pt idx="598">
                  <c:v>93.94</c:v>
                </c:pt>
                <c:pt idx="599">
                  <c:v>87.55</c:v>
                </c:pt>
                <c:pt idx="600">
                  <c:v>87.51</c:v>
                </c:pt>
                <c:pt idx="601">
                  <c:v>81.89</c:v>
                </c:pt>
                <c:pt idx="602">
                  <c:v>83.25</c:v>
                </c:pt>
                <c:pt idx="603">
                  <c:v>77.48</c:v>
                </c:pt>
                <c:pt idx="604">
                  <c:v>81.260000000000005</c:v>
                </c:pt>
                <c:pt idx="605">
                  <c:v>87.3</c:v>
                </c:pt>
                <c:pt idx="606">
                  <c:v>93.7</c:v>
                </c:pt>
                <c:pt idx="607">
                  <c:v>93.53</c:v>
                </c:pt>
                <c:pt idx="608">
                  <c:v>91.32</c:v>
                </c:pt>
                <c:pt idx="609">
                  <c:v>95.6</c:v>
                </c:pt>
                <c:pt idx="610">
                  <c:v>86.78</c:v>
                </c:pt>
                <c:pt idx="611">
                  <c:v>88.18</c:v>
                </c:pt>
                <c:pt idx="612">
                  <c:v>88.4</c:v>
                </c:pt>
                <c:pt idx="613">
                  <c:v>89.5</c:v>
                </c:pt>
                <c:pt idx="614">
                  <c:v>88.7</c:v>
                </c:pt>
                <c:pt idx="615">
                  <c:v>85.94</c:v>
                </c:pt>
                <c:pt idx="616">
                  <c:v>79.83</c:v>
                </c:pt>
                <c:pt idx="617">
                  <c:v>81.739999999999995</c:v>
                </c:pt>
                <c:pt idx="618">
                  <c:v>86.22</c:v>
                </c:pt>
                <c:pt idx="619">
                  <c:v>78.86</c:v>
                </c:pt>
                <c:pt idx="620">
                  <c:v>80.209999999999994</c:v>
                </c:pt>
                <c:pt idx="621">
                  <c:v>87.72</c:v>
                </c:pt>
                <c:pt idx="622">
                  <c:v>87.36</c:v>
                </c:pt>
                <c:pt idx="623">
                  <c:v>86.99</c:v>
                </c:pt>
                <c:pt idx="624">
                  <c:v>90.92</c:v>
                </c:pt>
                <c:pt idx="625">
                  <c:v>90.63</c:v>
                </c:pt>
                <c:pt idx="626">
                  <c:v>86.1</c:v>
                </c:pt>
                <c:pt idx="627">
                  <c:v>84.55</c:v>
                </c:pt>
                <c:pt idx="628">
                  <c:v>83.07</c:v>
                </c:pt>
                <c:pt idx="629">
                  <c:v>84.1</c:v>
                </c:pt>
                <c:pt idx="630">
                  <c:v>86.25</c:v>
                </c:pt>
                <c:pt idx="631">
                  <c:v>85.75</c:v>
                </c:pt>
                <c:pt idx="632">
                  <c:v>90.49</c:v>
                </c:pt>
                <c:pt idx="633">
                  <c:v>92.79</c:v>
                </c:pt>
                <c:pt idx="634">
                  <c:v>86.72</c:v>
                </c:pt>
                <c:pt idx="635">
                  <c:v>86.25</c:v>
                </c:pt>
                <c:pt idx="636">
                  <c:v>87.72</c:v>
                </c:pt>
                <c:pt idx="637">
                  <c:v>88.19</c:v>
                </c:pt>
                <c:pt idx="638">
                  <c:v>88.84</c:v>
                </c:pt>
                <c:pt idx="639">
                  <c:v>89.01</c:v>
                </c:pt>
                <c:pt idx="640">
                  <c:v>90.86</c:v>
                </c:pt>
                <c:pt idx="641">
                  <c:v>80.84</c:v>
                </c:pt>
                <c:pt idx="642">
                  <c:v>88.74</c:v>
                </c:pt>
                <c:pt idx="643">
                  <c:v>88.92</c:v>
                </c:pt>
                <c:pt idx="644">
                  <c:v>88.39</c:v>
                </c:pt>
                <c:pt idx="645">
                  <c:v>85.24</c:v>
                </c:pt>
                <c:pt idx="646">
                  <c:v>90.49</c:v>
                </c:pt>
                <c:pt idx="647">
                  <c:v>92.5</c:v>
                </c:pt>
                <c:pt idx="648">
                  <c:v>97.85</c:v>
                </c:pt>
                <c:pt idx="649">
                  <c:v>97.89</c:v>
                </c:pt>
                <c:pt idx="650">
                  <c:v>98.98</c:v>
                </c:pt>
                <c:pt idx="651">
                  <c:v>101.22</c:v>
                </c:pt>
                <c:pt idx="652">
                  <c:v>101.63</c:v>
                </c:pt>
                <c:pt idx="653">
                  <c:v>94.89</c:v>
                </c:pt>
                <c:pt idx="654">
                  <c:v>95.63</c:v>
                </c:pt>
                <c:pt idx="655">
                  <c:v>93.3</c:v>
                </c:pt>
                <c:pt idx="656">
                  <c:v>96.93</c:v>
                </c:pt>
                <c:pt idx="657">
                  <c:v>94.38</c:v>
                </c:pt>
                <c:pt idx="658">
                  <c:v>98.8</c:v>
                </c:pt>
                <c:pt idx="659">
                  <c:v>101.85</c:v>
                </c:pt>
                <c:pt idx="660">
                  <c:v>100.95</c:v>
                </c:pt>
                <c:pt idx="661">
                  <c:v>100.1</c:v>
                </c:pt>
                <c:pt idx="662">
                  <c:v>99.73</c:v>
                </c:pt>
                <c:pt idx="663">
                  <c:v>97.69</c:v>
                </c:pt>
                <c:pt idx="664">
                  <c:v>95.46</c:v>
                </c:pt>
                <c:pt idx="665">
                  <c:v>97.62</c:v>
                </c:pt>
                <c:pt idx="666">
                  <c:v>97.83</c:v>
                </c:pt>
                <c:pt idx="667">
                  <c:v>97.49</c:v>
                </c:pt>
                <c:pt idx="668">
                  <c:v>94.86</c:v>
                </c:pt>
                <c:pt idx="669">
                  <c:v>93.79</c:v>
                </c:pt>
                <c:pt idx="670">
                  <c:v>91.44</c:v>
                </c:pt>
                <c:pt idx="671">
                  <c:v>90.75</c:v>
                </c:pt>
                <c:pt idx="672">
                  <c:v>91.26</c:v>
                </c:pt>
                <c:pt idx="673">
                  <c:v>88.98</c:v>
                </c:pt>
                <c:pt idx="674">
                  <c:v>90.36</c:v>
                </c:pt>
                <c:pt idx="675">
                  <c:v>93.42</c:v>
                </c:pt>
                <c:pt idx="676">
                  <c:v>95.25</c:v>
                </c:pt>
                <c:pt idx="677">
                  <c:v>98.68</c:v>
                </c:pt>
                <c:pt idx="678">
                  <c:v>100.24</c:v>
                </c:pt>
                <c:pt idx="679">
                  <c:v>96.19</c:v>
                </c:pt>
                <c:pt idx="680">
                  <c:v>99.65</c:v>
                </c:pt>
                <c:pt idx="681">
                  <c:v>100.02</c:v>
                </c:pt>
                <c:pt idx="682">
                  <c:v>99.89</c:v>
                </c:pt>
                <c:pt idx="683">
                  <c:v>101.77</c:v>
                </c:pt>
                <c:pt idx="684">
                  <c:v>101.66</c:v>
                </c:pt>
                <c:pt idx="685">
                  <c:v>99.05</c:v>
                </c:pt>
                <c:pt idx="686">
                  <c:v>95.03</c:v>
                </c:pt>
                <c:pt idx="687">
                  <c:v>90.66</c:v>
                </c:pt>
                <c:pt idx="688">
                  <c:v>90.89</c:v>
                </c:pt>
                <c:pt idx="689">
                  <c:v>93.17</c:v>
                </c:pt>
                <c:pt idx="690">
                  <c:v>94.77</c:v>
                </c:pt>
                <c:pt idx="691">
                  <c:v>88.32</c:v>
                </c:pt>
                <c:pt idx="692">
                  <c:v>87.34</c:v>
                </c:pt>
                <c:pt idx="693">
                  <c:v>79.819999999999993</c:v>
                </c:pt>
                <c:pt idx="694">
                  <c:v>82.14</c:v>
                </c:pt>
                <c:pt idx="695">
                  <c:v>79.3</c:v>
                </c:pt>
                <c:pt idx="696">
                  <c:v>78.41</c:v>
                </c:pt>
                <c:pt idx="697">
                  <c:v>73.45</c:v>
                </c:pt>
                <c:pt idx="698">
                  <c:v>73.42</c:v>
                </c:pt>
                <c:pt idx="699">
                  <c:v>71.290000000000006</c:v>
                </c:pt>
                <c:pt idx="700">
                  <c:v>71.53</c:v>
                </c:pt>
                <c:pt idx="701">
                  <c:v>73.010000000000005</c:v>
                </c:pt>
                <c:pt idx="702">
                  <c:v>67.5</c:v>
                </c:pt>
                <c:pt idx="703">
                  <c:v>72.23</c:v>
                </c:pt>
                <c:pt idx="704">
                  <c:v>72.510000000000005</c:v>
                </c:pt>
                <c:pt idx="705">
                  <c:v>62.18</c:v>
                </c:pt>
                <c:pt idx="706">
                  <c:v>58.04</c:v>
                </c:pt>
                <c:pt idx="707">
                  <c:v>60.05</c:v>
                </c:pt>
                <c:pt idx="708">
                  <c:v>59.61</c:v>
                </c:pt>
                <c:pt idx="709">
                  <c:v>62.76</c:v>
                </c:pt>
                <c:pt idx="710">
                  <c:v>63.39</c:v>
                </c:pt>
                <c:pt idx="711">
                  <c:v>63.52</c:v>
                </c:pt>
                <c:pt idx="712">
                  <c:v>64.489999999999995</c:v>
                </c:pt>
                <c:pt idx="713">
                  <c:v>64.209999999999994</c:v>
                </c:pt>
                <c:pt idx="714">
                  <c:v>64.290000000000006</c:v>
                </c:pt>
                <c:pt idx="715">
                  <c:v>60.67</c:v>
                </c:pt>
                <c:pt idx="716">
                  <c:v>60.76</c:v>
                </c:pt>
                <c:pt idx="717">
                  <c:v>58.55</c:v>
                </c:pt>
                <c:pt idx="718">
                  <c:v>55.62</c:v>
                </c:pt>
                <c:pt idx="719">
                  <c:v>53.98</c:v>
                </c:pt>
                <c:pt idx="720">
                  <c:v>50.12</c:v>
                </c:pt>
                <c:pt idx="721">
                  <c:v>53.82</c:v>
                </c:pt>
                <c:pt idx="722">
                  <c:v>55.3</c:v>
                </c:pt>
                <c:pt idx="723">
                  <c:v>53.89</c:v>
                </c:pt>
                <c:pt idx="724">
                  <c:v>54.86</c:v>
                </c:pt>
                <c:pt idx="725">
                  <c:v>52.75</c:v>
                </c:pt>
                <c:pt idx="726">
                  <c:v>51.69</c:v>
                </c:pt>
                <c:pt idx="727">
                  <c:v>50.85</c:v>
                </c:pt>
                <c:pt idx="728">
                  <c:v>47.37</c:v>
                </c:pt>
                <c:pt idx="729">
                  <c:v>47.95</c:v>
                </c:pt>
                <c:pt idx="730">
                  <c:v>51.7</c:v>
                </c:pt>
                <c:pt idx="731">
                  <c:v>51.6</c:v>
                </c:pt>
                <c:pt idx="732">
                  <c:v>51.62</c:v>
                </c:pt>
                <c:pt idx="733">
                  <c:v>51.03</c:v>
                </c:pt>
                <c:pt idx="734">
                  <c:v>54.94</c:v>
                </c:pt>
                <c:pt idx="735">
                  <c:v>54.94</c:v>
                </c:pt>
                <c:pt idx="736">
                  <c:v>54.99</c:v>
                </c:pt>
                <c:pt idx="737">
                  <c:v>51.49</c:v>
                </c:pt>
                <c:pt idx="738">
                  <c:v>50.74</c:v>
                </c:pt>
                <c:pt idx="739">
                  <c:v>49.11</c:v>
                </c:pt>
                <c:pt idx="740">
                  <c:v>48.94</c:v>
                </c:pt>
                <c:pt idx="741">
                  <c:v>50.53</c:v>
                </c:pt>
                <c:pt idx="742">
                  <c:v>47.36</c:v>
                </c:pt>
                <c:pt idx="743">
                  <c:v>45.42</c:v>
                </c:pt>
                <c:pt idx="744">
                  <c:v>44.25</c:v>
                </c:pt>
                <c:pt idx="745">
                  <c:v>44.49</c:v>
                </c:pt>
                <c:pt idx="746">
                  <c:v>42.39</c:v>
                </c:pt>
                <c:pt idx="747">
                  <c:v>42.29</c:v>
                </c:pt>
                <c:pt idx="748">
                  <c:v>38.89</c:v>
                </c:pt>
                <c:pt idx="749">
                  <c:v>38.82</c:v>
                </c:pt>
                <c:pt idx="750">
                  <c:v>35.369999999999997</c:v>
                </c:pt>
                <c:pt idx="751">
                  <c:v>34.75</c:v>
                </c:pt>
                <c:pt idx="752">
                  <c:v>30.79</c:v>
                </c:pt>
                <c:pt idx="753">
                  <c:v>31.81</c:v>
                </c:pt>
                <c:pt idx="754">
                  <c:v>34.380000000000003</c:v>
                </c:pt>
                <c:pt idx="755">
                  <c:v>34.76</c:v>
                </c:pt>
                <c:pt idx="756">
                  <c:v>30.51</c:v>
                </c:pt>
                <c:pt idx="757">
                  <c:v>32.07</c:v>
                </c:pt>
                <c:pt idx="758">
                  <c:v>31.14</c:v>
                </c:pt>
                <c:pt idx="759">
                  <c:v>31.91</c:v>
                </c:pt>
                <c:pt idx="760">
                  <c:v>33.799999999999997</c:v>
                </c:pt>
                <c:pt idx="761">
                  <c:v>33.54</c:v>
                </c:pt>
                <c:pt idx="762">
                  <c:v>34.770000000000003</c:v>
                </c:pt>
                <c:pt idx="763">
                  <c:v>34.869999999999997</c:v>
                </c:pt>
                <c:pt idx="764">
                  <c:v>34.54</c:v>
                </c:pt>
                <c:pt idx="765">
                  <c:v>37.11</c:v>
                </c:pt>
                <c:pt idx="766">
                  <c:v>36.340000000000003</c:v>
                </c:pt>
                <c:pt idx="767">
                  <c:v>35.89</c:v>
                </c:pt>
                <c:pt idx="768">
                  <c:v>36.82</c:v>
                </c:pt>
                <c:pt idx="769">
                  <c:v>39.67</c:v>
                </c:pt>
                <c:pt idx="770">
                  <c:v>39.71</c:v>
                </c:pt>
                <c:pt idx="771">
                  <c:v>39.86</c:v>
                </c:pt>
                <c:pt idx="772">
                  <c:v>44.23</c:v>
                </c:pt>
                <c:pt idx="773">
                  <c:v>49.1</c:v>
                </c:pt>
                <c:pt idx="774">
                  <c:v>46</c:v>
                </c:pt>
                <c:pt idx="775">
                  <c:v>47.81</c:v>
                </c:pt>
              </c:numCache>
            </c:numRef>
          </c:val>
          <c:smooth val="0"/>
          <c:extLst>
            <c:ext xmlns:c16="http://schemas.microsoft.com/office/drawing/2014/chart" uri="{C3380CC4-5D6E-409C-BE32-E72D297353CC}">
              <c16:uniqueId val="{00000001-445D-4385-AB40-7866F7E2070C}"/>
            </c:ext>
          </c:extLst>
        </c:ser>
        <c:dLbls>
          <c:showLegendKey val="0"/>
          <c:showVal val="0"/>
          <c:showCatName val="0"/>
          <c:showSerName val="0"/>
          <c:showPercent val="0"/>
          <c:showBubbleSize val="0"/>
        </c:dLbls>
        <c:smooth val="0"/>
        <c:axId val="1595686952"/>
        <c:axId val="1595697512"/>
      </c:lineChart>
      <c:dateAx>
        <c:axId val="159568695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95697512"/>
        <c:crosses val="autoZero"/>
        <c:auto val="1"/>
        <c:lblOffset val="100"/>
        <c:baseTimeUnit val="days"/>
      </c:dateAx>
      <c:valAx>
        <c:axId val="1595697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95686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Charts!$A$357</c:f>
              <c:strCache>
                <c:ptCount val="1"/>
                <c:pt idx="0">
                  <c:v>PS</c:v>
                </c:pt>
              </c:strCache>
            </c:strRef>
          </c:tx>
          <c:spPr>
            <a:ln w="28575" cap="rnd">
              <a:solidFill>
                <a:schemeClr val="accent1"/>
              </a:solidFill>
              <a:round/>
            </a:ln>
            <a:effectLst/>
          </c:spPr>
          <c:marker>
            <c:symbol val="none"/>
          </c:marker>
          <c:cat>
            <c:numRef>
              <c:f>Charts!$B$356:$ACW$356</c:f>
              <c:numCache>
                <c:formatCode>m/d/yyyy</c:formatCode>
                <c:ptCount val="776"/>
                <c:pt idx="0">
                  <c:v>43832</c:v>
                </c:pt>
                <c:pt idx="1">
                  <c:v>43833</c:v>
                </c:pt>
                <c:pt idx="2">
                  <c:v>43836</c:v>
                </c:pt>
                <c:pt idx="3">
                  <c:v>43837</c:v>
                </c:pt>
                <c:pt idx="4">
                  <c:v>43838</c:v>
                </c:pt>
                <c:pt idx="5">
                  <c:v>43839</c:v>
                </c:pt>
                <c:pt idx="6">
                  <c:v>43840</c:v>
                </c:pt>
                <c:pt idx="7">
                  <c:v>43843</c:v>
                </c:pt>
                <c:pt idx="8">
                  <c:v>43844</c:v>
                </c:pt>
                <c:pt idx="9">
                  <c:v>43845</c:v>
                </c:pt>
                <c:pt idx="10">
                  <c:v>43846</c:v>
                </c:pt>
                <c:pt idx="11">
                  <c:v>43847</c:v>
                </c:pt>
                <c:pt idx="12">
                  <c:v>43851</c:v>
                </c:pt>
                <c:pt idx="13">
                  <c:v>43852</c:v>
                </c:pt>
                <c:pt idx="14">
                  <c:v>43853</c:v>
                </c:pt>
                <c:pt idx="15">
                  <c:v>43854</c:v>
                </c:pt>
                <c:pt idx="16">
                  <c:v>43857</c:v>
                </c:pt>
                <c:pt idx="17">
                  <c:v>43858</c:v>
                </c:pt>
                <c:pt idx="18">
                  <c:v>43859</c:v>
                </c:pt>
                <c:pt idx="19">
                  <c:v>43860</c:v>
                </c:pt>
                <c:pt idx="20">
                  <c:v>43861</c:v>
                </c:pt>
                <c:pt idx="21">
                  <c:v>43864</c:v>
                </c:pt>
                <c:pt idx="22">
                  <c:v>43865</c:v>
                </c:pt>
                <c:pt idx="23">
                  <c:v>43866</c:v>
                </c:pt>
                <c:pt idx="24">
                  <c:v>43867</c:v>
                </c:pt>
                <c:pt idx="25">
                  <c:v>43868</c:v>
                </c:pt>
                <c:pt idx="26">
                  <c:v>43871</c:v>
                </c:pt>
                <c:pt idx="27">
                  <c:v>43872</c:v>
                </c:pt>
                <c:pt idx="28">
                  <c:v>43873</c:v>
                </c:pt>
                <c:pt idx="29">
                  <c:v>43874</c:v>
                </c:pt>
                <c:pt idx="30">
                  <c:v>43875</c:v>
                </c:pt>
                <c:pt idx="31">
                  <c:v>43879</c:v>
                </c:pt>
                <c:pt idx="32">
                  <c:v>43880</c:v>
                </c:pt>
                <c:pt idx="33">
                  <c:v>43881</c:v>
                </c:pt>
                <c:pt idx="34">
                  <c:v>43882</c:v>
                </c:pt>
                <c:pt idx="35">
                  <c:v>43885</c:v>
                </c:pt>
                <c:pt idx="36">
                  <c:v>43886</c:v>
                </c:pt>
                <c:pt idx="37">
                  <c:v>43887</c:v>
                </c:pt>
                <c:pt idx="38">
                  <c:v>43888</c:v>
                </c:pt>
                <c:pt idx="39">
                  <c:v>43889</c:v>
                </c:pt>
                <c:pt idx="40">
                  <c:v>43892</c:v>
                </c:pt>
                <c:pt idx="41">
                  <c:v>43893</c:v>
                </c:pt>
                <c:pt idx="42">
                  <c:v>43894</c:v>
                </c:pt>
                <c:pt idx="43">
                  <c:v>43895</c:v>
                </c:pt>
                <c:pt idx="44">
                  <c:v>43896</c:v>
                </c:pt>
                <c:pt idx="45">
                  <c:v>43899</c:v>
                </c:pt>
                <c:pt idx="46">
                  <c:v>43900</c:v>
                </c:pt>
                <c:pt idx="47">
                  <c:v>43901</c:v>
                </c:pt>
                <c:pt idx="48">
                  <c:v>43902</c:v>
                </c:pt>
                <c:pt idx="49">
                  <c:v>43903</c:v>
                </c:pt>
                <c:pt idx="50">
                  <c:v>43906</c:v>
                </c:pt>
                <c:pt idx="51">
                  <c:v>43907</c:v>
                </c:pt>
                <c:pt idx="52">
                  <c:v>43908</c:v>
                </c:pt>
                <c:pt idx="53">
                  <c:v>43909</c:v>
                </c:pt>
                <c:pt idx="54">
                  <c:v>43910</c:v>
                </c:pt>
                <c:pt idx="55">
                  <c:v>43913</c:v>
                </c:pt>
                <c:pt idx="56">
                  <c:v>43914</c:v>
                </c:pt>
                <c:pt idx="57">
                  <c:v>43915</c:v>
                </c:pt>
                <c:pt idx="58">
                  <c:v>43916</c:v>
                </c:pt>
                <c:pt idx="59">
                  <c:v>43917</c:v>
                </c:pt>
                <c:pt idx="60">
                  <c:v>43920</c:v>
                </c:pt>
                <c:pt idx="61">
                  <c:v>43921</c:v>
                </c:pt>
                <c:pt idx="62">
                  <c:v>43922</c:v>
                </c:pt>
                <c:pt idx="63">
                  <c:v>43923</c:v>
                </c:pt>
                <c:pt idx="64">
                  <c:v>43924</c:v>
                </c:pt>
                <c:pt idx="65">
                  <c:v>43927</c:v>
                </c:pt>
                <c:pt idx="66">
                  <c:v>43928</c:v>
                </c:pt>
                <c:pt idx="67">
                  <c:v>43929</c:v>
                </c:pt>
                <c:pt idx="68">
                  <c:v>43930</c:v>
                </c:pt>
                <c:pt idx="69">
                  <c:v>43934</c:v>
                </c:pt>
                <c:pt idx="70">
                  <c:v>43935</c:v>
                </c:pt>
                <c:pt idx="71">
                  <c:v>43936</c:v>
                </c:pt>
                <c:pt idx="72">
                  <c:v>43937</c:v>
                </c:pt>
                <c:pt idx="73">
                  <c:v>43938</c:v>
                </c:pt>
                <c:pt idx="74">
                  <c:v>43941</c:v>
                </c:pt>
                <c:pt idx="75">
                  <c:v>43942</c:v>
                </c:pt>
                <c:pt idx="76">
                  <c:v>43943</c:v>
                </c:pt>
                <c:pt idx="77">
                  <c:v>43944</c:v>
                </c:pt>
                <c:pt idx="78">
                  <c:v>43945</c:v>
                </c:pt>
                <c:pt idx="79">
                  <c:v>43948</c:v>
                </c:pt>
                <c:pt idx="80">
                  <c:v>43949</c:v>
                </c:pt>
                <c:pt idx="81">
                  <c:v>43950</c:v>
                </c:pt>
                <c:pt idx="82">
                  <c:v>43951</c:v>
                </c:pt>
                <c:pt idx="83">
                  <c:v>43952</c:v>
                </c:pt>
                <c:pt idx="84">
                  <c:v>43955</c:v>
                </c:pt>
                <c:pt idx="85">
                  <c:v>43956</c:v>
                </c:pt>
                <c:pt idx="86">
                  <c:v>43957</c:v>
                </c:pt>
                <c:pt idx="87">
                  <c:v>43958</c:v>
                </c:pt>
                <c:pt idx="88">
                  <c:v>43959</c:v>
                </c:pt>
                <c:pt idx="89">
                  <c:v>43962</c:v>
                </c:pt>
                <c:pt idx="90">
                  <c:v>43963</c:v>
                </c:pt>
                <c:pt idx="91">
                  <c:v>43964</c:v>
                </c:pt>
                <c:pt idx="92">
                  <c:v>43965</c:v>
                </c:pt>
                <c:pt idx="93">
                  <c:v>43966</c:v>
                </c:pt>
                <c:pt idx="94">
                  <c:v>43969</c:v>
                </c:pt>
                <c:pt idx="95">
                  <c:v>43970</c:v>
                </c:pt>
                <c:pt idx="96">
                  <c:v>43971</c:v>
                </c:pt>
                <c:pt idx="97">
                  <c:v>43972</c:v>
                </c:pt>
                <c:pt idx="98">
                  <c:v>43973</c:v>
                </c:pt>
                <c:pt idx="99">
                  <c:v>43977</c:v>
                </c:pt>
                <c:pt idx="100">
                  <c:v>43978</c:v>
                </c:pt>
                <c:pt idx="101">
                  <c:v>43979</c:v>
                </c:pt>
                <c:pt idx="102">
                  <c:v>43980</c:v>
                </c:pt>
                <c:pt idx="103">
                  <c:v>43983</c:v>
                </c:pt>
                <c:pt idx="104">
                  <c:v>43984</c:v>
                </c:pt>
                <c:pt idx="105">
                  <c:v>43985</c:v>
                </c:pt>
                <c:pt idx="106">
                  <c:v>43986</c:v>
                </c:pt>
                <c:pt idx="107">
                  <c:v>43987</c:v>
                </c:pt>
                <c:pt idx="108">
                  <c:v>43990</c:v>
                </c:pt>
                <c:pt idx="109">
                  <c:v>43991</c:v>
                </c:pt>
                <c:pt idx="110">
                  <c:v>43992</c:v>
                </c:pt>
                <c:pt idx="111">
                  <c:v>43993</c:v>
                </c:pt>
                <c:pt idx="112">
                  <c:v>43994</c:v>
                </c:pt>
                <c:pt idx="113">
                  <c:v>43997</c:v>
                </c:pt>
                <c:pt idx="114">
                  <c:v>43998</c:v>
                </c:pt>
                <c:pt idx="115">
                  <c:v>43999</c:v>
                </c:pt>
                <c:pt idx="116">
                  <c:v>44000</c:v>
                </c:pt>
                <c:pt idx="117">
                  <c:v>44001</c:v>
                </c:pt>
                <c:pt idx="118">
                  <c:v>44004</c:v>
                </c:pt>
                <c:pt idx="119">
                  <c:v>44005</c:v>
                </c:pt>
                <c:pt idx="120">
                  <c:v>44006</c:v>
                </c:pt>
                <c:pt idx="121">
                  <c:v>44007</c:v>
                </c:pt>
                <c:pt idx="122">
                  <c:v>44008</c:v>
                </c:pt>
                <c:pt idx="123">
                  <c:v>44011</c:v>
                </c:pt>
                <c:pt idx="124">
                  <c:v>44012</c:v>
                </c:pt>
                <c:pt idx="125">
                  <c:v>44013</c:v>
                </c:pt>
                <c:pt idx="126">
                  <c:v>44014</c:v>
                </c:pt>
                <c:pt idx="127">
                  <c:v>44018</c:v>
                </c:pt>
                <c:pt idx="128">
                  <c:v>44019</c:v>
                </c:pt>
                <c:pt idx="129">
                  <c:v>44020</c:v>
                </c:pt>
                <c:pt idx="130">
                  <c:v>44021</c:v>
                </c:pt>
                <c:pt idx="131">
                  <c:v>44022</c:v>
                </c:pt>
                <c:pt idx="132">
                  <c:v>44025</c:v>
                </c:pt>
                <c:pt idx="133">
                  <c:v>44026</c:v>
                </c:pt>
                <c:pt idx="134">
                  <c:v>44027</c:v>
                </c:pt>
                <c:pt idx="135">
                  <c:v>44028</c:v>
                </c:pt>
                <c:pt idx="136">
                  <c:v>44029</c:v>
                </c:pt>
                <c:pt idx="137">
                  <c:v>44032</c:v>
                </c:pt>
                <c:pt idx="138">
                  <c:v>44033</c:v>
                </c:pt>
                <c:pt idx="139">
                  <c:v>44034</c:v>
                </c:pt>
                <c:pt idx="140">
                  <c:v>44035</c:v>
                </c:pt>
                <c:pt idx="141">
                  <c:v>44036</c:v>
                </c:pt>
                <c:pt idx="142">
                  <c:v>44039</c:v>
                </c:pt>
                <c:pt idx="143">
                  <c:v>44040</c:v>
                </c:pt>
                <c:pt idx="144">
                  <c:v>44041</c:v>
                </c:pt>
                <c:pt idx="145">
                  <c:v>44042</c:v>
                </c:pt>
                <c:pt idx="146">
                  <c:v>44043</c:v>
                </c:pt>
                <c:pt idx="147">
                  <c:v>44046</c:v>
                </c:pt>
                <c:pt idx="148">
                  <c:v>44047</c:v>
                </c:pt>
                <c:pt idx="149">
                  <c:v>44048</c:v>
                </c:pt>
                <c:pt idx="150">
                  <c:v>44049</c:v>
                </c:pt>
                <c:pt idx="151">
                  <c:v>44050</c:v>
                </c:pt>
                <c:pt idx="152">
                  <c:v>44053</c:v>
                </c:pt>
                <c:pt idx="153">
                  <c:v>44054</c:v>
                </c:pt>
                <c:pt idx="154">
                  <c:v>44055</c:v>
                </c:pt>
                <c:pt idx="155">
                  <c:v>44056</c:v>
                </c:pt>
                <c:pt idx="156">
                  <c:v>44057</c:v>
                </c:pt>
                <c:pt idx="157">
                  <c:v>44060</c:v>
                </c:pt>
                <c:pt idx="158">
                  <c:v>44061</c:v>
                </c:pt>
                <c:pt idx="159">
                  <c:v>44062</c:v>
                </c:pt>
                <c:pt idx="160">
                  <c:v>44063</c:v>
                </c:pt>
                <c:pt idx="161">
                  <c:v>44064</c:v>
                </c:pt>
                <c:pt idx="162">
                  <c:v>44067</c:v>
                </c:pt>
                <c:pt idx="163">
                  <c:v>44068</c:v>
                </c:pt>
                <c:pt idx="164">
                  <c:v>44069</c:v>
                </c:pt>
                <c:pt idx="165">
                  <c:v>44070</c:v>
                </c:pt>
                <c:pt idx="166">
                  <c:v>44071</c:v>
                </c:pt>
                <c:pt idx="167">
                  <c:v>44074</c:v>
                </c:pt>
                <c:pt idx="168">
                  <c:v>44075</c:v>
                </c:pt>
                <c:pt idx="169">
                  <c:v>44076</c:v>
                </c:pt>
                <c:pt idx="170">
                  <c:v>44077</c:v>
                </c:pt>
                <c:pt idx="171">
                  <c:v>44078</c:v>
                </c:pt>
                <c:pt idx="172">
                  <c:v>44082</c:v>
                </c:pt>
                <c:pt idx="173">
                  <c:v>44083</c:v>
                </c:pt>
                <c:pt idx="174">
                  <c:v>44084</c:v>
                </c:pt>
                <c:pt idx="175">
                  <c:v>44085</c:v>
                </c:pt>
                <c:pt idx="176">
                  <c:v>44088</c:v>
                </c:pt>
                <c:pt idx="177">
                  <c:v>44089</c:v>
                </c:pt>
                <c:pt idx="178">
                  <c:v>44090</c:v>
                </c:pt>
                <c:pt idx="179">
                  <c:v>44091</c:v>
                </c:pt>
                <c:pt idx="180">
                  <c:v>44092</c:v>
                </c:pt>
                <c:pt idx="181">
                  <c:v>44095</c:v>
                </c:pt>
                <c:pt idx="182">
                  <c:v>44096</c:v>
                </c:pt>
                <c:pt idx="183">
                  <c:v>44097</c:v>
                </c:pt>
                <c:pt idx="184">
                  <c:v>44098</c:v>
                </c:pt>
                <c:pt idx="185">
                  <c:v>44099</c:v>
                </c:pt>
                <c:pt idx="186">
                  <c:v>44102</c:v>
                </c:pt>
                <c:pt idx="187">
                  <c:v>44103</c:v>
                </c:pt>
                <c:pt idx="188">
                  <c:v>44104</c:v>
                </c:pt>
                <c:pt idx="189">
                  <c:v>44105</c:v>
                </c:pt>
                <c:pt idx="190">
                  <c:v>44106</c:v>
                </c:pt>
                <c:pt idx="191">
                  <c:v>44109</c:v>
                </c:pt>
                <c:pt idx="192">
                  <c:v>44110</c:v>
                </c:pt>
                <c:pt idx="193">
                  <c:v>44111</c:v>
                </c:pt>
                <c:pt idx="194">
                  <c:v>44112</c:v>
                </c:pt>
                <c:pt idx="195">
                  <c:v>44113</c:v>
                </c:pt>
                <c:pt idx="196">
                  <c:v>44116</c:v>
                </c:pt>
                <c:pt idx="197">
                  <c:v>44117</c:v>
                </c:pt>
                <c:pt idx="198">
                  <c:v>44118</c:v>
                </c:pt>
                <c:pt idx="199">
                  <c:v>44119</c:v>
                </c:pt>
                <c:pt idx="200">
                  <c:v>44120</c:v>
                </c:pt>
                <c:pt idx="201">
                  <c:v>44123</c:v>
                </c:pt>
                <c:pt idx="202">
                  <c:v>44124</c:v>
                </c:pt>
                <c:pt idx="203">
                  <c:v>44125</c:v>
                </c:pt>
                <c:pt idx="204">
                  <c:v>44126</c:v>
                </c:pt>
                <c:pt idx="205">
                  <c:v>44127</c:v>
                </c:pt>
                <c:pt idx="206">
                  <c:v>44130</c:v>
                </c:pt>
                <c:pt idx="207">
                  <c:v>44131</c:v>
                </c:pt>
                <c:pt idx="208">
                  <c:v>44132</c:v>
                </c:pt>
                <c:pt idx="209">
                  <c:v>44133</c:v>
                </c:pt>
                <c:pt idx="210">
                  <c:v>44134</c:v>
                </c:pt>
                <c:pt idx="211">
                  <c:v>44137</c:v>
                </c:pt>
                <c:pt idx="212">
                  <c:v>44138</c:v>
                </c:pt>
                <c:pt idx="213">
                  <c:v>44139</c:v>
                </c:pt>
                <c:pt idx="214">
                  <c:v>44140</c:v>
                </c:pt>
                <c:pt idx="215">
                  <c:v>44141</c:v>
                </c:pt>
                <c:pt idx="216">
                  <c:v>44144</c:v>
                </c:pt>
                <c:pt idx="217">
                  <c:v>44145</c:v>
                </c:pt>
                <c:pt idx="218">
                  <c:v>44146</c:v>
                </c:pt>
                <c:pt idx="219">
                  <c:v>44147</c:v>
                </c:pt>
                <c:pt idx="220">
                  <c:v>44148</c:v>
                </c:pt>
                <c:pt idx="221">
                  <c:v>44151</c:v>
                </c:pt>
                <c:pt idx="222">
                  <c:v>44152</c:v>
                </c:pt>
                <c:pt idx="223">
                  <c:v>44153</c:v>
                </c:pt>
                <c:pt idx="224">
                  <c:v>44154</c:v>
                </c:pt>
                <c:pt idx="225">
                  <c:v>44155</c:v>
                </c:pt>
                <c:pt idx="226">
                  <c:v>44158</c:v>
                </c:pt>
                <c:pt idx="227">
                  <c:v>44159</c:v>
                </c:pt>
                <c:pt idx="228">
                  <c:v>44160</c:v>
                </c:pt>
                <c:pt idx="229">
                  <c:v>44162</c:v>
                </c:pt>
                <c:pt idx="230">
                  <c:v>44165</c:v>
                </c:pt>
                <c:pt idx="231">
                  <c:v>44166</c:v>
                </c:pt>
                <c:pt idx="232">
                  <c:v>44167</c:v>
                </c:pt>
                <c:pt idx="233">
                  <c:v>44168</c:v>
                </c:pt>
                <c:pt idx="234">
                  <c:v>44169</c:v>
                </c:pt>
                <c:pt idx="235">
                  <c:v>44172</c:v>
                </c:pt>
                <c:pt idx="236">
                  <c:v>44173</c:v>
                </c:pt>
                <c:pt idx="237">
                  <c:v>44174</c:v>
                </c:pt>
                <c:pt idx="238">
                  <c:v>44175</c:v>
                </c:pt>
                <c:pt idx="239">
                  <c:v>44176</c:v>
                </c:pt>
                <c:pt idx="240">
                  <c:v>44179</c:v>
                </c:pt>
                <c:pt idx="241">
                  <c:v>44180</c:v>
                </c:pt>
                <c:pt idx="242">
                  <c:v>44181</c:v>
                </c:pt>
                <c:pt idx="243">
                  <c:v>44182</c:v>
                </c:pt>
                <c:pt idx="244">
                  <c:v>44183</c:v>
                </c:pt>
                <c:pt idx="245">
                  <c:v>44186</c:v>
                </c:pt>
                <c:pt idx="246">
                  <c:v>44187</c:v>
                </c:pt>
                <c:pt idx="247">
                  <c:v>44188</c:v>
                </c:pt>
                <c:pt idx="248">
                  <c:v>44189</c:v>
                </c:pt>
                <c:pt idx="249">
                  <c:v>44193</c:v>
                </c:pt>
                <c:pt idx="250">
                  <c:v>44194</c:v>
                </c:pt>
                <c:pt idx="251">
                  <c:v>44195</c:v>
                </c:pt>
                <c:pt idx="252">
                  <c:v>44196</c:v>
                </c:pt>
                <c:pt idx="253">
                  <c:v>44200</c:v>
                </c:pt>
                <c:pt idx="254">
                  <c:v>44201</c:v>
                </c:pt>
                <c:pt idx="255">
                  <c:v>44202</c:v>
                </c:pt>
                <c:pt idx="256">
                  <c:v>44203</c:v>
                </c:pt>
                <c:pt idx="257">
                  <c:v>44204</c:v>
                </c:pt>
                <c:pt idx="258">
                  <c:v>44207</c:v>
                </c:pt>
                <c:pt idx="259">
                  <c:v>44208</c:v>
                </c:pt>
                <c:pt idx="260">
                  <c:v>44209</c:v>
                </c:pt>
                <c:pt idx="261">
                  <c:v>44210</c:v>
                </c:pt>
                <c:pt idx="262">
                  <c:v>44211</c:v>
                </c:pt>
                <c:pt idx="263">
                  <c:v>44215</c:v>
                </c:pt>
                <c:pt idx="264">
                  <c:v>44216</c:v>
                </c:pt>
                <c:pt idx="265">
                  <c:v>44217</c:v>
                </c:pt>
                <c:pt idx="266">
                  <c:v>44218</c:v>
                </c:pt>
                <c:pt idx="267">
                  <c:v>44221</c:v>
                </c:pt>
                <c:pt idx="268">
                  <c:v>44222</c:v>
                </c:pt>
                <c:pt idx="269">
                  <c:v>44223</c:v>
                </c:pt>
                <c:pt idx="270">
                  <c:v>44224</c:v>
                </c:pt>
                <c:pt idx="271">
                  <c:v>44225</c:v>
                </c:pt>
                <c:pt idx="272">
                  <c:v>44228</c:v>
                </c:pt>
                <c:pt idx="273">
                  <c:v>44229</c:v>
                </c:pt>
                <c:pt idx="274">
                  <c:v>44230</c:v>
                </c:pt>
                <c:pt idx="275">
                  <c:v>44231</c:v>
                </c:pt>
                <c:pt idx="276">
                  <c:v>44232</c:v>
                </c:pt>
                <c:pt idx="277">
                  <c:v>44235</c:v>
                </c:pt>
                <c:pt idx="278">
                  <c:v>44236</c:v>
                </c:pt>
                <c:pt idx="279">
                  <c:v>44237</c:v>
                </c:pt>
                <c:pt idx="280">
                  <c:v>44238</c:v>
                </c:pt>
                <c:pt idx="281">
                  <c:v>44239</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44266</c:v>
                </c:pt>
                <c:pt idx="300">
                  <c:v>44267</c:v>
                </c:pt>
                <c:pt idx="301">
                  <c:v>44270</c:v>
                </c:pt>
                <c:pt idx="302">
                  <c:v>44271</c:v>
                </c:pt>
                <c:pt idx="303">
                  <c:v>44272</c:v>
                </c:pt>
                <c:pt idx="304">
                  <c:v>44273</c:v>
                </c:pt>
                <c:pt idx="305">
                  <c:v>44274</c:v>
                </c:pt>
                <c:pt idx="306">
                  <c:v>44277</c:v>
                </c:pt>
                <c:pt idx="307">
                  <c:v>44278</c:v>
                </c:pt>
                <c:pt idx="308">
                  <c:v>44279</c:v>
                </c:pt>
                <c:pt idx="309">
                  <c:v>44280</c:v>
                </c:pt>
                <c:pt idx="310">
                  <c:v>44281</c:v>
                </c:pt>
                <c:pt idx="311">
                  <c:v>44284</c:v>
                </c:pt>
                <c:pt idx="312">
                  <c:v>44285</c:v>
                </c:pt>
                <c:pt idx="313">
                  <c:v>44286</c:v>
                </c:pt>
                <c:pt idx="314">
                  <c:v>44287</c:v>
                </c:pt>
                <c:pt idx="315">
                  <c:v>44291</c:v>
                </c:pt>
                <c:pt idx="316">
                  <c:v>44292</c:v>
                </c:pt>
                <c:pt idx="317">
                  <c:v>44293</c:v>
                </c:pt>
                <c:pt idx="318">
                  <c:v>44294</c:v>
                </c:pt>
                <c:pt idx="319">
                  <c:v>44295</c:v>
                </c:pt>
                <c:pt idx="320">
                  <c:v>44298</c:v>
                </c:pt>
                <c:pt idx="321">
                  <c:v>44299</c:v>
                </c:pt>
                <c:pt idx="322">
                  <c:v>44300</c:v>
                </c:pt>
                <c:pt idx="323">
                  <c:v>44301</c:v>
                </c:pt>
                <c:pt idx="324">
                  <c:v>44302</c:v>
                </c:pt>
                <c:pt idx="325">
                  <c:v>44305</c:v>
                </c:pt>
                <c:pt idx="326">
                  <c:v>44306</c:v>
                </c:pt>
                <c:pt idx="327">
                  <c:v>44307</c:v>
                </c:pt>
                <c:pt idx="328">
                  <c:v>44308</c:v>
                </c:pt>
                <c:pt idx="329">
                  <c:v>44309</c:v>
                </c:pt>
                <c:pt idx="330">
                  <c:v>44312</c:v>
                </c:pt>
                <c:pt idx="331">
                  <c:v>44313</c:v>
                </c:pt>
                <c:pt idx="332">
                  <c:v>44314</c:v>
                </c:pt>
                <c:pt idx="333">
                  <c:v>44315</c:v>
                </c:pt>
                <c:pt idx="334">
                  <c:v>44316</c:v>
                </c:pt>
                <c:pt idx="335">
                  <c:v>44319</c:v>
                </c:pt>
                <c:pt idx="336">
                  <c:v>44320</c:v>
                </c:pt>
                <c:pt idx="337">
                  <c:v>44321</c:v>
                </c:pt>
                <c:pt idx="338">
                  <c:v>44322</c:v>
                </c:pt>
                <c:pt idx="339">
                  <c:v>44323</c:v>
                </c:pt>
                <c:pt idx="340">
                  <c:v>44326</c:v>
                </c:pt>
                <c:pt idx="341">
                  <c:v>44327</c:v>
                </c:pt>
                <c:pt idx="342">
                  <c:v>44328</c:v>
                </c:pt>
                <c:pt idx="343">
                  <c:v>44329</c:v>
                </c:pt>
                <c:pt idx="344">
                  <c:v>44330</c:v>
                </c:pt>
                <c:pt idx="345">
                  <c:v>44333</c:v>
                </c:pt>
                <c:pt idx="346">
                  <c:v>44334</c:v>
                </c:pt>
                <c:pt idx="347">
                  <c:v>44335</c:v>
                </c:pt>
                <c:pt idx="348">
                  <c:v>44336</c:v>
                </c:pt>
                <c:pt idx="349">
                  <c:v>44337</c:v>
                </c:pt>
                <c:pt idx="350">
                  <c:v>44340</c:v>
                </c:pt>
                <c:pt idx="351">
                  <c:v>44341</c:v>
                </c:pt>
                <c:pt idx="352">
                  <c:v>44342</c:v>
                </c:pt>
                <c:pt idx="353">
                  <c:v>44343</c:v>
                </c:pt>
                <c:pt idx="354">
                  <c:v>44344</c:v>
                </c:pt>
                <c:pt idx="355">
                  <c:v>44348</c:v>
                </c:pt>
                <c:pt idx="356">
                  <c:v>44349</c:v>
                </c:pt>
                <c:pt idx="357">
                  <c:v>44350</c:v>
                </c:pt>
                <c:pt idx="358">
                  <c:v>44351</c:v>
                </c:pt>
                <c:pt idx="359">
                  <c:v>44354</c:v>
                </c:pt>
                <c:pt idx="360">
                  <c:v>44355</c:v>
                </c:pt>
                <c:pt idx="361">
                  <c:v>44356</c:v>
                </c:pt>
                <c:pt idx="362">
                  <c:v>44357</c:v>
                </c:pt>
                <c:pt idx="363">
                  <c:v>44358</c:v>
                </c:pt>
                <c:pt idx="364">
                  <c:v>44361</c:v>
                </c:pt>
                <c:pt idx="365">
                  <c:v>44362</c:v>
                </c:pt>
                <c:pt idx="366">
                  <c:v>44363</c:v>
                </c:pt>
                <c:pt idx="367">
                  <c:v>44364</c:v>
                </c:pt>
                <c:pt idx="368">
                  <c:v>44365</c:v>
                </c:pt>
                <c:pt idx="369">
                  <c:v>44368</c:v>
                </c:pt>
                <c:pt idx="370">
                  <c:v>44369</c:v>
                </c:pt>
                <c:pt idx="371">
                  <c:v>44370</c:v>
                </c:pt>
                <c:pt idx="372">
                  <c:v>44371</c:v>
                </c:pt>
                <c:pt idx="373">
                  <c:v>44372</c:v>
                </c:pt>
                <c:pt idx="374">
                  <c:v>44375</c:v>
                </c:pt>
                <c:pt idx="375">
                  <c:v>44376</c:v>
                </c:pt>
                <c:pt idx="376">
                  <c:v>44377</c:v>
                </c:pt>
                <c:pt idx="377">
                  <c:v>44378</c:v>
                </c:pt>
                <c:pt idx="378">
                  <c:v>44379</c:v>
                </c:pt>
                <c:pt idx="379">
                  <c:v>44383</c:v>
                </c:pt>
                <c:pt idx="380">
                  <c:v>44384</c:v>
                </c:pt>
                <c:pt idx="381">
                  <c:v>44385</c:v>
                </c:pt>
                <c:pt idx="382">
                  <c:v>44386</c:v>
                </c:pt>
                <c:pt idx="383">
                  <c:v>44389</c:v>
                </c:pt>
                <c:pt idx="384">
                  <c:v>44390</c:v>
                </c:pt>
                <c:pt idx="385">
                  <c:v>44391</c:v>
                </c:pt>
                <c:pt idx="386">
                  <c:v>44392</c:v>
                </c:pt>
                <c:pt idx="387">
                  <c:v>44393</c:v>
                </c:pt>
                <c:pt idx="388">
                  <c:v>44396</c:v>
                </c:pt>
                <c:pt idx="389">
                  <c:v>44397</c:v>
                </c:pt>
                <c:pt idx="390">
                  <c:v>44398</c:v>
                </c:pt>
                <c:pt idx="391">
                  <c:v>44399</c:v>
                </c:pt>
                <c:pt idx="392">
                  <c:v>44400</c:v>
                </c:pt>
                <c:pt idx="393">
                  <c:v>44403</c:v>
                </c:pt>
                <c:pt idx="394">
                  <c:v>44404</c:v>
                </c:pt>
                <c:pt idx="395">
                  <c:v>44405</c:v>
                </c:pt>
                <c:pt idx="396">
                  <c:v>44406</c:v>
                </c:pt>
                <c:pt idx="397">
                  <c:v>44407</c:v>
                </c:pt>
                <c:pt idx="398">
                  <c:v>44410</c:v>
                </c:pt>
                <c:pt idx="399">
                  <c:v>44411</c:v>
                </c:pt>
                <c:pt idx="400">
                  <c:v>44412</c:v>
                </c:pt>
                <c:pt idx="401">
                  <c:v>44413</c:v>
                </c:pt>
                <c:pt idx="402">
                  <c:v>44414</c:v>
                </c:pt>
                <c:pt idx="403">
                  <c:v>44417</c:v>
                </c:pt>
                <c:pt idx="404">
                  <c:v>44418</c:v>
                </c:pt>
                <c:pt idx="405">
                  <c:v>44419</c:v>
                </c:pt>
                <c:pt idx="406">
                  <c:v>44420</c:v>
                </c:pt>
                <c:pt idx="407">
                  <c:v>44421</c:v>
                </c:pt>
                <c:pt idx="408">
                  <c:v>44424</c:v>
                </c:pt>
                <c:pt idx="409">
                  <c:v>44425</c:v>
                </c:pt>
                <c:pt idx="410">
                  <c:v>44426</c:v>
                </c:pt>
                <c:pt idx="411">
                  <c:v>44427</c:v>
                </c:pt>
                <c:pt idx="412">
                  <c:v>44428</c:v>
                </c:pt>
                <c:pt idx="413">
                  <c:v>44431</c:v>
                </c:pt>
                <c:pt idx="414">
                  <c:v>44432</c:v>
                </c:pt>
                <c:pt idx="415">
                  <c:v>44433</c:v>
                </c:pt>
                <c:pt idx="416">
                  <c:v>44434</c:v>
                </c:pt>
                <c:pt idx="417">
                  <c:v>44435</c:v>
                </c:pt>
                <c:pt idx="418">
                  <c:v>44438</c:v>
                </c:pt>
                <c:pt idx="419">
                  <c:v>44439</c:v>
                </c:pt>
                <c:pt idx="420">
                  <c:v>44440</c:v>
                </c:pt>
                <c:pt idx="421">
                  <c:v>44441</c:v>
                </c:pt>
                <c:pt idx="422">
                  <c:v>44442</c:v>
                </c:pt>
                <c:pt idx="423">
                  <c:v>44446</c:v>
                </c:pt>
                <c:pt idx="424">
                  <c:v>44447</c:v>
                </c:pt>
                <c:pt idx="425">
                  <c:v>44448</c:v>
                </c:pt>
                <c:pt idx="426">
                  <c:v>44449</c:v>
                </c:pt>
                <c:pt idx="427">
                  <c:v>44452</c:v>
                </c:pt>
                <c:pt idx="428">
                  <c:v>44453</c:v>
                </c:pt>
                <c:pt idx="429">
                  <c:v>44454</c:v>
                </c:pt>
                <c:pt idx="430">
                  <c:v>44455</c:v>
                </c:pt>
                <c:pt idx="431">
                  <c:v>44456</c:v>
                </c:pt>
                <c:pt idx="432">
                  <c:v>44459</c:v>
                </c:pt>
                <c:pt idx="433">
                  <c:v>44460</c:v>
                </c:pt>
                <c:pt idx="434">
                  <c:v>44461</c:v>
                </c:pt>
                <c:pt idx="435">
                  <c:v>44462</c:v>
                </c:pt>
                <c:pt idx="436">
                  <c:v>44463</c:v>
                </c:pt>
                <c:pt idx="437">
                  <c:v>44466</c:v>
                </c:pt>
                <c:pt idx="438">
                  <c:v>44467</c:v>
                </c:pt>
                <c:pt idx="439">
                  <c:v>44468</c:v>
                </c:pt>
                <c:pt idx="440">
                  <c:v>44469</c:v>
                </c:pt>
                <c:pt idx="441">
                  <c:v>44470</c:v>
                </c:pt>
                <c:pt idx="442">
                  <c:v>44473</c:v>
                </c:pt>
                <c:pt idx="443">
                  <c:v>44474</c:v>
                </c:pt>
                <c:pt idx="444">
                  <c:v>44475</c:v>
                </c:pt>
                <c:pt idx="445">
                  <c:v>44476</c:v>
                </c:pt>
                <c:pt idx="446">
                  <c:v>44477</c:v>
                </c:pt>
                <c:pt idx="447">
                  <c:v>44480</c:v>
                </c:pt>
                <c:pt idx="448">
                  <c:v>44481</c:v>
                </c:pt>
                <c:pt idx="449">
                  <c:v>44482</c:v>
                </c:pt>
                <c:pt idx="450">
                  <c:v>44483</c:v>
                </c:pt>
                <c:pt idx="451">
                  <c:v>44484</c:v>
                </c:pt>
                <c:pt idx="452">
                  <c:v>44487</c:v>
                </c:pt>
                <c:pt idx="453">
                  <c:v>44488</c:v>
                </c:pt>
                <c:pt idx="454">
                  <c:v>44489</c:v>
                </c:pt>
                <c:pt idx="455">
                  <c:v>44490</c:v>
                </c:pt>
                <c:pt idx="456">
                  <c:v>44491</c:v>
                </c:pt>
                <c:pt idx="457">
                  <c:v>44494</c:v>
                </c:pt>
                <c:pt idx="458">
                  <c:v>44495</c:v>
                </c:pt>
                <c:pt idx="459">
                  <c:v>44496</c:v>
                </c:pt>
                <c:pt idx="460">
                  <c:v>44497</c:v>
                </c:pt>
                <c:pt idx="461">
                  <c:v>44498</c:v>
                </c:pt>
                <c:pt idx="462">
                  <c:v>44501</c:v>
                </c:pt>
                <c:pt idx="463">
                  <c:v>44502</c:v>
                </c:pt>
                <c:pt idx="464">
                  <c:v>44503</c:v>
                </c:pt>
                <c:pt idx="465">
                  <c:v>44504</c:v>
                </c:pt>
                <c:pt idx="466">
                  <c:v>44505</c:v>
                </c:pt>
                <c:pt idx="467">
                  <c:v>44508</c:v>
                </c:pt>
                <c:pt idx="468">
                  <c:v>44509</c:v>
                </c:pt>
                <c:pt idx="469">
                  <c:v>44510</c:v>
                </c:pt>
                <c:pt idx="470">
                  <c:v>44511</c:v>
                </c:pt>
                <c:pt idx="471">
                  <c:v>44512</c:v>
                </c:pt>
                <c:pt idx="472">
                  <c:v>44515</c:v>
                </c:pt>
                <c:pt idx="473">
                  <c:v>44516</c:v>
                </c:pt>
                <c:pt idx="474">
                  <c:v>44517</c:v>
                </c:pt>
                <c:pt idx="475">
                  <c:v>44518</c:v>
                </c:pt>
                <c:pt idx="476">
                  <c:v>44519</c:v>
                </c:pt>
                <c:pt idx="477">
                  <c:v>44522</c:v>
                </c:pt>
                <c:pt idx="478">
                  <c:v>44523</c:v>
                </c:pt>
                <c:pt idx="479">
                  <c:v>44524</c:v>
                </c:pt>
                <c:pt idx="480">
                  <c:v>44526</c:v>
                </c:pt>
                <c:pt idx="481">
                  <c:v>44529</c:v>
                </c:pt>
                <c:pt idx="482">
                  <c:v>44530</c:v>
                </c:pt>
                <c:pt idx="483">
                  <c:v>44531</c:v>
                </c:pt>
                <c:pt idx="484">
                  <c:v>44532</c:v>
                </c:pt>
                <c:pt idx="485">
                  <c:v>44533</c:v>
                </c:pt>
                <c:pt idx="486">
                  <c:v>44536</c:v>
                </c:pt>
                <c:pt idx="487">
                  <c:v>44537</c:v>
                </c:pt>
                <c:pt idx="488">
                  <c:v>44538</c:v>
                </c:pt>
                <c:pt idx="489">
                  <c:v>44539</c:v>
                </c:pt>
                <c:pt idx="490">
                  <c:v>44540</c:v>
                </c:pt>
                <c:pt idx="491">
                  <c:v>44543</c:v>
                </c:pt>
                <c:pt idx="492">
                  <c:v>44544</c:v>
                </c:pt>
                <c:pt idx="493">
                  <c:v>44545</c:v>
                </c:pt>
                <c:pt idx="494">
                  <c:v>44546</c:v>
                </c:pt>
                <c:pt idx="495">
                  <c:v>44547</c:v>
                </c:pt>
                <c:pt idx="496">
                  <c:v>44550</c:v>
                </c:pt>
                <c:pt idx="497">
                  <c:v>44551</c:v>
                </c:pt>
                <c:pt idx="498">
                  <c:v>44552</c:v>
                </c:pt>
                <c:pt idx="499">
                  <c:v>44553</c:v>
                </c:pt>
                <c:pt idx="500">
                  <c:v>44557</c:v>
                </c:pt>
                <c:pt idx="501">
                  <c:v>44558</c:v>
                </c:pt>
                <c:pt idx="502">
                  <c:v>44559</c:v>
                </c:pt>
                <c:pt idx="503">
                  <c:v>44560</c:v>
                </c:pt>
                <c:pt idx="504">
                  <c:v>44561</c:v>
                </c:pt>
                <c:pt idx="505">
                  <c:v>44564</c:v>
                </c:pt>
                <c:pt idx="506">
                  <c:v>44565</c:v>
                </c:pt>
                <c:pt idx="507">
                  <c:v>44566</c:v>
                </c:pt>
                <c:pt idx="508">
                  <c:v>44567</c:v>
                </c:pt>
                <c:pt idx="509">
                  <c:v>44568</c:v>
                </c:pt>
                <c:pt idx="510">
                  <c:v>44571</c:v>
                </c:pt>
                <c:pt idx="511">
                  <c:v>44572</c:v>
                </c:pt>
                <c:pt idx="512">
                  <c:v>44573</c:v>
                </c:pt>
                <c:pt idx="513">
                  <c:v>44574</c:v>
                </c:pt>
                <c:pt idx="514">
                  <c:v>44575</c:v>
                </c:pt>
                <c:pt idx="515">
                  <c:v>44579</c:v>
                </c:pt>
                <c:pt idx="516">
                  <c:v>44580</c:v>
                </c:pt>
                <c:pt idx="517">
                  <c:v>44581</c:v>
                </c:pt>
                <c:pt idx="518">
                  <c:v>44582</c:v>
                </c:pt>
                <c:pt idx="519">
                  <c:v>44585</c:v>
                </c:pt>
                <c:pt idx="520">
                  <c:v>44586</c:v>
                </c:pt>
                <c:pt idx="521">
                  <c:v>44587</c:v>
                </c:pt>
                <c:pt idx="522">
                  <c:v>44588</c:v>
                </c:pt>
                <c:pt idx="523">
                  <c:v>44589</c:v>
                </c:pt>
                <c:pt idx="524">
                  <c:v>44592</c:v>
                </c:pt>
                <c:pt idx="525">
                  <c:v>44593</c:v>
                </c:pt>
                <c:pt idx="526">
                  <c:v>44594</c:v>
                </c:pt>
                <c:pt idx="527">
                  <c:v>44595</c:v>
                </c:pt>
                <c:pt idx="528">
                  <c:v>44596</c:v>
                </c:pt>
                <c:pt idx="529">
                  <c:v>44599</c:v>
                </c:pt>
                <c:pt idx="530">
                  <c:v>44600</c:v>
                </c:pt>
                <c:pt idx="531">
                  <c:v>44601</c:v>
                </c:pt>
                <c:pt idx="532">
                  <c:v>44602</c:v>
                </c:pt>
                <c:pt idx="533">
                  <c:v>44603</c:v>
                </c:pt>
                <c:pt idx="534">
                  <c:v>44606</c:v>
                </c:pt>
                <c:pt idx="535">
                  <c:v>44607</c:v>
                </c:pt>
                <c:pt idx="536">
                  <c:v>44608</c:v>
                </c:pt>
                <c:pt idx="537">
                  <c:v>44609</c:v>
                </c:pt>
                <c:pt idx="538">
                  <c:v>44610</c:v>
                </c:pt>
                <c:pt idx="539">
                  <c:v>44614</c:v>
                </c:pt>
                <c:pt idx="540">
                  <c:v>44615</c:v>
                </c:pt>
                <c:pt idx="541">
                  <c:v>44616</c:v>
                </c:pt>
                <c:pt idx="542">
                  <c:v>44617</c:v>
                </c:pt>
                <c:pt idx="543">
                  <c:v>44620</c:v>
                </c:pt>
                <c:pt idx="544">
                  <c:v>44621</c:v>
                </c:pt>
                <c:pt idx="545">
                  <c:v>44622</c:v>
                </c:pt>
                <c:pt idx="546">
                  <c:v>44623</c:v>
                </c:pt>
                <c:pt idx="547">
                  <c:v>44624</c:v>
                </c:pt>
                <c:pt idx="548">
                  <c:v>44627</c:v>
                </c:pt>
                <c:pt idx="549">
                  <c:v>44628</c:v>
                </c:pt>
                <c:pt idx="550">
                  <c:v>44629</c:v>
                </c:pt>
                <c:pt idx="551">
                  <c:v>44630</c:v>
                </c:pt>
                <c:pt idx="552">
                  <c:v>44631</c:v>
                </c:pt>
                <c:pt idx="553">
                  <c:v>44634</c:v>
                </c:pt>
                <c:pt idx="554">
                  <c:v>44635</c:v>
                </c:pt>
                <c:pt idx="555">
                  <c:v>44636</c:v>
                </c:pt>
                <c:pt idx="556">
                  <c:v>44637</c:v>
                </c:pt>
                <c:pt idx="557">
                  <c:v>44638</c:v>
                </c:pt>
                <c:pt idx="558">
                  <c:v>44641</c:v>
                </c:pt>
                <c:pt idx="559">
                  <c:v>44642</c:v>
                </c:pt>
                <c:pt idx="560">
                  <c:v>44643</c:v>
                </c:pt>
                <c:pt idx="561">
                  <c:v>44644</c:v>
                </c:pt>
                <c:pt idx="562">
                  <c:v>44645</c:v>
                </c:pt>
                <c:pt idx="563">
                  <c:v>44648</c:v>
                </c:pt>
                <c:pt idx="564">
                  <c:v>44649</c:v>
                </c:pt>
                <c:pt idx="565">
                  <c:v>44650</c:v>
                </c:pt>
                <c:pt idx="566">
                  <c:v>44651</c:v>
                </c:pt>
                <c:pt idx="567">
                  <c:v>44652</c:v>
                </c:pt>
                <c:pt idx="568">
                  <c:v>44655</c:v>
                </c:pt>
                <c:pt idx="569">
                  <c:v>44656</c:v>
                </c:pt>
                <c:pt idx="570">
                  <c:v>44657</c:v>
                </c:pt>
                <c:pt idx="571">
                  <c:v>44658</c:v>
                </c:pt>
                <c:pt idx="572">
                  <c:v>44659</c:v>
                </c:pt>
                <c:pt idx="573">
                  <c:v>44662</c:v>
                </c:pt>
                <c:pt idx="574">
                  <c:v>44663</c:v>
                </c:pt>
                <c:pt idx="575">
                  <c:v>44664</c:v>
                </c:pt>
                <c:pt idx="576">
                  <c:v>44665</c:v>
                </c:pt>
                <c:pt idx="577">
                  <c:v>44669</c:v>
                </c:pt>
                <c:pt idx="578">
                  <c:v>44670</c:v>
                </c:pt>
                <c:pt idx="579">
                  <c:v>44671</c:v>
                </c:pt>
                <c:pt idx="580">
                  <c:v>44672</c:v>
                </c:pt>
                <c:pt idx="581">
                  <c:v>44673</c:v>
                </c:pt>
                <c:pt idx="582">
                  <c:v>44676</c:v>
                </c:pt>
                <c:pt idx="583">
                  <c:v>44677</c:v>
                </c:pt>
                <c:pt idx="584">
                  <c:v>44678</c:v>
                </c:pt>
                <c:pt idx="585">
                  <c:v>44679</c:v>
                </c:pt>
                <c:pt idx="586">
                  <c:v>44680</c:v>
                </c:pt>
                <c:pt idx="587">
                  <c:v>44683</c:v>
                </c:pt>
                <c:pt idx="588">
                  <c:v>44684</c:v>
                </c:pt>
                <c:pt idx="589">
                  <c:v>44685</c:v>
                </c:pt>
                <c:pt idx="590">
                  <c:v>44686</c:v>
                </c:pt>
                <c:pt idx="591">
                  <c:v>44687</c:v>
                </c:pt>
                <c:pt idx="592">
                  <c:v>44690</c:v>
                </c:pt>
                <c:pt idx="593">
                  <c:v>44691</c:v>
                </c:pt>
                <c:pt idx="594">
                  <c:v>44692</c:v>
                </c:pt>
                <c:pt idx="595">
                  <c:v>44693</c:v>
                </c:pt>
                <c:pt idx="596">
                  <c:v>44694</c:v>
                </c:pt>
                <c:pt idx="597">
                  <c:v>44697</c:v>
                </c:pt>
                <c:pt idx="598">
                  <c:v>44698</c:v>
                </c:pt>
                <c:pt idx="599">
                  <c:v>44699</c:v>
                </c:pt>
                <c:pt idx="600">
                  <c:v>44700</c:v>
                </c:pt>
                <c:pt idx="601">
                  <c:v>44701</c:v>
                </c:pt>
                <c:pt idx="602">
                  <c:v>44704</c:v>
                </c:pt>
                <c:pt idx="603">
                  <c:v>44705</c:v>
                </c:pt>
                <c:pt idx="604">
                  <c:v>44706</c:v>
                </c:pt>
                <c:pt idx="605">
                  <c:v>44707</c:v>
                </c:pt>
                <c:pt idx="606">
                  <c:v>44708</c:v>
                </c:pt>
                <c:pt idx="607">
                  <c:v>44712</c:v>
                </c:pt>
                <c:pt idx="608">
                  <c:v>44713</c:v>
                </c:pt>
                <c:pt idx="609">
                  <c:v>44714</c:v>
                </c:pt>
                <c:pt idx="610">
                  <c:v>44715</c:v>
                </c:pt>
                <c:pt idx="611">
                  <c:v>44718</c:v>
                </c:pt>
                <c:pt idx="612">
                  <c:v>44719</c:v>
                </c:pt>
                <c:pt idx="613">
                  <c:v>44720</c:v>
                </c:pt>
                <c:pt idx="614">
                  <c:v>44721</c:v>
                </c:pt>
                <c:pt idx="615">
                  <c:v>44722</c:v>
                </c:pt>
                <c:pt idx="616">
                  <c:v>44725</c:v>
                </c:pt>
                <c:pt idx="617">
                  <c:v>44726</c:v>
                </c:pt>
                <c:pt idx="618">
                  <c:v>44727</c:v>
                </c:pt>
                <c:pt idx="619">
                  <c:v>44728</c:v>
                </c:pt>
                <c:pt idx="620">
                  <c:v>44729</c:v>
                </c:pt>
                <c:pt idx="621">
                  <c:v>44733</c:v>
                </c:pt>
                <c:pt idx="622">
                  <c:v>44734</c:v>
                </c:pt>
                <c:pt idx="623">
                  <c:v>44735</c:v>
                </c:pt>
                <c:pt idx="624">
                  <c:v>44736</c:v>
                </c:pt>
                <c:pt idx="625">
                  <c:v>44739</c:v>
                </c:pt>
                <c:pt idx="626">
                  <c:v>44740</c:v>
                </c:pt>
                <c:pt idx="627">
                  <c:v>44741</c:v>
                </c:pt>
                <c:pt idx="628">
                  <c:v>44742</c:v>
                </c:pt>
                <c:pt idx="629">
                  <c:v>44743</c:v>
                </c:pt>
                <c:pt idx="630">
                  <c:v>44747</c:v>
                </c:pt>
                <c:pt idx="631">
                  <c:v>44748</c:v>
                </c:pt>
                <c:pt idx="632">
                  <c:v>44749</c:v>
                </c:pt>
                <c:pt idx="633">
                  <c:v>44750</c:v>
                </c:pt>
                <c:pt idx="634">
                  <c:v>44753</c:v>
                </c:pt>
                <c:pt idx="635">
                  <c:v>44754</c:v>
                </c:pt>
                <c:pt idx="636">
                  <c:v>44755</c:v>
                </c:pt>
                <c:pt idx="637">
                  <c:v>44756</c:v>
                </c:pt>
                <c:pt idx="638">
                  <c:v>44757</c:v>
                </c:pt>
                <c:pt idx="639">
                  <c:v>44760</c:v>
                </c:pt>
                <c:pt idx="640">
                  <c:v>44761</c:v>
                </c:pt>
                <c:pt idx="641">
                  <c:v>44762</c:v>
                </c:pt>
                <c:pt idx="642">
                  <c:v>44763</c:v>
                </c:pt>
                <c:pt idx="643">
                  <c:v>44764</c:v>
                </c:pt>
                <c:pt idx="644">
                  <c:v>44767</c:v>
                </c:pt>
                <c:pt idx="645">
                  <c:v>44768</c:v>
                </c:pt>
                <c:pt idx="646">
                  <c:v>44769</c:v>
                </c:pt>
                <c:pt idx="647">
                  <c:v>44770</c:v>
                </c:pt>
                <c:pt idx="648">
                  <c:v>44771</c:v>
                </c:pt>
                <c:pt idx="649">
                  <c:v>44774</c:v>
                </c:pt>
                <c:pt idx="650">
                  <c:v>44775</c:v>
                </c:pt>
                <c:pt idx="651">
                  <c:v>44776</c:v>
                </c:pt>
                <c:pt idx="652">
                  <c:v>44777</c:v>
                </c:pt>
                <c:pt idx="653">
                  <c:v>44778</c:v>
                </c:pt>
                <c:pt idx="654">
                  <c:v>44781</c:v>
                </c:pt>
                <c:pt idx="655">
                  <c:v>44782</c:v>
                </c:pt>
                <c:pt idx="656">
                  <c:v>44783</c:v>
                </c:pt>
                <c:pt idx="657">
                  <c:v>44784</c:v>
                </c:pt>
                <c:pt idx="658">
                  <c:v>44785</c:v>
                </c:pt>
                <c:pt idx="659">
                  <c:v>44788</c:v>
                </c:pt>
                <c:pt idx="660">
                  <c:v>44789</c:v>
                </c:pt>
                <c:pt idx="661">
                  <c:v>44790</c:v>
                </c:pt>
                <c:pt idx="662">
                  <c:v>44791</c:v>
                </c:pt>
                <c:pt idx="663">
                  <c:v>44792</c:v>
                </c:pt>
                <c:pt idx="664">
                  <c:v>44795</c:v>
                </c:pt>
                <c:pt idx="665">
                  <c:v>44796</c:v>
                </c:pt>
                <c:pt idx="666">
                  <c:v>44797</c:v>
                </c:pt>
                <c:pt idx="667">
                  <c:v>44798</c:v>
                </c:pt>
                <c:pt idx="668">
                  <c:v>44799</c:v>
                </c:pt>
                <c:pt idx="669">
                  <c:v>44802</c:v>
                </c:pt>
                <c:pt idx="670">
                  <c:v>44803</c:v>
                </c:pt>
                <c:pt idx="671">
                  <c:v>44804</c:v>
                </c:pt>
                <c:pt idx="672">
                  <c:v>44805</c:v>
                </c:pt>
                <c:pt idx="673">
                  <c:v>44806</c:v>
                </c:pt>
                <c:pt idx="674">
                  <c:v>44810</c:v>
                </c:pt>
                <c:pt idx="675">
                  <c:v>44811</c:v>
                </c:pt>
                <c:pt idx="676">
                  <c:v>44812</c:v>
                </c:pt>
                <c:pt idx="677">
                  <c:v>44813</c:v>
                </c:pt>
                <c:pt idx="678">
                  <c:v>44816</c:v>
                </c:pt>
                <c:pt idx="679">
                  <c:v>44817</c:v>
                </c:pt>
                <c:pt idx="680">
                  <c:v>44818</c:v>
                </c:pt>
                <c:pt idx="681">
                  <c:v>44819</c:v>
                </c:pt>
                <c:pt idx="682">
                  <c:v>44820</c:v>
                </c:pt>
                <c:pt idx="683">
                  <c:v>44823</c:v>
                </c:pt>
                <c:pt idx="684">
                  <c:v>44824</c:v>
                </c:pt>
                <c:pt idx="685">
                  <c:v>44825</c:v>
                </c:pt>
                <c:pt idx="686">
                  <c:v>44826</c:v>
                </c:pt>
                <c:pt idx="687">
                  <c:v>44827</c:v>
                </c:pt>
                <c:pt idx="688">
                  <c:v>44830</c:v>
                </c:pt>
                <c:pt idx="689">
                  <c:v>44831</c:v>
                </c:pt>
                <c:pt idx="690">
                  <c:v>44832</c:v>
                </c:pt>
                <c:pt idx="691">
                  <c:v>44833</c:v>
                </c:pt>
                <c:pt idx="692">
                  <c:v>44834</c:v>
                </c:pt>
                <c:pt idx="693">
                  <c:v>44837</c:v>
                </c:pt>
                <c:pt idx="694">
                  <c:v>44838</c:v>
                </c:pt>
                <c:pt idx="695">
                  <c:v>44839</c:v>
                </c:pt>
                <c:pt idx="696">
                  <c:v>44840</c:v>
                </c:pt>
                <c:pt idx="697">
                  <c:v>44841</c:v>
                </c:pt>
                <c:pt idx="698">
                  <c:v>44844</c:v>
                </c:pt>
                <c:pt idx="699">
                  <c:v>44845</c:v>
                </c:pt>
                <c:pt idx="700">
                  <c:v>44846</c:v>
                </c:pt>
                <c:pt idx="701">
                  <c:v>44847</c:v>
                </c:pt>
                <c:pt idx="702">
                  <c:v>44848</c:v>
                </c:pt>
                <c:pt idx="703">
                  <c:v>44851</c:v>
                </c:pt>
                <c:pt idx="704">
                  <c:v>44852</c:v>
                </c:pt>
                <c:pt idx="705">
                  <c:v>44853</c:v>
                </c:pt>
                <c:pt idx="706">
                  <c:v>44854</c:v>
                </c:pt>
                <c:pt idx="707">
                  <c:v>44855</c:v>
                </c:pt>
                <c:pt idx="708">
                  <c:v>44858</c:v>
                </c:pt>
                <c:pt idx="709">
                  <c:v>44859</c:v>
                </c:pt>
                <c:pt idx="710">
                  <c:v>44860</c:v>
                </c:pt>
                <c:pt idx="711">
                  <c:v>44861</c:v>
                </c:pt>
                <c:pt idx="712">
                  <c:v>44862</c:v>
                </c:pt>
                <c:pt idx="713">
                  <c:v>44865</c:v>
                </c:pt>
                <c:pt idx="714">
                  <c:v>44866</c:v>
                </c:pt>
                <c:pt idx="715">
                  <c:v>44867</c:v>
                </c:pt>
                <c:pt idx="716">
                  <c:v>44868</c:v>
                </c:pt>
                <c:pt idx="717">
                  <c:v>44869</c:v>
                </c:pt>
                <c:pt idx="718">
                  <c:v>44872</c:v>
                </c:pt>
                <c:pt idx="719">
                  <c:v>44873</c:v>
                </c:pt>
                <c:pt idx="720">
                  <c:v>44874</c:v>
                </c:pt>
                <c:pt idx="721">
                  <c:v>44875</c:v>
                </c:pt>
                <c:pt idx="722">
                  <c:v>44876</c:v>
                </c:pt>
                <c:pt idx="723">
                  <c:v>44879</c:v>
                </c:pt>
                <c:pt idx="724">
                  <c:v>44880</c:v>
                </c:pt>
                <c:pt idx="725">
                  <c:v>44881</c:v>
                </c:pt>
                <c:pt idx="726">
                  <c:v>44882</c:v>
                </c:pt>
                <c:pt idx="727">
                  <c:v>44883</c:v>
                </c:pt>
                <c:pt idx="728">
                  <c:v>44886</c:v>
                </c:pt>
                <c:pt idx="729">
                  <c:v>44887</c:v>
                </c:pt>
                <c:pt idx="730">
                  <c:v>44888</c:v>
                </c:pt>
                <c:pt idx="731">
                  <c:v>44890</c:v>
                </c:pt>
                <c:pt idx="732">
                  <c:v>44893</c:v>
                </c:pt>
                <c:pt idx="733">
                  <c:v>44894</c:v>
                </c:pt>
                <c:pt idx="734">
                  <c:v>44895</c:v>
                </c:pt>
                <c:pt idx="735">
                  <c:v>44896</c:v>
                </c:pt>
                <c:pt idx="736">
                  <c:v>44897</c:v>
                </c:pt>
                <c:pt idx="737">
                  <c:v>44900</c:v>
                </c:pt>
                <c:pt idx="738">
                  <c:v>44901</c:v>
                </c:pt>
                <c:pt idx="739">
                  <c:v>44902</c:v>
                </c:pt>
                <c:pt idx="740">
                  <c:v>44903</c:v>
                </c:pt>
                <c:pt idx="741">
                  <c:v>44904</c:v>
                </c:pt>
                <c:pt idx="742">
                  <c:v>44907</c:v>
                </c:pt>
                <c:pt idx="743">
                  <c:v>44908</c:v>
                </c:pt>
                <c:pt idx="744">
                  <c:v>44909</c:v>
                </c:pt>
                <c:pt idx="745">
                  <c:v>44910</c:v>
                </c:pt>
                <c:pt idx="746">
                  <c:v>44911</c:v>
                </c:pt>
                <c:pt idx="747">
                  <c:v>44914</c:v>
                </c:pt>
                <c:pt idx="748">
                  <c:v>44915</c:v>
                </c:pt>
                <c:pt idx="749">
                  <c:v>44916</c:v>
                </c:pt>
                <c:pt idx="750">
                  <c:v>44917</c:v>
                </c:pt>
                <c:pt idx="751">
                  <c:v>44918</c:v>
                </c:pt>
                <c:pt idx="752">
                  <c:v>44922</c:v>
                </c:pt>
                <c:pt idx="753">
                  <c:v>44923</c:v>
                </c:pt>
                <c:pt idx="754">
                  <c:v>44924</c:v>
                </c:pt>
                <c:pt idx="755">
                  <c:v>44925</c:v>
                </c:pt>
                <c:pt idx="756">
                  <c:v>44929</c:v>
                </c:pt>
                <c:pt idx="757">
                  <c:v>44930</c:v>
                </c:pt>
                <c:pt idx="758">
                  <c:v>44931</c:v>
                </c:pt>
                <c:pt idx="759">
                  <c:v>44932</c:v>
                </c:pt>
                <c:pt idx="760">
                  <c:v>44935</c:v>
                </c:pt>
                <c:pt idx="761">
                  <c:v>44936</c:v>
                </c:pt>
                <c:pt idx="762">
                  <c:v>44937</c:v>
                </c:pt>
                <c:pt idx="763">
                  <c:v>44938</c:v>
                </c:pt>
                <c:pt idx="764">
                  <c:v>44939</c:v>
                </c:pt>
                <c:pt idx="765">
                  <c:v>44943</c:v>
                </c:pt>
                <c:pt idx="766">
                  <c:v>44944</c:v>
                </c:pt>
                <c:pt idx="767">
                  <c:v>44945</c:v>
                </c:pt>
                <c:pt idx="768">
                  <c:v>44946</c:v>
                </c:pt>
                <c:pt idx="769">
                  <c:v>44949</c:v>
                </c:pt>
                <c:pt idx="770">
                  <c:v>44950</c:v>
                </c:pt>
                <c:pt idx="771">
                  <c:v>44951</c:v>
                </c:pt>
                <c:pt idx="772">
                  <c:v>44952</c:v>
                </c:pt>
                <c:pt idx="773">
                  <c:v>44953</c:v>
                </c:pt>
                <c:pt idx="774">
                  <c:v>44956</c:v>
                </c:pt>
                <c:pt idx="775">
                  <c:v>44957</c:v>
                </c:pt>
              </c:numCache>
            </c:numRef>
          </c:cat>
          <c:val>
            <c:numRef>
              <c:f>Charts!$B$357:$ACW$357</c:f>
              <c:numCache>
                <c:formatCode>General</c:formatCode>
                <c:ptCount val="776"/>
                <c:pt idx="0">
                  <c:v>3.1760000000000002</c:v>
                </c:pt>
                <c:pt idx="1">
                  <c:v>3.27</c:v>
                </c:pt>
                <c:pt idx="2">
                  <c:v>3.3330000000000002</c:v>
                </c:pt>
                <c:pt idx="3">
                  <c:v>3.4620000000000002</c:v>
                </c:pt>
                <c:pt idx="4">
                  <c:v>3.6320000000000001</c:v>
                </c:pt>
                <c:pt idx="5">
                  <c:v>3.5529999999999999</c:v>
                </c:pt>
                <c:pt idx="6">
                  <c:v>3.5289999999999999</c:v>
                </c:pt>
                <c:pt idx="7">
                  <c:v>3.8740000000000001</c:v>
                </c:pt>
                <c:pt idx="8">
                  <c:v>3.97</c:v>
                </c:pt>
                <c:pt idx="9">
                  <c:v>3.827</c:v>
                </c:pt>
                <c:pt idx="10">
                  <c:v>3.79</c:v>
                </c:pt>
                <c:pt idx="11">
                  <c:v>3.7679999999999998</c:v>
                </c:pt>
                <c:pt idx="12">
                  <c:v>4.0389999999999997</c:v>
                </c:pt>
                <c:pt idx="13">
                  <c:v>4.2039999999999997</c:v>
                </c:pt>
                <c:pt idx="14">
                  <c:v>4.2229999999999999</c:v>
                </c:pt>
                <c:pt idx="15">
                  <c:v>4.1689999999999996</c:v>
                </c:pt>
                <c:pt idx="16">
                  <c:v>4.1189999999999998</c:v>
                </c:pt>
                <c:pt idx="17">
                  <c:v>4.1840000000000002</c:v>
                </c:pt>
                <c:pt idx="18">
                  <c:v>4.2610000000000001</c:v>
                </c:pt>
                <c:pt idx="19">
                  <c:v>4.6989999999999998</c:v>
                </c:pt>
                <c:pt idx="20">
                  <c:v>4.7709999999999999</c:v>
                </c:pt>
                <c:pt idx="21">
                  <c:v>5.72</c:v>
                </c:pt>
                <c:pt idx="22">
                  <c:v>6.5049999999999999</c:v>
                </c:pt>
                <c:pt idx="23">
                  <c:v>5.3879999999999999</c:v>
                </c:pt>
                <c:pt idx="24">
                  <c:v>5.4930000000000003</c:v>
                </c:pt>
                <c:pt idx="25">
                  <c:v>5.4859999999999998</c:v>
                </c:pt>
                <c:pt idx="26">
                  <c:v>5.6559999999999997</c:v>
                </c:pt>
                <c:pt idx="27">
                  <c:v>5.6790000000000003</c:v>
                </c:pt>
                <c:pt idx="28">
                  <c:v>5.6269999999999998</c:v>
                </c:pt>
                <c:pt idx="29">
                  <c:v>6.01</c:v>
                </c:pt>
                <c:pt idx="30">
                  <c:v>5.98</c:v>
                </c:pt>
                <c:pt idx="31">
                  <c:v>6.4160000000000004</c:v>
                </c:pt>
                <c:pt idx="32">
                  <c:v>6.8570000000000002</c:v>
                </c:pt>
                <c:pt idx="33">
                  <c:v>6.7229999999999999</c:v>
                </c:pt>
                <c:pt idx="34">
                  <c:v>6.7350000000000003</c:v>
                </c:pt>
                <c:pt idx="35">
                  <c:v>6.2320000000000002</c:v>
                </c:pt>
                <c:pt idx="36">
                  <c:v>5.9790000000000001</c:v>
                </c:pt>
                <c:pt idx="37">
                  <c:v>5.8209999999999997</c:v>
                </c:pt>
                <c:pt idx="38">
                  <c:v>5.0750000000000002</c:v>
                </c:pt>
                <c:pt idx="39">
                  <c:v>4.9930000000000003</c:v>
                </c:pt>
                <c:pt idx="40">
                  <c:v>5.5579999999999998</c:v>
                </c:pt>
                <c:pt idx="41">
                  <c:v>5.5720000000000001</c:v>
                </c:pt>
                <c:pt idx="42">
                  <c:v>5.6020000000000003</c:v>
                </c:pt>
                <c:pt idx="43">
                  <c:v>5.4160000000000004</c:v>
                </c:pt>
                <c:pt idx="44">
                  <c:v>5.258</c:v>
                </c:pt>
                <c:pt idx="45">
                  <c:v>4.5449999999999999</c:v>
                </c:pt>
                <c:pt idx="46">
                  <c:v>4.8239999999999998</c:v>
                </c:pt>
                <c:pt idx="47">
                  <c:v>4.7409999999999997</c:v>
                </c:pt>
                <c:pt idx="48">
                  <c:v>4.1900000000000004</c:v>
                </c:pt>
                <c:pt idx="49">
                  <c:v>4.0860000000000003</c:v>
                </c:pt>
                <c:pt idx="50">
                  <c:v>3.327</c:v>
                </c:pt>
                <c:pt idx="51">
                  <c:v>3.2160000000000002</c:v>
                </c:pt>
                <c:pt idx="52">
                  <c:v>2.7</c:v>
                </c:pt>
                <c:pt idx="53">
                  <c:v>3.1960000000000002</c:v>
                </c:pt>
                <c:pt idx="54">
                  <c:v>3.1960000000000002</c:v>
                </c:pt>
                <c:pt idx="55">
                  <c:v>3.246</c:v>
                </c:pt>
                <c:pt idx="56">
                  <c:v>3.7749999999999999</c:v>
                </c:pt>
                <c:pt idx="57">
                  <c:v>4.0309999999999997</c:v>
                </c:pt>
                <c:pt idx="58">
                  <c:v>3.948</c:v>
                </c:pt>
                <c:pt idx="59">
                  <c:v>3.8450000000000002</c:v>
                </c:pt>
                <c:pt idx="60">
                  <c:v>3.7530000000000001</c:v>
                </c:pt>
                <c:pt idx="61">
                  <c:v>3.9169999999999998</c:v>
                </c:pt>
                <c:pt idx="62">
                  <c:v>3.5990000000000002</c:v>
                </c:pt>
                <c:pt idx="63">
                  <c:v>3.3969999999999998</c:v>
                </c:pt>
                <c:pt idx="64">
                  <c:v>3.5880000000000001</c:v>
                </c:pt>
                <c:pt idx="65">
                  <c:v>3.859</c:v>
                </c:pt>
                <c:pt idx="66">
                  <c:v>4.077</c:v>
                </c:pt>
                <c:pt idx="67">
                  <c:v>4.1020000000000003</c:v>
                </c:pt>
                <c:pt idx="68">
                  <c:v>4.2830000000000004</c:v>
                </c:pt>
                <c:pt idx="69">
                  <c:v>4.8659999999999997</c:v>
                </c:pt>
                <c:pt idx="70">
                  <c:v>5.306</c:v>
                </c:pt>
                <c:pt idx="71">
                  <c:v>5.4550000000000001</c:v>
                </c:pt>
                <c:pt idx="72">
                  <c:v>5.57</c:v>
                </c:pt>
                <c:pt idx="73">
                  <c:v>5.6349999999999998</c:v>
                </c:pt>
                <c:pt idx="74">
                  <c:v>5.5789999999999997</c:v>
                </c:pt>
                <c:pt idx="75">
                  <c:v>5.133</c:v>
                </c:pt>
                <c:pt idx="76">
                  <c:v>5.4720000000000004</c:v>
                </c:pt>
                <c:pt idx="77">
                  <c:v>5.274</c:v>
                </c:pt>
                <c:pt idx="78">
                  <c:v>5.42</c:v>
                </c:pt>
                <c:pt idx="79">
                  <c:v>5.97</c:v>
                </c:pt>
                <c:pt idx="80">
                  <c:v>5.7489999999999997</c:v>
                </c:pt>
                <c:pt idx="81">
                  <c:v>5.6520000000000001</c:v>
                </c:pt>
                <c:pt idx="82">
                  <c:v>5.57</c:v>
                </c:pt>
                <c:pt idx="83">
                  <c:v>4.9960000000000004</c:v>
                </c:pt>
                <c:pt idx="84">
                  <c:v>5.423</c:v>
                </c:pt>
                <c:pt idx="85">
                  <c:v>5.4729999999999999</c:v>
                </c:pt>
                <c:pt idx="86">
                  <c:v>5.5750000000000002</c:v>
                </c:pt>
                <c:pt idx="87">
                  <c:v>5.5570000000000004</c:v>
                </c:pt>
                <c:pt idx="88">
                  <c:v>5.8369999999999997</c:v>
                </c:pt>
                <c:pt idx="89">
                  <c:v>5.7789999999999999</c:v>
                </c:pt>
                <c:pt idx="90">
                  <c:v>5.766</c:v>
                </c:pt>
                <c:pt idx="91">
                  <c:v>5.6349999999999998</c:v>
                </c:pt>
                <c:pt idx="92">
                  <c:v>5.7229999999999999</c:v>
                </c:pt>
                <c:pt idx="93">
                  <c:v>5.6929999999999996</c:v>
                </c:pt>
                <c:pt idx="94">
                  <c:v>5.7960000000000003</c:v>
                </c:pt>
                <c:pt idx="95">
                  <c:v>5.7560000000000002</c:v>
                </c:pt>
                <c:pt idx="96">
                  <c:v>5.81</c:v>
                </c:pt>
                <c:pt idx="97">
                  <c:v>5.8959999999999999</c:v>
                </c:pt>
                <c:pt idx="98">
                  <c:v>5.819</c:v>
                </c:pt>
                <c:pt idx="99">
                  <c:v>5.8330000000000002</c:v>
                </c:pt>
                <c:pt idx="100">
                  <c:v>5.843</c:v>
                </c:pt>
                <c:pt idx="101">
                  <c:v>5.74</c:v>
                </c:pt>
                <c:pt idx="102">
                  <c:v>5.9480000000000004</c:v>
                </c:pt>
                <c:pt idx="103">
                  <c:v>6.3979999999999997</c:v>
                </c:pt>
                <c:pt idx="104">
                  <c:v>6.28</c:v>
                </c:pt>
                <c:pt idx="105">
                  <c:v>6.29</c:v>
                </c:pt>
                <c:pt idx="106">
                  <c:v>6.1580000000000004</c:v>
                </c:pt>
                <c:pt idx="107">
                  <c:v>6.3090000000000002</c:v>
                </c:pt>
                <c:pt idx="108">
                  <c:v>6.7670000000000003</c:v>
                </c:pt>
                <c:pt idx="109">
                  <c:v>6.7009999999999996</c:v>
                </c:pt>
                <c:pt idx="110">
                  <c:v>7.3019999999999996</c:v>
                </c:pt>
                <c:pt idx="111">
                  <c:v>6.93</c:v>
                </c:pt>
                <c:pt idx="112">
                  <c:v>6.6630000000000003</c:v>
                </c:pt>
                <c:pt idx="113">
                  <c:v>7.0590000000000002</c:v>
                </c:pt>
                <c:pt idx="114">
                  <c:v>6.9960000000000004</c:v>
                </c:pt>
                <c:pt idx="115">
                  <c:v>7.0650000000000004</c:v>
                </c:pt>
                <c:pt idx="116">
                  <c:v>7.1520000000000001</c:v>
                </c:pt>
                <c:pt idx="117">
                  <c:v>7.13</c:v>
                </c:pt>
                <c:pt idx="118">
                  <c:v>7.0830000000000002</c:v>
                </c:pt>
                <c:pt idx="119">
                  <c:v>7.1360000000000001</c:v>
                </c:pt>
                <c:pt idx="120">
                  <c:v>6.8449999999999998</c:v>
                </c:pt>
                <c:pt idx="121">
                  <c:v>7.024</c:v>
                </c:pt>
                <c:pt idx="122">
                  <c:v>6.8369999999999997</c:v>
                </c:pt>
                <c:pt idx="123">
                  <c:v>7.19</c:v>
                </c:pt>
                <c:pt idx="124">
                  <c:v>7.6920000000000002</c:v>
                </c:pt>
                <c:pt idx="125">
                  <c:v>7.976</c:v>
                </c:pt>
                <c:pt idx="126">
                  <c:v>8.61</c:v>
                </c:pt>
                <c:pt idx="127">
                  <c:v>9.7710000000000008</c:v>
                </c:pt>
                <c:pt idx="128">
                  <c:v>9.9009999999999998</c:v>
                </c:pt>
                <c:pt idx="129">
                  <c:v>9.73</c:v>
                </c:pt>
                <c:pt idx="130">
                  <c:v>9.9320000000000004</c:v>
                </c:pt>
                <c:pt idx="131">
                  <c:v>11.004</c:v>
                </c:pt>
                <c:pt idx="132">
                  <c:v>10.664999999999999</c:v>
                </c:pt>
                <c:pt idx="133">
                  <c:v>10.805</c:v>
                </c:pt>
                <c:pt idx="134">
                  <c:v>11.013</c:v>
                </c:pt>
                <c:pt idx="135">
                  <c:v>10.69</c:v>
                </c:pt>
                <c:pt idx="136">
                  <c:v>10.691000000000001</c:v>
                </c:pt>
                <c:pt idx="137">
                  <c:v>11.704000000000001</c:v>
                </c:pt>
                <c:pt idx="138">
                  <c:v>11.172000000000001</c:v>
                </c:pt>
                <c:pt idx="139">
                  <c:v>11.481999999999999</c:v>
                </c:pt>
                <c:pt idx="140">
                  <c:v>10.91</c:v>
                </c:pt>
                <c:pt idx="141">
                  <c:v>10.218</c:v>
                </c:pt>
                <c:pt idx="142">
                  <c:v>11.102</c:v>
                </c:pt>
                <c:pt idx="143">
                  <c:v>10.702999999999999</c:v>
                </c:pt>
                <c:pt idx="144">
                  <c:v>10.867000000000001</c:v>
                </c:pt>
                <c:pt idx="145">
                  <c:v>10.782999999999999</c:v>
                </c:pt>
                <c:pt idx="146">
                  <c:v>10.372</c:v>
                </c:pt>
                <c:pt idx="147">
                  <c:v>10.765000000000001</c:v>
                </c:pt>
                <c:pt idx="148">
                  <c:v>10.78</c:v>
                </c:pt>
                <c:pt idx="149">
                  <c:v>10.765000000000001</c:v>
                </c:pt>
                <c:pt idx="150">
                  <c:v>10.798</c:v>
                </c:pt>
                <c:pt idx="151">
                  <c:v>10.531000000000001</c:v>
                </c:pt>
                <c:pt idx="152">
                  <c:v>10.282999999999999</c:v>
                </c:pt>
                <c:pt idx="153">
                  <c:v>9.9629999999999992</c:v>
                </c:pt>
                <c:pt idx="154">
                  <c:v>11.271000000000001</c:v>
                </c:pt>
                <c:pt idx="155">
                  <c:v>11.750999999999999</c:v>
                </c:pt>
                <c:pt idx="156">
                  <c:v>11.965999999999999</c:v>
                </c:pt>
                <c:pt idx="157">
                  <c:v>13.307</c:v>
                </c:pt>
                <c:pt idx="158">
                  <c:v>13.68</c:v>
                </c:pt>
                <c:pt idx="159">
                  <c:v>13.618</c:v>
                </c:pt>
                <c:pt idx="160">
                  <c:v>14.512</c:v>
                </c:pt>
                <c:pt idx="161">
                  <c:v>14.861000000000001</c:v>
                </c:pt>
                <c:pt idx="162">
                  <c:v>14.601000000000001</c:v>
                </c:pt>
                <c:pt idx="163">
                  <c:v>14.667999999999999</c:v>
                </c:pt>
                <c:pt idx="164">
                  <c:v>15.609</c:v>
                </c:pt>
                <c:pt idx="165">
                  <c:v>16.228999999999999</c:v>
                </c:pt>
                <c:pt idx="166">
                  <c:v>16.045000000000002</c:v>
                </c:pt>
                <c:pt idx="167">
                  <c:v>18.062000000000001</c:v>
                </c:pt>
                <c:pt idx="168">
                  <c:v>17.219000000000001</c:v>
                </c:pt>
                <c:pt idx="169">
                  <c:v>16.215</c:v>
                </c:pt>
                <c:pt idx="170">
                  <c:v>14.752000000000001</c:v>
                </c:pt>
                <c:pt idx="171">
                  <c:v>15.162000000000001</c:v>
                </c:pt>
                <c:pt idx="172">
                  <c:v>11.968999999999999</c:v>
                </c:pt>
                <c:pt idx="173">
                  <c:v>13.276</c:v>
                </c:pt>
                <c:pt idx="174">
                  <c:v>13.46</c:v>
                </c:pt>
                <c:pt idx="175">
                  <c:v>13.51</c:v>
                </c:pt>
                <c:pt idx="176">
                  <c:v>15.209</c:v>
                </c:pt>
                <c:pt idx="177">
                  <c:v>16.302</c:v>
                </c:pt>
                <c:pt idx="178">
                  <c:v>16.012</c:v>
                </c:pt>
                <c:pt idx="179">
                  <c:v>15.348000000000001</c:v>
                </c:pt>
                <c:pt idx="180">
                  <c:v>16.026</c:v>
                </c:pt>
                <c:pt idx="181">
                  <c:v>16.289000000000001</c:v>
                </c:pt>
                <c:pt idx="182">
                  <c:v>15.377000000000001</c:v>
                </c:pt>
                <c:pt idx="183">
                  <c:v>13.786</c:v>
                </c:pt>
                <c:pt idx="184">
                  <c:v>14.055999999999999</c:v>
                </c:pt>
                <c:pt idx="185">
                  <c:v>14.763999999999999</c:v>
                </c:pt>
                <c:pt idx="186">
                  <c:v>15.266999999999999</c:v>
                </c:pt>
                <c:pt idx="187">
                  <c:v>15.19</c:v>
                </c:pt>
                <c:pt idx="188">
                  <c:v>15.55</c:v>
                </c:pt>
                <c:pt idx="189">
                  <c:v>16.244</c:v>
                </c:pt>
                <c:pt idx="190">
                  <c:v>15.045</c:v>
                </c:pt>
                <c:pt idx="191">
                  <c:v>15.429</c:v>
                </c:pt>
                <c:pt idx="192">
                  <c:v>15.005000000000001</c:v>
                </c:pt>
                <c:pt idx="193">
                  <c:v>15.414999999999999</c:v>
                </c:pt>
                <c:pt idx="194">
                  <c:v>15.438000000000001</c:v>
                </c:pt>
                <c:pt idx="195">
                  <c:v>15.731</c:v>
                </c:pt>
                <c:pt idx="196">
                  <c:v>16.032</c:v>
                </c:pt>
                <c:pt idx="197">
                  <c:v>16.189</c:v>
                </c:pt>
                <c:pt idx="198">
                  <c:v>16.72</c:v>
                </c:pt>
                <c:pt idx="199">
                  <c:v>16.27</c:v>
                </c:pt>
                <c:pt idx="200">
                  <c:v>15.936</c:v>
                </c:pt>
                <c:pt idx="201">
                  <c:v>15.616</c:v>
                </c:pt>
                <c:pt idx="202">
                  <c:v>15.294</c:v>
                </c:pt>
                <c:pt idx="203">
                  <c:v>13.977</c:v>
                </c:pt>
                <c:pt idx="204">
                  <c:v>14.081</c:v>
                </c:pt>
                <c:pt idx="205">
                  <c:v>13.911</c:v>
                </c:pt>
                <c:pt idx="206">
                  <c:v>14.138999999999999</c:v>
                </c:pt>
                <c:pt idx="207">
                  <c:v>14.287000000000001</c:v>
                </c:pt>
                <c:pt idx="208">
                  <c:v>13.659000000000001</c:v>
                </c:pt>
                <c:pt idx="209">
                  <c:v>13.821</c:v>
                </c:pt>
                <c:pt idx="210">
                  <c:v>13.054</c:v>
                </c:pt>
                <c:pt idx="211">
                  <c:v>13.474</c:v>
                </c:pt>
                <c:pt idx="212">
                  <c:v>14.260999999999999</c:v>
                </c:pt>
                <c:pt idx="213">
                  <c:v>14.163</c:v>
                </c:pt>
                <c:pt idx="214">
                  <c:v>14.738</c:v>
                </c:pt>
                <c:pt idx="215">
                  <c:v>14.464</c:v>
                </c:pt>
                <c:pt idx="216">
                  <c:v>14.172000000000001</c:v>
                </c:pt>
                <c:pt idx="217">
                  <c:v>13.805</c:v>
                </c:pt>
                <c:pt idx="218">
                  <c:v>14.032999999999999</c:v>
                </c:pt>
                <c:pt idx="219">
                  <c:v>13.852</c:v>
                </c:pt>
                <c:pt idx="220">
                  <c:v>13.743</c:v>
                </c:pt>
                <c:pt idx="221">
                  <c:v>13.728999999999999</c:v>
                </c:pt>
                <c:pt idx="222">
                  <c:v>14.856999999999999</c:v>
                </c:pt>
                <c:pt idx="223">
                  <c:v>16.372</c:v>
                </c:pt>
                <c:pt idx="224">
                  <c:v>16.797000000000001</c:v>
                </c:pt>
                <c:pt idx="225">
                  <c:v>16.472000000000001</c:v>
                </c:pt>
                <c:pt idx="226">
                  <c:v>17.556000000000001</c:v>
                </c:pt>
                <c:pt idx="227">
                  <c:v>18.684000000000001</c:v>
                </c:pt>
                <c:pt idx="228">
                  <c:v>19.311</c:v>
                </c:pt>
                <c:pt idx="229">
                  <c:v>19.706</c:v>
                </c:pt>
                <c:pt idx="230">
                  <c:v>19.094999999999999</c:v>
                </c:pt>
                <c:pt idx="231">
                  <c:v>19.672999999999998</c:v>
                </c:pt>
                <c:pt idx="232">
                  <c:v>19.135999999999999</c:v>
                </c:pt>
                <c:pt idx="233">
                  <c:v>19.963000000000001</c:v>
                </c:pt>
                <c:pt idx="234">
                  <c:v>20.152999999999999</c:v>
                </c:pt>
                <c:pt idx="235">
                  <c:v>21.59</c:v>
                </c:pt>
                <c:pt idx="236">
                  <c:v>21.863</c:v>
                </c:pt>
                <c:pt idx="237">
                  <c:v>20.335999999999999</c:v>
                </c:pt>
                <c:pt idx="238">
                  <c:v>21.096</c:v>
                </c:pt>
                <c:pt idx="239">
                  <c:v>20.521000000000001</c:v>
                </c:pt>
                <c:pt idx="240">
                  <c:v>21.524999999999999</c:v>
                </c:pt>
                <c:pt idx="241">
                  <c:v>21.303999999999998</c:v>
                </c:pt>
                <c:pt idx="242">
                  <c:v>20.951000000000001</c:v>
                </c:pt>
                <c:pt idx="243">
                  <c:v>22.065999999999999</c:v>
                </c:pt>
                <c:pt idx="244">
                  <c:v>23.381</c:v>
                </c:pt>
                <c:pt idx="245">
                  <c:v>21.863</c:v>
                </c:pt>
                <c:pt idx="246">
                  <c:v>21.542000000000002</c:v>
                </c:pt>
                <c:pt idx="247">
                  <c:v>21.731999999999999</c:v>
                </c:pt>
                <c:pt idx="248">
                  <c:v>22.263000000000002</c:v>
                </c:pt>
                <c:pt idx="249">
                  <c:v>22.327999999999999</c:v>
                </c:pt>
                <c:pt idx="250">
                  <c:v>22.405000000000001</c:v>
                </c:pt>
                <c:pt idx="251">
                  <c:v>23.373999999999999</c:v>
                </c:pt>
                <c:pt idx="252">
                  <c:v>23.74</c:v>
                </c:pt>
                <c:pt idx="253">
                  <c:v>24.550999999999998</c:v>
                </c:pt>
                <c:pt idx="254">
                  <c:v>24.731000000000002</c:v>
                </c:pt>
                <c:pt idx="255">
                  <c:v>25.433</c:v>
                </c:pt>
                <c:pt idx="256">
                  <c:v>27.452999999999999</c:v>
                </c:pt>
                <c:pt idx="257">
                  <c:v>29.606000000000002</c:v>
                </c:pt>
                <c:pt idx="258">
                  <c:v>27.29</c:v>
                </c:pt>
                <c:pt idx="259">
                  <c:v>28.577000000000002</c:v>
                </c:pt>
                <c:pt idx="260">
                  <c:v>28.744</c:v>
                </c:pt>
                <c:pt idx="261">
                  <c:v>28.428000000000001</c:v>
                </c:pt>
                <c:pt idx="262">
                  <c:v>27.794</c:v>
                </c:pt>
                <c:pt idx="263">
                  <c:v>28.411999999999999</c:v>
                </c:pt>
                <c:pt idx="264">
                  <c:v>28.611000000000001</c:v>
                </c:pt>
                <c:pt idx="265">
                  <c:v>28.427</c:v>
                </c:pt>
                <c:pt idx="266">
                  <c:v>28.483000000000001</c:v>
                </c:pt>
                <c:pt idx="267">
                  <c:v>29.632000000000001</c:v>
                </c:pt>
                <c:pt idx="268">
                  <c:v>29.709</c:v>
                </c:pt>
                <c:pt idx="269">
                  <c:v>25.975000000000001</c:v>
                </c:pt>
                <c:pt idx="270">
                  <c:v>25.111000000000001</c:v>
                </c:pt>
                <c:pt idx="271">
                  <c:v>23.852</c:v>
                </c:pt>
                <c:pt idx="272">
                  <c:v>25.242999999999999</c:v>
                </c:pt>
                <c:pt idx="273">
                  <c:v>26.234000000000002</c:v>
                </c:pt>
                <c:pt idx="274">
                  <c:v>25.69</c:v>
                </c:pt>
                <c:pt idx="275">
                  <c:v>25.548999999999999</c:v>
                </c:pt>
                <c:pt idx="276">
                  <c:v>25.616</c:v>
                </c:pt>
                <c:pt idx="277">
                  <c:v>26.28</c:v>
                </c:pt>
                <c:pt idx="278">
                  <c:v>25.855</c:v>
                </c:pt>
                <c:pt idx="279">
                  <c:v>24.495999999999999</c:v>
                </c:pt>
                <c:pt idx="280">
                  <c:v>24.704000000000001</c:v>
                </c:pt>
                <c:pt idx="281">
                  <c:v>24.84</c:v>
                </c:pt>
                <c:pt idx="282">
                  <c:v>24.234000000000002</c:v>
                </c:pt>
                <c:pt idx="283">
                  <c:v>24.292999999999999</c:v>
                </c:pt>
                <c:pt idx="284">
                  <c:v>23.965</c:v>
                </c:pt>
                <c:pt idx="285">
                  <c:v>23.78</c:v>
                </c:pt>
                <c:pt idx="286">
                  <c:v>21.747</c:v>
                </c:pt>
                <c:pt idx="287">
                  <c:v>21.27</c:v>
                </c:pt>
                <c:pt idx="288">
                  <c:v>22.585000000000001</c:v>
                </c:pt>
                <c:pt idx="289">
                  <c:v>20.765000000000001</c:v>
                </c:pt>
                <c:pt idx="290">
                  <c:v>20.56</c:v>
                </c:pt>
                <c:pt idx="291">
                  <c:v>21.867000000000001</c:v>
                </c:pt>
                <c:pt idx="292">
                  <c:v>20.893000000000001</c:v>
                </c:pt>
                <c:pt idx="293">
                  <c:v>19.881</c:v>
                </c:pt>
                <c:pt idx="294">
                  <c:v>18.914999999999999</c:v>
                </c:pt>
                <c:pt idx="295">
                  <c:v>18.2</c:v>
                </c:pt>
                <c:pt idx="296">
                  <c:v>17.135999999999999</c:v>
                </c:pt>
                <c:pt idx="297">
                  <c:v>20.501999999999999</c:v>
                </c:pt>
                <c:pt idx="298">
                  <c:v>20.334</c:v>
                </c:pt>
                <c:pt idx="299">
                  <c:v>21.294</c:v>
                </c:pt>
                <c:pt idx="300">
                  <c:v>21.114999999999998</c:v>
                </c:pt>
                <c:pt idx="301">
                  <c:v>21.547000000000001</c:v>
                </c:pt>
                <c:pt idx="302">
                  <c:v>20.602</c:v>
                </c:pt>
                <c:pt idx="303">
                  <c:v>21.361000000000001</c:v>
                </c:pt>
                <c:pt idx="304">
                  <c:v>19.88</c:v>
                </c:pt>
                <c:pt idx="305">
                  <c:v>19.931999999999999</c:v>
                </c:pt>
                <c:pt idx="306">
                  <c:v>20.393000000000001</c:v>
                </c:pt>
                <c:pt idx="307">
                  <c:v>20.154</c:v>
                </c:pt>
                <c:pt idx="308">
                  <c:v>19.183</c:v>
                </c:pt>
                <c:pt idx="309">
                  <c:v>19.491</c:v>
                </c:pt>
                <c:pt idx="310">
                  <c:v>18.832000000000001</c:v>
                </c:pt>
                <c:pt idx="311">
                  <c:v>18.606000000000002</c:v>
                </c:pt>
                <c:pt idx="312">
                  <c:v>19.346</c:v>
                </c:pt>
                <c:pt idx="313">
                  <c:v>20.329999999999998</c:v>
                </c:pt>
                <c:pt idx="314">
                  <c:v>20.141999999999999</c:v>
                </c:pt>
                <c:pt idx="315">
                  <c:v>21.033000000000001</c:v>
                </c:pt>
                <c:pt idx="316">
                  <c:v>21.050999999999998</c:v>
                </c:pt>
                <c:pt idx="317">
                  <c:v>20.422000000000001</c:v>
                </c:pt>
                <c:pt idx="318">
                  <c:v>20.812999999999999</c:v>
                </c:pt>
                <c:pt idx="319">
                  <c:v>20.606000000000002</c:v>
                </c:pt>
                <c:pt idx="320">
                  <c:v>21.366</c:v>
                </c:pt>
                <c:pt idx="321">
                  <c:v>23.202999999999999</c:v>
                </c:pt>
                <c:pt idx="322">
                  <c:v>22.286999999999999</c:v>
                </c:pt>
                <c:pt idx="323">
                  <c:v>22.488</c:v>
                </c:pt>
                <c:pt idx="324">
                  <c:v>22.516999999999999</c:v>
                </c:pt>
                <c:pt idx="325">
                  <c:v>21.751000000000001</c:v>
                </c:pt>
                <c:pt idx="326">
                  <c:v>21.884</c:v>
                </c:pt>
                <c:pt idx="327">
                  <c:v>22.649000000000001</c:v>
                </c:pt>
                <c:pt idx="328">
                  <c:v>21.905000000000001</c:v>
                </c:pt>
                <c:pt idx="329">
                  <c:v>22.201000000000001</c:v>
                </c:pt>
                <c:pt idx="330">
                  <c:v>19.715</c:v>
                </c:pt>
                <c:pt idx="331">
                  <c:v>18.821999999999999</c:v>
                </c:pt>
                <c:pt idx="332">
                  <c:v>18.613</c:v>
                </c:pt>
                <c:pt idx="333">
                  <c:v>18.146000000000001</c:v>
                </c:pt>
                <c:pt idx="334">
                  <c:v>19.015999999999998</c:v>
                </c:pt>
                <c:pt idx="335">
                  <c:v>18.358000000000001</c:v>
                </c:pt>
                <c:pt idx="336">
                  <c:v>18.055</c:v>
                </c:pt>
                <c:pt idx="337">
                  <c:v>17.984000000000002</c:v>
                </c:pt>
                <c:pt idx="338">
                  <c:v>17.785</c:v>
                </c:pt>
                <c:pt idx="339">
                  <c:v>18.021999999999998</c:v>
                </c:pt>
                <c:pt idx="340">
                  <c:v>16.861000000000001</c:v>
                </c:pt>
                <c:pt idx="341">
                  <c:v>16.542999999999999</c:v>
                </c:pt>
                <c:pt idx="342">
                  <c:v>15.811</c:v>
                </c:pt>
                <c:pt idx="343">
                  <c:v>15.323</c:v>
                </c:pt>
                <c:pt idx="344">
                  <c:v>15.807</c:v>
                </c:pt>
                <c:pt idx="345">
                  <c:v>15.461</c:v>
                </c:pt>
                <c:pt idx="346">
                  <c:v>15.489000000000001</c:v>
                </c:pt>
                <c:pt idx="347">
                  <c:v>15.103</c:v>
                </c:pt>
                <c:pt idx="348">
                  <c:v>15.728</c:v>
                </c:pt>
                <c:pt idx="349">
                  <c:v>15.57</c:v>
                </c:pt>
                <c:pt idx="350">
                  <c:v>16.254999999999999</c:v>
                </c:pt>
                <c:pt idx="351">
                  <c:v>16.207999999999998</c:v>
                </c:pt>
                <c:pt idx="352">
                  <c:v>16.594999999999999</c:v>
                </c:pt>
                <c:pt idx="353">
                  <c:v>16.908999999999999</c:v>
                </c:pt>
                <c:pt idx="354">
                  <c:v>16.757999999999999</c:v>
                </c:pt>
                <c:pt idx="355">
                  <c:v>16.722999999999999</c:v>
                </c:pt>
                <c:pt idx="356">
                  <c:v>16.22</c:v>
                </c:pt>
                <c:pt idx="357">
                  <c:v>15.353999999999999</c:v>
                </c:pt>
                <c:pt idx="358">
                  <c:v>16.056999999999999</c:v>
                </c:pt>
                <c:pt idx="359">
                  <c:v>16.22</c:v>
                </c:pt>
                <c:pt idx="360">
                  <c:v>16.178999999999998</c:v>
                </c:pt>
                <c:pt idx="361">
                  <c:v>16.05</c:v>
                </c:pt>
                <c:pt idx="362">
                  <c:v>16.353999999999999</c:v>
                </c:pt>
                <c:pt idx="363">
                  <c:v>16.347000000000001</c:v>
                </c:pt>
                <c:pt idx="364">
                  <c:v>16.556000000000001</c:v>
                </c:pt>
                <c:pt idx="365">
                  <c:v>16.065000000000001</c:v>
                </c:pt>
                <c:pt idx="366">
                  <c:v>16.213000000000001</c:v>
                </c:pt>
                <c:pt idx="367">
                  <c:v>16.527000000000001</c:v>
                </c:pt>
                <c:pt idx="368">
                  <c:v>16.707000000000001</c:v>
                </c:pt>
                <c:pt idx="369">
                  <c:v>16.640999999999998</c:v>
                </c:pt>
                <c:pt idx="370">
                  <c:v>16.718</c:v>
                </c:pt>
                <c:pt idx="371">
                  <c:v>17.599</c:v>
                </c:pt>
                <c:pt idx="372">
                  <c:v>18.222000000000001</c:v>
                </c:pt>
                <c:pt idx="373">
                  <c:v>18.009</c:v>
                </c:pt>
                <c:pt idx="374">
                  <c:v>18.46</c:v>
                </c:pt>
                <c:pt idx="375">
                  <c:v>18.247</c:v>
                </c:pt>
                <c:pt idx="376">
                  <c:v>18.219000000000001</c:v>
                </c:pt>
                <c:pt idx="377">
                  <c:v>18.170999999999999</c:v>
                </c:pt>
                <c:pt idx="378">
                  <c:v>18.196999999999999</c:v>
                </c:pt>
                <c:pt idx="379">
                  <c:v>17.678999999999998</c:v>
                </c:pt>
                <c:pt idx="380">
                  <c:v>17.279</c:v>
                </c:pt>
                <c:pt idx="381">
                  <c:v>17.498000000000001</c:v>
                </c:pt>
                <c:pt idx="382">
                  <c:v>17.609000000000002</c:v>
                </c:pt>
                <c:pt idx="383">
                  <c:v>18.379000000000001</c:v>
                </c:pt>
                <c:pt idx="384">
                  <c:v>17.919</c:v>
                </c:pt>
                <c:pt idx="385">
                  <c:v>17.513000000000002</c:v>
                </c:pt>
                <c:pt idx="386">
                  <c:v>17.439</c:v>
                </c:pt>
                <c:pt idx="387">
                  <c:v>17.268000000000001</c:v>
                </c:pt>
                <c:pt idx="388">
                  <c:v>17.321000000000002</c:v>
                </c:pt>
                <c:pt idx="389">
                  <c:v>17.704000000000001</c:v>
                </c:pt>
                <c:pt idx="390">
                  <c:v>17.564</c:v>
                </c:pt>
                <c:pt idx="391">
                  <c:v>17.402999999999999</c:v>
                </c:pt>
                <c:pt idx="392">
                  <c:v>17.245000000000001</c:v>
                </c:pt>
                <c:pt idx="393">
                  <c:v>15.132999999999999</c:v>
                </c:pt>
                <c:pt idx="394">
                  <c:v>15.249000000000001</c:v>
                </c:pt>
                <c:pt idx="395">
                  <c:v>15.301</c:v>
                </c:pt>
                <c:pt idx="396">
                  <c:v>16.018999999999998</c:v>
                </c:pt>
                <c:pt idx="397">
                  <c:v>16.251999999999999</c:v>
                </c:pt>
                <c:pt idx="398">
                  <c:v>16.783000000000001</c:v>
                </c:pt>
                <c:pt idx="399">
                  <c:v>16.785</c:v>
                </c:pt>
                <c:pt idx="400">
                  <c:v>16.812999999999999</c:v>
                </c:pt>
                <c:pt idx="401">
                  <c:v>16.901</c:v>
                </c:pt>
                <c:pt idx="402">
                  <c:v>16.533000000000001</c:v>
                </c:pt>
                <c:pt idx="403">
                  <c:v>16.88</c:v>
                </c:pt>
                <c:pt idx="404">
                  <c:v>16.791</c:v>
                </c:pt>
                <c:pt idx="405">
                  <c:v>16.739999999999998</c:v>
                </c:pt>
                <c:pt idx="406">
                  <c:v>17.081</c:v>
                </c:pt>
                <c:pt idx="407">
                  <c:v>16.960999999999999</c:v>
                </c:pt>
                <c:pt idx="408">
                  <c:v>16.228000000000002</c:v>
                </c:pt>
                <c:pt idx="409">
                  <c:v>15.744</c:v>
                </c:pt>
                <c:pt idx="410">
                  <c:v>16.294</c:v>
                </c:pt>
                <c:pt idx="411">
                  <c:v>15.927</c:v>
                </c:pt>
                <c:pt idx="412">
                  <c:v>16.088000000000001</c:v>
                </c:pt>
                <c:pt idx="413">
                  <c:v>16.704000000000001</c:v>
                </c:pt>
                <c:pt idx="414">
                  <c:v>16.754999999999999</c:v>
                </c:pt>
                <c:pt idx="415">
                  <c:v>16.82</c:v>
                </c:pt>
                <c:pt idx="416">
                  <c:v>16.582000000000001</c:v>
                </c:pt>
                <c:pt idx="417">
                  <c:v>16.837</c:v>
                </c:pt>
                <c:pt idx="418">
                  <c:v>17.286000000000001</c:v>
                </c:pt>
                <c:pt idx="419">
                  <c:v>17.399000000000001</c:v>
                </c:pt>
                <c:pt idx="420">
                  <c:v>17.361000000000001</c:v>
                </c:pt>
                <c:pt idx="421">
                  <c:v>17.321000000000002</c:v>
                </c:pt>
                <c:pt idx="422">
                  <c:v>17.349</c:v>
                </c:pt>
                <c:pt idx="423">
                  <c:v>17.806000000000001</c:v>
                </c:pt>
                <c:pt idx="424">
                  <c:v>17.829000000000001</c:v>
                </c:pt>
                <c:pt idx="425">
                  <c:v>17.852</c:v>
                </c:pt>
                <c:pt idx="426">
                  <c:v>17.411999999999999</c:v>
                </c:pt>
                <c:pt idx="427">
                  <c:v>17.571999999999999</c:v>
                </c:pt>
                <c:pt idx="428">
                  <c:v>17.606999999999999</c:v>
                </c:pt>
                <c:pt idx="429">
                  <c:v>17.875</c:v>
                </c:pt>
                <c:pt idx="430">
                  <c:v>17.902000000000001</c:v>
                </c:pt>
                <c:pt idx="431">
                  <c:v>17.962</c:v>
                </c:pt>
                <c:pt idx="432">
                  <c:v>17.268000000000001</c:v>
                </c:pt>
                <c:pt idx="433">
                  <c:v>17.486000000000001</c:v>
                </c:pt>
                <c:pt idx="434">
                  <c:v>17.783000000000001</c:v>
                </c:pt>
                <c:pt idx="435">
                  <c:v>17.823</c:v>
                </c:pt>
                <c:pt idx="436">
                  <c:v>18.314</c:v>
                </c:pt>
                <c:pt idx="437">
                  <c:v>18.715</c:v>
                </c:pt>
                <c:pt idx="438">
                  <c:v>18.388999999999999</c:v>
                </c:pt>
                <c:pt idx="439">
                  <c:v>18.478000000000002</c:v>
                </c:pt>
                <c:pt idx="440">
                  <c:v>18.34</c:v>
                </c:pt>
                <c:pt idx="441">
                  <c:v>18.334</c:v>
                </c:pt>
                <c:pt idx="442">
                  <c:v>18.483000000000001</c:v>
                </c:pt>
                <c:pt idx="443">
                  <c:v>18.460999999999999</c:v>
                </c:pt>
                <c:pt idx="444">
                  <c:v>18.512</c:v>
                </c:pt>
                <c:pt idx="445">
                  <c:v>18.768000000000001</c:v>
                </c:pt>
                <c:pt idx="446">
                  <c:v>18.576000000000001</c:v>
                </c:pt>
                <c:pt idx="447">
                  <c:v>18.728999999999999</c:v>
                </c:pt>
                <c:pt idx="448">
                  <c:v>19.055</c:v>
                </c:pt>
                <c:pt idx="449">
                  <c:v>19.181999999999999</c:v>
                </c:pt>
                <c:pt idx="450">
                  <c:v>19.353000000000002</c:v>
                </c:pt>
                <c:pt idx="451">
                  <c:v>19.937000000000001</c:v>
                </c:pt>
                <c:pt idx="452">
                  <c:v>20.577999999999999</c:v>
                </c:pt>
                <c:pt idx="453">
                  <c:v>20.440000000000001</c:v>
                </c:pt>
                <c:pt idx="454">
                  <c:v>18.297000000000001</c:v>
                </c:pt>
                <c:pt idx="455">
                  <c:v>18.891999999999999</c:v>
                </c:pt>
                <c:pt idx="456">
                  <c:v>19.224</c:v>
                </c:pt>
                <c:pt idx="457">
                  <c:v>21.97</c:v>
                </c:pt>
                <c:pt idx="458">
                  <c:v>21.832000000000001</c:v>
                </c:pt>
                <c:pt idx="459">
                  <c:v>22.248000000000001</c:v>
                </c:pt>
                <c:pt idx="460">
                  <c:v>23.088000000000001</c:v>
                </c:pt>
                <c:pt idx="461">
                  <c:v>23.88</c:v>
                </c:pt>
                <c:pt idx="462">
                  <c:v>25.908000000000001</c:v>
                </c:pt>
                <c:pt idx="463">
                  <c:v>25.123999999999999</c:v>
                </c:pt>
                <c:pt idx="464">
                  <c:v>26.021000000000001</c:v>
                </c:pt>
                <c:pt idx="465">
                  <c:v>26.364999999999998</c:v>
                </c:pt>
                <c:pt idx="466">
                  <c:v>26.198</c:v>
                </c:pt>
                <c:pt idx="467">
                  <c:v>24.93</c:v>
                </c:pt>
                <c:pt idx="468">
                  <c:v>21.94</c:v>
                </c:pt>
                <c:pt idx="469">
                  <c:v>22.893000000000001</c:v>
                </c:pt>
                <c:pt idx="470">
                  <c:v>22.797999999999998</c:v>
                </c:pt>
                <c:pt idx="471">
                  <c:v>22.152999999999999</c:v>
                </c:pt>
                <c:pt idx="472">
                  <c:v>21.724</c:v>
                </c:pt>
                <c:pt idx="473">
                  <c:v>22.61</c:v>
                </c:pt>
                <c:pt idx="474">
                  <c:v>23.344999999999999</c:v>
                </c:pt>
                <c:pt idx="475">
                  <c:v>23.503</c:v>
                </c:pt>
                <c:pt idx="476">
                  <c:v>24.375</c:v>
                </c:pt>
                <c:pt idx="477">
                  <c:v>24.798999999999999</c:v>
                </c:pt>
                <c:pt idx="478">
                  <c:v>23.774000000000001</c:v>
                </c:pt>
                <c:pt idx="479">
                  <c:v>23.922999999999998</c:v>
                </c:pt>
                <c:pt idx="480">
                  <c:v>23.193000000000001</c:v>
                </c:pt>
                <c:pt idx="481">
                  <c:v>24.373000000000001</c:v>
                </c:pt>
                <c:pt idx="482">
                  <c:v>24.54</c:v>
                </c:pt>
                <c:pt idx="483">
                  <c:v>23.472999999999999</c:v>
                </c:pt>
                <c:pt idx="484">
                  <c:v>23.25</c:v>
                </c:pt>
                <c:pt idx="485">
                  <c:v>21.757999999999999</c:v>
                </c:pt>
                <c:pt idx="486">
                  <c:v>21.63</c:v>
                </c:pt>
                <c:pt idx="487">
                  <c:v>22.545999999999999</c:v>
                </c:pt>
                <c:pt idx="488">
                  <c:v>22.914999999999999</c:v>
                </c:pt>
                <c:pt idx="489">
                  <c:v>21.518000000000001</c:v>
                </c:pt>
                <c:pt idx="490">
                  <c:v>21.802</c:v>
                </c:pt>
                <c:pt idx="491">
                  <c:v>20.716999999999999</c:v>
                </c:pt>
                <c:pt idx="492">
                  <c:v>20.547000000000001</c:v>
                </c:pt>
                <c:pt idx="493">
                  <c:v>20.922000000000001</c:v>
                </c:pt>
                <c:pt idx="494">
                  <c:v>19.87</c:v>
                </c:pt>
                <c:pt idx="495">
                  <c:v>19.991</c:v>
                </c:pt>
                <c:pt idx="496">
                  <c:v>19.292000000000002</c:v>
                </c:pt>
                <c:pt idx="497">
                  <c:v>20.119</c:v>
                </c:pt>
                <c:pt idx="498">
                  <c:v>21.626999999999999</c:v>
                </c:pt>
                <c:pt idx="499">
                  <c:v>22.873000000000001</c:v>
                </c:pt>
                <c:pt idx="500">
                  <c:v>23.45</c:v>
                </c:pt>
                <c:pt idx="501">
                  <c:v>23.332999999999998</c:v>
                </c:pt>
                <c:pt idx="502">
                  <c:v>23.283999999999999</c:v>
                </c:pt>
                <c:pt idx="503">
                  <c:v>22.945</c:v>
                </c:pt>
                <c:pt idx="504">
                  <c:v>22.654</c:v>
                </c:pt>
                <c:pt idx="505">
                  <c:v>25.719000000000001</c:v>
                </c:pt>
                <c:pt idx="506">
                  <c:v>24.643000000000001</c:v>
                </c:pt>
                <c:pt idx="507">
                  <c:v>23.326000000000001</c:v>
                </c:pt>
                <c:pt idx="508">
                  <c:v>22.824000000000002</c:v>
                </c:pt>
                <c:pt idx="509">
                  <c:v>22.015000000000001</c:v>
                </c:pt>
                <c:pt idx="510">
                  <c:v>22.683</c:v>
                </c:pt>
                <c:pt idx="511">
                  <c:v>22.817</c:v>
                </c:pt>
                <c:pt idx="512">
                  <c:v>23.713999999999999</c:v>
                </c:pt>
                <c:pt idx="513">
                  <c:v>22.113</c:v>
                </c:pt>
                <c:pt idx="514">
                  <c:v>22.5</c:v>
                </c:pt>
                <c:pt idx="515">
                  <c:v>22.091000000000001</c:v>
                </c:pt>
                <c:pt idx="516">
                  <c:v>21.343</c:v>
                </c:pt>
                <c:pt idx="517">
                  <c:v>21.356999999999999</c:v>
                </c:pt>
                <c:pt idx="518">
                  <c:v>20.234000000000002</c:v>
                </c:pt>
                <c:pt idx="519">
                  <c:v>19.936</c:v>
                </c:pt>
                <c:pt idx="520">
                  <c:v>19.687000000000001</c:v>
                </c:pt>
                <c:pt idx="521">
                  <c:v>17.491</c:v>
                </c:pt>
                <c:pt idx="522">
                  <c:v>15.47</c:v>
                </c:pt>
                <c:pt idx="523">
                  <c:v>15.792</c:v>
                </c:pt>
                <c:pt idx="524">
                  <c:v>17.478000000000002</c:v>
                </c:pt>
                <c:pt idx="525">
                  <c:v>17.376000000000001</c:v>
                </c:pt>
                <c:pt idx="526">
                  <c:v>16.898</c:v>
                </c:pt>
                <c:pt idx="527">
                  <c:v>16.626999999999999</c:v>
                </c:pt>
                <c:pt idx="528">
                  <c:v>17.228000000000002</c:v>
                </c:pt>
                <c:pt idx="529">
                  <c:v>17.422999999999998</c:v>
                </c:pt>
                <c:pt idx="530">
                  <c:v>17.704000000000001</c:v>
                </c:pt>
                <c:pt idx="531">
                  <c:v>17.896000000000001</c:v>
                </c:pt>
                <c:pt idx="532">
                  <c:v>17.369</c:v>
                </c:pt>
                <c:pt idx="533">
                  <c:v>16.513999999999999</c:v>
                </c:pt>
                <c:pt idx="534">
                  <c:v>16.815999999999999</c:v>
                </c:pt>
                <c:pt idx="535">
                  <c:v>17.712</c:v>
                </c:pt>
                <c:pt idx="536">
                  <c:v>17.731000000000002</c:v>
                </c:pt>
                <c:pt idx="537">
                  <c:v>16.827999999999999</c:v>
                </c:pt>
                <c:pt idx="538">
                  <c:v>16.456</c:v>
                </c:pt>
                <c:pt idx="539">
                  <c:v>15.775</c:v>
                </c:pt>
                <c:pt idx="540">
                  <c:v>14.670999999999999</c:v>
                </c:pt>
                <c:pt idx="541">
                  <c:v>15.375999999999999</c:v>
                </c:pt>
                <c:pt idx="542">
                  <c:v>15.551</c:v>
                </c:pt>
                <c:pt idx="543">
                  <c:v>16.713999999999999</c:v>
                </c:pt>
                <c:pt idx="544">
                  <c:v>16.597999999999999</c:v>
                </c:pt>
                <c:pt idx="545">
                  <c:v>16.896000000000001</c:v>
                </c:pt>
                <c:pt idx="546">
                  <c:v>16.116</c:v>
                </c:pt>
                <c:pt idx="547">
                  <c:v>16.097000000000001</c:v>
                </c:pt>
                <c:pt idx="548">
                  <c:v>15.45</c:v>
                </c:pt>
                <c:pt idx="549">
                  <c:v>15.83</c:v>
                </c:pt>
                <c:pt idx="550">
                  <c:v>16.494</c:v>
                </c:pt>
                <c:pt idx="551">
                  <c:v>16.097000000000001</c:v>
                </c:pt>
                <c:pt idx="552">
                  <c:v>15.272</c:v>
                </c:pt>
                <c:pt idx="553">
                  <c:v>14.715999999999999</c:v>
                </c:pt>
                <c:pt idx="554">
                  <c:v>15.398</c:v>
                </c:pt>
                <c:pt idx="555">
                  <c:v>16.134</c:v>
                </c:pt>
                <c:pt idx="556">
                  <c:v>16.736000000000001</c:v>
                </c:pt>
                <c:pt idx="557">
                  <c:v>17.385000000000002</c:v>
                </c:pt>
                <c:pt idx="558">
                  <c:v>17.687999999999999</c:v>
                </c:pt>
                <c:pt idx="559">
                  <c:v>19.085999999999999</c:v>
                </c:pt>
                <c:pt idx="560">
                  <c:v>19.184999999999999</c:v>
                </c:pt>
                <c:pt idx="561">
                  <c:v>19.469000000000001</c:v>
                </c:pt>
                <c:pt idx="562">
                  <c:v>19.405999999999999</c:v>
                </c:pt>
                <c:pt idx="563">
                  <c:v>20.965</c:v>
                </c:pt>
                <c:pt idx="564">
                  <c:v>21.114000000000001</c:v>
                </c:pt>
                <c:pt idx="565">
                  <c:v>21.007000000000001</c:v>
                </c:pt>
                <c:pt idx="566">
                  <c:v>20.692</c:v>
                </c:pt>
                <c:pt idx="567">
                  <c:v>20.826000000000001</c:v>
                </c:pt>
                <c:pt idx="568">
                  <c:v>21.995000000000001</c:v>
                </c:pt>
                <c:pt idx="569">
                  <c:v>20.954000000000001</c:v>
                </c:pt>
                <c:pt idx="570">
                  <c:v>20.081</c:v>
                </c:pt>
                <c:pt idx="571">
                  <c:v>20.300999999999998</c:v>
                </c:pt>
                <c:pt idx="572">
                  <c:v>19.690999999999999</c:v>
                </c:pt>
                <c:pt idx="573">
                  <c:v>18.739999999999998</c:v>
                </c:pt>
                <c:pt idx="574">
                  <c:v>18.951000000000001</c:v>
                </c:pt>
                <c:pt idx="575">
                  <c:v>19.632000000000001</c:v>
                </c:pt>
                <c:pt idx="576">
                  <c:v>18.914000000000001</c:v>
                </c:pt>
                <c:pt idx="577">
                  <c:v>19.283999999999999</c:v>
                </c:pt>
                <c:pt idx="578">
                  <c:v>19.742999999999999</c:v>
                </c:pt>
                <c:pt idx="579">
                  <c:v>16.239999999999998</c:v>
                </c:pt>
                <c:pt idx="580">
                  <c:v>16.763999999999999</c:v>
                </c:pt>
                <c:pt idx="581">
                  <c:v>16.702000000000002</c:v>
                </c:pt>
                <c:pt idx="582">
                  <c:v>16.626000000000001</c:v>
                </c:pt>
                <c:pt idx="583">
                  <c:v>14.6</c:v>
                </c:pt>
                <c:pt idx="584">
                  <c:v>14.685</c:v>
                </c:pt>
                <c:pt idx="585">
                  <c:v>14.618</c:v>
                </c:pt>
                <c:pt idx="586">
                  <c:v>14.506</c:v>
                </c:pt>
                <c:pt idx="587">
                  <c:v>15.042</c:v>
                </c:pt>
                <c:pt idx="588">
                  <c:v>15.147</c:v>
                </c:pt>
                <c:pt idx="589">
                  <c:v>15.869</c:v>
                </c:pt>
                <c:pt idx="590">
                  <c:v>14.548</c:v>
                </c:pt>
                <c:pt idx="591">
                  <c:v>14.420999999999999</c:v>
                </c:pt>
                <c:pt idx="592">
                  <c:v>13.112</c:v>
                </c:pt>
                <c:pt idx="593">
                  <c:v>13.327999999999999</c:v>
                </c:pt>
                <c:pt idx="594">
                  <c:v>12.228</c:v>
                </c:pt>
                <c:pt idx="595">
                  <c:v>12.128</c:v>
                </c:pt>
                <c:pt idx="596">
                  <c:v>12.82</c:v>
                </c:pt>
                <c:pt idx="597">
                  <c:v>12.067</c:v>
                </c:pt>
                <c:pt idx="598">
                  <c:v>12.686999999999999</c:v>
                </c:pt>
                <c:pt idx="599">
                  <c:v>11.824999999999999</c:v>
                </c:pt>
                <c:pt idx="600">
                  <c:v>11.818</c:v>
                </c:pt>
                <c:pt idx="601">
                  <c:v>11.06</c:v>
                </c:pt>
                <c:pt idx="602">
                  <c:v>11.243</c:v>
                </c:pt>
                <c:pt idx="603">
                  <c:v>10.464</c:v>
                </c:pt>
                <c:pt idx="604">
                  <c:v>10.975</c:v>
                </c:pt>
                <c:pt idx="605">
                  <c:v>11.79</c:v>
                </c:pt>
                <c:pt idx="606">
                  <c:v>12.654999999999999</c:v>
                </c:pt>
                <c:pt idx="607">
                  <c:v>12.632</c:v>
                </c:pt>
                <c:pt idx="608">
                  <c:v>12.334</c:v>
                </c:pt>
                <c:pt idx="609">
                  <c:v>12.911</c:v>
                </c:pt>
                <c:pt idx="610">
                  <c:v>11.72</c:v>
                </c:pt>
                <c:pt idx="611">
                  <c:v>11.907999999999999</c:v>
                </c:pt>
                <c:pt idx="612">
                  <c:v>11.939</c:v>
                </c:pt>
                <c:pt idx="613">
                  <c:v>12.087999999999999</c:v>
                </c:pt>
                <c:pt idx="614">
                  <c:v>11.98</c:v>
                </c:pt>
                <c:pt idx="615">
                  <c:v>11.606</c:v>
                </c:pt>
                <c:pt idx="616">
                  <c:v>10.782</c:v>
                </c:pt>
                <c:pt idx="617">
                  <c:v>11.039</c:v>
                </c:pt>
                <c:pt idx="618">
                  <c:v>11.644</c:v>
                </c:pt>
                <c:pt idx="619">
                  <c:v>10.65</c:v>
                </c:pt>
                <c:pt idx="620">
                  <c:v>10.833</c:v>
                </c:pt>
                <c:pt idx="621">
                  <c:v>11.846</c:v>
                </c:pt>
                <c:pt idx="622">
                  <c:v>11.798999999999999</c:v>
                </c:pt>
                <c:pt idx="623">
                  <c:v>11.747999999999999</c:v>
                </c:pt>
                <c:pt idx="624">
                  <c:v>12.28</c:v>
                </c:pt>
                <c:pt idx="625">
                  <c:v>12.24</c:v>
                </c:pt>
                <c:pt idx="626">
                  <c:v>11.628</c:v>
                </c:pt>
                <c:pt idx="627">
                  <c:v>11.419</c:v>
                </c:pt>
                <c:pt idx="628">
                  <c:v>11.218</c:v>
                </c:pt>
                <c:pt idx="629">
                  <c:v>11.358000000000001</c:v>
                </c:pt>
                <c:pt idx="630">
                  <c:v>11.648</c:v>
                </c:pt>
                <c:pt idx="631">
                  <c:v>11.581</c:v>
                </c:pt>
                <c:pt idx="632">
                  <c:v>12.221</c:v>
                </c:pt>
                <c:pt idx="633">
                  <c:v>12.532</c:v>
                </c:pt>
                <c:pt idx="634">
                  <c:v>11.712</c:v>
                </c:pt>
                <c:pt idx="635">
                  <c:v>11.648</c:v>
                </c:pt>
                <c:pt idx="636">
                  <c:v>11.846</c:v>
                </c:pt>
                <c:pt idx="637">
                  <c:v>11.91</c:v>
                </c:pt>
                <c:pt idx="638">
                  <c:v>11.997999999999999</c:v>
                </c:pt>
                <c:pt idx="639">
                  <c:v>12.022</c:v>
                </c:pt>
                <c:pt idx="640">
                  <c:v>12.271000000000001</c:v>
                </c:pt>
                <c:pt idx="641">
                  <c:v>11.452999999999999</c:v>
                </c:pt>
                <c:pt idx="642">
                  <c:v>12.573</c:v>
                </c:pt>
                <c:pt idx="643">
                  <c:v>12.598000000000001</c:v>
                </c:pt>
                <c:pt idx="644">
                  <c:v>12.523</c:v>
                </c:pt>
                <c:pt idx="645">
                  <c:v>12.076000000000001</c:v>
                </c:pt>
                <c:pt idx="646">
                  <c:v>12.821</c:v>
                </c:pt>
                <c:pt idx="647">
                  <c:v>13.105</c:v>
                </c:pt>
                <c:pt idx="648">
                  <c:v>13.863</c:v>
                </c:pt>
                <c:pt idx="649">
                  <c:v>13.869</c:v>
                </c:pt>
                <c:pt idx="650">
                  <c:v>14.023</c:v>
                </c:pt>
                <c:pt idx="651">
                  <c:v>14.340999999999999</c:v>
                </c:pt>
                <c:pt idx="652">
                  <c:v>14.398999999999999</c:v>
                </c:pt>
                <c:pt idx="653">
                  <c:v>13.444000000000001</c:v>
                </c:pt>
                <c:pt idx="654">
                  <c:v>13.548999999999999</c:v>
                </c:pt>
                <c:pt idx="655">
                  <c:v>13.218</c:v>
                </c:pt>
                <c:pt idx="656">
                  <c:v>13.733000000000001</c:v>
                </c:pt>
                <c:pt idx="657">
                  <c:v>13.372</c:v>
                </c:pt>
                <c:pt idx="658">
                  <c:v>13.997</c:v>
                </c:pt>
                <c:pt idx="659">
                  <c:v>14.430999999999999</c:v>
                </c:pt>
                <c:pt idx="660">
                  <c:v>14.302</c:v>
                </c:pt>
                <c:pt idx="661">
                  <c:v>14.182</c:v>
                </c:pt>
                <c:pt idx="662">
                  <c:v>14.13</c:v>
                </c:pt>
                <c:pt idx="663">
                  <c:v>13.84</c:v>
                </c:pt>
                <c:pt idx="664">
                  <c:v>13.525</c:v>
                </c:pt>
                <c:pt idx="665">
                  <c:v>13.83</c:v>
                </c:pt>
                <c:pt idx="666">
                  <c:v>13.86</c:v>
                </c:pt>
                <c:pt idx="667">
                  <c:v>13.811999999999999</c:v>
                </c:pt>
                <c:pt idx="668">
                  <c:v>13.44</c:v>
                </c:pt>
                <c:pt idx="669">
                  <c:v>13.288</c:v>
                </c:pt>
                <c:pt idx="670">
                  <c:v>12.955</c:v>
                </c:pt>
                <c:pt idx="671">
                  <c:v>12.858000000000001</c:v>
                </c:pt>
                <c:pt idx="672">
                  <c:v>12.93</c:v>
                </c:pt>
                <c:pt idx="673">
                  <c:v>12.606</c:v>
                </c:pt>
                <c:pt idx="674">
                  <c:v>12.802</c:v>
                </c:pt>
                <c:pt idx="675">
                  <c:v>13.234999999999999</c:v>
                </c:pt>
                <c:pt idx="676">
                  <c:v>13.494999999999999</c:v>
                </c:pt>
                <c:pt idx="677">
                  <c:v>13.981</c:v>
                </c:pt>
                <c:pt idx="678">
                  <c:v>14.202</c:v>
                </c:pt>
                <c:pt idx="679">
                  <c:v>13.629</c:v>
                </c:pt>
                <c:pt idx="680">
                  <c:v>14.118</c:v>
                </c:pt>
                <c:pt idx="681">
                  <c:v>14.170999999999999</c:v>
                </c:pt>
                <c:pt idx="682">
                  <c:v>14.151999999999999</c:v>
                </c:pt>
                <c:pt idx="683">
                  <c:v>14.419</c:v>
                </c:pt>
                <c:pt idx="684">
                  <c:v>14.403</c:v>
                </c:pt>
                <c:pt idx="685">
                  <c:v>14.032999999999999</c:v>
                </c:pt>
                <c:pt idx="686">
                  <c:v>13.462999999999999</c:v>
                </c:pt>
                <c:pt idx="687">
                  <c:v>12.845000000000001</c:v>
                </c:pt>
                <c:pt idx="688">
                  <c:v>12.877000000000001</c:v>
                </c:pt>
                <c:pt idx="689">
                  <c:v>13.2</c:v>
                </c:pt>
                <c:pt idx="690">
                  <c:v>13.427</c:v>
                </c:pt>
                <c:pt idx="691">
                  <c:v>12.513</c:v>
                </c:pt>
                <c:pt idx="692">
                  <c:v>12.375</c:v>
                </c:pt>
                <c:pt idx="693">
                  <c:v>11.308999999999999</c:v>
                </c:pt>
                <c:pt idx="694">
                  <c:v>11.637</c:v>
                </c:pt>
                <c:pt idx="695">
                  <c:v>11.234</c:v>
                </c:pt>
                <c:pt idx="696">
                  <c:v>11.109</c:v>
                </c:pt>
                <c:pt idx="697">
                  <c:v>10.407</c:v>
                </c:pt>
                <c:pt idx="698">
                  <c:v>10.401999999999999</c:v>
                </c:pt>
                <c:pt idx="699">
                  <c:v>10.1</c:v>
                </c:pt>
                <c:pt idx="700">
                  <c:v>10.135</c:v>
                </c:pt>
                <c:pt idx="701">
                  <c:v>10.343999999999999</c:v>
                </c:pt>
                <c:pt idx="702">
                  <c:v>9.5630000000000006</c:v>
                </c:pt>
                <c:pt idx="703">
                  <c:v>10.233000000000001</c:v>
                </c:pt>
                <c:pt idx="704">
                  <c:v>10.272</c:v>
                </c:pt>
                <c:pt idx="705">
                  <c:v>9.2940000000000005</c:v>
                </c:pt>
                <c:pt idx="706">
                  <c:v>8.6760000000000002</c:v>
                </c:pt>
                <c:pt idx="707">
                  <c:v>8.9760000000000009</c:v>
                </c:pt>
                <c:pt idx="708">
                  <c:v>8.9109999999999996</c:v>
                </c:pt>
                <c:pt idx="709">
                  <c:v>9.3819999999999997</c:v>
                </c:pt>
                <c:pt idx="710">
                  <c:v>9.4749999999999996</c:v>
                </c:pt>
                <c:pt idx="711">
                  <c:v>9.4939999999999998</c:v>
                </c:pt>
                <c:pt idx="712">
                  <c:v>9.6389999999999993</c:v>
                </c:pt>
                <c:pt idx="713">
                  <c:v>9.5980000000000008</c:v>
                </c:pt>
                <c:pt idx="714">
                  <c:v>9.61</c:v>
                </c:pt>
                <c:pt idx="715">
                  <c:v>9.0679999999999996</c:v>
                </c:pt>
                <c:pt idx="716">
                  <c:v>9.0820000000000007</c:v>
                </c:pt>
                <c:pt idx="717">
                  <c:v>8.7509999999999994</c:v>
                </c:pt>
                <c:pt idx="718">
                  <c:v>8.3130000000000006</c:v>
                </c:pt>
                <c:pt idx="719">
                  <c:v>8.0690000000000008</c:v>
                </c:pt>
                <c:pt idx="720">
                  <c:v>7.4909999999999997</c:v>
                </c:pt>
                <c:pt idx="721">
                  <c:v>8.0449999999999999</c:v>
                </c:pt>
                <c:pt idx="722">
                  <c:v>8.266</c:v>
                </c:pt>
                <c:pt idx="723">
                  <c:v>8.0540000000000003</c:v>
                </c:pt>
                <c:pt idx="724">
                  <c:v>8.2010000000000005</c:v>
                </c:pt>
                <c:pt idx="725">
                  <c:v>7.8840000000000003</c:v>
                </c:pt>
                <c:pt idx="726">
                  <c:v>7.726</c:v>
                </c:pt>
                <c:pt idx="727">
                  <c:v>7.6</c:v>
                </c:pt>
                <c:pt idx="728">
                  <c:v>7.0810000000000004</c:v>
                </c:pt>
                <c:pt idx="729">
                  <c:v>7.1669999999999998</c:v>
                </c:pt>
                <c:pt idx="730">
                  <c:v>7.7270000000000003</c:v>
                </c:pt>
                <c:pt idx="731">
                  <c:v>7.7130000000000001</c:v>
                </c:pt>
                <c:pt idx="732">
                  <c:v>7.7160000000000002</c:v>
                </c:pt>
                <c:pt idx="733">
                  <c:v>7.6269999999999998</c:v>
                </c:pt>
                <c:pt idx="734">
                  <c:v>8.2129999999999992</c:v>
                </c:pt>
                <c:pt idx="735">
                  <c:v>8.2129999999999992</c:v>
                </c:pt>
                <c:pt idx="736">
                  <c:v>8.2189999999999994</c:v>
                </c:pt>
                <c:pt idx="737">
                  <c:v>7.6959999999999997</c:v>
                </c:pt>
                <c:pt idx="738">
                  <c:v>7.585</c:v>
                </c:pt>
                <c:pt idx="739">
                  <c:v>7.3410000000000002</c:v>
                </c:pt>
                <c:pt idx="740">
                  <c:v>7.3159999999999998</c:v>
                </c:pt>
                <c:pt idx="741">
                  <c:v>7.5519999999999996</c:v>
                </c:pt>
                <c:pt idx="742">
                  <c:v>7.0789999999999997</c:v>
                </c:pt>
                <c:pt idx="743">
                  <c:v>6.7889999999999997</c:v>
                </c:pt>
                <c:pt idx="744">
                  <c:v>6.6139999999999999</c:v>
                </c:pt>
                <c:pt idx="745">
                  <c:v>6.6509999999999998</c:v>
                </c:pt>
                <c:pt idx="746">
                  <c:v>6.3369999999999997</c:v>
                </c:pt>
                <c:pt idx="747">
                  <c:v>6.3220000000000001</c:v>
                </c:pt>
                <c:pt idx="748">
                  <c:v>5.8120000000000003</c:v>
                </c:pt>
                <c:pt idx="749">
                  <c:v>5.8029999999999999</c:v>
                </c:pt>
                <c:pt idx="750">
                  <c:v>5.2869999999999999</c:v>
                </c:pt>
                <c:pt idx="751">
                  <c:v>5.1950000000000003</c:v>
                </c:pt>
                <c:pt idx="752">
                  <c:v>4.6020000000000003</c:v>
                </c:pt>
                <c:pt idx="753">
                  <c:v>4.7539999999999996</c:v>
                </c:pt>
                <c:pt idx="754">
                  <c:v>5.1379999999999999</c:v>
                </c:pt>
                <c:pt idx="755">
                  <c:v>5.1959999999999997</c:v>
                </c:pt>
                <c:pt idx="756">
                  <c:v>4.5599999999999996</c:v>
                </c:pt>
                <c:pt idx="757">
                  <c:v>4.7930000000000001</c:v>
                </c:pt>
                <c:pt idx="758">
                  <c:v>4.6539999999999999</c:v>
                </c:pt>
                <c:pt idx="759">
                  <c:v>4.7690000000000001</c:v>
                </c:pt>
                <c:pt idx="760">
                  <c:v>5.0519999999999996</c:v>
                </c:pt>
                <c:pt idx="761">
                  <c:v>5.0129999999999999</c:v>
                </c:pt>
                <c:pt idx="762">
                  <c:v>5.1970000000000001</c:v>
                </c:pt>
                <c:pt idx="763">
                  <c:v>5.2119999999999997</c:v>
                </c:pt>
                <c:pt idx="764">
                  <c:v>5.1630000000000003</c:v>
                </c:pt>
                <c:pt idx="765">
                  <c:v>5.5460000000000003</c:v>
                </c:pt>
                <c:pt idx="766">
                  <c:v>5.4320000000000004</c:v>
                </c:pt>
                <c:pt idx="767">
                  <c:v>5.3639999999999999</c:v>
                </c:pt>
                <c:pt idx="768">
                  <c:v>5.6280000000000001</c:v>
                </c:pt>
                <c:pt idx="769">
                  <c:v>6.0629999999999997</c:v>
                </c:pt>
                <c:pt idx="770">
                  <c:v>6.069</c:v>
                </c:pt>
                <c:pt idx="771">
                  <c:v>5.5990000000000002</c:v>
                </c:pt>
                <c:pt idx="772">
                  <c:v>6.2130000000000001</c:v>
                </c:pt>
                <c:pt idx="773">
                  <c:v>6.8959999999999999</c:v>
                </c:pt>
                <c:pt idx="774">
                  <c:v>6.46</c:v>
                </c:pt>
                <c:pt idx="775">
                  <c:v>6.7279999999999998</c:v>
                </c:pt>
              </c:numCache>
            </c:numRef>
          </c:val>
          <c:smooth val="0"/>
          <c:extLst>
            <c:ext xmlns:c16="http://schemas.microsoft.com/office/drawing/2014/chart" uri="{C3380CC4-5D6E-409C-BE32-E72D297353CC}">
              <c16:uniqueId val="{00000001-A63C-44BE-B74C-D1CB89200022}"/>
            </c:ext>
          </c:extLst>
        </c:ser>
        <c:dLbls>
          <c:showLegendKey val="0"/>
          <c:showVal val="0"/>
          <c:showCatName val="0"/>
          <c:showSerName val="0"/>
          <c:showPercent val="0"/>
          <c:showBubbleSize val="0"/>
        </c:dLbls>
        <c:smooth val="0"/>
        <c:axId val="1562897560"/>
        <c:axId val="1562901880"/>
      </c:lineChart>
      <c:dateAx>
        <c:axId val="15628975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62901880"/>
        <c:crosses val="autoZero"/>
        <c:auto val="1"/>
        <c:lblOffset val="100"/>
        <c:baseTimeUnit val="days"/>
      </c:dateAx>
      <c:valAx>
        <c:axId val="1562901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62897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Charts!$A$378</c:f>
              <c:strCache>
                <c:ptCount val="1"/>
                <c:pt idx="0">
                  <c:v>PPI：Semiconductor and Other Electronic Component</c:v>
                </c:pt>
              </c:strCache>
            </c:strRef>
          </c:tx>
          <c:spPr>
            <a:ln w="28575" cap="rnd">
              <a:solidFill>
                <a:schemeClr val="accent1"/>
              </a:solidFill>
              <a:round/>
            </a:ln>
            <a:effectLst/>
          </c:spPr>
          <c:marker>
            <c:symbol val="none"/>
          </c:marker>
          <c:cat>
            <c:numRef>
              <c:f>Charts!$B$377:$Y$377</c:f>
              <c:numCache>
                <c:formatCode>m/d/yyyy</c:formatCode>
                <c:ptCount val="24"/>
                <c:pt idx="0">
                  <c:v>44197</c:v>
                </c:pt>
                <c:pt idx="1">
                  <c:v>44228</c:v>
                </c:pt>
                <c:pt idx="2">
                  <c:v>44256</c:v>
                </c:pt>
                <c:pt idx="3">
                  <c:v>44287</c:v>
                </c:pt>
                <c:pt idx="4">
                  <c:v>44317</c:v>
                </c:pt>
                <c:pt idx="5">
                  <c:v>44348</c:v>
                </c:pt>
                <c:pt idx="6">
                  <c:v>44378</c:v>
                </c:pt>
                <c:pt idx="7">
                  <c:v>44409</c:v>
                </c:pt>
                <c:pt idx="8">
                  <c:v>44440</c:v>
                </c:pt>
                <c:pt idx="9">
                  <c:v>44470</c:v>
                </c:pt>
                <c:pt idx="10">
                  <c:v>44501</c:v>
                </c:pt>
                <c:pt idx="11">
                  <c:v>44531</c:v>
                </c:pt>
                <c:pt idx="12">
                  <c:v>44562</c:v>
                </c:pt>
                <c:pt idx="13">
                  <c:v>44593</c:v>
                </c:pt>
                <c:pt idx="14">
                  <c:v>44621</c:v>
                </c:pt>
                <c:pt idx="15">
                  <c:v>44652</c:v>
                </c:pt>
                <c:pt idx="16">
                  <c:v>44682</c:v>
                </c:pt>
                <c:pt idx="17">
                  <c:v>44713</c:v>
                </c:pt>
                <c:pt idx="18">
                  <c:v>44743</c:v>
                </c:pt>
                <c:pt idx="19">
                  <c:v>44774</c:v>
                </c:pt>
                <c:pt idx="20">
                  <c:v>44805</c:v>
                </c:pt>
                <c:pt idx="21">
                  <c:v>44835</c:v>
                </c:pt>
                <c:pt idx="22">
                  <c:v>44866</c:v>
                </c:pt>
                <c:pt idx="23">
                  <c:v>44896</c:v>
                </c:pt>
              </c:numCache>
            </c:numRef>
          </c:cat>
          <c:val>
            <c:numRef>
              <c:f>Charts!$B$378:$Y$378</c:f>
              <c:numCache>
                <c:formatCode>General</c:formatCode>
                <c:ptCount val="24"/>
                <c:pt idx="0">
                  <c:v>54.1</c:v>
                </c:pt>
                <c:pt idx="1">
                  <c:v>54.1</c:v>
                </c:pt>
                <c:pt idx="2">
                  <c:v>54.3</c:v>
                </c:pt>
                <c:pt idx="3">
                  <c:v>54.2</c:v>
                </c:pt>
                <c:pt idx="4">
                  <c:v>54.5</c:v>
                </c:pt>
                <c:pt idx="5">
                  <c:v>54.7</c:v>
                </c:pt>
                <c:pt idx="6">
                  <c:v>54.548000000000002</c:v>
                </c:pt>
                <c:pt idx="7">
                  <c:v>54.765999999999998</c:v>
                </c:pt>
                <c:pt idx="8">
                  <c:v>54.875</c:v>
                </c:pt>
                <c:pt idx="9">
                  <c:v>54.947000000000003</c:v>
                </c:pt>
                <c:pt idx="10">
                  <c:v>55.250999999999998</c:v>
                </c:pt>
                <c:pt idx="11">
                  <c:v>55.42</c:v>
                </c:pt>
                <c:pt idx="12">
                  <c:v>56.335999999999999</c:v>
                </c:pt>
                <c:pt idx="13">
                  <c:v>56.366</c:v>
                </c:pt>
                <c:pt idx="14">
                  <c:v>56.725999999999999</c:v>
                </c:pt>
                <c:pt idx="15">
                  <c:v>56.488</c:v>
                </c:pt>
                <c:pt idx="16">
                  <c:v>56.624000000000002</c:v>
                </c:pt>
                <c:pt idx="17">
                  <c:v>56.915999999999997</c:v>
                </c:pt>
                <c:pt idx="18">
                  <c:v>56.804000000000002</c:v>
                </c:pt>
                <c:pt idx="19">
                  <c:v>56.631999999999998</c:v>
                </c:pt>
                <c:pt idx="20">
                  <c:v>56.822000000000003</c:v>
                </c:pt>
                <c:pt idx="21">
                  <c:v>57.219000000000001</c:v>
                </c:pt>
                <c:pt idx="22">
                  <c:v>57.48</c:v>
                </c:pt>
                <c:pt idx="23">
                  <c:v>57.518000000000001</c:v>
                </c:pt>
              </c:numCache>
            </c:numRef>
          </c:val>
          <c:smooth val="0"/>
          <c:extLst>
            <c:ext xmlns:c16="http://schemas.microsoft.com/office/drawing/2014/chart" uri="{C3380CC4-5D6E-409C-BE32-E72D297353CC}">
              <c16:uniqueId val="{00000001-60DF-454C-A4BA-748A017E67AC}"/>
            </c:ext>
          </c:extLst>
        </c:ser>
        <c:dLbls>
          <c:showLegendKey val="0"/>
          <c:showVal val="0"/>
          <c:showCatName val="0"/>
          <c:showSerName val="0"/>
          <c:showPercent val="0"/>
          <c:showBubbleSize val="0"/>
        </c:dLbls>
        <c:smooth val="0"/>
        <c:axId val="1445342808"/>
        <c:axId val="1445349528"/>
      </c:lineChart>
      <c:dateAx>
        <c:axId val="144534280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45349528"/>
        <c:crosses val="autoZero"/>
        <c:auto val="1"/>
        <c:lblOffset val="100"/>
        <c:baseTimeUnit val="months"/>
      </c:dateAx>
      <c:valAx>
        <c:axId val="1445349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45342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Charts!$B$732</c:f>
              <c:strCache>
                <c:ptCount val="1"/>
                <c:pt idx="0">
                  <c:v>Lithium Carbonate - EXW China Battery ($/tonne)</c:v>
                </c:pt>
              </c:strCache>
            </c:strRef>
          </c:tx>
          <c:spPr>
            <a:ln w="28575" cap="rnd">
              <a:solidFill>
                <a:schemeClr val="accent1"/>
              </a:solidFill>
              <a:round/>
            </a:ln>
            <a:effectLst/>
          </c:spPr>
          <c:marker>
            <c:symbol val="none"/>
          </c:marker>
          <c:cat>
            <c:numRef>
              <c:f>Charts!$A$733:$A$745</c:f>
              <c:numCache>
                <c:formatCode>m/d/yyyy</c:formatCode>
                <c:ptCount val="13"/>
                <c:pt idx="0">
                  <c:v>44652</c:v>
                </c:pt>
                <c:pt idx="1">
                  <c:v>44680</c:v>
                </c:pt>
                <c:pt idx="2">
                  <c:v>44715</c:v>
                </c:pt>
                <c:pt idx="3">
                  <c:v>44743</c:v>
                </c:pt>
                <c:pt idx="4">
                  <c:v>44771</c:v>
                </c:pt>
                <c:pt idx="5">
                  <c:v>44806</c:v>
                </c:pt>
                <c:pt idx="6">
                  <c:v>44834</c:v>
                </c:pt>
                <c:pt idx="7">
                  <c:v>44862</c:v>
                </c:pt>
                <c:pt idx="8">
                  <c:v>44897</c:v>
                </c:pt>
                <c:pt idx="9">
                  <c:v>44925</c:v>
                </c:pt>
                <c:pt idx="10">
                  <c:v>44960</c:v>
                </c:pt>
                <c:pt idx="11">
                  <c:v>44981</c:v>
                </c:pt>
                <c:pt idx="12">
                  <c:v>44995</c:v>
                </c:pt>
              </c:numCache>
            </c:numRef>
          </c:cat>
          <c:val>
            <c:numRef>
              <c:f>Charts!$B$733:$B$745</c:f>
              <c:numCache>
                <c:formatCode>#,##0.00</c:formatCode>
                <c:ptCount val="13"/>
                <c:pt idx="0">
                  <c:v>79550</c:v>
                </c:pt>
                <c:pt idx="1">
                  <c:v>72650</c:v>
                </c:pt>
                <c:pt idx="2">
                  <c:v>69375</c:v>
                </c:pt>
                <c:pt idx="3">
                  <c:v>69875</c:v>
                </c:pt>
                <c:pt idx="4">
                  <c:v>69700</c:v>
                </c:pt>
                <c:pt idx="5">
                  <c:v>70700</c:v>
                </c:pt>
                <c:pt idx="6">
                  <c:v>69700</c:v>
                </c:pt>
                <c:pt idx="7">
                  <c:v>75125</c:v>
                </c:pt>
                <c:pt idx="8">
                  <c:v>79650</c:v>
                </c:pt>
                <c:pt idx="9">
                  <c:v>76650</c:v>
                </c:pt>
                <c:pt idx="10">
                  <c:v>71050</c:v>
                </c:pt>
                <c:pt idx="11">
                  <c:v>62925</c:v>
                </c:pt>
                <c:pt idx="12">
                  <c:v>54925</c:v>
                </c:pt>
              </c:numCache>
            </c:numRef>
          </c:val>
          <c:smooth val="0"/>
          <c:extLst>
            <c:ext xmlns:c16="http://schemas.microsoft.com/office/drawing/2014/chart" uri="{C3380CC4-5D6E-409C-BE32-E72D297353CC}">
              <c16:uniqueId val="{00000001-4628-4364-BC3D-69E65183669A}"/>
            </c:ext>
          </c:extLst>
        </c:ser>
        <c:dLbls>
          <c:showLegendKey val="0"/>
          <c:showVal val="0"/>
          <c:showCatName val="0"/>
          <c:showSerName val="0"/>
          <c:showPercent val="0"/>
          <c:showBubbleSize val="0"/>
        </c:dLbls>
        <c:smooth val="0"/>
        <c:axId val="2142742167"/>
        <c:axId val="1085491688"/>
      </c:lineChart>
      <c:dateAx>
        <c:axId val="214274216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85491688"/>
        <c:crosses val="autoZero"/>
        <c:auto val="1"/>
        <c:lblOffset val="100"/>
        <c:baseTimeUnit val="days"/>
      </c:dateAx>
      <c:valAx>
        <c:axId val="1085491688"/>
        <c:scaling>
          <c:orientation val="minMax"/>
          <c:max val="80000"/>
          <c:min val="500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42742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Charts!$B$732</c:f>
              <c:strCache>
                <c:ptCount val="1"/>
                <c:pt idx="0">
                  <c:v>Lithium Carbonate - EXW China Battery ($/tonne)</c:v>
                </c:pt>
              </c:strCache>
            </c:strRef>
          </c:tx>
          <c:spPr>
            <a:ln w="28575" cap="rnd">
              <a:solidFill>
                <a:schemeClr val="accent1"/>
              </a:solidFill>
              <a:round/>
            </a:ln>
            <a:effectLst/>
          </c:spPr>
          <c:marker>
            <c:symbol val="none"/>
          </c:marker>
          <c:cat>
            <c:numRef>
              <c:f>Charts!$A$733:$A$745</c:f>
              <c:numCache>
                <c:formatCode>m/d/yyyy</c:formatCode>
                <c:ptCount val="13"/>
                <c:pt idx="0">
                  <c:v>44652</c:v>
                </c:pt>
                <c:pt idx="1">
                  <c:v>44680</c:v>
                </c:pt>
                <c:pt idx="2">
                  <c:v>44715</c:v>
                </c:pt>
                <c:pt idx="3">
                  <c:v>44743</c:v>
                </c:pt>
                <c:pt idx="4">
                  <c:v>44771</c:v>
                </c:pt>
                <c:pt idx="5">
                  <c:v>44806</c:v>
                </c:pt>
                <c:pt idx="6">
                  <c:v>44834</c:v>
                </c:pt>
                <c:pt idx="7">
                  <c:v>44862</c:v>
                </c:pt>
                <c:pt idx="8">
                  <c:v>44897</c:v>
                </c:pt>
                <c:pt idx="9">
                  <c:v>44925</c:v>
                </c:pt>
                <c:pt idx="10">
                  <c:v>44960</c:v>
                </c:pt>
                <c:pt idx="11">
                  <c:v>44981</c:v>
                </c:pt>
                <c:pt idx="12">
                  <c:v>44995</c:v>
                </c:pt>
              </c:numCache>
            </c:numRef>
          </c:cat>
          <c:val>
            <c:numRef>
              <c:f>Charts!$B$733:$B$745</c:f>
              <c:numCache>
                <c:formatCode>#,##0.00</c:formatCode>
                <c:ptCount val="13"/>
                <c:pt idx="0">
                  <c:v>79550</c:v>
                </c:pt>
                <c:pt idx="1">
                  <c:v>72650</c:v>
                </c:pt>
                <c:pt idx="2">
                  <c:v>69375</c:v>
                </c:pt>
                <c:pt idx="3">
                  <c:v>69875</c:v>
                </c:pt>
                <c:pt idx="4">
                  <c:v>69700</c:v>
                </c:pt>
                <c:pt idx="5">
                  <c:v>70700</c:v>
                </c:pt>
                <c:pt idx="6">
                  <c:v>69700</c:v>
                </c:pt>
                <c:pt idx="7">
                  <c:v>75125</c:v>
                </c:pt>
                <c:pt idx="8">
                  <c:v>79650</c:v>
                </c:pt>
                <c:pt idx="9">
                  <c:v>76650</c:v>
                </c:pt>
                <c:pt idx="10">
                  <c:v>71050</c:v>
                </c:pt>
                <c:pt idx="11">
                  <c:v>62925</c:v>
                </c:pt>
                <c:pt idx="12">
                  <c:v>54925</c:v>
                </c:pt>
              </c:numCache>
            </c:numRef>
          </c:val>
          <c:smooth val="0"/>
          <c:extLst>
            <c:ext xmlns:c16="http://schemas.microsoft.com/office/drawing/2014/chart" uri="{C3380CC4-5D6E-409C-BE32-E72D297353CC}">
              <c16:uniqueId val="{00000001-FD95-440A-A904-98C1015F0A06}"/>
            </c:ext>
          </c:extLst>
        </c:ser>
        <c:ser>
          <c:idx val="1"/>
          <c:order val="1"/>
          <c:tx>
            <c:strRef>
              <c:f>Charts!$C$732</c:f>
              <c:strCache>
                <c:ptCount val="1"/>
                <c:pt idx="0">
                  <c:v>Lithium Hydroxide - EXW China ($/tonne)</c:v>
                </c:pt>
              </c:strCache>
            </c:strRef>
          </c:tx>
          <c:spPr>
            <a:ln w="28575" cap="rnd">
              <a:solidFill>
                <a:schemeClr val="accent2"/>
              </a:solidFill>
              <a:round/>
            </a:ln>
            <a:effectLst/>
          </c:spPr>
          <c:marker>
            <c:symbol val="none"/>
          </c:marker>
          <c:cat>
            <c:numRef>
              <c:f>Charts!$A$733:$A$745</c:f>
              <c:numCache>
                <c:formatCode>m/d/yyyy</c:formatCode>
                <c:ptCount val="13"/>
                <c:pt idx="0">
                  <c:v>44652</c:v>
                </c:pt>
                <c:pt idx="1">
                  <c:v>44680</c:v>
                </c:pt>
                <c:pt idx="2">
                  <c:v>44715</c:v>
                </c:pt>
                <c:pt idx="3">
                  <c:v>44743</c:v>
                </c:pt>
                <c:pt idx="4">
                  <c:v>44771</c:v>
                </c:pt>
                <c:pt idx="5">
                  <c:v>44806</c:v>
                </c:pt>
                <c:pt idx="6">
                  <c:v>44834</c:v>
                </c:pt>
                <c:pt idx="7">
                  <c:v>44862</c:v>
                </c:pt>
                <c:pt idx="8">
                  <c:v>44897</c:v>
                </c:pt>
                <c:pt idx="9">
                  <c:v>44925</c:v>
                </c:pt>
                <c:pt idx="10">
                  <c:v>44960</c:v>
                </c:pt>
                <c:pt idx="11">
                  <c:v>44981</c:v>
                </c:pt>
                <c:pt idx="12">
                  <c:v>44995</c:v>
                </c:pt>
              </c:numCache>
            </c:numRef>
          </c:cat>
          <c:val>
            <c:numRef>
              <c:f>Charts!$C$733:$C$745</c:f>
              <c:numCache>
                <c:formatCode>#,##0.00</c:formatCode>
                <c:ptCount val="13"/>
                <c:pt idx="0">
                  <c:v>77650</c:v>
                </c:pt>
                <c:pt idx="1">
                  <c:v>73275</c:v>
                </c:pt>
                <c:pt idx="2">
                  <c:v>70875</c:v>
                </c:pt>
                <c:pt idx="3">
                  <c:v>70400</c:v>
                </c:pt>
                <c:pt idx="4">
                  <c:v>69925</c:v>
                </c:pt>
                <c:pt idx="5">
                  <c:v>69025</c:v>
                </c:pt>
                <c:pt idx="6">
                  <c:v>68850</c:v>
                </c:pt>
                <c:pt idx="7">
                  <c:v>74575</c:v>
                </c:pt>
                <c:pt idx="8">
                  <c:v>79025</c:v>
                </c:pt>
                <c:pt idx="9">
                  <c:v>78650</c:v>
                </c:pt>
                <c:pt idx="10">
                  <c:v>73100</c:v>
                </c:pt>
                <c:pt idx="11">
                  <c:v>66700</c:v>
                </c:pt>
                <c:pt idx="12">
                  <c:v>61700</c:v>
                </c:pt>
              </c:numCache>
            </c:numRef>
          </c:val>
          <c:smooth val="0"/>
          <c:extLst>
            <c:ext xmlns:c16="http://schemas.microsoft.com/office/drawing/2014/chart" uri="{C3380CC4-5D6E-409C-BE32-E72D297353CC}">
              <c16:uniqueId val="{00000003-FD95-440A-A904-98C1015F0A06}"/>
            </c:ext>
          </c:extLst>
        </c:ser>
        <c:dLbls>
          <c:showLegendKey val="0"/>
          <c:showVal val="0"/>
          <c:showCatName val="0"/>
          <c:showSerName val="0"/>
          <c:showPercent val="0"/>
          <c:showBubbleSize val="0"/>
        </c:dLbls>
        <c:smooth val="0"/>
        <c:axId val="1949684904"/>
        <c:axId val="421889847"/>
      </c:lineChart>
      <c:dateAx>
        <c:axId val="194968490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21889847"/>
        <c:crosses val="autoZero"/>
        <c:auto val="1"/>
        <c:lblOffset val="100"/>
        <c:baseTimeUnit val="days"/>
      </c:dateAx>
      <c:valAx>
        <c:axId val="421889847"/>
        <c:scaling>
          <c:orientation val="minMax"/>
          <c:max val="80000"/>
          <c:min val="500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49684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Charts!$B$776:$B$777</c:f>
              <c:strCache>
                <c:ptCount val="2"/>
                <c:pt idx="1">
                  <c:v>中国:富宝价格指数:电解液（元/吨）</c:v>
                </c:pt>
              </c:strCache>
            </c:strRef>
          </c:tx>
          <c:spPr>
            <a:ln w="28575" cap="rnd">
              <a:solidFill>
                <a:schemeClr val="accent1"/>
              </a:solidFill>
              <a:round/>
            </a:ln>
            <a:effectLst/>
          </c:spPr>
          <c:marker>
            <c:symbol val="none"/>
          </c:marker>
          <c:cat>
            <c:numRef>
              <c:f>Charts!$A$778:$A$1158</c:f>
              <c:numCache>
                <c:formatCode>m/d/yyyy</c:formatCode>
                <c:ptCount val="381"/>
                <c:pt idx="0">
                  <c:v>44440</c:v>
                </c:pt>
                <c:pt idx="1">
                  <c:v>44441</c:v>
                </c:pt>
                <c:pt idx="2">
                  <c:v>44442</c:v>
                </c:pt>
                <c:pt idx="3">
                  <c:v>44445</c:v>
                </c:pt>
                <c:pt idx="4">
                  <c:v>44446</c:v>
                </c:pt>
                <c:pt idx="5">
                  <c:v>44447</c:v>
                </c:pt>
                <c:pt idx="6">
                  <c:v>44448</c:v>
                </c:pt>
                <c:pt idx="7">
                  <c:v>44449</c:v>
                </c:pt>
                <c:pt idx="8">
                  <c:v>44452</c:v>
                </c:pt>
                <c:pt idx="9">
                  <c:v>44453</c:v>
                </c:pt>
                <c:pt idx="10">
                  <c:v>44454</c:v>
                </c:pt>
                <c:pt idx="11">
                  <c:v>44455</c:v>
                </c:pt>
                <c:pt idx="12">
                  <c:v>44456</c:v>
                </c:pt>
                <c:pt idx="13">
                  <c:v>44461</c:v>
                </c:pt>
                <c:pt idx="14">
                  <c:v>44462</c:v>
                </c:pt>
                <c:pt idx="15">
                  <c:v>44463</c:v>
                </c:pt>
                <c:pt idx="16">
                  <c:v>44466</c:v>
                </c:pt>
                <c:pt idx="17">
                  <c:v>44467</c:v>
                </c:pt>
                <c:pt idx="18">
                  <c:v>44468</c:v>
                </c:pt>
                <c:pt idx="19">
                  <c:v>44469</c:v>
                </c:pt>
                <c:pt idx="20">
                  <c:v>44477</c:v>
                </c:pt>
                <c:pt idx="21">
                  <c:v>44480</c:v>
                </c:pt>
                <c:pt idx="22">
                  <c:v>44481</c:v>
                </c:pt>
                <c:pt idx="23">
                  <c:v>44482</c:v>
                </c:pt>
                <c:pt idx="24">
                  <c:v>44483</c:v>
                </c:pt>
                <c:pt idx="25">
                  <c:v>44484</c:v>
                </c:pt>
                <c:pt idx="26">
                  <c:v>44487</c:v>
                </c:pt>
                <c:pt idx="27">
                  <c:v>44488</c:v>
                </c:pt>
                <c:pt idx="28">
                  <c:v>44489</c:v>
                </c:pt>
                <c:pt idx="29">
                  <c:v>44490</c:v>
                </c:pt>
                <c:pt idx="30">
                  <c:v>44491</c:v>
                </c:pt>
                <c:pt idx="31">
                  <c:v>44494</c:v>
                </c:pt>
                <c:pt idx="32">
                  <c:v>44495</c:v>
                </c:pt>
                <c:pt idx="33">
                  <c:v>44496</c:v>
                </c:pt>
                <c:pt idx="34">
                  <c:v>44497</c:v>
                </c:pt>
                <c:pt idx="35">
                  <c:v>44498</c:v>
                </c:pt>
                <c:pt idx="36">
                  <c:v>44501</c:v>
                </c:pt>
                <c:pt idx="37">
                  <c:v>44502</c:v>
                </c:pt>
                <c:pt idx="38">
                  <c:v>44503</c:v>
                </c:pt>
                <c:pt idx="39">
                  <c:v>44504</c:v>
                </c:pt>
                <c:pt idx="40">
                  <c:v>44505</c:v>
                </c:pt>
                <c:pt idx="41">
                  <c:v>44508</c:v>
                </c:pt>
                <c:pt idx="42">
                  <c:v>44509</c:v>
                </c:pt>
                <c:pt idx="43">
                  <c:v>44510</c:v>
                </c:pt>
                <c:pt idx="44">
                  <c:v>44511</c:v>
                </c:pt>
                <c:pt idx="45">
                  <c:v>44512</c:v>
                </c:pt>
                <c:pt idx="46">
                  <c:v>44515</c:v>
                </c:pt>
                <c:pt idx="47">
                  <c:v>44516</c:v>
                </c:pt>
                <c:pt idx="48">
                  <c:v>44517</c:v>
                </c:pt>
                <c:pt idx="49">
                  <c:v>44518</c:v>
                </c:pt>
                <c:pt idx="50">
                  <c:v>44519</c:v>
                </c:pt>
                <c:pt idx="51">
                  <c:v>44522</c:v>
                </c:pt>
                <c:pt idx="52">
                  <c:v>44523</c:v>
                </c:pt>
                <c:pt idx="53">
                  <c:v>44524</c:v>
                </c:pt>
                <c:pt idx="54">
                  <c:v>44525</c:v>
                </c:pt>
                <c:pt idx="55">
                  <c:v>44526</c:v>
                </c:pt>
                <c:pt idx="56">
                  <c:v>44529</c:v>
                </c:pt>
                <c:pt idx="57">
                  <c:v>44530</c:v>
                </c:pt>
                <c:pt idx="58">
                  <c:v>44531</c:v>
                </c:pt>
                <c:pt idx="59">
                  <c:v>44532</c:v>
                </c:pt>
                <c:pt idx="60">
                  <c:v>44533</c:v>
                </c:pt>
                <c:pt idx="61">
                  <c:v>44536</c:v>
                </c:pt>
                <c:pt idx="62">
                  <c:v>44537</c:v>
                </c:pt>
                <c:pt idx="63">
                  <c:v>44538</c:v>
                </c:pt>
                <c:pt idx="64">
                  <c:v>44539</c:v>
                </c:pt>
                <c:pt idx="65">
                  <c:v>44540</c:v>
                </c:pt>
                <c:pt idx="66">
                  <c:v>44543</c:v>
                </c:pt>
                <c:pt idx="67">
                  <c:v>44544</c:v>
                </c:pt>
                <c:pt idx="68">
                  <c:v>44545</c:v>
                </c:pt>
                <c:pt idx="69">
                  <c:v>44546</c:v>
                </c:pt>
                <c:pt idx="70">
                  <c:v>44547</c:v>
                </c:pt>
                <c:pt idx="71">
                  <c:v>44550</c:v>
                </c:pt>
                <c:pt idx="72">
                  <c:v>44551</c:v>
                </c:pt>
                <c:pt idx="73">
                  <c:v>44552</c:v>
                </c:pt>
                <c:pt idx="74">
                  <c:v>44553</c:v>
                </c:pt>
                <c:pt idx="75">
                  <c:v>44554</c:v>
                </c:pt>
                <c:pt idx="76">
                  <c:v>44557</c:v>
                </c:pt>
                <c:pt idx="77">
                  <c:v>44558</c:v>
                </c:pt>
                <c:pt idx="78">
                  <c:v>44559</c:v>
                </c:pt>
                <c:pt idx="79">
                  <c:v>44560</c:v>
                </c:pt>
                <c:pt idx="80">
                  <c:v>44561</c:v>
                </c:pt>
                <c:pt idx="81">
                  <c:v>44565</c:v>
                </c:pt>
                <c:pt idx="82">
                  <c:v>44566</c:v>
                </c:pt>
                <c:pt idx="83">
                  <c:v>44567</c:v>
                </c:pt>
                <c:pt idx="84">
                  <c:v>44568</c:v>
                </c:pt>
                <c:pt idx="85">
                  <c:v>44571</c:v>
                </c:pt>
                <c:pt idx="86">
                  <c:v>44572</c:v>
                </c:pt>
                <c:pt idx="87">
                  <c:v>44573</c:v>
                </c:pt>
                <c:pt idx="88">
                  <c:v>44574</c:v>
                </c:pt>
                <c:pt idx="89">
                  <c:v>44575</c:v>
                </c:pt>
                <c:pt idx="90">
                  <c:v>44578</c:v>
                </c:pt>
                <c:pt idx="91">
                  <c:v>44579</c:v>
                </c:pt>
                <c:pt idx="92">
                  <c:v>44580</c:v>
                </c:pt>
                <c:pt idx="93">
                  <c:v>44581</c:v>
                </c:pt>
                <c:pt idx="94">
                  <c:v>44582</c:v>
                </c:pt>
                <c:pt idx="95">
                  <c:v>44585</c:v>
                </c:pt>
                <c:pt idx="96">
                  <c:v>44586</c:v>
                </c:pt>
                <c:pt idx="97">
                  <c:v>44587</c:v>
                </c:pt>
                <c:pt idx="98">
                  <c:v>44588</c:v>
                </c:pt>
                <c:pt idx="99">
                  <c:v>44589</c:v>
                </c:pt>
                <c:pt idx="100">
                  <c:v>44599</c:v>
                </c:pt>
                <c:pt idx="101">
                  <c:v>44600</c:v>
                </c:pt>
                <c:pt idx="102">
                  <c:v>44601</c:v>
                </c:pt>
                <c:pt idx="103">
                  <c:v>44602</c:v>
                </c:pt>
                <c:pt idx="104">
                  <c:v>44603</c:v>
                </c:pt>
                <c:pt idx="105">
                  <c:v>44606</c:v>
                </c:pt>
                <c:pt idx="106">
                  <c:v>44607</c:v>
                </c:pt>
                <c:pt idx="107">
                  <c:v>44608</c:v>
                </c:pt>
                <c:pt idx="108">
                  <c:v>44609</c:v>
                </c:pt>
                <c:pt idx="109">
                  <c:v>44610</c:v>
                </c:pt>
                <c:pt idx="110">
                  <c:v>44613</c:v>
                </c:pt>
                <c:pt idx="111">
                  <c:v>44614</c:v>
                </c:pt>
                <c:pt idx="112">
                  <c:v>44615</c:v>
                </c:pt>
                <c:pt idx="113">
                  <c:v>44616</c:v>
                </c:pt>
                <c:pt idx="114">
                  <c:v>44617</c:v>
                </c:pt>
                <c:pt idx="115">
                  <c:v>44620</c:v>
                </c:pt>
                <c:pt idx="116">
                  <c:v>44621</c:v>
                </c:pt>
                <c:pt idx="117">
                  <c:v>44622</c:v>
                </c:pt>
                <c:pt idx="118">
                  <c:v>44623</c:v>
                </c:pt>
                <c:pt idx="119">
                  <c:v>44624</c:v>
                </c:pt>
                <c:pt idx="120">
                  <c:v>44627</c:v>
                </c:pt>
                <c:pt idx="121">
                  <c:v>44628</c:v>
                </c:pt>
                <c:pt idx="122">
                  <c:v>44629</c:v>
                </c:pt>
                <c:pt idx="123">
                  <c:v>44630</c:v>
                </c:pt>
                <c:pt idx="124">
                  <c:v>44631</c:v>
                </c:pt>
                <c:pt idx="125">
                  <c:v>44634</c:v>
                </c:pt>
                <c:pt idx="126">
                  <c:v>44635</c:v>
                </c:pt>
                <c:pt idx="127">
                  <c:v>44636</c:v>
                </c:pt>
                <c:pt idx="128">
                  <c:v>44637</c:v>
                </c:pt>
                <c:pt idx="129">
                  <c:v>44638</c:v>
                </c:pt>
                <c:pt idx="130">
                  <c:v>44641</c:v>
                </c:pt>
                <c:pt idx="131">
                  <c:v>44642</c:v>
                </c:pt>
                <c:pt idx="132">
                  <c:v>44643</c:v>
                </c:pt>
                <c:pt idx="133">
                  <c:v>44644</c:v>
                </c:pt>
                <c:pt idx="134">
                  <c:v>44645</c:v>
                </c:pt>
                <c:pt idx="135">
                  <c:v>44648</c:v>
                </c:pt>
                <c:pt idx="136">
                  <c:v>44649</c:v>
                </c:pt>
                <c:pt idx="137">
                  <c:v>44650</c:v>
                </c:pt>
                <c:pt idx="138">
                  <c:v>44651</c:v>
                </c:pt>
                <c:pt idx="139">
                  <c:v>44652</c:v>
                </c:pt>
                <c:pt idx="140">
                  <c:v>44657</c:v>
                </c:pt>
                <c:pt idx="141">
                  <c:v>44658</c:v>
                </c:pt>
                <c:pt idx="142">
                  <c:v>44659</c:v>
                </c:pt>
                <c:pt idx="143">
                  <c:v>44662</c:v>
                </c:pt>
                <c:pt idx="144">
                  <c:v>44663</c:v>
                </c:pt>
                <c:pt idx="145">
                  <c:v>44664</c:v>
                </c:pt>
                <c:pt idx="146">
                  <c:v>44665</c:v>
                </c:pt>
                <c:pt idx="147">
                  <c:v>44666</c:v>
                </c:pt>
                <c:pt idx="148">
                  <c:v>44669</c:v>
                </c:pt>
                <c:pt idx="149">
                  <c:v>44670</c:v>
                </c:pt>
                <c:pt idx="150">
                  <c:v>44671</c:v>
                </c:pt>
                <c:pt idx="151">
                  <c:v>44672</c:v>
                </c:pt>
                <c:pt idx="152">
                  <c:v>44673</c:v>
                </c:pt>
                <c:pt idx="153">
                  <c:v>44676</c:v>
                </c:pt>
                <c:pt idx="154">
                  <c:v>44677</c:v>
                </c:pt>
                <c:pt idx="155">
                  <c:v>44678</c:v>
                </c:pt>
                <c:pt idx="156">
                  <c:v>44679</c:v>
                </c:pt>
                <c:pt idx="157">
                  <c:v>44680</c:v>
                </c:pt>
                <c:pt idx="158">
                  <c:v>44686</c:v>
                </c:pt>
                <c:pt idx="159">
                  <c:v>44687</c:v>
                </c:pt>
                <c:pt idx="160">
                  <c:v>44690</c:v>
                </c:pt>
                <c:pt idx="161">
                  <c:v>44691</c:v>
                </c:pt>
                <c:pt idx="162">
                  <c:v>44692</c:v>
                </c:pt>
                <c:pt idx="163">
                  <c:v>44693</c:v>
                </c:pt>
                <c:pt idx="164">
                  <c:v>44694</c:v>
                </c:pt>
                <c:pt idx="165">
                  <c:v>44697</c:v>
                </c:pt>
                <c:pt idx="166">
                  <c:v>44698</c:v>
                </c:pt>
                <c:pt idx="167">
                  <c:v>44699</c:v>
                </c:pt>
                <c:pt idx="168">
                  <c:v>44700</c:v>
                </c:pt>
                <c:pt idx="169">
                  <c:v>44701</c:v>
                </c:pt>
                <c:pt idx="170">
                  <c:v>44704</c:v>
                </c:pt>
                <c:pt idx="171">
                  <c:v>44705</c:v>
                </c:pt>
                <c:pt idx="172">
                  <c:v>44706</c:v>
                </c:pt>
                <c:pt idx="173">
                  <c:v>44707</c:v>
                </c:pt>
                <c:pt idx="174">
                  <c:v>44708</c:v>
                </c:pt>
                <c:pt idx="175">
                  <c:v>44711</c:v>
                </c:pt>
                <c:pt idx="176">
                  <c:v>44712</c:v>
                </c:pt>
                <c:pt idx="177">
                  <c:v>44713</c:v>
                </c:pt>
                <c:pt idx="178">
                  <c:v>44714</c:v>
                </c:pt>
                <c:pt idx="179">
                  <c:v>44718</c:v>
                </c:pt>
                <c:pt idx="180">
                  <c:v>44719</c:v>
                </c:pt>
                <c:pt idx="181">
                  <c:v>44720</c:v>
                </c:pt>
                <c:pt idx="182">
                  <c:v>44721</c:v>
                </c:pt>
                <c:pt idx="183">
                  <c:v>44722</c:v>
                </c:pt>
                <c:pt idx="184">
                  <c:v>44725</c:v>
                </c:pt>
                <c:pt idx="185">
                  <c:v>44726</c:v>
                </c:pt>
                <c:pt idx="186">
                  <c:v>44727</c:v>
                </c:pt>
                <c:pt idx="187">
                  <c:v>44728</c:v>
                </c:pt>
                <c:pt idx="188">
                  <c:v>44729</c:v>
                </c:pt>
                <c:pt idx="189">
                  <c:v>44732</c:v>
                </c:pt>
                <c:pt idx="190">
                  <c:v>44733</c:v>
                </c:pt>
                <c:pt idx="191">
                  <c:v>44734</c:v>
                </c:pt>
                <c:pt idx="192">
                  <c:v>44735</c:v>
                </c:pt>
                <c:pt idx="193">
                  <c:v>44736</c:v>
                </c:pt>
                <c:pt idx="194">
                  <c:v>44739</c:v>
                </c:pt>
                <c:pt idx="195">
                  <c:v>44740</c:v>
                </c:pt>
                <c:pt idx="196">
                  <c:v>44741</c:v>
                </c:pt>
                <c:pt idx="197">
                  <c:v>44742</c:v>
                </c:pt>
                <c:pt idx="198">
                  <c:v>44743</c:v>
                </c:pt>
                <c:pt idx="199">
                  <c:v>44746</c:v>
                </c:pt>
                <c:pt idx="200">
                  <c:v>44747</c:v>
                </c:pt>
                <c:pt idx="201">
                  <c:v>44748</c:v>
                </c:pt>
                <c:pt idx="202">
                  <c:v>44749</c:v>
                </c:pt>
                <c:pt idx="203">
                  <c:v>44750</c:v>
                </c:pt>
                <c:pt idx="204">
                  <c:v>44753</c:v>
                </c:pt>
                <c:pt idx="205">
                  <c:v>44754</c:v>
                </c:pt>
                <c:pt idx="206">
                  <c:v>44755</c:v>
                </c:pt>
                <c:pt idx="207">
                  <c:v>44756</c:v>
                </c:pt>
                <c:pt idx="208">
                  <c:v>44757</c:v>
                </c:pt>
                <c:pt idx="209">
                  <c:v>44760</c:v>
                </c:pt>
                <c:pt idx="210">
                  <c:v>44761</c:v>
                </c:pt>
                <c:pt idx="211">
                  <c:v>44762</c:v>
                </c:pt>
                <c:pt idx="212">
                  <c:v>44763</c:v>
                </c:pt>
                <c:pt idx="213">
                  <c:v>44764</c:v>
                </c:pt>
                <c:pt idx="214">
                  <c:v>44767</c:v>
                </c:pt>
                <c:pt idx="215">
                  <c:v>44768</c:v>
                </c:pt>
                <c:pt idx="216">
                  <c:v>44769</c:v>
                </c:pt>
                <c:pt idx="217">
                  <c:v>44770</c:v>
                </c:pt>
                <c:pt idx="218">
                  <c:v>44771</c:v>
                </c:pt>
                <c:pt idx="219">
                  <c:v>44774</c:v>
                </c:pt>
                <c:pt idx="220">
                  <c:v>44775</c:v>
                </c:pt>
                <c:pt idx="221">
                  <c:v>44776</c:v>
                </c:pt>
                <c:pt idx="222">
                  <c:v>44777</c:v>
                </c:pt>
                <c:pt idx="223">
                  <c:v>44778</c:v>
                </c:pt>
                <c:pt idx="224">
                  <c:v>44781</c:v>
                </c:pt>
                <c:pt idx="225">
                  <c:v>44782</c:v>
                </c:pt>
                <c:pt idx="226">
                  <c:v>44783</c:v>
                </c:pt>
                <c:pt idx="227">
                  <c:v>44784</c:v>
                </c:pt>
                <c:pt idx="228">
                  <c:v>44785</c:v>
                </c:pt>
                <c:pt idx="229">
                  <c:v>44788</c:v>
                </c:pt>
                <c:pt idx="230">
                  <c:v>44789</c:v>
                </c:pt>
                <c:pt idx="231">
                  <c:v>44790</c:v>
                </c:pt>
                <c:pt idx="232">
                  <c:v>44791</c:v>
                </c:pt>
                <c:pt idx="233">
                  <c:v>44792</c:v>
                </c:pt>
                <c:pt idx="234">
                  <c:v>44795</c:v>
                </c:pt>
                <c:pt idx="235">
                  <c:v>44796</c:v>
                </c:pt>
                <c:pt idx="236">
                  <c:v>44797</c:v>
                </c:pt>
                <c:pt idx="237">
                  <c:v>44798</c:v>
                </c:pt>
                <c:pt idx="238">
                  <c:v>44799</c:v>
                </c:pt>
                <c:pt idx="239">
                  <c:v>44802</c:v>
                </c:pt>
                <c:pt idx="240">
                  <c:v>44803</c:v>
                </c:pt>
                <c:pt idx="241">
                  <c:v>44804</c:v>
                </c:pt>
                <c:pt idx="242">
                  <c:v>44805</c:v>
                </c:pt>
                <c:pt idx="243">
                  <c:v>44806</c:v>
                </c:pt>
                <c:pt idx="244">
                  <c:v>44809</c:v>
                </c:pt>
                <c:pt idx="245">
                  <c:v>44810</c:v>
                </c:pt>
                <c:pt idx="246">
                  <c:v>44811</c:v>
                </c:pt>
                <c:pt idx="247">
                  <c:v>44812</c:v>
                </c:pt>
                <c:pt idx="248">
                  <c:v>44813</c:v>
                </c:pt>
                <c:pt idx="249">
                  <c:v>44817</c:v>
                </c:pt>
                <c:pt idx="250">
                  <c:v>44818</c:v>
                </c:pt>
                <c:pt idx="251">
                  <c:v>44819</c:v>
                </c:pt>
                <c:pt idx="252">
                  <c:v>44820</c:v>
                </c:pt>
                <c:pt idx="253">
                  <c:v>44823</c:v>
                </c:pt>
                <c:pt idx="254">
                  <c:v>44824</c:v>
                </c:pt>
                <c:pt idx="255">
                  <c:v>44825</c:v>
                </c:pt>
                <c:pt idx="256">
                  <c:v>44826</c:v>
                </c:pt>
                <c:pt idx="257">
                  <c:v>44827</c:v>
                </c:pt>
                <c:pt idx="258">
                  <c:v>44830</c:v>
                </c:pt>
                <c:pt idx="259">
                  <c:v>44831</c:v>
                </c:pt>
                <c:pt idx="260">
                  <c:v>44832</c:v>
                </c:pt>
                <c:pt idx="261">
                  <c:v>44833</c:v>
                </c:pt>
                <c:pt idx="262">
                  <c:v>44834</c:v>
                </c:pt>
                <c:pt idx="263">
                  <c:v>44844</c:v>
                </c:pt>
                <c:pt idx="264">
                  <c:v>44845</c:v>
                </c:pt>
                <c:pt idx="265">
                  <c:v>44846</c:v>
                </c:pt>
                <c:pt idx="266">
                  <c:v>44847</c:v>
                </c:pt>
                <c:pt idx="267">
                  <c:v>44848</c:v>
                </c:pt>
                <c:pt idx="268">
                  <c:v>44851</c:v>
                </c:pt>
                <c:pt idx="269">
                  <c:v>44852</c:v>
                </c:pt>
                <c:pt idx="270">
                  <c:v>44853</c:v>
                </c:pt>
                <c:pt idx="271">
                  <c:v>44854</c:v>
                </c:pt>
                <c:pt idx="272">
                  <c:v>44855</c:v>
                </c:pt>
                <c:pt idx="273">
                  <c:v>44858</c:v>
                </c:pt>
                <c:pt idx="274">
                  <c:v>44859</c:v>
                </c:pt>
                <c:pt idx="275">
                  <c:v>44860</c:v>
                </c:pt>
                <c:pt idx="276">
                  <c:v>44861</c:v>
                </c:pt>
                <c:pt idx="277">
                  <c:v>44862</c:v>
                </c:pt>
                <c:pt idx="278">
                  <c:v>44865</c:v>
                </c:pt>
                <c:pt idx="279">
                  <c:v>44866</c:v>
                </c:pt>
                <c:pt idx="280">
                  <c:v>44867</c:v>
                </c:pt>
                <c:pt idx="281">
                  <c:v>44868</c:v>
                </c:pt>
                <c:pt idx="282">
                  <c:v>44869</c:v>
                </c:pt>
                <c:pt idx="283">
                  <c:v>44872</c:v>
                </c:pt>
                <c:pt idx="284">
                  <c:v>44873</c:v>
                </c:pt>
                <c:pt idx="285">
                  <c:v>44874</c:v>
                </c:pt>
                <c:pt idx="286">
                  <c:v>44875</c:v>
                </c:pt>
                <c:pt idx="287">
                  <c:v>44876</c:v>
                </c:pt>
                <c:pt idx="288">
                  <c:v>44879</c:v>
                </c:pt>
                <c:pt idx="289">
                  <c:v>44880</c:v>
                </c:pt>
                <c:pt idx="290">
                  <c:v>44881</c:v>
                </c:pt>
                <c:pt idx="291">
                  <c:v>44882</c:v>
                </c:pt>
                <c:pt idx="292">
                  <c:v>44883</c:v>
                </c:pt>
                <c:pt idx="293">
                  <c:v>44886</c:v>
                </c:pt>
                <c:pt idx="294">
                  <c:v>44887</c:v>
                </c:pt>
                <c:pt idx="295">
                  <c:v>44888</c:v>
                </c:pt>
                <c:pt idx="296">
                  <c:v>44889</c:v>
                </c:pt>
                <c:pt idx="297">
                  <c:v>44890</c:v>
                </c:pt>
                <c:pt idx="298">
                  <c:v>44893</c:v>
                </c:pt>
                <c:pt idx="299">
                  <c:v>44894</c:v>
                </c:pt>
                <c:pt idx="300">
                  <c:v>44895</c:v>
                </c:pt>
                <c:pt idx="301">
                  <c:v>44896</c:v>
                </c:pt>
                <c:pt idx="302">
                  <c:v>44897</c:v>
                </c:pt>
                <c:pt idx="303">
                  <c:v>44900</c:v>
                </c:pt>
                <c:pt idx="304">
                  <c:v>44901</c:v>
                </c:pt>
                <c:pt idx="305">
                  <c:v>44902</c:v>
                </c:pt>
                <c:pt idx="306">
                  <c:v>44903</c:v>
                </c:pt>
                <c:pt idx="307">
                  <c:v>44904</c:v>
                </c:pt>
                <c:pt idx="308">
                  <c:v>44907</c:v>
                </c:pt>
                <c:pt idx="309">
                  <c:v>44908</c:v>
                </c:pt>
                <c:pt idx="310">
                  <c:v>44909</c:v>
                </c:pt>
                <c:pt idx="311">
                  <c:v>44910</c:v>
                </c:pt>
                <c:pt idx="312">
                  <c:v>44911</c:v>
                </c:pt>
                <c:pt idx="313">
                  <c:v>44914</c:v>
                </c:pt>
                <c:pt idx="314">
                  <c:v>44915</c:v>
                </c:pt>
                <c:pt idx="315">
                  <c:v>44916</c:v>
                </c:pt>
                <c:pt idx="316">
                  <c:v>44917</c:v>
                </c:pt>
                <c:pt idx="317">
                  <c:v>44918</c:v>
                </c:pt>
                <c:pt idx="318">
                  <c:v>44921</c:v>
                </c:pt>
                <c:pt idx="319">
                  <c:v>44922</c:v>
                </c:pt>
                <c:pt idx="320">
                  <c:v>44923</c:v>
                </c:pt>
                <c:pt idx="321">
                  <c:v>44924</c:v>
                </c:pt>
                <c:pt idx="322">
                  <c:v>44925</c:v>
                </c:pt>
                <c:pt idx="323">
                  <c:v>44929</c:v>
                </c:pt>
                <c:pt idx="324">
                  <c:v>44930</c:v>
                </c:pt>
                <c:pt idx="325">
                  <c:v>44931</c:v>
                </c:pt>
                <c:pt idx="326">
                  <c:v>44932</c:v>
                </c:pt>
                <c:pt idx="327">
                  <c:v>44935</c:v>
                </c:pt>
                <c:pt idx="328">
                  <c:v>44936</c:v>
                </c:pt>
                <c:pt idx="329">
                  <c:v>44937</c:v>
                </c:pt>
                <c:pt idx="330">
                  <c:v>44938</c:v>
                </c:pt>
                <c:pt idx="331">
                  <c:v>44939</c:v>
                </c:pt>
                <c:pt idx="332">
                  <c:v>44942</c:v>
                </c:pt>
                <c:pt idx="333">
                  <c:v>44943</c:v>
                </c:pt>
                <c:pt idx="334">
                  <c:v>44944</c:v>
                </c:pt>
                <c:pt idx="335">
                  <c:v>44945</c:v>
                </c:pt>
                <c:pt idx="336">
                  <c:v>44946</c:v>
                </c:pt>
                <c:pt idx="337">
                  <c:v>44954</c:v>
                </c:pt>
                <c:pt idx="338">
                  <c:v>44955</c:v>
                </c:pt>
                <c:pt idx="339">
                  <c:v>44956</c:v>
                </c:pt>
                <c:pt idx="340">
                  <c:v>44957</c:v>
                </c:pt>
                <c:pt idx="341">
                  <c:v>44958</c:v>
                </c:pt>
                <c:pt idx="342">
                  <c:v>44959</c:v>
                </c:pt>
                <c:pt idx="343">
                  <c:v>44960</c:v>
                </c:pt>
                <c:pt idx="344">
                  <c:v>44963</c:v>
                </c:pt>
                <c:pt idx="345">
                  <c:v>44964</c:v>
                </c:pt>
                <c:pt idx="346">
                  <c:v>44965</c:v>
                </c:pt>
                <c:pt idx="347">
                  <c:v>44966</c:v>
                </c:pt>
                <c:pt idx="348">
                  <c:v>44967</c:v>
                </c:pt>
                <c:pt idx="349">
                  <c:v>44970</c:v>
                </c:pt>
                <c:pt idx="350">
                  <c:v>44971</c:v>
                </c:pt>
                <c:pt idx="351">
                  <c:v>44972</c:v>
                </c:pt>
                <c:pt idx="352">
                  <c:v>44973</c:v>
                </c:pt>
                <c:pt idx="353">
                  <c:v>44974</c:v>
                </c:pt>
                <c:pt idx="354">
                  <c:v>44977</c:v>
                </c:pt>
                <c:pt idx="355">
                  <c:v>44978</c:v>
                </c:pt>
                <c:pt idx="356">
                  <c:v>44979</c:v>
                </c:pt>
                <c:pt idx="357">
                  <c:v>44980</c:v>
                </c:pt>
                <c:pt idx="358">
                  <c:v>44981</c:v>
                </c:pt>
                <c:pt idx="359">
                  <c:v>44984</c:v>
                </c:pt>
                <c:pt idx="360">
                  <c:v>44985</c:v>
                </c:pt>
                <c:pt idx="361">
                  <c:v>44986</c:v>
                </c:pt>
                <c:pt idx="362">
                  <c:v>44987</c:v>
                </c:pt>
                <c:pt idx="363">
                  <c:v>44988</c:v>
                </c:pt>
                <c:pt idx="364">
                  <c:v>44991</c:v>
                </c:pt>
                <c:pt idx="365">
                  <c:v>44992</c:v>
                </c:pt>
                <c:pt idx="366">
                  <c:v>44993</c:v>
                </c:pt>
                <c:pt idx="367">
                  <c:v>44994</c:v>
                </c:pt>
                <c:pt idx="368">
                  <c:v>44995</c:v>
                </c:pt>
                <c:pt idx="369">
                  <c:v>44998</c:v>
                </c:pt>
                <c:pt idx="370">
                  <c:v>44999</c:v>
                </c:pt>
                <c:pt idx="371">
                  <c:v>45000</c:v>
                </c:pt>
                <c:pt idx="372">
                  <c:v>45001</c:v>
                </c:pt>
                <c:pt idx="373">
                  <c:v>45002</c:v>
                </c:pt>
                <c:pt idx="374">
                  <c:v>45005</c:v>
                </c:pt>
                <c:pt idx="375">
                  <c:v>45006</c:v>
                </c:pt>
                <c:pt idx="376">
                  <c:v>45007</c:v>
                </c:pt>
                <c:pt idx="377">
                  <c:v>45008</c:v>
                </c:pt>
                <c:pt idx="378">
                  <c:v>45009</c:v>
                </c:pt>
                <c:pt idx="379">
                  <c:v>45012</c:v>
                </c:pt>
                <c:pt idx="380">
                  <c:v>45013</c:v>
                </c:pt>
              </c:numCache>
            </c:numRef>
          </c:cat>
          <c:val>
            <c:numRef>
              <c:f>Charts!$B$778:$B$1158</c:f>
              <c:numCache>
                <c:formatCode>General</c:formatCode>
                <c:ptCount val="381"/>
                <c:pt idx="0">
                  <c:v>90000</c:v>
                </c:pt>
                <c:pt idx="1">
                  <c:v>90750</c:v>
                </c:pt>
                <c:pt idx="2">
                  <c:v>90750</c:v>
                </c:pt>
                <c:pt idx="3">
                  <c:v>91750</c:v>
                </c:pt>
                <c:pt idx="4">
                  <c:v>92750</c:v>
                </c:pt>
                <c:pt idx="5">
                  <c:v>93750</c:v>
                </c:pt>
                <c:pt idx="6">
                  <c:v>93750</c:v>
                </c:pt>
                <c:pt idx="7">
                  <c:v>93750</c:v>
                </c:pt>
                <c:pt idx="8">
                  <c:v>94750</c:v>
                </c:pt>
                <c:pt idx="9">
                  <c:v>96750</c:v>
                </c:pt>
                <c:pt idx="10">
                  <c:v>98750</c:v>
                </c:pt>
                <c:pt idx="11">
                  <c:v>100750</c:v>
                </c:pt>
                <c:pt idx="12">
                  <c:v>100750</c:v>
                </c:pt>
                <c:pt idx="13">
                  <c:v>101750</c:v>
                </c:pt>
                <c:pt idx="14">
                  <c:v>102500</c:v>
                </c:pt>
                <c:pt idx="15">
                  <c:v>102500</c:v>
                </c:pt>
                <c:pt idx="16">
                  <c:v>102500</c:v>
                </c:pt>
                <c:pt idx="17">
                  <c:v>102500</c:v>
                </c:pt>
                <c:pt idx="18">
                  <c:v>102500</c:v>
                </c:pt>
                <c:pt idx="19">
                  <c:v>102500</c:v>
                </c:pt>
                <c:pt idx="20">
                  <c:v>102500</c:v>
                </c:pt>
                <c:pt idx="21">
                  <c:v>103500</c:v>
                </c:pt>
                <c:pt idx="22">
                  <c:v>104500</c:v>
                </c:pt>
                <c:pt idx="23">
                  <c:v>105500</c:v>
                </c:pt>
                <c:pt idx="24">
                  <c:v>105500</c:v>
                </c:pt>
                <c:pt idx="25">
                  <c:v>105500</c:v>
                </c:pt>
                <c:pt idx="26">
                  <c:v>105500</c:v>
                </c:pt>
                <c:pt idx="27">
                  <c:v>105500</c:v>
                </c:pt>
                <c:pt idx="28">
                  <c:v>105500</c:v>
                </c:pt>
                <c:pt idx="29">
                  <c:v>105500</c:v>
                </c:pt>
                <c:pt idx="30">
                  <c:v>106500</c:v>
                </c:pt>
                <c:pt idx="31">
                  <c:v>107750</c:v>
                </c:pt>
                <c:pt idx="32">
                  <c:v>109250</c:v>
                </c:pt>
                <c:pt idx="33">
                  <c:v>109250</c:v>
                </c:pt>
                <c:pt idx="34">
                  <c:v>109250</c:v>
                </c:pt>
                <c:pt idx="35">
                  <c:v>109250</c:v>
                </c:pt>
                <c:pt idx="36">
                  <c:v>109250</c:v>
                </c:pt>
                <c:pt idx="37">
                  <c:v>109250</c:v>
                </c:pt>
                <c:pt idx="38">
                  <c:v>110750</c:v>
                </c:pt>
                <c:pt idx="39">
                  <c:v>111750</c:v>
                </c:pt>
                <c:pt idx="40">
                  <c:v>112750</c:v>
                </c:pt>
                <c:pt idx="41">
                  <c:v>112750</c:v>
                </c:pt>
                <c:pt idx="42">
                  <c:v>114750</c:v>
                </c:pt>
                <c:pt idx="43">
                  <c:v>114750</c:v>
                </c:pt>
                <c:pt idx="44">
                  <c:v>114750</c:v>
                </c:pt>
                <c:pt idx="45">
                  <c:v>116750</c:v>
                </c:pt>
                <c:pt idx="46">
                  <c:v>116750</c:v>
                </c:pt>
                <c:pt idx="47">
                  <c:v>116750</c:v>
                </c:pt>
                <c:pt idx="48">
                  <c:v>116750</c:v>
                </c:pt>
                <c:pt idx="49">
                  <c:v>116750</c:v>
                </c:pt>
                <c:pt idx="50">
                  <c:v>116750</c:v>
                </c:pt>
                <c:pt idx="51">
                  <c:v>116750</c:v>
                </c:pt>
                <c:pt idx="52">
                  <c:v>116750</c:v>
                </c:pt>
                <c:pt idx="53">
                  <c:v>116750</c:v>
                </c:pt>
                <c:pt idx="54">
                  <c:v>116750</c:v>
                </c:pt>
                <c:pt idx="55">
                  <c:v>116750</c:v>
                </c:pt>
                <c:pt idx="56">
                  <c:v>116750</c:v>
                </c:pt>
                <c:pt idx="57">
                  <c:v>116750</c:v>
                </c:pt>
                <c:pt idx="58">
                  <c:v>118250</c:v>
                </c:pt>
                <c:pt idx="59">
                  <c:v>118250</c:v>
                </c:pt>
                <c:pt idx="60">
                  <c:v>118250</c:v>
                </c:pt>
                <c:pt idx="61">
                  <c:v>118250</c:v>
                </c:pt>
                <c:pt idx="62">
                  <c:v>118250</c:v>
                </c:pt>
                <c:pt idx="63">
                  <c:v>118250</c:v>
                </c:pt>
                <c:pt idx="64">
                  <c:v>119000</c:v>
                </c:pt>
                <c:pt idx="65">
                  <c:v>119000</c:v>
                </c:pt>
                <c:pt idx="66">
                  <c:v>119000</c:v>
                </c:pt>
                <c:pt idx="67">
                  <c:v>120000</c:v>
                </c:pt>
                <c:pt idx="68">
                  <c:v>120750</c:v>
                </c:pt>
                <c:pt idx="69">
                  <c:v>121375</c:v>
                </c:pt>
                <c:pt idx="70">
                  <c:v>121375</c:v>
                </c:pt>
                <c:pt idx="71">
                  <c:v>121625</c:v>
                </c:pt>
                <c:pt idx="72">
                  <c:v>121625</c:v>
                </c:pt>
                <c:pt idx="73">
                  <c:v>121625</c:v>
                </c:pt>
                <c:pt idx="74">
                  <c:v>121625</c:v>
                </c:pt>
                <c:pt idx="75">
                  <c:v>121625</c:v>
                </c:pt>
                <c:pt idx="76">
                  <c:v>121625</c:v>
                </c:pt>
                <c:pt idx="77">
                  <c:v>121625</c:v>
                </c:pt>
                <c:pt idx="78">
                  <c:v>121625</c:v>
                </c:pt>
                <c:pt idx="79">
                  <c:v>121625</c:v>
                </c:pt>
                <c:pt idx="80">
                  <c:v>121625</c:v>
                </c:pt>
                <c:pt idx="81">
                  <c:v>121625</c:v>
                </c:pt>
                <c:pt idx="82">
                  <c:v>121625</c:v>
                </c:pt>
                <c:pt idx="83">
                  <c:v>121625</c:v>
                </c:pt>
                <c:pt idx="84">
                  <c:v>121625</c:v>
                </c:pt>
                <c:pt idx="85">
                  <c:v>121625</c:v>
                </c:pt>
                <c:pt idx="86">
                  <c:v>121625</c:v>
                </c:pt>
                <c:pt idx="87">
                  <c:v>121625</c:v>
                </c:pt>
                <c:pt idx="88">
                  <c:v>121625</c:v>
                </c:pt>
                <c:pt idx="89">
                  <c:v>121625</c:v>
                </c:pt>
                <c:pt idx="90">
                  <c:v>121625</c:v>
                </c:pt>
                <c:pt idx="91">
                  <c:v>121625</c:v>
                </c:pt>
                <c:pt idx="92">
                  <c:v>121625</c:v>
                </c:pt>
                <c:pt idx="93">
                  <c:v>121625</c:v>
                </c:pt>
                <c:pt idx="94">
                  <c:v>121625</c:v>
                </c:pt>
                <c:pt idx="95">
                  <c:v>121625</c:v>
                </c:pt>
                <c:pt idx="96">
                  <c:v>121625</c:v>
                </c:pt>
                <c:pt idx="97">
                  <c:v>121625</c:v>
                </c:pt>
                <c:pt idx="98">
                  <c:v>121625</c:v>
                </c:pt>
                <c:pt idx="99">
                  <c:v>121625</c:v>
                </c:pt>
                <c:pt idx="100">
                  <c:v>121625</c:v>
                </c:pt>
                <c:pt idx="101">
                  <c:v>121625</c:v>
                </c:pt>
                <c:pt idx="102">
                  <c:v>121625</c:v>
                </c:pt>
                <c:pt idx="103">
                  <c:v>121625</c:v>
                </c:pt>
                <c:pt idx="104">
                  <c:v>121625</c:v>
                </c:pt>
                <c:pt idx="105">
                  <c:v>121625</c:v>
                </c:pt>
                <c:pt idx="106">
                  <c:v>121625</c:v>
                </c:pt>
                <c:pt idx="107">
                  <c:v>121625</c:v>
                </c:pt>
                <c:pt idx="108">
                  <c:v>121625</c:v>
                </c:pt>
                <c:pt idx="109">
                  <c:v>121875</c:v>
                </c:pt>
                <c:pt idx="110">
                  <c:v>121875</c:v>
                </c:pt>
                <c:pt idx="111">
                  <c:v>121875</c:v>
                </c:pt>
                <c:pt idx="112">
                  <c:v>121875</c:v>
                </c:pt>
                <c:pt idx="113">
                  <c:v>121875</c:v>
                </c:pt>
                <c:pt idx="114">
                  <c:v>121875</c:v>
                </c:pt>
                <c:pt idx="115">
                  <c:v>121875</c:v>
                </c:pt>
                <c:pt idx="116">
                  <c:v>121875</c:v>
                </c:pt>
                <c:pt idx="117">
                  <c:v>121875</c:v>
                </c:pt>
                <c:pt idx="118">
                  <c:v>122625</c:v>
                </c:pt>
                <c:pt idx="119">
                  <c:v>122625</c:v>
                </c:pt>
                <c:pt idx="120">
                  <c:v>122625</c:v>
                </c:pt>
                <c:pt idx="121">
                  <c:v>122625</c:v>
                </c:pt>
                <c:pt idx="122">
                  <c:v>122625</c:v>
                </c:pt>
                <c:pt idx="123">
                  <c:v>122625</c:v>
                </c:pt>
                <c:pt idx="124">
                  <c:v>122625</c:v>
                </c:pt>
                <c:pt idx="125">
                  <c:v>122625</c:v>
                </c:pt>
                <c:pt idx="126">
                  <c:v>122625</c:v>
                </c:pt>
                <c:pt idx="127">
                  <c:v>122625</c:v>
                </c:pt>
                <c:pt idx="128">
                  <c:v>122625</c:v>
                </c:pt>
                <c:pt idx="129">
                  <c:v>122625</c:v>
                </c:pt>
                <c:pt idx="130">
                  <c:v>122625</c:v>
                </c:pt>
                <c:pt idx="131">
                  <c:v>122625</c:v>
                </c:pt>
                <c:pt idx="132">
                  <c:v>122625</c:v>
                </c:pt>
                <c:pt idx="133">
                  <c:v>122625</c:v>
                </c:pt>
                <c:pt idx="134">
                  <c:v>122625</c:v>
                </c:pt>
                <c:pt idx="135">
                  <c:v>122625</c:v>
                </c:pt>
                <c:pt idx="136">
                  <c:v>122625</c:v>
                </c:pt>
                <c:pt idx="137">
                  <c:v>122625</c:v>
                </c:pt>
                <c:pt idx="138">
                  <c:v>122625</c:v>
                </c:pt>
                <c:pt idx="139">
                  <c:v>122625</c:v>
                </c:pt>
                <c:pt idx="140">
                  <c:v>121250</c:v>
                </c:pt>
                <c:pt idx="141">
                  <c:v>119375</c:v>
                </c:pt>
                <c:pt idx="142">
                  <c:v>117125</c:v>
                </c:pt>
                <c:pt idx="143">
                  <c:v>116375</c:v>
                </c:pt>
                <c:pt idx="144">
                  <c:v>114750</c:v>
                </c:pt>
                <c:pt idx="145">
                  <c:v>112625</c:v>
                </c:pt>
                <c:pt idx="146">
                  <c:v>111500</c:v>
                </c:pt>
                <c:pt idx="147">
                  <c:v>110250</c:v>
                </c:pt>
                <c:pt idx="148">
                  <c:v>110250</c:v>
                </c:pt>
                <c:pt idx="149">
                  <c:v>110250</c:v>
                </c:pt>
                <c:pt idx="150">
                  <c:v>110250</c:v>
                </c:pt>
                <c:pt idx="151">
                  <c:v>108125</c:v>
                </c:pt>
                <c:pt idx="152">
                  <c:v>105500</c:v>
                </c:pt>
                <c:pt idx="153">
                  <c:v>102875</c:v>
                </c:pt>
                <c:pt idx="154">
                  <c:v>102875</c:v>
                </c:pt>
                <c:pt idx="155">
                  <c:v>102875</c:v>
                </c:pt>
                <c:pt idx="156">
                  <c:v>102875</c:v>
                </c:pt>
                <c:pt idx="157">
                  <c:v>102875</c:v>
                </c:pt>
                <c:pt idx="158">
                  <c:v>102875</c:v>
                </c:pt>
                <c:pt idx="159">
                  <c:v>102875</c:v>
                </c:pt>
                <c:pt idx="160">
                  <c:v>102875</c:v>
                </c:pt>
                <c:pt idx="161">
                  <c:v>100750</c:v>
                </c:pt>
                <c:pt idx="162">
                  <c:v>100750</c:v>
                </c:pt>
                <c:pt idx="163">
                  <c:v>100750</c:v>
                </c:pt>
                <c:pt idx="164">
                  <c:v>100750</c:v>
                </c:pt>
                <c:pt idx="165">
                  <c:v>100750</c:v>
                </c:pt>
                <c:pt idx="166">
                  <c:v>100750</c:v>
                </c:pt>
                <c:pt idx="167">
                  <c:v>100750</c:v>
                </c:pt>
                <c:pt idx="168">
                  <c:v>100750</c:v>
                </c:pt>
                <c:pt idx="169">
                  <c:v>100750</c:v>
                </c:pt>
                <c:pt idx="170">
                  <c:v>100750</c:v>
                </c:pt>
                <c:pt idx="171">
                  <c:v>100750</c:v>
                </c:pt>
                <c:pt idx="172">
                  <c:v>100750</c:v>
                </c:pt>
                <c:pt idx="173">
                  <c:v>100750</c:v>
                </c:pt>
                <c:pt idx="174">
                  <c:v>100750</c:v>
                </c:pt>
                <c:pt idx="175">
                  <c:v>98250</c:v>
                </c:pt>
                <c:pt idx="176">
                  <c:v>96000</c:v>
                </c:pt>
                <c:pt idx="177">
                  <c:v>95000</c:v>
                </c:pt>
                <c:pt idx="178">
                  <c:v>95000</c:v>
                </c:pt>
                <c:pt idx="179">
                  <c:v>92500</c:v>
                </c:pt>
                <c:pt idx="180">
                  <c:v>92500</c:v>
                </c:pt>
                <c:pt idx="181">
                  <c:v>90000</c:v>
                </c:pt>
                <c:pt idx="182">
                  <c:v>88000</c:v>
                </c:pt>
                <c:pt idx="183">
                  <c:v>86750</c:v>
                </c:pt>
                <c:pt idx="184">
                  <c:v>86750</c:v>
                </c:pt>
                <c:pt idx="185">
                  <c:v>86750</c:v>
                </c:pt>
                <c:pt idx="186">
                  <c:v>86750</c:v>
                </c:pt>
                <c:pt idx="187">
                  <c:v>85750</c:v>
                </c:pt>
                <c:pt idx="188">
                  <c:v>85750</c:v>
                </c:pt>
                <c:pt idx="189">
                  <c:v>85750</c:v>
                </c:pt>
                <c:pt idx="190">
                  <c:v>85750</c:v>
                </c:pt>
                <c:pt idx="191">
                  <c:v>85750</c:v>
                </c:pt>
                <c:pt idx="192">
                  <c:v>85750</c:v>
                </c:pt>
                <c:pt idx="193">
                  <c:v>85750</c:v>
                </c:pt>
                <c:pt idx="194">
                  <c:v>85750</c:v>
                </c:pt>
                <c:pt idx="195">
                  <c:v>85750</c:v>
                </c:pt>
                <c:pt idx="196">
                  <c:v>85750</c:v>
                </c:pt>
                <c:pt idx="197">
                  <c:v>85750</c:v>
                </c:pt>
                <c:pt idx="198">
                  <c:v>85750</c:v>
                </c:pt>
                <c:pt idx="199">
                  <c:v>85750</c:v>
                </c:pt>
                <c:pt idx="200">
                  <c:v>85750</c:v>
                </c:pt>
                <c:pt idx="201">
                  <c:v>85750</c:v>
                </c:pt>
                <c:pt idx="202">
                  <c:v>85750</c:v>
                </c:pt>
                <c:pt idx="203">
                  <c:v>85750</c:v>
                </c:pt>
                <c:pt idx="204">
                  <c:v>85750</c:v>
                </c:pt>
                <c:pt idx="205">
                  <c:v>85750</c:v>
                </c:pt>
                <c:pt idx="206">
                  <c:v>85750</c:v>
                </c:pt>
                <c:pt idx="207">
                  <c:v>85750</c:v>
                </c:pt>
                <c:pt idx="208">
                  <c:v>85750</c:v>
                </c:pt>
                <c:pt idx="209">
                  <c:v>85750</c:v>
                </c:pt>
                <c:pt idx="210">
                  <c:v>85750</c:v>
                </c:pt>
                <c:pt idx="211">
                  <c:v>85750</c:v>
                </c:pt>
                <c:pt idx="212">
                  <c:v>84000</c:v>
                </c:pt>
                <c:pt idx="213">
                  <c:v>84000</c:v>
                </c:pt>
                <c:pt idx="214">
                  <c:v>84000</c:v>
                </c:pt>
                <c:pt idx="215">
                  <c:v>84000</c:v>
                </c:pt>
                <c:pt idx="216">
                  <c:v>84000</c:v>
                </c:pt>
                <c:pt idx="217">
                  <c:v>84000</c:v>
                </c:pt>
                <c:pt idx="218">
                  <c:v>84000</c:v>
                </c:pt>
                <c:pt idx="219">
                  <c:v>84000</c:v>
                </c:pt>
                <c:pt idx="220">
                  <c:v>84000</c:v>
                </c:pt>
                <c:pt idx="221">
                  <c:v>84000</c:v>
                </c:pt>
                <c:pt idx="222">
                  <c:v>84000</c:v>
                </c:pt>
                <c:pt idx="223">
                  <c:v>84000</c:v>
                </c:pt>
                <c:pt idx="224">
                  <c:v>84000</c:v>
                </c:pt>
                <c:pt idx="225">
                  <c:v>84000</c:v>
                </c:pt>
                <c:pt idx="226">
                  <c:v>84000</c:v>
                </c:pt>
                <c:pt idx="227">
                  <c:v>84000</c:v>
                </c:pt>
                <c:pt idx="228">
                  <c:v>81750</c:v>
                </c:pt>
                <c:pt idx="229">
                  <c:v>81750</c:v>
                </c:pt>
                <c:pt idx="230">
                  <c:v>81750</c:v>
                </c:pt>
                <c:pt idx="231">
                  <c:v>81750</c:v>
                </c:pt>
                <c:pt idx="232">
                  <c:v>81750</c:v>
                </c:pt>
                <c:pt idx="233">
                  <c:v>81750</c:v>
                </c:pt>
                <c:pt idx="234">
                  <c:v>81750</c:v>
                </c:pt>
                <c:pt idx="235">
                  <c:v>81750</c:v>
                </c:pt>
                <c:pt idx="236">
                  <c:v>81750</c:v>
                </c:pt>
                <c:pt idx="237">
                  <c:v>81750</c:v>
                </c:pt>
                <c:pt idx="238">
                  <c:v>81750</c:v>
                </c:pt>
                <c:pt idx="239">
                  <c:v>81750</c:v>
                </c:pt>
                <c:pt idx="240">
                  <c:v>81750</c:v>
                </c:pt>
                <c:pt idx="241">
                  <c:v>81750</c:v>
                </c:pt>
                <c:pt idx="242">
                  <c:v>81750</c:v>
                </c:pt>
                <c:pt idx="243">
                  <c:v>81750</c:v>
                </c:pt>
                <c:pt idx="244">
                  <c:v>81750</c:v>
                </c:pt>
                <c:pt idx="245">
                  <c:v>81750</c:v>
                </c:pt>
                <c:pt idx="246">
                  <c:v>81750</c:v>
                </c:pt>
                <c:pt idx="247">
                  <c:v>81750</c:v>
                </c:pt>
                <c:pt idx="248">
                  <c:v>81000</c:v>
                </c:pt>
                <c:pt idx="249">
                  <c:v>81000</c:v>
                </c:pt>
                <c:pt idx="250">
                  <c:v>81000</c:v>
                </c:pt>
                <c:pt idx="251">
                  <c:v>81000</c:v>
                </c:pt>
                <c:pt idx="252">
                  <c:v>81000</c:v>
                </c:pt>
                <c:pt idx="253">
                  <c:v>81000</c:v>
                </c:pt>
                <c:pt idx="254">
                  <c:v>81000</c:v>
                </c:pt>
                <c:pt idx="255">
                  <c:v>81000</c:v>
                </c:pt>
                <c:pt idx="256">
                  <c:v>81000</c:v>
                </c:pt>
                <c:pt idx="257">
                  <c:v>81000</c:v>
                </c:pt>
                <c:pt idx="258">
                  <c:v>81000</c:v>
                </c:pt>
                <c:pt idx="259">
                  <c:v>81500</c:v>
                </c:pt>
                <c:pt idx="260">
                  <c:v>81500</c:v>
                </c:pt>
                <c:pt idx="261">
                  <c:v>81500</c:v>
                </c:pt>
                <c:pt idx="262">
                  <c:v>81500</c:v>
                </c:pt>
                <c:pt idx="263">
                  <c:v>81500</c:v>
                </c:pt>
                <c:pt idx="264">
                  <c:v>81500</c:v>
                </c:pt>
                <c:pt idx="265">
                  <c:v>82250</c:v>
                </c:pt>
                <c:pt idx="266">
                  <c:v>82250</c:v>
                </c:pt>
                <c:pt idx="267">
                  <c:v>82250</c:v>
                </c:pt>
                <c:pt idx="268">
                  <c:v>82250</c:v>
                </c:pt>
                <c:pt idx="269">
                  <c:v>82250</c:v>
                </c:pt>
                <c:pt idx="270">
                  <c:v>82250</c:v>
                </c:pt>
                <c:pt idx="271">
                  <c:v>82250</c:v>
                </c:pt>
                <c:pt idx="272">
                  <c:v>82250</c:v>
                </c:pt>
                <c:pt idx="273">
                  <c:v>82250</c:v>
                </c:pt>
                <c:pt idx="274">
                  <c:v>82250</c:v>
                </c:pt>
                <c:pt idx="275">
                  <c:v>82250</c:v>
                </c:pt>
                <c:pt idx="276">
                  <c:v>82250</c:v>
                </c:pt>
                <c:pt idx="277">
                  <c:v>82250</c:v>
                </c:pt>
                <c:pt idx="278">
                  <c:v>82250</c:v>
                </c:pt>
                <c:pt idx="279">
                  <c:v>82250</c:v>
                </c:pt>
                <c:pt idx="280">
                  <c:v>82250</c:v>
                </c:pt>
                <c:pt idx="281">
                  <c:v>82250</c:v>
                </c:pt>
                <c:pt idx="282">
                  <c:v>82250</c:v>
                </c:pt>
                <c:pt idx="283">
                  <c:v>82250</c:v>
                </c:pt>
                <c:pt idx="284">
                  <c:v>82250</c:v>
                </c:pt>
                <c:pt idx="285">
                  <c:v>82250</c:v>
                </c:pt>
                <c:pt idx="286">
                  <c:v>82250</c:v>
                </c:pt>
                <c:pt idx="287">
                  <c:v>82250</c:v>
                </c:pt>
                <c:pt idx="288">
                  <c:v>82250</c:v>
                </c:pt>
                <c:pt idx="289">
                  <c:v>82250</c:v>
                </c:pt>
                <c:pt idx="290">
                  <c:v>82250</c:v>
                </c:pt>
                <c:pt idx="291">
                  <c:v>82250</c:v>
                </c:pt>
                <c:pt idx="292">
                  <c:v>82250</c:v>
                </c:pt>
                <c:pt idx="293">
                  <c:v>82250</c:v>
                </c:pt>
                <c:pt idx="294">
                  <c:v>82250</c:v>
                </c:pt>
                <c:pt idx="295">
                  <c:v>82250</c:v>
                </c:pt>
                <c:pt idx="296">
                  <c:v>82250</c:v>
                </c:pt>
                <c:pt idx="297">
                  <c:v>82250</c:v>
                </c:pt>
                <c:pt idx="298">
                  <c:v>82250</c:v>
                </c:pt>
                <c:pt idx="299">
                  <c:v>82250</c:v>
                </c:pt>
                <c:pt idx="300">
                  <c:v>82250</c:v>
                </c:pt>
                <c:pt idx="301">
                  <c:v>82250</c:v>
                </c:pt>
                <c:pt idx="302">
                  <c:v>82250</c:v>
                </c:pt>
                <c:pt idx="303">
                  <c:v>82250</c:v>
                </c:pt>
                <c:pt idx="304">
                  <c:v>82250</c:v>
                </c:pt>
                <c:pt idx="305">
                  <c:v>82250</c:v>
                </c:pt>
                <c:pt idx="306">
                  <c:v>82250</c:v>
                </c:pt>
                <c:pt idx="307">
                  <c:v>82250</c:v>
                </c:pt>
                <c:pt idx="308">
                  <c:v>82250</c:v>
                </c:pt>
                <c:pt idx="309">
                  <c:v>82250</c:v>
                </c:pt>
                <c:pt idx="310">
                  <c:v>82250</c:v>
                </c:pt>
                <c:pt idx="311">
                  <c:v>82250</c:v>
                </c:pt>
                <c:pt idx="312">
                  <c:v>80250</c:v>
                </c:pt>
                <c:pt idx="313">
                  <c:v>78500</c:v>
                </c:pt>
                <c:pt idx="314">
                  <c:v>78500</c:v>
                </c:pt>
                <c:pt idx="315">
                  <c:v>73500</c:v>
                </c:pt>
                <c:pt idx="316">
                  <c:v>71000</c:v>
                </c:pt>
                <c:pt idx="317">
                  <c:v>71000</c:v>
                </c:pt>
                <c:pt idx="318">
                  <c:v>71000</c:v>
                </c:pt>
                <c:pt idx="319">
                  <c:v>68500</c:v>
                </c:pt>
                <c:pt idx="320">
                  <c:v>63813</c:v>
                </c:pt>
                <c:pt idx="321">
                  <c:v>62626</c:v>
                </c:pt>
                <c:pt idx="322">
                  <c:v>60626</c:v>
                </c:pt>
                <c:pt idx="323">
                  <c:v>60500</c:v>
                </c:pt>
                <c:pt idx="324">
                  <c:v>60500</c:v>
                </c:pt>
                <c:pt idx="325">
                  <c:v>60500</c:v>
                </c:pt>
                <c:pt idx="326">
                  <c:v>60500</c:v>
                </c:pt>
                <c:pt idx="327">
                  <c:v>60500</c:v>
                </c:pt>
                <c:pt idx="328">
                  <c:v>60500</c:v>
                </c:pt>
                <c:pt idx="329">
                  <c:v>60500</c:v>
                </c:pt>
                <c:pt idx="330">
                  <c:v>60500</c:v>
                </c:pt>
                <c:pt idx="331">
                  <c:v>60500</c:v>
                </c:pt>
                <c:pt idx="332">
                  <c:v>60500</c:v>
                </c:pt>
                <c:pt idx="333">
                  <c:v>60500</c:v>
                </c:pt>
                <c:pt idx="334">
                  <c:v>60500</c:v>
                </c:pt>
                <c:pt idx="335">
                  <c:v>60500</c:v>
                </c:pt>
                <c:pt idx="336">
                  <c:v>60500</c:v>
                </c:pt>
                <c:pt idx="337">
                  <c:v>60500</c:v>
                </c:pt>
                <c:pt idx="338">
                  <c:v>60500</c:v>
                </c:pt>
                <c:pt idx="339">
                  <c:v>60500</c:v>
                </c:pt>
                <c:pt idx="340">
                  <c:v>60500</c:v>
                </c:pt>
                <c:pt idx="341">
                  <c:v>60500</c:v>
                </c:pt>
                <c:pt idx="342">
                  <c:v>60500</c:v>
                </c:pt>
                <c:pt idx="343">
                  <c:v>60500</c:v>
                </c:pt>
                <c:pt idx="344">
                  <c:v>59500</c:v>
                </c:pt>
                <c:pt idx="345">
                  <c:v>58750</c:v>
                </c:pt>
                <c:pt idx="346">
                  <c:v>58750</c:v>
                </c:pt>
                <c:pt idx="347">
                  <c:v>58750</c:v>
                </c:pt>
                <c:pt idx="348">
                  <c:v>58750</c:v>
                </c:pt>
                <c:pt idx="349">
                  <c:v>58750</c:v>
                </c:pt>
                <c:pt idx="350">
                  <c:v>58750</c:v>
                </c:pt>
                <c:pt idx="351">
                  <c:v>58750</c:v>
                </c:pt>
                <c:pt idx="352">
                  <c:v>58500</c:v>
                </c:pt>
                <c:pt idx="353">
                  <c:v>58500</c:v>
                </c:pt>
                <c:pt idx="354">
                  <c:v>58500</c:v>
                </c:pt>
                <c:pt idx="355">
                  <c:v>58500</c:v>
                </c:pt>
                <c:pt idx="356">
                  <c:v>58500</c:v>
                </c:pt>
                <c:pt idx="357">
                  <c:v>58500</c:v>
                </c:pt>
                <c:pt idx="358">
                  <c:v>57875</c:v>
                </c:pt>
                <c:pt idx="359">
                  <c:v>57875</c:v>
                </c:pt>
                <c:pt idx="360">
                  <c:v>57875</c:v>
                </c:pt>
                <c:pt idx="361">
                  <c:v>57875</c:v>
                </c:pt>
                <c:pt idx="362">
                  <c:v>55250</c:v>
                </c:pt>
                <c:pt idx="363">
                  <c:v>52750</c:v>
                </c:pt>
                <c:pt idx="364">
                  <c:v>51375</c:v>
                </c:pt>
                <c:pt idx="365">
                  <c:v>50125</c:v>
                </c:pt>
                <c:pt idx="366">
                  <c:v>50125</c:v>
                </c:pt>
                <c:pt idx="367">
                  <c:v>50125</c:v>
                </c:pt>
                <c:pt idx="368">
                  <c:v>49937</c:v>
                </c:pt>
                <c:pt idx="369">
                  <c:v>49812</c:v>
                </c:pt>
                <c:pt idx="370">
                  <c:v>49812</c:v>
                </c:pt>
                <c:pt idx="371">
                  <c:v>49812</c:v>
                </c:pt>
                <c:pt idx="372">
                  <c:v>49437</c:v>
                </c:pt>
                <c:pt idx="373">
                  <c:v>49187</c:v>
                </c:pt>
                <c:pt idx="374">
                  <c:v>49050</c:v>
                </c:pt>
                <c:pt idx="375">
                  <c:v>49050</c:v>
                </c:pt>
                <c:pt idx="376">
                  <c:v>48850</c:v>
                </c:pt>
                <c:pt idx="377">
                  <c:v>48850</c:v>
                </c:pt>
                <c:pt idx="378">
                  <c:v>48850</c:v>
                </c:pt>
                <c:pt idx="379">
                  <c:v>48350</c:v>
                </c:pt>
                <c:pt idx="380">
                  <c:v>48350</c:v>
                </c:pt>
              </c:numCache>
            </c:numRef>
          </c:val>
          <c:smooth val="0"/>
          <c:extLst>
            <c:ext xmlns:c16="http://schemas.microsoft.com/office/drawing/2014/chart" uri="{C3380CC4-5D6E-409C-BE32-E72D297353CC}">
              <c16:uniqueId val="{00000001-3CAC-4E56-AE66-DF434A0E2845}"/>
            </c:ext>
          </c:extLst>
        </c:ser>
        <c:dLbls>
          <c:showLegendKey val="0"/>
          <c:showVal val="0"/>
          <c:showCatName val="0"/>
          <c:showSerName val="0"/>
          <c:showPercent val="0"/>
          <c:showBubbleSize val="0"/>
        </c:dLbls>
        <c:smooth val="0"/>
        <c:axId val="64065432"/>
        <c:axId val="1843529927"/>
      </c:lineChart>
      <c:dateAx>
        <c:axId val="640654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43529927"/>
        <c:crosses val="autoZero"/>
        <c:auto val="1"/>
        <c:lblOffset val="100"/>
        <c:baseTimeUnit val="days"/>
      </c:dateAx>
      <c:valAx>
        <c:axId val="1843529927"/>
        <c:scaling>
          <c:orientation val="minMax"/>
          <c:min val="3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065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Charts!$J$777:$J$778</c:f>
              <c:strCache>
                <c:ptCount val="2"/>
                <c:pt idx="1">
                  <c:v>中国:富宝价格指数:负极材料（元/吨）</c:v>
                </c:pt>
              </c:strCache>
            </c:strRef>
          </c:tx>
          <c:spPr>
            <a:ln w="28575" cap="rnd">
              <a:solidFill>
                <a:schemeClr val="accent1"/>
              </a:solidFill>
              <a:round/>
            </a:ln>
            <a:effectLst/>
          </c:spPr>
          <c:marker>
            <c:symbol val="none"/>
          </c:marker>
          <c:cat>
            <c:numRef>
              <c:f>Charts!$I$779:$I$1174</c:f>
              <c:numCache>
                <c:formatCode>m/d/yyyy</c:formatCode>
                <c:ptCount val="396"/>
                <c:pt idx="0">
                  <c:v>44419</c:v>
                </c:pt>
                <c:pt idx="1">
                  <c:v>44420</c:v>
                </c:pt>
                <c:pt idx="2">
                  <c:v>44421</c:v>
                </c:pt>
                <c:pt idx="3">
                  <c:v>44424</c:v>
                </c:pt>
                <c:pt idx="4">
                  <c:v>44425</c:v>
                </c:pt>
                <c:pt idx="5">
                  <c:v>44426</c:v>
                </c:pt>
                <c:pt idx="6">
                  <c:v>44427</c:v>
                </c:pt>
                <c:pt idx="7">
                  <c:v>44428</c:v>
                </c:pt>
                <c:pt idx="8">
                  <c:v>44431</c:v>
                </c:pt>
                <c:pt idx="9">
                  <c:v>44432</c:v>
                </c:pt>
                <c:pt idx="10">
                  <c:v>44433</c:v>
                </c:pt>
                <c:pt idx="11">
                  <c:v>44434</c:v>
                </c:pt>
                <c:pt idx="12">
                  <c:v>44435</c:v>
                </c:pt>
                <c:pt idx="13">
                  <c:v>44438</c:v>
                </c:pt>
                <c:pt idx="14">
                  <c:v>44439</c:v>
                </c:pt>
                <c:pt idx="15">
                  <c:v>44440</c:v>
                </c:pt>
                <c:pt idx="16">
                  <c:v>44441</c:v>
                </c:pt>
                <c:pt idx="17">
                  <c:v>44442</c:v>
                </c:pt>
                <c:pt idx="18">
                  <c:v>44445</c:v>
                </c:pt>
                <c:pt idx="19">
                  <c:v>44446</c:v>
                </c:pt>
                <c:pt idx="20">
                  <c:v>44447</c:v>
                </c:pt>
                <c:pt idx="21">
                  <c:v>44448</c:v>
                </c:pt>
                <c:pt idx="22">
                  <c:v>44449</c:v>
                </c:pt>
                <c:pt idx="23">
                  <c:v>44452</c:v>
                </c:pt>
                <c:pt idx="24">
                  <c:v>44453</c:v>
                </c:pt>
                <c:pt idx="25">
                  <c:v>44454</c:v>
                </c:pt>
                <c:pt idx="26">
                  <c:v>44455</c:v>
                </c:pt>
                <c:pt idx="27">
                  <c:v>44456</c:v>
                </c:pt>
                <c:pt idx="28">
                  <c:v>44461</c:v>
                </c:pt>
                <c:pt idx="29">
                  <c:v>44462</c:v>
                </c:pt>
                <c:pt idx="30">
                  <c:v>44463</c:v>
                </c:pt>
                <c:pt idx="31">
                  <c:v>44466</c:v>
                </c:pt>
                <c:pt idx="32">
                  <c:v>44467</c:v>
                </c:pt>
                <c:pt idx="33">
                  <c:v>44468</c:v>
                </c:pt>
                <c:pt idx="34">
                  <c:v>44469</c:v>
                </c:pt>
                <c:pt idx="35">
                  <c:v>44477</c:v>
                </c:pt>
                <c:pt idx="36">
                  <c:v>44480</c:v>
                </c:pt>
                <c:pt idx="37">
                  <c:v>44481</c:v>
                </c:pt>
                <c:pt idx="38">
                  <c:v>44482</c:v>
                </c:pt>
                <c:pt idx="39">
                  <c:v>44483</c:v>
                </c:pt>
                <c:pt idx="40">
                  <c:v>44484</c:v>
                </c:pt>
                <c:pt idx="41">
                  <c:v>44487</c:v>
                </c:pt>
                <c:pt idx="42">
                  <c:v>44488</c:v>
                </c:pt>
                <c:pt idx="43">
                  <c:v>44489</c:v>
                </c:pt>
                <c:pt idx="44">
                  <c:v>44490</c:v>
                </c:pt>
                <c:pt idx="45">
                  <c:v>44491</c:v>
                </c:pt>
                <c:pt idx="46">
                  <c:v>44494</c:v>
                </c:pt>
                <c:pt idx="47">
                  <c:v>44495</c:v>
                </c:pt>
                <c:pt idx="48">
                  <c:v>44496</c:v>
                </c:pt>
                <c:pt idx="49">
                  <c:v>44497</c:v>
                </c:pt>
                <c:pt idx="50">
                  <c:v>44498</c:v>
                </c:pt>
                <c:pt idx="51">
                  <c:v>44501</c:v>
                </c:pt>
                <c:pt idx="52">
                  <c:v>44502</c:v>
                </c:pt>
                <c:pt idx="53">
                  <c:v>44503</c:v>
                </c:pt>
                <c:pt idx="54">
                  <c:v>44504</c:v>
                </c:pt>
                <c:pt idx="55">
                  <c:v>44505</c:v>
                </c:pt>
                <c:pt idx="56">
                  <c:v>44508</c:v>
                </c:pt>
                <c:pt idx="57">
                  <c:v>44509</c:v>
                </c:pt>
                <c:pt idx="58">
                  <c:v>44510</c:v>
                </c:pt>
                <c:pt idx="59">
                  <c:v>44511</c:v>
                </c:pt>
                <c:pt idx="60">
                  <c:v>44512</c:v>
                </c:pt>
                <c:pt idx="61">
                  <c:v>44515</c:v>
                </c:pt>
                <c:pt idx="62">
                  <c:v>44516</c:v>
                </c:pt>
                <c:pt idx="63">
                  <c:v>44517</c:v>
                </c:pt>
                <c:pt idx="64">
                  <c:v>44518</c:v>
                </c:pt>
                <c:pt idx="65">
                  <c:v>44519</c:v>
                </c:pt>
                <c:pt idx="66">
                  <c:v>44522</c:v>
                </c:pt>
                <c:pt idx="67">
                  <c:v>44523</c:v>
                </c:pt>
                <c:pt idx="68">
                  <c:v>44524</c:v>
                </c:pt>
                <c:pt idx="69">
                  <c:v>44525</c:v>
                </c:pt>
                <c:pt idx="70">
                  <c:v>44526</c:v>
                </c:pt>
                <c:pt idx="71">
                  <c:v>44529</c:v>
                </c:pt>
                <c:pt idx="72">
                  <c:v>44530</c:v>
                </c:pt>
                <c:pt idx="73">
                  <c:v>44531</c:v>
                </c:pt>
                <c:pt idx="74">
                  <c:v>44532</c:v>
                </c:pt>
                <c:pt idx="75">
                  <c:v>44533</c:v>
                </c:pt>
                <c:pt idx="76">
                  <c:v>44536</c:v>
                </c:pt>
                <c:pt idx="77">
                  <c:v>44537</c:v>
                </c:pt>
                <c:pt idx="78">
                  <c:v>44538</c:v>
                </c:pt>
                <c:pt idx="79">
                  <c:v>44539</c:v>
                </c:pt>
                <c:pt idx="80">
                  <c:v>44540</c:v>
                </c:pt>
                <c:pt idx="81">
                  <c:v>44543</c:v>
                </c:pt>
                <c:pt idx="82">
                  <c:v>44544</c:v>
                </c:pt>
                <c:pt idx="83">
                  <c:v>44545</c:v>
                </c:pt>
                <c:pt idx="84">
                  <c:v>44546</c:v>
                </c:pt>
                <c:pt idx="85">
                  <c:v>44547</c:v>
                </c:pt>
                <c:pt idx="86">
                  <c:v>44550</c:v>
                </c:pt>
                <c:pt idx="87">
                  <c:v>44551</c:v>
                </c:pt>
                <c:pt idx="88">
                  <c:v>44552</c:v>
                </c:pt>
                <c:pt idx="89">
                  <c:v>44553</c:v>
                </c:pt>
                <c:pt idx="90">
                  <c:v>44554</c:v>
                </c:pt>
                <c:pt idx="91">
                  <c:v>44557</c:v>
                </c:pt>
                <c:pt idx="92">
                  <c:v>44558</c:v>
                </c:pt>
                <c:pt idx="93">
                  <c:v>44559</c:v>
                </c:pt>
                <c:pt idx="94">
                  <c:v>44560</c:v>
                </c:pt>
                <c:pt idx="95">
                  <c:v>44561</c:v>
                </c:pt>
                <c:pt idx="96">
                  <c:v>44565</c:v>
                </c:pt>
                <c:pt idx="97">
                  <c:v>44566</c:v>
                </c:pt>
                <c:pt idx="98">
                  <c:v>44567</c:v>
                </c:pt>
                <c:pt idx="99">
                  <c:v>44568</c:v>
                </c:pt>
                <c:pt idx="100">
                  <c:v>44571</c:v>
                </c:pt>
                <c:pt idx="101">
                  <c:v>44572</c:v>
                </c:pt>
                <c:pt idx="102">
                  <c:v>44573</c:v>
                </c:pt>
                <c:pt idx="103">
                  <c:v>44574</c:v>
                </c:pt>
                <c:pt idx="104">
                  <c:v>44575</c:v>
                </c:pt>
                <c:pt idx="105">
                  <c:v>44578</c:v>
                </c:pt>
                <c:pt idx="106">
                  <c:v>44579</c:v>
                </c:pt>
                <c:pt idx="107">
                  <c:v>44580</c:v>
                </c:pt>
                <c:pt idx="108">
                  <c:v>44581</c:v>
                </c:pt>
                <c:pt idx="109">
                  <c:v>44582</c:v>
                </c:pt>
                <c:pt idx="110">
                  <c:v>44585</c:v>
                </c:pt>
                <c:pt idx="111">
                  <c:v>44586</c:v>
                </c:pt>
                <c:pt idx="112">
                  <c:v>44587</c:v>
                </c:pt>
                <c:pt idx="113">
                  <c:v>44588</c:v>
                </c:pt>
                <c:pt idx="114">
                  <c:v>44589</c:v>
                </c:pt>
                <c:pt idx="115">
                  <c:v>44599</c:v>
                </c:pt>
                <c:pt idx="116">
                  <c:v>44600</c:v>
                </c:pt>
                <c:pt idx="117">
                  <c:v>44601</c:v>
                </c:pt>
                <c:pt idx="118">
                  <c:v>44602</c:v>
                </c:pt>
                <c:pt idx="119">
                  <c:v>44603</c:v>
                </c:pt>
                <c:pt idx="120">
                  <c:v>44606</c:v>
                </c:pt>
                <c:pt idx="121">
                  <c:v>44607</c:v>
                </c:pt>
                <c:pt idx="122">
                  <c:v>44608</c:v>
                </c:pt>
                <c:pt idx="123">
                  <c:v>44609</c:v>
                </c:pt>
                <c:pt idx="124">
                  <c:v>44610</c:v>
                </c:pt>
                <c:pt idx="125">
                  <c:v>44613</c:v>
                </c:pt>
                <c:pt idx="126">
                  <c:v>44614</c:v>
                </c:pt>
                <c:pt idx="127">
                  <c:v>44615</c:v>
                </c:pt>
                <c:pt idx="128">
                  <c:v>44616</c:v>
                </c:pt>
                <c:pt idx="129">
                  <c:v>44617</c:v>
                </c:pt>
                <c:pt idx="130">
                  <c:v>44620</c:v>
                </c:pt>
                <c:pt idx="131">
                  <c:v>44621</c:v>
                </c:pt>
                <c:pt idx="132">
                  <c:v>44622</c:v>
                </c:pt>
                <c:pt idx="133">
                  <c:v>44623</c:v>
                </c:pt>
                <c:pt idx="134">
                  <c:v>44624</c:v>
                </c:pt>
                <c:pt idx="135">
                  <c:v>44627</c:v>
                </c:pt>
                <c:pt idx="136">
                  <c:v>44628</c:v>
                </c:pt>
                <c:pt idx="137">
                  <c:v>44629</c:v>
                </c:pt>
                <c:pt idx="138">
                  <c:v>44630</c:v>
                </c:pt>
                <c:pt idx="139">
                  <c:v>44631</c:v>
                </c:pt>
                <c:pt idx="140">
                  <c:v>44634</c:v>
                </c:pt>
                <c:pt idx="141">
                  <c:v>44635</c:v>
                </c:pt>
                <c:pt idx="142">
                  <c:v>44636</c:v>
                </c:pt>
                <c:pt idx="143">
                  <c:v>44637</c:v>
                </c:pt>
                <c:pt idx="144">
                  <c:v>44638</c:v>
                </c:pt>
                <c:pt idx="145">
                  <c:v>44641</c:v>
                </c:pt>
                <c:pt idx="146">
                  <c:v>44642</c:v>
                </c:pt>
                <c:pt idx="147">
                  <c:v>44643</c:v>
                </c:pt>
                <c:pt idx="148">
                  <c:v>44644</c:v>
                </c:pt>
                <c:pt idx="149">
                  <c:v>44645</c:v>
                </c:pt>
                <c:pt idx="150">
                  <c:v>44648</c:v>
                </c:pt>
                <c:pt idx="151">
                  <c:v>44649</c:v>
                </c:pt>
                <c:pt idx="152">
                  <c:v>44650</c:v>
                </c:pt>
                <c:pt idx="153">
                  <c:v>44651</c:v>
                </c:pt>
                <c:pt idx="154">
                  <c:v>44652</c:v>
                </c:pt>
                <c:pt idx="155">
                  <c:v>44657</c:v>
                </c:pt>
                <c:pt idx="156">
                  <c:v>44658</c:v>
                </c:pt>
                <c:pt idx="157">
                  <c:v>44659</c:v>
                </c:pt>
                <c:pt idx="158">
                  <c:v>44662</c:v>
                </c:pt>
                <c:pt idx="159">
                  <c:v>44663</c:v>
                </c:pt>
                <c:pt idx="160">
                  <c:v>44664</c:v>
                </c:pt>
                <c:pt idx="161">
                  <c:v>44665</c:v>
                </c:pt>
                <c:pt idx="162">
                  <c:v>44666</c:v>
                </c:pt>
                <c:pt idx="163">
                  <c:v>44669</c:v>
                </c:pt>
                <c:pt idx="164">
                  <c:v>44670</c:v>
                </c:pt>
                <c:pt idx="165">
                  <c:v>44671</c:v>
                </c:pt>
                <c:pt idx="166">
                  <c:v>44672</c:v>
                </c:pt>
                <c:pt idx="167">
                  <c:v>44673</c:v>
                </c:pt>
                <c:pt idx="168">
                  <c:v>44676</c:v>
                </c:pt>
                <c:pt idx="169">
                  <c:v>44677</c:v>
                </c:pt>
                <c:pt idx="170">
                  <c:v>44678</c:v>
                </c:pt>
                <c:pt idx="171">
                  <c:v>44679</c:v>
                </c:pt>
                <c:pt idx="172">
                  <c:v>44680</c:v>
                </c:pt>
                <c:pt idx="173">
                  <c:v>44686</c:v>
                </c:pt>
                <c:pt idx="174">
                  <c:v>44687</c:v>
                </c:pt>
                <c:pt idx="175">
                  <c:v>44690</c:v>
                </c:pt>
                <c:pt idx="176">
                  <c:v>44691</c:v>
                </c:pt>
                <c:pt idx="177">
                  <c:v>44692</c:v>
                </c:pt>
                <c:pt idx="178">
                  <c:v>44693</c:v>
                </c:pt>
                <c:pt idx="179">
                  <c:v>44694</c:v>
                </c:pt>
                <c:pt idx="180">
                  <c:v>44697</c:v>
                </c:pt>
                <c:pt idx="181">
                  <c:v>44698</c:v>
                </c:pt>
                <c:pt idx="182">
                  <c:v>44699</c:v>
                </c:pt>
                <c:pt idx="183">
                  <c:v>44700</c:v>
                </c:pt>
                <c:pt idx="184">
                  <c:v>44701</c:v>
                </c:pt>
                <c:pt idx="185">
                  <c:v>44704</c:v>
                </c:pt>
                <c:pt idx="186">
                  <c:v>44705</c:v>
                </c:pt>
                <c:pt idx="187">
                  <c:v>44706</c:v>
                </c:pt>
                <c:pt idx="188">
                  <c:v>44707</c:v>
                </c:pt>
                <c:pt idx="189">
                  <c:v>44708</c:v>
                </c:pt>
                <c:pt idx="190">
                  <c:v>44711</c:v>
                </c:pt>
                <c:pt idx="191">
                  <c:v>44712</c:v>
                </c:pt>
                <c:pt idx="192">
                  <c:v>44713</c:v>
                </c:pt>
                <c:pt idx="193">
                  <c:v>44714</c:v>
                </c:pt>
                <c:pt idx="194">
                  <c:v>44718</c:v>
                </c:pt>
                <c:pt idx="195">
                  <c:v>44719</c:v>
                </c:pt>
                <c:pt idx="196">
                  <c:v>44720</c:v>
                </c:pt>
                <c:pt idx="197">
                  <c:v>44721</c:v>
                </c:pt>
                <c:pt idx="198">
                  <c:v>44722</c:v>
                </c:pt>
                <c:pt idx="199">
                  <c:v>44725</c:v>
                </c:pt>
                <c:pt idx="200">
                  <c:v>44726</c:v>
                </c:pt>
                <c:pt idx="201">
                  <c:v>44727</c:v>
                </c:pt>
                <c:pt idx="202">
                  <c:v>44728</c:v>
                </c:pt>
                <c:pt idx="203">
                  <c:v>44729</c:v>
                </c:pt>
                <c:pt idx="204">
                  <c:v>44732</c:v>
                </c:pt>
                <c:pt idx="205">
                  <c:v>44733</c:v>
                </c:pt>
                <c:pt idx="206">
                  <c:v>44734</c:v>
                </c:pt>
                <c:pt idx="207">
                  <c:v>44735</c:v>
                </c:pt>
                <c:pt idx="208">
                  <c:v>44736</c:v>
                </c:pt>
                <c:pt idx="209">
                  <c:v>44739</c:v>
                </c:pt>
                <c:pt idx="210">
                  <c:v>44740</c:v>
                </c:pt>
                <c:pt idx="211">
                  <c:v>44741</c:v>
                </c:pt>
                <c:pt idx="212">
                  <c:v>44742</c:v>
                </c:pt>
                <c:pt idx="213">
                  <c:v>44743</c:v>
                </c:pt>
                <c:pt idx="214">
                  <c:v>44746</c:v>
                </c:pt>
                <c:pt idx="215">
                  <c:v>44747</c:v>
                </c:pt>
                <c:pt idx="216">
                  <c:v>44748</c:v>
                </c:pt>
                <c:pt idx="217">
                  <c:v>44749</c:v>
                </c:pt>
                <c:pt idx="218">
                  <c:v>44750</c:v>
                </c:pt>
                <c:pt idx="219">
                  <c:v>44753</c:v>
                </c:pt>
                <c:pt idx="220">
                  <c:v>44754</c:v>
                </c:pt>
                <c:pt idx="221">
                  <c:v>44755</c:v>
                </c:pt>
                <c:pt idx="222">
                  <c:v>44756</c:v>
                </c:pt>
                <c:pt idx="223">
                  <c:v>44757</c:v>
                </c:pt>
                <c:pt idx="224">
                  <c:v>44760</c:v>
                </c:pt>
                <c:pt idx="225">
                  <c:v>44761</c:v>
                </c:pt>
                <c:pt idx="226">
                  <c:v>44762</c:v>
                </c:pt>
                <c:pt idx="227">
                  <c:v>44763</c:v>
                </c:pt>
                <c:pt idx="228">
                  <c:v>44764</c:v>
                </c:pt>
                <c:pt idx="229">
                  <c:v>44767</c:v>
                </c:pt>
                <c:pt idx="230">
                  <c:v>44768</c:v>
                </c:pt>
                <c:pt idx="231">
                  <c:v>44769</c:v>
                </c:pt>
                <c:pt idx="232">
                  <c:v>44770</c:v>
                </c:pt>
                <c:pt idx="233">
                  <c:v>44771</c:v>
                </c:pt>
                <c:pt idx="234">
                  <c:v>44774</c:v>
                </c:pt>
                <c:pt idx="235">
                  <c:v>44775</c:v>
                </c:pt>
                <c:pt idx="236">
                  <c:v>44776</c:v>
                </c:pt>
                <c:pt idx="237">
                  <c:v>44777</c:v>
                </c:pt>
                <c:pt idx="238">
                  <c:v>44778</c:v>
                </c:pt>
                <c:pt idx="239">
                  <c:v>44781</c:v>
                </c:pt>
                <c:pt idx="240">
                  <c:v>44782</c:v>
                </c:pt>
                <c:pt idx="241">
                  <c:v>44783</c:v>
                </c:pt>
                <c:pt idx="242">
                  <c:v>44784</c:v>
                </c:pt>
                <c:pt idx="243">
                  <c:v>44785</c:v>
                </c:pt>
                <c:pt idx="244">
                  <c:v>44788</c:v>
                </c:pt>
                <c:pt idx="245">
                  <c:v>44789</c:v>
                </c:pt>
                <c:pt idx="246">
                  <c:v>44790</c:v>
                </c:pt>
                <c:pt idx="247">
                  <c:v>44791</c:v>
                </c:pt>
                <c:pt idx="248">
                  <c:v>44792</c:v>
                </c:pt>
                <c:pt idx="249">
                  <c:v>44795</c:v>
                </c:pt>
                <c:pt idx="250">
                  <c:v>44796</c:v>
                </c:pt>
                <c:pt idx="251">
                  <c:v>44797</c:v>
                </c:pt>
                <c:pt idx="252">
                  <c:v>44798</c:v>
                </c:pt>
                <c:pt idx="253">
                  <c:v>44799</c:v>
                </c:pt>
                <c:pt idx="254">
                  <c:v>44802</c:v>
                </c:pt>
                <c:pt idx="255">
                  <c:v>44803</c:v>
                </c:pt>
                <c:pt idx="256">
                  <c:v>44804</c:v>
                </c:pt>
                <c:pt idx="257">
                  <c:v>44805</c:v>
                </c:pt>
                <c:pt idx="258">
                  <c:v>44806</c:v>
                </c:pt>
                <c:pt idx="259">
                  <c:v>44809</c:v>
                </c:pt>
                <c:pt idx="260">
                  <c:v>44810</c:v>
                </c:pt>
                <c:pt idx="261">
                  <c:v>44811</c:v>
                </c:pt>
                <c:pt idx="262">
                  <c:v>44812</c:v>
                </c:pt>
                <c:pt idx="263">
                  <c:v>44813</c:v>
                </c:pt>
                <c:pt idx="264">
                  <c:v>44817</c:v>
                </c:pt>
                <c:pt idx="265">
                  <c:v>44818</c:v>
                </c:pt>
                <c:pt idx="266">
                  <c:v>44819</c:v>
                </c:pt>
                <c:pt idx="267">
                  <c:v>44820</c:v>
                </c:pt>
                <c:pt idx="268">
                  <c:v>44823</c:v>
                </c:pt>
                <c:pt idx="269">
                  <c:v>44824</c:v>
                </c:pt>
                <c:pt idx="270">
                  <c:v>44825</c:v>
                </c:pt>
                <c:pt idx="271">
                  <c:v>44826</c:v>
                </c:pt>
                <c:pt idx="272">
                  <c:v>44827</c:v>
                </c:pt>
                <c:pt idx="273">
                  <c:v>44830</c:v>
                </c:pt>
                <c:pt idx="274">
                  <c:v>44831</c:v>
                </c:pt>
                <c:pt idx="275">
                  <c:v>44832</c:v>
                </c:pt>
                <c:pt idx="276">
                  <c:v>44833</c:v>
                </c:pt>
                <c:pt idx="277">
                  <c:v>44834</c:v>
                </c:pt>
                <c:pt idx="278">
                  <c:v>44844</c:v>
                </c:pt>
                <c:pt idx="279">
                  <c:v>44845</c:v>
                </c:pt>
                <c:pt idx="280">
                  <c:v>44846</c:v>
                </c:pt>
                <c:pt idx="281">
                  <c:v>44847</c:v>
                </c:pt>
                <c:pt idx="282">
                  <c:v>44848</c:v>
                </c:pt>
                <c:pt idx="283">
                  <c:v>44851</c:v>
                </c:pt>
                <c:pt idx="284">
                  <c:v>44852</c:v>
                </c:pt>
                <c:pt idx="285">
                  <c:v>44853</c:v>
                </c:pt>
                <c:pt idx="286">
                  <c:v>44854</c:v>
                </c:pt>
                <c:pt idx="287">
                  <c:v>44855</c:v>
                </c:pt>
                <c:pt idx="288">
                  <c:v>44858</c:v>
                </c:pt>
                <c:pt idx="289">
                  <c:v>44859</c:v>
                </c:pt>
                <c:pt idx="290">
                  <c:v>44860</c:v>
                </c:pt>
                <c:pt idx="291">
                  <c:v>44861</c:v>
                </c:pt>
                <c:pt idx="292">
                  <c:v>44862</c:v>
                </c:pt>
                <c:pt idx="293">
                  <c:v>44865</c:v>
                </c:pt>
                <c:pt idx="294">
                  <c:v>44866</c:v>
                </c:pt>
                <c:pt idx="295">
                  <c:v>44867</c:v>
                </c:pt>
                <c:pt idx="296">
                  <c:v>44868</c:v>
                </c:pt>
                <c:pt idx="297">
                  <c:v>44869</c:v>
                </c:pt>
                <c:pt idx="298">
                  <c:v>44872</c:v>
                </c:pt>
                <c:pt idx="299">
                  <c:v>44873</c:v>
                </c:pt>
                <c:pt idx="300">
                  <c:v>44874</c:v>
                </c:pt>
                <c:pt idx="301">
                  <c:v>44875</c:v>
                </c:pt>
                <c:pt idx="302">
                  <c:v>44876</c:v>
                </c:pt>
                <c:pt idx="303">
                  <c:v>44879</c:v>
                </c:pt>
                <c:pt idx="304">
                  <c:v>44880</c:v>
                </c:pt>
                <c:pt idx="305">
                  <c:v>44881</c:v>
                </c:pt>
                <c:pt idx="306">
                  <c:v>44882</c:v>
                </c:pt>
                <c:pt idx="307">
                  <c:v>44883</c:v>
                </c:pt>
                <c:pt idx="308">
                  <c:v>44886</c:v>
                </c:pt>
                <c:pt idx="309">
                  <c:v>44887</c:v>
                </c:pt>
                <c:pt idx="310">
                  <c:v>44888</c:v>
                </c:pt>
                <c:pt idx="311">
                  <c:v>44889</c:v>
                </c:pt>
                <c:pt idx="312">
                  <c:v>44890</c:v>
                </c:pt>
                <c:pt idx="313">
                  <c:v>44893</c:v>
                </c:pt>
                <c:pt idx="314">
                  <c:v>44894</c:v>
                </c:pt>
                <c:pt idx="315">
                  <c:v>44895</c:v>
                </c:pt>
                <c:pt idx="316">
                  <c:v>44896</c:v>
                </c:pt>
                <c:pt idx="317">
                  <c:v>44897</c:v>
                </c:pt>
                <c:pt idx="318">
                  <c:v>44900</c:v>
                </c:pt>
                <c:pt idx="319">
                  <c:v>44901</c:v>
                </c:pt>
                <c:pt idx="320">
                  <c:v>44902</c:v>
                </c:pt>
                <c:pt idx="321">
                  <c:v>44903</c:v>
                </c:pt>
                <c:pt idx="322">
                  <c:v>44904</c:v>
                </c:pt>
                <c:pt idx="323">
                  <c:v>44907</c:v>
                </c:pt>
                <c:pt idx="324">
                  <c:v>44908</c:v>
                </c:pt>
                <c:pt idx="325">
                  <c:v>44909</c:v>
                </c:pt>
                <c:pt idx="326">
                  <c:v>44910</c:v>
                </c:pt>
                <c:pt idx="327">
                  <c:v>44911</c:v>
                </c:pt>
                <c:pt idx="328">
                  <c:v>44914</c:v>
                </c:pt>
                <c:pt idx="329">
                  <c:v>44915</c:v>
                </c:pt>
                <c:pt idx="330">
                  <c:v>44916</c:v>
                </c:pt>
                <c:pt idx="331">
                  <c:v>44917</c:v>
                </c:pt>
                <c:pt idx="332">
                  <c:v>44918</c:v>
                </c:pt>
                <c:pt idx="333">
                  <c:v>44921</c:v>
                </c:pt>
                <c:pt idx="334">
                  <c:v>44922</c:v>
                </c:pt>
                <c:pt idx="335">
                  <c:v>44923</c:v>
                </c:pt>
                <c:pt idx="336">
                  <c:v>44924</c:v>
                </c:pt>
                <c:pt idx="337">
                  <c:v>44925</c:v>
                </c:pt>
                <c:pt idx="338">
                  <c:v>44929</c:v>
                </c:pt>
                <c:pt idx="339">
                  <c:v>44930</c:v>
                </c:pt>
                <c:pt idx="340">
                  <c:v>44931</c:v>
                </c:pt>
                <c:pt idx="341">
                  <c:v>44932</c:v>
                </c:pt>
                <c:pt idx="342">
                  <c:v>44935</c:v>
                </c:pt>
                <c:pt idx="343">
                  <c:v>44936</c:v>
                </c:pt>
                <c:pt idx="344">
                  <c:v>44937</c:v>
                </c:pt>
                <c:pt idx="345">
                  <c:v>44938</c:v>
                </c:pt>
                <c:pt idx="346">
                  <c:v>44939</c:v>
                </c:pt>
                <c:pt idx="347">
                  <c:v>44942</c:v>
                </c:pt>
                <c:pt idx="348">
                  <c:v>44943</c:v>
                </c:pt>
                <c:pt idx="349">
                  <c:v>44944</c:v>
                </c:pt>
                <c:pt idx="350">
                  <c:v>44945</c:v>
                </c:pt>
                <c:pt idx="351">
                  <c:v>44946</c:v>
                </c:pt>
                <c:pt idx="352">
                  <c:v>44954</c:v>
                </c:pt>
                <c:pt idx="353">
                  <c:v>44955</c:v>
                </c:pt>
                <c:pt idx="354">
                  <c:v>44956</c:v>
                </c:pt>
                <c:pt idx="355">
                  <c:v>44957</c:v>
                </c:pt>
                <c:pt idx="356">
                  <c:v>44958</c:v>
                </c:pt>
                <c:pt idx="357">
                  <c:v>44959</c:v>
                </c:pt>
                <c:pt idx="358">
                  <c:v>44960</c:v>
                </c:pt>
                <c:pt idx="359">
                  <c:v>44963</c:v>
                </c:pt>
                <c:pt idx="360">
                  <c:v>44964</c:v>
                </c:pt>
                <c:pt idx="361">
                  <c:v>44965</c:v>
                </c:pt>
                <c:pt idx="362">
                  <c:v>44966</c:v>
                </c:pt>
                <c:pt idx="363">
                  <c:v>44967</c:v>
                </c:pt>
                <c:pt idx="364">
                  <c:v>44970</c:v>
                </c:pt>
                <c:pt idx="365">
                  <c:v>44971</c:v>
                </c:pt>
                <c:pt idx="366">
                  <c:v>44972</c:v>
                </c:pt>
                <c:pt idx="367">
                  <c:v>44973</c:v>
                </c:pt>
                <c:pt idx="368">
                  <c:v>44974</c:v>
                </c:pt>
                <c:pt idx="369">
                  <c:v>44977</c:v>
                </c:pt>
                <c:pt idx="370">
                  <c:v>44978</c:v>
                </c:pt>
                <c:pt idx="371">
                  <c:v>44979</c:v>
                </c:pt>
                <c:pt idx="372">
                  <c:v>44980</c:v>
                </c:pt>
                <c:pt idx="373">
                  <c:v>44981</c:v>
                </c:pt>
                <c:pt idx="374">
                  <c:v>44984</c:v>
                </c:pt>
                <c:pt idx="375">
                  <c:v>44985</c:v>
                </c:pt>
                <c:pt idx="376">
                  <c:v>44986</c:v>
                </c:pt>
                <c:pt idx="377">
                  <c:v>44987</c:v>
                </c:pt>
                <c:pt idx="378">
                  <c:v>44988</c:v>
                </c:pt>
                <c:pt idx="379">
                  <c:v>44991</c:v>
                </c:pt>
                <c:pt idx="380">
                  <c:v>44992</c:v>
                </c:pt>
                <c:pt idx="381">
                  <c:v>44993</c:v>
                </c:pt>
                <c:pt idx="382">
                  <c:v>44994</c:v>
                </c:pt>
                <c:pt idx="383">
                  <c:v>44995</c:v>
                </c:pt>
                <c:pt idx="384">
                  <c:v>44998</c:v>
                </c:pt>
                <c:pt idx="385">
                  <c:v>44999</c:v>
                </c:pt>
                <c:pt idx="386">
                  <c:v>45000</c:v>
                </c:pt>
                <c:pt idx="387">
                  <c:v>45001</c:v>
                </c:pt>
                <c:pt idx="388">
                  <c:v>45002</c:v>
                </c:pt>
                <c:pt idx="389">
                  <c:v>45005</c:v>
                </c:pt>
                <c:pt idx="390">
                  <c:v>45006</c:v>
                </c:pt>
                <c:pt idx="391">
                  <c:v>45007</c:v>
                </c:pt>
                <c:pt idx="392">
                  <c:v>45008</c:v>
                </c:pt>
                <c:pt idx="393">
                  <c:v>45009</c:v>
                </c:pt>
                <c:pt idx="394">
                  <c:v>45012</c:v>
                </c:pt>
                <c:pt idx="395">
                  <c:v>45013</c:v>
                </c:pt>
              </c:numCache>
            </c:numRef>
          </c:cat>
          <c:val>
            <c:numRef>
              <c:f>Charts!$J$779:$J$1174</c:f>
              <c:numCache>
                <c:formatCode>General</c:formatCode>
                <c:ptCount val="396"/>
                <c:pt idx="0">
                  <c:v>52625</c:v>
                </c:pt>
                <c:pt idx="1">
                  <c:v>52625</c:v>
                </c:pt>
                <c:pt idx="2">
                  <c:v>52625</c:v>
                </c:pt>
                <c:pt idx="3">
                  <c:v>52625</c:v>
                </c:pt>
                <c:pt idx="4">
                  <c:v>52625</c:v>
                </c:pt>
                <c:pt idx="5">
                  <c:v>52625</c:v>
                </c:pt>
                <c:pt idx="6">
                  <c:v>52625</c:v>
                </c:pt>
                <c:pt idx="7">
                  <c:v>52625</c:v>
                </c:pt>
                <c:pt idx="8">
                  <c:v>52625</c:v>
                </c:pt>
                <c:pt idx="9">
                  <c:v>52625</c:v>
                </c:pt>
                <c:pt idx="10">
                  <c:v>52625</c:v>
                </c:pt>
                <c:pt idx="11">
                  <c:v>52625</c:v>
                </c:pt>
                <c:pt idx="12">
                  <c:v>52625</c:v>
                </c:pt>
                <c:pt idx="13">
                  <c:v>52625</c:v>
                </c:pt>
                <c:pt idx="14">
                  <c:v>52625</c:v>
                </c:pt>
                <c:pt idx="15">
                  <c:v>52625</c:v>
                </c:pt>
                <c:pt idx="16">
                  <c:v>52625</c:v>
                </c:pt>
                <c:pt idx="17">
                  <c:v>52625</c:v>
                </c:pt>
                <c:pt idx="18">
                  <c:v>52625</c:v>
                </c:pt>
                <c:pt idx="19">
                  <c:v>52625</c:v>
                </c:pt>
                <c:pt idx="20">
                  <c:v>52625</c:v>
                </c:pt>
                <c:pt idx="21">
                  <c:v>52625</c:v>
                </c:pt>
                <c:pt idx="22">
                  <c:v>52625</c:v>
                </c:pt>
                <c:pt idx="23">
                  <c:v>52625</c:v>
                </c:pt>
                <c:pt idx="24">
                  <c:v>52625</c:v>
                </c:pt>
                <c:pt idx="25">
                  <c:v>52625</c:v>
                </c:pt>
                <c:pt idx="26">
                  <c:v>52625</c:v>
                </c:pt>
                <c:pt idx="27">
                  <c:v>52625</c:v>
                </c:pt>
                <c:pt idx="28">
                  <c:v>52625</c:v>
                </c:pt>
                <c:pt idx="29">
                  <c:v>52625</c:v>
                </c:pt>
                <c:pt idx="30">
                  <c:v>52625</c:v>
                </c:pt>
                <c:pt idx="31">
                  <c:v>52625</c:v>
                </c:pt>
                <c:pt idx="32">
                  <c:v>52625</c:v>
                </c:pt>
                <c:pt idx="33">
                  <c:v>52625</c:v>
                </c:pt>
                <c:pt idx="34">
                  <c:v>52625</c:v>
                </c:pt>
                <c:pt idx="35">
                  <c:v>53625</c:v>
                </c:pt>
                <c:pt idx="36">
                  <c:v>53625</c:v>
                </c:pt>
                <c:pt idx="37">
                  <c:v>53625</c:v>
                </c:pt>
                <c:pt idx="38">
                  <c:v>53625</c:v>
                </c:pt>
                <c:pt idx="39">
                  <c:v>53625</c:v>
                </c:pt>
                <c:pt idx="40">
                  <c:v>53625</c:v>
                </c:pt>
                <c:pt idx="41">
                  <c:v>52500</c:v>
                </c:pt>
                <c:pt idx="42">
                  <c:v>52500</c:v>
                </c:pt>
                <c:pt idx="43">
                  <c:v>52500</c:v>
                </c:pt>
                <c:pt idx="44">
                  <c:v>52500</c:v>
                </c:pt>
                <c:pt idx="45">
                  <c:v>52500</c:v>
                </c:pt>
                <c:pt idx="46">
                  <c:v>52500</c:v>
                </c:pt>
                <c:pt idx="47">
                  <c:v>52500</c:v>
                </c:pt>
                <c:pt idx="48">
                  <c:v>52500</c:v>
                </c:pt>
                <c:pt idx="49">
                  <c:v>52500</c:v>
                </c:pt>
                <c:pt idx="50">
                  <c:v>52500</c:v>
                </c:pt>
                <c:pt idx="51">
                  <c:v>52500</c:v>
                </c:pt>
                <c:pt idx="52">
                  <c:v>52500</c:v>
                </c:pt>
                <c:pt idx="53">
                  <c:v>52500</c:v>
                </c:pt>
                <c:pt idx="54">
                  <c:v>52500</c:v>
                </c:pt>
                <c:pt idx="55">
                  <c:v>52500</c:v>
                </c:pt>
                <c:pt idx="56">
                  <c:v>52500</c:v>
                </c:pt>
                <c:pt idx="57">
                  <c:v>52500</c:v>
                </c:pt>
                <c:pt idx="58">
                  <c:v>52500</c:v>
                </c:pt>
                <c:pt idx="59">
                  <c:v>52500</c:v>
                </c:pt>
                <c:pt idx="60">
                  <c:v>52500</c:v>
                </c:pt>
                <c:pt idx="61">
                  <c:v>52500</c:v>
                </c:pt>
                <c:pt idx="62">
                  <c:v>52500</c:v>
                </c:pt>
                <c:pt idx="63">
                  <c:v>52500</c:v>
                </c:pt>
                <c:pt idx="64">
                  <c:v>52500</c:v>
                </c:pt>
                <c:pt idx="65">
                  <c:v>52500</c:v>
                </c:pt>
                <c:pt idx="66">
                  <c:v>52500</c:v>
                </c:pt>
                <c:pt idx="67">
                  <c:v>52500</c:v>
                </c:pt>
                <c:pt idx="68">
                  <c:v>52500</c:v>
                </c:pt>
                <c:pt idx="69">
                  <c:v>52500</c:v>
                </c:pt>
                <c:pt idx="70">
                  <c:v>52500</c:v>
                </c:pt>
                <c:pt idx="71">
                  <c:v>52625</c:v>
                </c:pt>
                <c:pt idx="72">
                  <c:v>52750</c:v>
                </c:pt>
                <c:pt idx="73">
                  <c:v>53000</c:v>
                </c:pt>
                <c:pt idx="74">
                  <c:v>53125</c:v>
                </c:pt>
                <c:pt idx="75">
                  <c:v>53125</c:v>
                </c:pt>
                <c:pt idx="76">
                  <c:v>53125</c:v>
                </c:pt>
                <c:pt idx="77">
                  <c:v>53375</c:v>
                </c:pt>
                <c:pt idx="78">
                  <c:v>53375</c:v>
                </c:pt>
                <c:pt idx="79">
                  <c:v>53625</c:v>
                </c:pt>
                <c:pt idx="80">
                  <c:v>53625</c:v>
                </c:pt>
                <c:pt idx="81">
                  <c:v>53625</c:v>
                </c:pt>
                <c:pt idx="82">
                  <c:v>54313</c:v>
                </c:pt>
                <c:pt idx="83">
                  <c:v>54313</c:v>
                </c:pt>
                <c:pt idx="84">
                  <c:v>54313</c:v>
                </c:pt>
                <c:pt idx="85">
                  <c:v>54313</c:v>
                </c:pt>
                <c:pt idx="86">
                  <c:v>54313</c:v>
                </c:pt>
                <c:pt idx="87">
                  <c:v>54313</c:v>
                </c:pt>
                <c:pt idx="88">
                  <c:v>54313</c:v>
                </c:pt>
                <c:pt idx="89">
                  <c:v>54313</c:v>
                </c:pt>
                <c:pt idx="90">
                  <c:v>54313</c:v>
                </c:pt>
                <c:pt idx="91">
                  <c:v>54313</c:v>
                </c:pt>
                <c:pt idx="92">
                  <c:v>54313</c:v>
                </c:pt>
                <c:pt idx="93">
                  <c:v>54750</c:v>
                </c:pt>
                <c:pt idx="94">
                  <c:v>54750</c:v>
                </c:pt>
                <c:pt idx="95">
                  <c:v>54750</c:v>
                </c:pt>
                <c:pt idx="96">
                  <c:v>54750</c:v>
                </c:pt>
                <c:pt idx="97">
                  <c:v>54750</c:v>
                </c:pt>
                <c:pt idx="98">
                  <c:v>54750</c:v>
                </c:pt>
                <c:pt idx="99">
                  <c:v>54750</c:v>
                </c:pt>
                <c:pt idx="100">
                  <c:v>54750</c:v>
                </c:pt>
                <c:pt idx="101">
                  <c:v>54750</c:v>
                </c:pt>
                <c:pt idx="102">
                  <c:v>54750</c:v>
                </c:pt>
                <c:pt idx="103">
                  <c:v>55500</c:v>
                </c:pt>
                <c:pt idx="104">
                  <c:v>55500</c:v>
                </c:pt>
                <c:pt idx="105">
                  <c:v>55500</c:v>
                </c:pt>
                <c:pt idx="106">
                  <c:v>55500</c:v>
                </c:pt>
                <c:pt idx="107">
                  <c:v>55500</c:v>
                </c:pt>
                <c:pt idx="108">
                  <c:v>55500</c:v>
                </c:pt>
                <c:pt idx="109">
                  <c:v>56000</c:v>
                </c:pt>
                <c:pt idx="110">
                  <c:v>56000</c:v>
                </c:pt>
                <c:pt idx="111">
                  <c:v>56000</c:v>
                </c:pt>
                <c:pt idx="112">
                  <c:v>56000</c:v>
                </c:pt>
                <c:pt idx="113">
                  <c:v>56000</c:v>
                </c:pt>
                <c:pt idx="114">
                  <c:v>56000</c:v>
                </c:pt>
                <c:pt idx="115">
                  <c:v>56000</c:v>
                </c:pt>
                <c:pt idx="116">
                  <c:v>56000</c:v>
                </c:pt>
                <c:pt idx="117">
                  <c:v>56000</c:v>
                </c:pt>
                <c:pt idx="118">
                  <c:v>56000</c:v>
                </c:pt>
                <c:pt idx="119">
                  <c:v>56000</c:v>
                </c:pt>
                <c:pt idx="120">
                  <c:v>56000</c:v>
                </c:pt>
                <c:pt idx="121">
                  <c:v>56000</c:v>
                </c:pt>
                <c:pt idx="122">
                  <c:v>56000</c:v>
                </c:pt>
                <c:pt idx="123">
                  <c:v>56000</c:v>
                </c:pt>
                <c:pt idx="124">
                  <c:v>56000</c:v>
                </c:pt>
                <c:pt idx="125">
                  <c:v>56000</c:v>
                </c:pt>
                <c:pt idx="126">
                  <c:v>56000</c:v>
                </c:pt>
                <c:pt idx="127">
                  <c:v>56000</c:v>
                </c:pt>
                <c:pt idx="128">
                  <c:v>56000</c:v>
                </c:pt>
                <c:pt idx="129">
                  <c:v>57250</c:v>
                </c:pt>
                <c:pt idx="130">
                  <c:v>57250</c:v>
                </c:pt>
                <c:pt idx="131">
                  <c:v>57250</c:v>
                </c:pt>
                <c:pt idx="132">
                  <c:v>57250</c:v>
                </c:pt>
                <c:pt idx="133">
                  <c:v>57250</c:v>
                </c:pt>
                <c:pt idx="134">
                  <c:v>57250</c:v>
                </c:pt>
                <c:pt idx="135">
                  <c:v>57250</c:v>
                </c:pt>
                <c:pt idx="136">
                  <c:v>57250</c:v>
                </c:pt>
                <c:pt idx="137">
                  <c:v>57250</c:v>
                </c:pt>
                <c:pt idx="138">
                  <c:v>57250</c:v>
                </c:pt>
                <c:pt idx="139">
                  <c:v>57250</c:v>
                </c:pt>
                <c:pt idx="140">
                  <c:v>57250</c:v>
                </c:pt>
                <c:pt idx="141">
                  <c:v>57250</c:v>
                </c:pt>
                <c:pt idx="142">
                  <c:v>57250</c:v>
                </c:pt>
                <c:pt idx="143">
                  <c:v>57250</c:v>
                </c:pt>
                <c:pt idx="144">
                  <c:v>57250</c:v>
                </c:pt>
                <c:pt idx="145">
                  <c:v>57250</c:v>
                </c:pt>
                <c:pt idx="146">
                  <c:v>57250</c:v>
                </c:pt>
                <c:pt idx="147">
                  <c:v>57250</c:v>
                </c:pt>
                <c:pt idx="148">
                  <c:v>57250</c:v>
                </c:pt>
                <c:pt idx="149">
                  <c:v>57250</c:v>
                </c:pt>
                <c:pt idx="150">
                  <c:v>57250</c:v>
                </c:pt>
                <c:pt idx="151">
                  <c:v>57250</c:v>
                </c:pt>
                <c:pt idx="152">
                  <c:v>58000</c:v>
                </c:pt>
                <c:pt idx="153">
                  <c:v>58000</c:v>
                </c:pt>
                <c:pt idx="154">
                  <c:v>58813</c:v>
                </c:pt>
                <c:pt idx="155">
                  <c:v>58813</c:v>
                </c:pt>
                <c:pt idx="156">
                  <c:v>58813</c:v>
                </c:pt>
                <c:pt idx="157">
                  <c:v>58813</c:v>
                </c:pt>
                <c:pt idx="158">
                  <c:v>59875</c:v>
                </c:pt>
                <c:pt idx="159">
                  <c:v>59875</c:v>
                </c:pt>
                <c:pt idx="160">
                  <c:v>59875</c:v>
                </c:pt>
                <c:pt idx="161">
                  <c:v>59875</c:v>
                </c:pt>
                <c:pt idx="162">
                  <c:v>59875</c:v>
                </c:pt>
                <c:pt idx="163">
                  <c:v>59875</c:v>
                </c:pt>
                <c:pt idx="164">
                  <c:v>59875</c:v>
                </c:pt>
                <c:pt idx="165">
                  <c:v>59875</c:v>
                </c:pt>
                <c:pt idx="166">
                  <c:v>59875</c:v>
                </c:pt>
                <c:pt idx="167">
                  <c:v>59875</c:v>
                </c:pt>
                <c:pt idx="168">
                  <c:v>59875</c:v>
                </c:pt>
                <c:pt idx="169">
                  <c:v>59875</c:v>
                </c:pt>
                <c:pt idx="170">
                  <c:v>59875</c:v>
                </c:pt>
                <c:pt idx="171">
                  <c:v>59875</c:v>
                </c:pt>
                <c:pt idx="172">
                  <c:v>60375</c:v>
                </c:pt>
                <c:pt idx="173">
                  <c:v>60375</c:v>
                </c:pt>
                <c:pt idx="174">
                  <c:v>60375</c:v>
                </c:pt>
                <c:pt idx="175">
                  <c:v>60375</c:v>
                </c:pt>
                <c:pt idx="176">
                  <c:v>60375</c:v>
                </c:pt>
                <c:pt idx="177">
                  <c:v>60375</c:v>
                </c:pt>
                <c:pt idx="178">
                  <c:v>60375</c:v>
                </c:pt>
                <c:pt idx="179">
                  <c:v>60375</c:v>
                </c:pt>
                <c:pt idx="180">
                  <c:v>60375</c:v>
                </c:pt>
                <c:pt idx="181">
                  <c:v>60375</c:v>
                </c:pt>
                <c:pt idx="182">
                  <c:v>60375</c:v>
                </c:pt>
                <c:pt idx="183">
                  <c:v>60375</c:v>
                </c:pt>
                <c:pt idx="184">
                  <c:v>60375</c:v>
                </c:pt>
                <c:pt idx="185">
                  <c:v>60375</c:v>
                </c:pt>
                <c:pt idx="186">
                  <c:v>60375</c:v>
                </c:pt>
                <c:pt idx="187">
                  <c:v>60375</c:v>
                </c:pt>
                <c:pt idx="188">
                  <c:v>60375</c:v>
                </c:pt>
                <c:pt idx="189">
                  <c:v>60375</c:v>
                </c:pt>
                <c:pt idx="190">
                  <c:v>60375</c:v>
                </c:pt>
                <c:pt idx="191">
                  <c:v>60375</c:v>
                </c:pt>
                <c:pt idx="192">
                  <c:v>60375</c:v>
                </c:pt>
                <c:pt idx="193">
                  <c:v>60375</c:v>
                </c:pt>
                <c:pt idx="194">
                  <c:v>60375</c:v>
                </c:pt>
                <c:pt idx="195">
                  <c:v>60375</c:v>
                </c:pt>
                <c:pt idx="196">
                  <c:v>60375</c:v>
                </c:pt>
                <c:pt idx="197">
                  <c:v>60375</c:v>
                </c:pt>
                <c:pt idx="198">
                  <c:v>60375</c:v>
                </c:pt>
                <c:pt idx="199">
                  <c:v>60375</c:v>
                </c:pt>
                <c:pt idx="200">
                  <c:v>60375</c:v>
                </c:pt>
                <c:pt idx="201">
                  <c:v>60375</c:v>
                </c:pt>
                <c:pt idx="202">
                  <c:v>60375</c:v>
                </c:pt>
                <c:pt idx="203">
                  <c:v>60375</c:v>
                </c:pt>
                <c:pt idx="204">
                  <c:v>60375</c:v>
                </c:pt>
                <c:pt idx="205">
                  <c:v>60375</c:v>
                </c:pt>
                <c:pt idx="206">
                  <c:v>60375</c:v>
                </c:pt>
                <c:pt idx="207">
                  <c:v>60375</c:v>
                </c:pt>
                <c:pt idx="208">
                  <c:v>60375</c:v>
                </c:pt>
                <c:pt idx="209">
                  <c:v>60375</c:v>
                </c:pt>
                <c:pt idx="210">
                  <c:v>60375</c:v>
                </c:pt>
                <c:pt idx="211">
                  <c:v>60375</c:v>
                </c:pt>
                <c:pt idx="212">
                  <c:v>60375</c:v>
                </c:pt>
                <c:pt idx="213">
                  <c:v>60375</c:v>
                </c:pt>
                <c:pt idx="214">
                  <c:v>60375</c:v>
                </c:pt>
                <c:pt idx="215">
                  <c:v>60375</c:v>
                </c:pt>
                <c:pt idx="216">
                  <c:v>60375</c:v>
                </c:pt>
                <c:pt idx="217">
                  <c:v>60375</c:v>
                </c:pt>
                <c:pt idx="218">
                  <c:v>60375</c:v>
                </c:pt>
                <c:pt idx="219">
                  <c:v>60375</c:v>
                </c:pt>
                <c:pt idx="220">
                  <c:v>60375</c:v>
                </c:pt>
                <c:pt idx="221">
                  <c:v>60375</c:v>
                </c:pt>
                <c:pt idx="222">
                  <c:v>60375</c:v>
                </c:pt>
                <c:pt idx="223">
                  <c:v>60375</c:v>
                </c:pt>
                <c:pt idx="224">
                  <c:v>60375</c:v>
                </c:pt>
                <c:pt idx="225">
                  <c:v>60375</c:v>
                </c:pt>
                <c:pt idx="226">
                  <c:v>60375</c:v>
                </c:pt>
                <c:pt idx="227">
                  <c:v>60375</c:v>
                </c:pt>
                <c:pt idx="228">
                  <c:v>60375</c:v>
                </c:pt>
                <c:pt idx="229">
                  <c:v>60375</c:v>
                </c:pt>
                <c:pt idx="230">
                  <c:v>60375</c:v>
                </c:pt>
                <c:pt idx="231">
                  <c:v>60375</c:v>
                </c:pt>
                <c:pt idx="232">
                  <c:v>60375</c:v>
                </c:pt>
                <c:pt idx="233">
                  <c:v>60375</c:v>
                </c:pt>
                <c:pt idx="234">
                  <c:v>60375</c:v>
                </c:pt>
                <c:pt idx="235">
                  <c:v>60375</c:v>
                </c:pt>
                <c:pt idx="236">
                  <c:v>60375</c:v>
                </c:pt>
                <c:pt idx="237">
                  <c:v>60375</c:v>
                </c:pt>
                <c:pt idx="238">
                  <c:v>60375</c:v>
                </c:pt>
                <c:pt idx="239">
                  <c:v>60375</c:v>
                </c:pt>
                <c:pt idx="240">
                  <c:v>60375</c:v>
                </c:pt>
                <c:pt idx="241">
                  <c:v>60375</c:v>
                </c:pt>
                <c:pt idx="242">
                  <c:v>60375</c:v>
                </c:pt>
                <c:pt idx="243">
                  <c:v>60375</c:v>
                </c:pt>
                <c:pt idx="244">
                  <c:v>60375</c:v>
                </c:pt>
                <c:pt idx="245">
                  <c:v>60375</c:v>
                </c:pt>
                <c:pt idx="246">
                  <c:v>60375</c:v>
                </c:pt>
                <c:pt idx="247">
                  <c:v>60375</c:v>
                </c:pt>
                <c:pt idx="248">
                  <c:v>60375</c:v>
                </c:pt>
                <c:pt idx="249">
                  <c:v>60375</c:v>
                </c:pt>
                <c:pt idx="250">
                  <c:v>60375</c:v>
                </c:pt>
                <c:pt idx="251">
                  <c:v>60375</c:v>
                </c:pt>
                <c:pt idx="252">
                  <c:v>60375</c:v>
                </c:pt>
                <c:pt idx="253">
                  <c:v>60375</c:v>
                </c:pt>
                <c:pt idx="254">
                  <c:v>60375</c:v>
                </c:pt>
                <c:pt idx="255">
                  <c:v>60375</c:v>
                </c:pt>
                <c:pt idx="256">
                  <c:v>60375</c:v>
                </c:pt>
                <c:pt idx="257">
                  <c:v>60375</c:v>
                </c:pt>
                <c:pt idx="258">
                  <c:v>60375</c:v>
                </c:pt>
                <c:pt idx="259">
                  <c:v>60375</c:v>
                </c:pt>
                <c:pt idx="260">
                  <c:v>60375</c:v>
                </c:pt>
                <c:pt idx="261">
                  <c:v>60375</c:v>
                </c:pt>
                <c:pt idx="262">
                  <c:v>60375</c:v>
                </c:pt>
                <c:pt idx="263">
                  <c:v>60375</c:v>
                </c:pt>
                <c:pt idx="264">
                  <c:v>60375</c:v>
                </c:pt>
                <c:pt idx="265">
                  <c:v>60375</c:v>
                </c:pt>
                <c:pt idx="266">
                  <c:v>60375</c:v>
                </c:pt>
                <c:pt idx="267">
                  <c:v>60375</c:v>
                </c:pt>
                <c:pt idx="268">
                  <c:v>60375</c:v>
                </c:pt>
                <c:pt idx="269">
                  <c:v>60375</c:v>
                </c:pt>
                <c:pt idx="270">
                  <c:v>60375</c:v>
                </c:pt>
                <c:pt idx="271">
                  <c:v>60375</c:v>
                </c:pt>
                <c:pt idx="272">
                  <c:v>60375</c:v>
                </c:pt>
                <c:pt idx="273">
                  <c:v>60375</c:v>
                </c:pt>
                <c:pt idx="274">
                  <c:v>60375</c:v>
                </c:pt>
                <c:pt idx="275">
                  <c:v>60375</c:v>
                </c:pt>
                <c:pt idx="276">
                  <c:v>60375</c:v>
                </c:pt>
                <c:pt idx="277">
                  <c:v>60375</c:v>
                </c:pt>
                <c:pt idx="278">
                  <c:v>60375</c:v>
                </c:pt>
                <c:pt idx="279">
                  <c:v>60375</c:v>
                </c:pt>
                <c:pt idx="280">
                  <c:v>60375</c:v>
                </c:pt>
                <c:pt idx="281">
                  <c:v>60375</c:v>
                </c:pt>
                <c:pt idx="282">
                  <c:v>60375</c:v>
                </c:pt>
                <c:pt idx="283">
                  <c:v>60375</c:v>
                </c:pt>
                <c:pt idx="284">
                  <c:v>60375</c:v>
                </c:pt>
                <c:pt idx="285">
                  <c:v>60375</c:v>
                </c:pt>
                <c:pt idx="286">
                  <c:v>60375</c:v>
                </c:pt>
                <c:pt idx="287">
                  <c:v>60375</c:v>
                </c:pt>
                <c:pt idx="288">
                  <c:v>60375</c:v>
                </c:pt>
                <c:pt idx="289">
                  <c:v>60375</c:v>
                </c:pt>
                <c:pt idx="290">
                  <c:v>60375</c:v>
                </c:pt>
                <c:pt idx="291">
                  <c:v>60375</c:v>
                </c:pt>
                <c:pt idx="292">
                  <c:v>60375</c:v>
                </c:pt>
                <c:pt idx="293">
                  <c:v>60375</c:v>
                </c:pt>
                <c:pt idx="294">
                  <c:v>60375</c:v>
                </c:pt>
                <c:pt idx="295">
                  <c:v>60375</c:v>
                </c:pt>
                <c:pt idx="296">
                  <c:v>60375</c:v>
                </c:pt>
                <c:pt idx="297">
                  <c:v>60375</c:v>
                </c:pt>
                <c:pt idx="298">
                  <c:v>60375</c:v>
                </c:pt>
                <c:pt idx="299">
                  <c:v>60375</c:v>
                </c:pt>
                <c:pt idx="300">
                  <c:v>60375</c:v>
                </c:pt>
                <c:pt idx="301">
                  <c:v>60375</c:v>
                </c:pt>
                <c:pt idx="302">
                  <c:v>60375</c:v>
                </c:pt>
                <c:pt idx="303">
                  <c:v>60375</c:v>
                </c:pt>
                <c:pt idx="304">
                  <c:v>60375</c:v>
                </c:pt>
                <c:pt idx="305">
                  <c:v>60375</c:v>
                </c:pt>
                <c:pt idx="306">
                  <c:v>60375</c:v>
                </c:pt>
                <c:pt idx="307">
                  <c:v>60375</c:v>
                </c:pt>
                <c:pt idx="308">
                  <c:v>60375</c:v>
                </c:pt>
                <c:pt idx="309">
                  <c:v>60375</c:v>
                </c:pt>
                <c:pt idx="310">
                  <c:v>60375</c:v>
                </c:pt>
                <c:pt idx="311">
                  <c:v>60375</c:v>
                </c:pt>
                <c:pt idx="312">
                  <c:v>60375</c:v>
                </c:pt>
                <c:pt idx="313">
                  <c:v>60375</c:v>
                </c:pt>
                <c:pt idx="314">
                  <c:v>60375</c:v>
                </c:pt>
                <c:pt idx="315">
                  <c:v>60375</c:v>
                </c:pt>
                <c:pt idx="316">
                  <c:v>60375</c:v>
                </c:pt>
                <c:pt idx="317">
                  <c:v>60375</c:v>
                </c:pt>
                <c:pt idx="318">
                  <c:v>60375</c:v>
                </c:pt>
                <c:pt idx="319">
                  <c:v>60375</c:v>
                </c:pt>
                <c:pt idx="320">
                  <c:v>60375</c:v>
                </c:pt>
                <c:pt idx="321">
                  <c:v>60375</c:v>
                </c:pt>
                <c:pt idx="322">
                  <c:v>60375</c:v>
                </c:pt>
                <c:pt idx="323">
                  <c:v>60375</c:v>
                </c:pt>
                <c:pt idx="324">
                  <c:v>60375</c:v>
                </c:pt>
                <c:pt idx="325">
                  <c:v>60375</c:v>
                </c:pt>
                <c:pt idx="326">
                  <c:v>60375</c:v>
                </c:pt>
                <c:pt idx="327">
                  <c:v>60375</c:v>
                </c:pt>
                <c:pt idx="328">
                  <c:v>60375</c:v>
                </c:pt>
                <c:pt idx="329">
                  <c:v>60375</c:v>
                </c:pt>
                <c:pt idx="330">
                  <c:v>60375</c:v>
                </c:pt>
                <c:pt idx="331">
                  <c:v>60375</c:v>
                </c:pt>
                <c:pt idx="332">
                  <c:v>60375</c:v>
                </c:pt>
                <c:pt idx="333">
                  <c:v>60375</c:v>
                </c:pt>
                <c:pt idx="334">
                  <c:v>59375</c:v>
                </c:pt>
                <c:pt idx="335">
                  <c:v>58375</c:v>
                </c:pt>
                <c:pt idx="336">
                  <c:v>58375</c:v>
                </c:pt>
                <c:pt idx="337">
                  <c:v>58375</c:v>
                </c:pt>
                <c:pt idx="338">
                  <c:v>58375</c:v>
                </c:pt>
                <c:pt idx="339">
                  <c:v>58375</c:v>
                </c:pt>
                <c:pt idx="340">
                  <c:v>58375</c:v>
                </c:pt>
                <c:pt idx="341">
                  <c:v>58375</c:v>
                </c:pt>
                <c:pt idx="342">
                  <c:v>58375</c:v>
                </c:pt>
                <c:pt idx="343">
                  <c:v>53833</c:v>
                </c:pt>
                <c:pt idx="344">
                  <c:v>53750</c:v>
                </c:pt>
                <c:pt idx="345">
                  <c:v>53666</c:v>
                </c:pt>
                <c:pt idx="346">
                  <c:v>53583</c:v>
                </c:pt>
                <c:pt idx="347">
                  <c:v>53500</c:v>
                </c:pt>
                <c:pt idx="348">
                  <c:v>53500</c:v>
                </c:pt>
                <c:pt idx="349">
                  <c:v>53417</c:v>
                </c:pt>
                <c:pt idx="350">
                  <c:v>53417</c:v>
                </c:pt>
                <c:pt idx="351">
                  <c:v>53333</c:v>
                </c:pt>
                <c:pt idx="352">
                  <c:v>53333</c:v>
                </c:pt>
                <c:pt idx="353">
                  <c:v>53333</c:v>
                </c:pt>
                <c:pt idx="354">
                  <c:v>53250</c:v>
                </c:pt>
                <c:pt idx="355">
                  <c:v>53125</c:v>
                </c:pt>
                <c:pt idx="356">
                  <c:v>53041</c:v>
                </c:pt>
                <c:pt idx="357">
                  <c:v>52916</c:v>
                </c:pt>
                <c:pt idx="358">
                  <c:v>52916</c:v>
                </c:pt>
                <c:pt idx="359">
                  <c:v>52041</c:v>
                </c:pt>
                <c:pt idx="360">
                  <c:v>50916</c:v>
                </c:pt>
                <c:pt idx="361">
                  <c:v>50875</c:v>
                </c:pt>
                <c:pt idx="362">
                  <c:v>50875</c:v>
                </c:pt>
                <c:pt idx="363">
                  <c:v>50875</c:v>
                </c:pt>
                <c:pt idx="364">
                  <c:v>50875</c:v>
                </c:pt>
                <c:pt idx="365">
                  <c:v>50875</c:v>
                </c:pt>
                <c:pt idx="366">
                  <c:v>50791</c:v>
                </c:pt>
                <c:pt idx="367">
                  <c:v>50750</c:v>
                </c:pt>
                <c:pt idx="368">
                  <c:v>50708</c:v>
                </c:pt>
                <c:pt idx="369">
                  <c:v>50667</c:v>
                </c:pt>
                <c:pt idx="370">
                  <c:v>50667</c:v>
                </c:pt>
                <c:pt idx="371">
                  <c:v>50667</c:v>
                </c:pt>
                <c:pt idx="372">
                  <c:v>50667</c:v>
                </c:pt>
                <c:pt idx="373">
                  <c:v>50583</c:v>
                </c:pt>
                <c:pt idx="374">
                  <c:v>50500</c:v>
                </c:pt>
                <c:pt idx="375">
                  <c:v>50416</c:v>
                </c:pt>
                <c:pt idx="376">
                  <c:v>50375</c:v>
                </c:pt>
                <c:pt idx="377">
                  <c:v>48925</c:v>
                </c:pt>
                <c:pt idx="378">
                  <c:v>48313</c:v>
                </c:pt>
                <c:pt idx="379">
                  <c:v>47688</c:v>
                </c:pt>
                <c:pt idx="380">
                  <c:v>47688</c:v>
                </c:pt>
                <c:pt idx="381">
                  <c:v>50500</c:v>
                </c:pt>
                <c:pt idx="382">
                  <c:v>50000</c:v>
                </c:pt>
                <c:pt idx="383">
                  <c:v>50000</c:v>
                </c:pt>
                <c:pt idx="384">
                  <c:v>50125</c:v>
                </c:pt>
                <c:pt idx="385">
                  <c:v>50125</c:v>
                </c:pt>
                <c:pt idx="386">
                  <c:v>50125</c:v>
                </c:pt>
                <c:pt idx="387">
                  <c:v>50125</c:v>
                </c:pt>
                <c:pt idx="388">
                  <c:v>50125</c:v>
                </c:pt>
                <c:pt idx="389">
                  <c:v>50125</c:v>
                </c:pt>
                <c:pt idx="390">
                  <c:v>50125</c:v>
                </c:pt>
                <c:pt idx="391">
                  <c:v>49875</c:v>
                </c:pt>
                <c:pt idx="392">
                  <c:v>49875</c:v>
                </c:pt>
                <c:pt idx="393">
                  <c:v>49875</c:v>
                </c:pt>
                <c:pt idx="394">
                  <c:v>49375</c:v>
                </c:pt>
                <c:pt idx="395">
                  <c:v>49375</c:v>
                </c:pt>
              </c:numCache>
            </c:numRef>
          </c:val>
          <c:smooth val="0"/>
          <c:extLst>
            <c:ext xmlns:c16="http://schemas.microsoft.com/office/drawing/2014/chart" uri="{C3380CC4-5D6E-409C-BE32-E72D297353CC}">
              <c16:uniqueId val="{00000001-D39F-4B47-8F17-527FCD5DB44B}"/>
            </c:ext>
          </c:extLst>
        </c:ser>
        <c:dLbls>
          <c:showLegendKey val="0"/>
          <c:showVal val="0"/>
          <c:showCatName val="0"/>
          <c:showSerName val="0"/>
          <c:showPercent val="0"/>
          <c:showBubbleSize val="0"/>
        </c:dLbls>
        <c:smooth val="0"/>
        <c:axId val="1811182855"/>
        <c:axId val="642573927"/>
      </c:lineChart>
      <c:dateAx>
        <c:axId val="181118285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2573927"/>
        <c:crosses val="autoZero"/>
        <c:auto val="1"/>
        <c:lblOffset val="100"/>
        <c:baseTimeUnit val="days"/>
      </c:dateAx>
      <c:valAx>
        <c:axId val="642573927"/>
        <c:scaling>
          <c:orientation val="minMax"/>
          <c:min val="4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11182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Charts!$B$1165</c:f>
              <c:strCache>
                <c:ptCount val="1"/>
                <c:pt idx="0">
                  <c:v>中国:价格:隔膜:陶瓷涂覆:9+3μm:国产中端（元/平方米）</c:v>
                </c:pt>
              </c:strCache>
            </c:strRef>
          </c:tx>
          <c:spPr>
            <a:ln w="28575" cap="rnd">
              <a:solidFill>
                <a:schemeClr val="accent1"/>
              </a:solidFill>
              <a:round/>
            </a:ln>
            <a:effectLst/>
          </c:spPr>
          <c:marker>
            <c:symbol val="none"/>
          </c:marker>
          <c:cat>
            <c:strRef>
              <c:f>Charts!$A$1166:$A$1640</c:f>
              <c:strCache>
                <c:ptCount val="475"/>
                <c:pt idx="0">
                  <c:v>2021/5/19</c:v>
                </c:pt>
                <c:pt idx="1">
                  <c:v>2021/5/20</c:v>
                </c:pt>
                <c:pt idx="2">
                  <c:v>2021/5/21</c:v>
                </c:pt>
                <c:pt idx="3">
                  <c:v>2021/5/24</c:v>
                </c:pt>
                <c:pt idx="4">
                  <c:v>2021/5/25</c:v>
                </c:pt>
                <c:pt idx="5">
                  <c:v>2021/5/26</c:v>
                </c:pt>
                <c:pt idx="6">
                  <c:v>2021/5/27</c:v>
                </c:pt>
                <c:pt idx="7">
                  <c:v>2021/5/28</c:v>
                </c:pt>
                <c:pt idx="8">
                  <c:v>2021/5/31</c:v>
                </c:pt>
                <c:pt idx="9">
                  <c:v>2021/6/1</c:v>
                </c:pt>
                <c:pt idx="10">
                  <c:v>2021/6/2</c:v>
                </c:pt>
                <c:pt idx="11">
                  <c:v>2021/6/3</c:v>
                </c:pt>
                <c:pt idx="12">
                  <c:v>2021/6/4</c:v>
                </c:pt>
                <c:pt idx="13">
                  <c:v>2021/6/7</c:v>
                </c:pt>
                <c:pt idx="14">
                  <c:v>2021/6/8</c:v>
                </c:pt>
                <c:pt idx="15">
                  <c:v>2021/6/9</c:v>
                </c:pt>
                <c:pt idx="16">
                  <c:v>2021/6/10</c:v>
                </c:pt>
                <c:pt idx="17">
                  <c:v>2021/6/11</c:v>
                </c:pt>
                <c:pt idx="18">
                  <c:v>2021/6/14</c:v>
                </c:pt>
                <c:pt idx="19">
                  <c:v>2021/6/15</c:v>
                </c:pt>
                <c:pt idx="20">
                  <c:v>2021/6/16</c:v>
                </c:pt>
                <c:pt idx="21">
                  <c:v>2021/6/17</c:v>
                </c:pt>
                <c:pt idx="22">
                  <c:v>2021/6/18</c:v>
                </c:pt>
                <c:pt idx="23">
                  <c:v>2021/6/21</c:v>
                </c:pt>
                <c:pt idx="24">
                  <c:v>2021/6/22</c:v>
                </c:pt>
                <c:pt idx="25">
                  <c:v>2021/6/23</c:v>
                </c:pt>
                <c:pt idx="26">
                  <c:v>2021/6/24</c:v>
                </c:pt>
                <c:pt idx="27">
                  <c:v>2021/6/25</c:v>
                </c:pt>
                <c:pt idx="28">
                  <c:v>2021/6/28</c:v>
                </c:pt>
                <c:pt idx="29">
                  <c:v>2021/6/29</c:v>
                </c:pt>
                <c:pt idx="30">
                  <c:v>2021/6/30</c:v>
                </c:pt>
                <c:pt idx="31">
                  <c:v>2021/7/1</c:v>
                </c:pt>
                <c:pt idx="32">
                  <c:v>2021/7/2</c:v>
                </c:pt>
                <c:pt idx="33">
                  <c:v>2021/7/5</c:v>
                </c:pt>
                <c:pt idx="34">
                  <c:v>2021/7/6</c:v>
                </c:pt>
                <c:pt idx="35">
                  <c:v>2021/7/7</c:v>
                </c:pt>
                <c:pt idx="36">
                  <c:v>2021/7/8</c:v>
                </c:pt>
                <c:pt idx="37">
                  <c:v>2021/7/9</c:v>
                </c:pt>
                <c:pt idx="38">
                  <c:v>2021/7/12</c:v>
                </c:pt>
                <c:pt idx="39">
                  <c:v>2021/7/13</c:v>
                </c:pt>
                <c:pt idx="40">
                  <c:v>2021/7/14</c:v>
                </c:pt>
                <c:pt idx="41">
                  <c:v>2021/7/15</c:v>
                </c:pt>
                <c:pt idx="42">
                  <c:v>2021/7/16</c:v>
                </c:pt>
                <c:pt idx="43">
                  <c:v>2021/7/19</c:v>
                </c:pt>
                <c:pt idx="44">
                  <c:v>2021/7/20</c:v>
                </c:pt>
                <c:pt idx="45">
                  <c:v>2021/7/21</c:v>
                </c:pt>
                <c:pt idx="46">
                  <c:v>2021/7/22</c:v>
                </c:pt>
                <c:pt idx="47">
                  <c:v>2021/7/23</c:v>
                </c:pt>
                <c:pt idx="48">
                  <c:v>2021/7/26</c:v>
                </c:pt>
                <c:pt idx="49">
                  <c:v>2021/7/27</c:v>
                </c:pt>
                <c:pt idx="50">
                  <c:v>2021/7/28</c:v>
                </c:pt>
                <c:pt idx="51">
                  <c:v>2021/7/29</c:v>
                </c:pt>
                <c:pt idx="52">
                  <c:v>2021/7/30</c:v>
                </c:pt>
                <c:pt idx="53">
                  <c:v>2021/8/2</c:v>
                </c:pt>
                <c:pt idx="54">
                  <c:v>2021/8/3</c:v>
                </c:pt>
                <c:pt idx="55">
                  <c:v>2021/8/4</c:v>
                </c:pt>
                <c:pt idx="56">
                  <c:v>2021/8/5</c:v>
                </c:pt>
                <c:pt idx="57">
                  <c:v>2021/8/6</c:v>
                </c:pt>
                <c:pt idx="58">
                  <c:v>2021/8/9</c:v>
                </c:pt>
                <c:pt idx="59">
                  <c:v>2021/8/10</c:v>
                </c:pt>
                <c:pt idx="60">
                  <c:v>2021/8/11</c:v>
                </c:pt>
                <c:pt idx="61">
                  <c:v>2021/8/12</c:v>
                </c:pt>
                <c:pt idx="62">
                  <c:v>2021/8/13</c:v>
                </c:pt>
                <c:pt idx="63">
                  <c:v>2021/8/16</c:v>
                </c:pt>
                <c:pt idx="64">
                  <c:v>2021/8/17</c:v>
                </c:pt>
                <c:pt idx="65">
                  <c:v>2021/8/18</c:v>
                </c:pt>
                <c:pt idx="66">
                  <c:v>2021/8/19</c:v>
                </c:pt>
                <c:pt idx="67">
                  <c:v>2021/8/20</c:v>
                </c:pt>
                <c:pt idx="68">
                  <c:v>2021/8/23</c:v>
                </c:pt>
                <c:pt idx="69">
                  <c:v>2021/8/24</c:v>
                </c:pt>
                <c:pt idx="70">
                  <c:v>2021/8/25</c:v>
                </c:pt>
                <c:pt idx="71">
                  <c:v>2021/8/26</c:v>
                </c:pt>
                <c:pt idx="72">
                  <c:v>2021/8/27</c:v>
                </c:pt>
                <c:pt idx="73">
                  <c:v>2021/8/30</c:v>
                </c:pt>
                <c:pt idx="74">
                  <c:v>2021/8/31</c:v>
                </c:pt>
                <c:pt idx="75">
                  <c:v>2021/9/1</c:v>
                </c:pt>
                <c:pt idx="76">
                  <c:v>2021/9/2</c:v>
                </c:pt>
                <c:pt idx="77">
                  <c:v>2021/9/3</c:v>
                </c:pt>
                <c:pt idx="78">
                  <c:v>2021/9/6</c:v>
                </c:pt>
                <c:pt idx="79">
                  <c:v>2021/9/7</c:v>
                </c:pt>
                <c:pt idx="80">
                  <c:v>2021/9/8</c:v>
                </c:pt>
                <c:pt idx="81">
                  <c:v>2021/9/9</c:v>
                </c:pt>
                <c:pt idx="82">
                  <c:v>2021/9/10</c:v>
                </c:pt>
                <c:pt idx="83">
                  <c:v>2021/9/13</c:v>
                </c:pt>
                <c:pt idx="84">
                  <c:v>2021/9/14</c:v>
                </c:pt>
                <c:pt idx="85">
                  <c:v>2021/9/15</c:v>
                </c:pt>
                <c:pt idx="86">
                  <c:v>2021/9/16</c:v>
                </c:pt>
                <c:pt idx="87">
                  <c:v>2021/9/17</c:v>
                </c:pt>
                <c:pt idx="88">
                  <c:v>2021/9/20</c:v>
                </c:pt>
                <c:pt idx="89">
                  <c:v>2021/9/21</c:v>
                </c:pt>
                <c:pt idx="90">
                  <c:v>2021/9/22</c:v>
                </c:pt>
                <c:pt idx="91">
                  <c:v>2021/9/23</c:v>
                </c:pt>
                <c:pt idx="92">
                  <c:v>2021/9/24</c:v>
                </c:pt>
                <c:pt idx="93">
                  <c:v>2021/9/27</c:v>
                </c:pt>
                <c:pt idx="94">
                  <c:v>2021/9/28</c:v>
                </c:pt>
                <c:pt idx="95">
                  <c:v>2021/9/29</c:v>
                </c:pt>
                <c:pt idx="96">
                  <c:v>2021/9/30</c:v>
                </c:pt>
                <c:pt idx="97">
                  <c:v>2021/10/8</c:v>
                </c:pt>
                <c:pt idx="98">
                  <c:v>2021/10/11</c:v>
                </c:pt>
                <c:pt idx="99">
                  <c:v>2021/10/12</c:v>
                </c:pt>
                <c:pt idx="100">
                  <c:v>2021/10/13</c:v>
                </c:pt>
                <c:pt idx="101">
                  <c:v>2021/10/14</c:v>
                </c:pt>
                <c:pt idx="102">
                  <c:v>2021/10/15</c:v>
                </c:pt>
                <c:pt idx="103">
                  <c:v>2021/10/18</c:v>
                </c:pt>
                <c:pt idx="104">
                  <c:v>2021/10/19</c:v>
                </c:pt>
                <c:pt idx="105">
                  <c:v>2021/10/20</c:v>
                </c:pt>
                <c:pt idx="106">
                  <c:v>2021/10/21</c:v>
                </c:pt>
                <c:pt idx="107">
                  <c:v>2021/10/22</c:v>
                </c:pt>
                <c:pt idx="108">
                  <c:v>2021/10/25</c:v>
                </c:pt>
                <c:pt idx="109">
                  <c:v>2021/10/26</c:v>
                </c:pt>
                <c:pt idx="110">
                  <c:v>2021/10/27</c:v>
                </c:pt>
                <c:pt idx="111">
                  <c:v>2021/10/28</c:v>
                </c:pt>
                <c:pt idx="112">
                  <c:v>2021/10/29</c:v>
                </c:pt>
                <c:pt idx="113">
                  <c:v>2021/11/1</c:v>
                </c:pt>
                <c:pt idx="114">
                  <c:v>2021/11/2</c:v>
                </c:pt>
                <c:pt idx="115">
                  <c:v>2021/11/3</c:v>
                </c:pt>
                <c:pt idx="116">
                  <c:v>2021/11/4</c:v>
                </c:pt>
                <c:pt idx="117">
                  <c:v>2021/11/5</c:v>
                </c:pt>
                <c:pt idx="118">
                  <c:v>2021/11/8</c:v>
                </c:pt>
                <c:pt idx="119">
                  <c:v>2021/11/9</c:v>
                </c:pt>
                <c:pt idx="120">
                  <c:v>2021/11/10</c:v>
                </c:pt>
                <c:pt idx="121">
                  <c:v>2021/11/11</c:v>
                </c:pt>
                <c:pt idx="122">
                  <c:v>2021/11/12</c:v>
                </c:pt>
                <c:pt idx="123">
                  <c:v>2021/11/15</c:v>
                </c:pt>
                <c:pt idx="124">
                  <c:v>2021/11/16</c:v>
                </c:pt>
                <c:pt idx="125">
                  <c:v>2021/11/17</c:v>
                </c:pt>
                <c:pt idx="126">
                  <c:v>2021/11/18</c:v>
                </c:pt>
                <c:pt idx="127">
                  <c:v>2021/11/19</c:v>
                </c:pt>
                <c:pt idx="128">
                  <c:v>2021/11/22</c:v>
                </c:pt>
                <c:pt idx="129">
                  <c:v>2021/11/23</c:v>
                </c:pt>
                <c:pt idx="130">
                  <c:v>2021/11/24</c:v>
                </c:pt>
                <c:pt idx="131">
                  <c:v>2021/11/25</c:v>
                </c:pt>
                <c:pt idx="132">
                  <c:v>2021/11/26</c:v>
                </c:pt>
                <c:pt idx="133">
                  <c:v>2021/11/29</c:v>
                </c:pt>
                <c:pt idx="134">
                  <c:v>2021/11/30</c:v>
                </c:pt>
                <c:pt idx="135">
                  <c:v>2021/12/1</c:v>
                </c:pt>
                <c:pt idx="136">
                  <c:v>2021/12/2</c:v>
                </c:pt>
                <c:pt idx="137">
                  <c:v>2021/12/3</c:v>
                </c:pt>
                <c:pt idx="138">
                  <c:v>2021/12/6</c:v>
                </c:pt>
                <c:pt idx="139">
                  <c:v>2021/12/7</c:v>
                </c:pt>
                <c:pt idx="140">
                  <c:v>2021/12/8</c:v>
                </c:pt>
                <c:pt idx="141">
                  <c:v>2021/12/9</c:v>
                </c:pt>
                <c:pt idx="142">
                  <c:v>2021/12/10</c:v>
                </c:pt>
                <c:pt idx="143">
                  <c:v>2021/12/13</c:v>
                </c:pt>
                <c:pt idx="144">
                  <c:v>2021/12/14</c:v>
                </c:pt>
                <c:pt idx="145">
                  <c:v>2021/12/15</c:v>
                </c:pt>
                <c:pt idx="146">
                  <c:v>2021/12/16</c:v>
                </c:pt>
                <c:pt idx="147">
                  <c:v>2021/12/17</c:v>
                </c:pt>
                <c:pt idx="148">
                  <c:v>2021/12/20</c:v>
                </c:pt>
                <c:pt idx="149">
                  <c:v>2021/12/21</c:v>
                </c:pt>
                <c:pt idx="150">
                  <c:v>2021/12/22</c:v>
                </c:pt>
                <c:pt idx="151">
                  <c:v>2021/12/23</c:v>
                </c:pt>
                <c:pt idx="152">
                  <c:v>2021/12/24</c:v>
                </c:pt>
                <c:pt idx="153">
                  <c:v>2021/12/27</c:v>
                </c:pt>
                <c:pt idx="154">
                  <c:v>2021/12/28</c:v>
                </c:pt>
                <c:pt idx="155">
                  <c:v>2021/12/29</c:v>
                </c:pt>
                <c:pt idx="156">
                  <c:v>2021/12/30</c:v>
                </c:pt>
                <c:pt idx="157">
                  <c:v>2021/12/31</c:v>
                </c:pt>
                <c:pt idx="158">
                  <c:v>2022/1/4</c:v>
                </c:pt>
                <c:pt idx="159">
                  <c:v>2022/1/5</c:v>
                </c:pt>
                <c:pt idx="160">
                  <c:v>2022/1/6</c:v>
                </c:pt>
                <c:pt idx="161">
                  <c:v>2022/1/7</c:v>
                </c:pt>
                <c:pt idx="162">
                  <c:v>2022/1/10</c:v>
                </c:pt>
                <c:pt idx="163">
                  <c:v>2022/1/11</c:v>
                </c:pt>
                <c:pt idx="164">
                  <c:v>2022/1/12</c:v>
                </c:pt>
                <c:pt idx="165">
                  <c:v>2022/1/13</c:v>
                </c:pt>
                <c:pt idx="166">
                  <c:v>2022/1/14</c:v>
                </c:pt>
                <c:pt idx="167">
                  <c:v>2022/1/17</c:v>
                </c:pt>
                <c:pt idx="168">
                  <c:v>2022/1/18</c:v>
                </c:pt>
                <c:pt idx="169">
                  <c:v>2022/1/19</c:v>
                </c:pt>
                <c:pt idx="170">
                  <c:v>2022/1/20</c:v>
                </c:pt>
                <c:pt idx="171">
                  <c:v>2022/1/21</c:v>
                </c:pt>
                <c:pt idx="172">
                  <c:v>2022/1/24</c:v>
                </c:pt>
                <c:pt idx="173">
                  <c:v>2022/1/25</c:v>
                </c:pt>
                <c:pt idx="174">
                  <c:v>2022/1/26</c:v>
                </c:pt>
                <c:pt idx="175">
                  <c:v>2022/1/27</c:v>
                </c:pt>
                <c:pt idx="176">
                  <c:v>2022/1/28</c:v>
                </c:pt>
                <c:pt idx="177">
                  <c:v>2022/2/7</c:v>
                </c:pt>
                <c:pt idx="178">
                  <c:v>2022/2/8</c:v>
                </c:pt>
                <c:pt idx="179">
                  <c:v>2022/2/9</c:v>
                </c:pt>
                <c:pt idx="180">
                  <c:v>2022/2/10</c:v>
                </c:pt>
                <c:pt idx="181">
                  <c:v>2022/2/11</c:v>
                </c:pt>
                <c:pt idx="182">
                  <c:v>2022/2/14</c:v>
                </c:pt>
                <c:pt idx="183">
                  <c:v>2022/2/15</c:v>
                </c:pt>
                <c:pt idx="184">
                  <c:v>2022/2/16</c:v>
                </c:pt>
                <c:pt idx="185">
                  <c:v>2022/2/17</c:v>
                </c:pt>
                <c:pt idx="186">
                  <c:v>2022/2/18</c:v>
                </c:pt>
                <c:pt idx="187">
                  <c:v>2022/2/21</c:v>
                </c:pt>
                <c:pt idx="188">
                  <c:v>2022/2/22</c:v>
                </c:pt>
                <c:pt idx="189">
                  <c:v>2022/2/23</c:v>
                </c:pt>
                <c:pt idx="190">
                  <c:v>2022/2/24</c:v>
                </c:pt>
                <c:pt idx="191">
                  <c:v>2022/2/25</c:v>
                </c:pt>
                <c:pt idx="192">
                  <c:v>2022/2/28</c:v>
                </c:pt>
                <c:pt idx="193">
                  <c:v>2022/3/1</c:v>
                </c:pt>
                <c:pt idx="194">
                  <c:v>2022/3/2</c:v>
                </c:pt>
                <c:pt idx="195">
                  <c:v>2022/3/3</c:v>
                </c:pt>
                <c:pt idx="196">
                  <c:v>2022/3/4</c:v>
                </c:pt>
                <c:pt idx="197">
                  <c:v>2022/3/7</c:v>
                </c:pt>
                <c:pt idx="198">
                  <c:v>2022/3/8</c:v>
                </c:pt>
                <c:pt idx="199">
                  <c:v>2022/3/9</c:v>
                </c:pt>
                <c:pt idx="200">
                  <c:v>2022/3/10</c:v>
                </c:pt>
                <c:pt idx="201">
                  <c:v>2022/3/11</c:v>
                </c:pt>
                <c:pt idx="202">
                  <c:v>2022/3/14</c:v>
                </c:pt>
                <c:pt idx="203">
                  <c:v>2022/3/15</c:v>
                </c:pt>
                <c:pt idx="204">
                  <c:v>2022/3/16</c:v>
                </c:pt>
                <c:pt idx="205">
                  <c:v>2022/3/17</c:v>
                </c:pt>
                <c:pt idx="206">
                  <c:v>2022/3/18</c:v>
                </c:pt>
                <c:pt idx="207">
                  <c:v>2022/3/21</c:v>
                </c:pt>
                <c:pt idx="208">
                  <c:v>2022/3/22</c:v>
                </c:pt>
                <c:pt idx="209">
                  <c:v>2022/3/23</c:v>
                </c:pt>
                <c:pt idx="210">
                  <c:v>2022/3/24</c:v>
                </c:pt>
                <c:pt idx="211">
                  <c:v>2022/3/25</c:v>
                </c:pt>
                <c:pt idx="212">
                  <c:v>2022/3/28</c:v>
                </c:pt>
                <c:pt idx="213">
                  <c:v>2022/3/29</c:v>
                </c:pt>
                <c:pt idx="214">
                  <c:v>2022/3/30</c:v>
                </c:pt>
                <c:pt idx="215">
                  <c:v>2022/3/31</c:v>
                </c:pt>
                <c:pt idx="216">
                  <c:v>2022/4/1</c:v>
                </c:pt>
                <c:pt idx="217">
                  <c:v>2022/4/4</c:v>
                </c:pt>
                <c:pt idx="218">
                  <c:v>2022/4/5</c:v>
                </c:pt>
                <c:pt idx="219">
                  <c:v>2022/4/6</c:v>
                </c:pt>
                <c:pt idx="220">
                  <c:v>2022/4/7</c:v>
                </c:pt>
                <c:pt idx="221">
                  <c:v>2022/4/8</c:v>
                </c:pt>
                <c:pt idx="222">
                  <c:v>2022/4/11</c:v>
                </c:pt>
                <c:pt idx="223">
                  <c:v>2022/4/12</c:v>
                </c:pt>
                <c:pt idx="224">
                  <c:v>2022/4/13</c:v>
                </c:pt>
                <c:pt idx="225">
                  <c:v>2022/4/14</c:v>
                </c:pt>
                <c:pt idx="226">
                  <c:v>2022/4/15</c:v>
                </c:pt>
                <c:pt idx="227">
                  <c:v>2022/4/18</c:v>
                </c:pt>
                <c:pt idx="228">
                  <c:v>2022/4/19</c:v>
                </c:pt>
                <c:pt idx="229">
                  <c:v>2022/4/20</c:v>
                </c:pt>
                <c:pt idx="230">
                  <c:v>2022/4/21</c:v>
                </c:pt>
                <c:pt idx="231">
                  <c:v>2022/4/22</c:v>
                </c:pt>
                <c:pt idx="232">
                  <c:v>2022/4/24</c:v>
                </c:pt>
                <c:pt idx="233">
                  <c:v>2022/4/25</c:v>
                </c:pt>
                <c:pt idx="234">
                  <c:v>2022/4/26</c:v>
                </c:pt>
                <c:pt idx="235">
                  <c:v>2022/4/27</c:v>
                </c:pt>
                <c:pt idx="236">
                  <c:v>2022/4/28</c:v>
                </c:pt>
                <c:pt idx="237">
                  <c:v>2022/4/29</c:v>
                </c:pt>
                <c:pt idx="238">
                  <c:v>2022/5/5</c:v>
                </c:pt>
                <c:pt idx="239">
                  <c:v>2022/5/6</c:v>
                </c:pt>
                <c:pt idx="240">
                  <c:v>2022/5/7</c:v>
                </c:pt>
                <c:pt idx="241">
                  <c:v>2022/5/9</c:v>
                </c:pt>
                <c:pt idx="242">
                  <c:v>2022/5/10</c:v>
                </c:pt>
                <c:pt idx="243">
                  <c:v>2022/5/11</c:v>
                </c:pt>
                <c:pt idx="244">
                  <c:v>2022/5/12</c:v>
                </c:pt>
                <c:pt idx="245">
                  <c:v>2022/5/13</c:v>
                </c:pt>
                <c:pt idx="246">
                  <c:v>2022/5/16</c:v>
                </c:pt>
                <c:pt idx="247">
                  <c:v>2022/5/17</c:v>
                </c:pt>
                <c:pt idx="248">
                  <c:v>2022/5/18</c:v>
                </c:pt>
                <c:pt idx="249">
                  <c:v>2022/5/19</c:v>
                </c:pt>
                <c:pt idx="250">
                  <c:v>2022/5/20</c:v>
                </c:pt>
                <c:pt idx="251">
                  <c:v>2022/5/23</c:v>
                </c:pt>
                <c:pt idx="252">
                  <c:v>2022/5/24</c:v>
                </c:pt>
                <c:pt idx="253">
                  <c:v>2022/5/25</c:v>
                </c:pt>
                <c:pt idx="254">
                  <c:v>2022/5/26</c:v>
                </c:pt>
                <c:pt idx="255">
                  <c:v>2022/5/27</c:v>
                </c:pt>
                <c:pt idx="256">
                  <c:v>2022/5/30</c:v>
                </c:pt>
                <c:pt idx="257">
                  <c:v>2022/5/31</c:v>
                </c:pt>
                <c:pt idx="258">
                  <c:v>2022/6/1</c:v>
                </c:pt>
                <c:pt idx="259">
                  <c:v>2022/6/2</c:v>
                </c:pt>
                <c:pt idx="260">
                  <c:v>2022/6/3</c:v>
                </c:pt>
                <c:pt idx="261">
                  <c:v>2022/6/6</c:v>
                </c:pt>
                <c:pt idx="262">
                  <c:v>2022/6/7</c:v>
                </c:pt>
                <c:pt idx="263">
                  <c:v>2022/6/8</c:v>
                </c:pt>
                <c:pt idx="264">
                  <c:v>2022/6/9</c:v>
                </c:pt>
                <c:pt idx="265">
                  <c:v>2022/6/10</c:v>
                </c:pt>
                <c:pt idx="266">
                  <c:v>2022/6/13</c:v>
                </c:pt>
                <c:pt idx="267">
                  <c:v>2022/6/14</c:v>
                </c:pt>
                <c:pt idx="268">
                  <c:v>2022/6/15</c:v>
                </c:pt>
                <c:pt idx="269">
                  <c:v>2022/6/16</c:v>
                </c:pt>
                <c:pt idx="270">
                  <c:v>2022/6/17</c:v>
                </c:pt>
                <c:pt idx="271">
                  <c:v>2022/6/20</c:v>
                </c:pt>
                <c:pt idx="272">
                  <c:v>2022/6/21</c:v>
                </c:pt>
                <c:pt idx="273">
                  <c:v>2022/6/22</c:v>
                </c:pt>
                <c:pt idx="274">
                  <c:v>2022/6/23</c:v>
                </c:pt>
                <c:pt idx="275">
                  <c:v>2022/6/24</c:v>
                </c:pt>
                <c:pt idx="276">
                  <c:v>2022/6/27</c:v>
                </c:pt>
                <c:pt idx="277">
                  <c:v>2022/6/28</c:v>
                </c:pt>
                <c:pt idx="278">
                  <c:v>2022/6/29</c:v>
                </c:pt>
                <c:pt idx="279">
                  <c:v>2022/6/30</c:v>
                </c:pt>
                <c:pt idx="280">
                  <c:v>2022/7/1</c:v>
                </c:pt>
                <c:pt idx="281">
                  <c:v>2022/7/4</c:v>
                </c:pt>
                <c:pt idx="282">
                  <c:v>2022/7/5</c:v>
                </c:pt>
                <c:pt idx="283">
                  <c:v>2022/7/6</c:v>
                </c:pt>
                <c:pt idx="284">
                  <c:v>2022/7/7</c:v>
                </c:pt>
                <c:pt idx="285">
                  <c:v>2022/7/8</c:v>
                </c:pt>
                <c:pt idx="286">
                  <c:v>2022/7/11</c:v>
                </c:pt>
                <c:pt idx="287">
                  <c:v>2022/7/12</c:v>
                </c:pt>
                <c:pt idx="288">
                  <c:v>2022/7/13</c:v>
                </c:pt>
                <c:pt idx="289">
                  <c:v>2022/7/14</c:v>
                </c:pt>
                <c:pt idx="290">
                  <c:v>2022/7/15</c:v>
                </c:pt>
                <c:pt idx="291">
                  <c:v>2022/7/18</c:v>
                </c:pt>
                <c:pt idx="292">
                  <c:v>2022/7/19</c:v>
                </c:pt>
                <c:pt idx="293">
                  <c:v>2022/7/20</c:v>
                </c:pt>
                <c:pt idx="294">
                  <c:v>2022/7/21</c:v>
                </c:pt>
                <c:pt idx="295">
                  <c:v>2022/7/22</c:v>
                </c:pt>
                <c:pt idx="296">
                  <c:v>2022/7/25</c:v>
                </c:pt>
                <c:pt idx="297">
                  <c:v>2022/7/26</c:v>
                </c:pt>
                <c:pt idx="298">
                  <c:v>2022/7/27</c:v>
                </c:pt>
                <c:pt idx="299">
                  <c:v>2022/7/28</c:v>
                </c:pt>
                <c:pt idx="300">
                  <c:v>2022/7/29</c:v>
                </c:pt>
                <c:pt idx="301">
                  <c:v>2022/8/1</c:v>
                </c:pt>
                <c:pt idx="302">
                  <c:v>2022/8/2</c:v>
                </c:pt>
                <c:pt idx="303">
                  <c:v>2022/8/3</c:v>
                </c:pt>
                <c:pt idx="304">
                  <c:v>2022/8/4</c:v>
                </c:pt>
                <c:pt idx="305">
                  <c:v>2022/8/5</c:v>
                </c:pt>
                <c:pt idx="306">
                  <c:v>2022/8/8</c:v>
                </c:pt>
                <c:pt idx="307">
                  <c:v>2022/8/9</c:v>
                </c:pt>
                <c:pt idx="308">
                  <c:v>2022/8/10</c:v>
                </c:pt>
                <c:pt idx="309">
                  <c:v>2022/8/11</c:v>
                </c:pt>
                <c:pt idx="310">
                  <c:v>2022/8/12</c:v>
                </c:pt>
                <c:pt idx="311">
                  <c:v>2022/8/15</c:v>
                </c:pt>
                <c:pt idx="312">
                  <c:v>2022/8/16</c:v>
                </c:pt>
                <c:pt idx="313">
                  <c:v>2022/8/17</c:v>
                </c:pt>
                <c:pt idx="314">
                  <c:v>2022/8/18</c:v>
                </c:pt>
                <c:pt idx="315">
                  <c:v>2022/8/19</c:v>
                </c:pt>
                <c:pt idx="316">
                  <c:v>2022/8/22</c:v>
                </c:pt>
                <c:pt idx="317">
                  <c:v>2022/8/23</c:v>
                </c:pt>
                <c:pt idx="318">
                  <c:v>2022/8/24</c:v>
                </c:pt>
                <c:pt idx="319">
                  <c:v>2022/8/25</c:v>
                </c:pt>
                <c:pt idx="320">
                  <c:v>2022/8/26</c:v>
                </c:pt>
                <c:pt idx="321">
                  <c:v>2022/8/29</c:v>
                </c:pt>
                <c:pt idx="322">
                  <c:v>2022/8/30</c:v>
                </c:pt>
                <c:pt idx="323">
                  <c:v>2022/8/31</c:v>
                </c:pt>
                <c:pt idx="324">
                  <c:v>2022/9/1</c:v>
                </c:pt>
                <c:pt idx="325">
                  <c:v>2022/9/2</c:v>
                </c:pt>
                <c:pt idx="326">
                  <c:v>2022/9/5</c:v>
                </c:pt>
                <c:pt idx="327">
                  <c:v>2022/9/6</c:v>
                </c:pt>
                <c:pt idx="328">
                  <c:v>2022/9/7</c:v>
                </c:pt>
                <c:pt idx="329">
                  <c:v>2022/9/8</c:v>
                </c:pt>
                <c:pt idx="330">
                  <c:v>2022/9/9</c:v>
                </c:pt>
                <c:pt idx="331">
                  <c:v>2022/9/12</c:v>
                </c:pt>
                <c:pt idx="332">
                  <c:v>2022/9/13</c:v>
                </c:pt>
                <c:pt idx="333">
                  <c:v>2022/9/14</c:v>
                </c:pt>
                <c:pt idx="334">
                  <c:v>2022/9/15</c:v>
                </c:pt>
                <c:pt idx="335">
                  <c:v>2022/9/16</c:v>
                </c:pt>
                <c:pt idx="336">
                  <c:v>2022/9/19</c:v>
                </c:pt>
                <c:pt idx="337">
                  <c:v>2022/9/20</c:v>
                </c:pt>
                <c:pt idx="338">
                  <c:v>2022/9/21</c:v>
                </c:pt>
                <c:pt idx="339">
                  <c:v>2022/9/22</c:v>
                </c:pt>
                <c:pt idx="340">
                  <c:v>2022/9/23</c:v>
                </c:pt>
                <c:pt idx="341">
                  <c:v>2022/9/26</c:v>
                </c:pt>
                <c:pt idx="342">
                  <c:v>2022/9/27</c:v>
                </c:pt>
                <c:pt idx="343">
                  <c:v>2022/9/28</c:v>
                </c:pt>
                <c:pt idx="344">
                  <c:v>2022/9/29</c:v>
                </c:pt>
                <c:pt idx="345">
                  <c:v>2022/9/30</c:v>
                </c:pt>
                <c:pt idx="346">
                  <c:v>2022/10/7</c:v>
                </c:pt>
                <c:pt idx="347">
                  <c:v>2022/10/8</c:v>
                </c:pt>
                <c:pt idx="348">
                  <c:v>2022/10/9</c:v>
                </c:pt>
                <c:pt idx="349">
                  <c:v>2022/10/10</c:v>
                </c:pt>
                <c:pt idx="350">
                  <c:v>2022/10/11</c:v>
                </c:pt>
                <c:pt idx="351">
                  <c:v>2022/10/12</c:v>
                </c:pt>
                <c:pt idx="352">
                  <c:v>2022/10/13</c:v>
                </c:pt>
                <c:pt idx="353">
                  <c:v>2022/10/14</c:v>
                </c:pt>
                <c:pt idx="354">
                  <c:v>2022/10/17</c:v>
                </c:pt>
                <c:pt idx="355">
                  <c:v>2022/10/18</c:v>
                </c:pt>
                <c:pt idx="356">
                  <c:v>2022/10/19</c:v>
                </c:pt>
                <c:pt idx="357">
                  <c:v>2022/10/20</c:v>
                </c:pt>
                <c:pt idx="358">
                  <c:v>2022/10/21</c:v>
                </c:pt>
                <c:pt idx="359">
                  <c:v>2022/10/24</c:v>
                </c:pt>
                <c:pt idx="360">
                  <c:v>2022/10/25</c:v>
                </c:pt>
                <c:pt idx="361">
                  <c:v>2022/10/26</c:v>
                </c:pt>
                <c:pt idx="362">
                  <c:v>2022/10/27</c:v>
                </c:pt>
                <c:pt idx="363">
                  <c:v>2022/10/28</c:v>
                </c:pt>
                <c:pt idx="364">
                  <c:v>2022/10/31</c:v>
                </c:pt>
                <c:pt idx="365">
                  <c:v>2022/11/1</c:v>
                </c:pt>
                <c:pt idx="366">
                  <c:v>2022/11/2</c:v>
                </c:pt>
                <c:pt idx="367">
                  <c:v>2022/11/3</c:v>
                </c:pt>
                <c:pt idx="368">
                  <c:v>2022/11/4</c:v>
                </c:pt>
                <c:pt idx="369">
                  <c:v>2022/11/7</c:v>
                </c:pt>
                <c:pt idx="370">
                  <c:v>2022/11/8</c:v>
                </c:pt>
                <c:pt idx="371">
                  <c:v>2022/11/9</c:v>
                </c:pt>
                <c:pt idx="372">
                  <c:v>2022/11/10</c:v>
                </c:pt>
                <c:pt idx="373">
                  <c:v>2022/11/11</c:v>
                </c:pt>
                <c:pt idx="374">
                  <c:v>2022/11/14</c:v>
                </c:pt>
                <c:pt idx="375">
                  <c:v>2022/11/15</c:v>
                </c:pt>
                <c:pt idx="376">
                  <c:v>2022/11/16</c:v>
                </c:pt>
                <c:pt idx="377">
                  <c:v>2022/11/17</c:v>
                </c:pt>
                <c:pt idx="378">
                  <c:v>2022/11/18</c:v>
                </c:pt>
                <c:pt idx="379">
                  <c:v>2022/11/21</c:v>
                </c:pt>
                <c:pt idx="380">
                  <c:v>2022/11/22</c:v>
                </c:pt>
                <c:pt idx="381">
                  <c:v>2022/11/23</c:v>
                </c:pt>
                <c:pt idx="382">
                  <c:v>2022/11/24</c:v>
                </c:pt>
                <c:pt idx="383">
                  <c:v>2022/11/25</c:v>
                </c:pt>
                <c:pt idx="384">
                  <c:v>2022/11/28</c:v>
                </c:pt>
                <c:pt idx="385">
                  <c:v>2022/11/29</c:v>
                </c:pt>
                <c:pt idx="386">
                  <c:v>2022/11/30</c:v>
                </c:pt>
                <c:pt idx="387">
                  <c:v>2022/12/1</c:v>
                </c:pt>
                <c:pt idx="388">
                  <c:v>2022/12/2</c:v>
                </c:pt>
                <c:pt idx="389">
                  <c:v>2022/12/5</c:v>
                </c:pt>
                <c:pt idx="390">
                  <c:v>2022/12/6</c:v>
                </c:pt>
                <c:pt idx="391">
                  <c:v>2022/12/7</c:v>
                </c:pt>
                <c:pt idx="392">
                  <c:v>2022/12/8</c:v>
                </c:pt>
                <c:pt idx="393">
                  <c:v>2022/12/9</c:v>
                </c:pt>
                <c:pt idx="394">
                  <c:v>2022/12/12</c:v>
                </c:pt>
                <c:pt idx="395">
                  <c:v>2022/12/13</c:v>
                </c:pt>
                <c:pt idx="396">
                  <c:v>2022/12/14</c:v>
                </c:pt>
                <c:pt idx="397">
                  <c:v>2022/12/15</c:v>
                </c:pt>
                <c:pt idx="398">
                  <c:v>2022/12/16</c:v>
                </c:pt>
                <c:pt idx="399">
                  <c:v>2022/12/19</c:v>
                </c:pt>
                <c:pt idx="400">
                  <c:v>2022/12/20</c:v>
                </c:pt>
                <c:pt idx="401">
                  <c:v>2022/12/21</c:v>
                </c:pt>
                <c:pt idx="402">
                  <c:v>2022/12/22</c:v>
                </c:pt>
                <c:pt idx="403">
                  <c:v>2022/12/23</c:v>
                </c:pt>
                <c:pt idx="404">
                  <c:v>2022/12/26</c:v>
                </c:pt>
                <c:pt idx="405">
                  <c:v>2022/12/27</c:v>
                </c:pt>
                <c:pt idx="406">
                  <c:v>2022/12/28</c:v>
                </c:pt>
                <c:pt idx="407">
                  <c:v>2022/12/29</c:v>
                </c:pt>
                <c:pt idx="408">
                  <c:v>2022/12/30</c:v>
                </c:pt>
                <c:pt idx="409">
                  <c:v>2023/1/2</c:v>
                </c:pt>
                <c:pt idx="410">
                  <c:v>2023/1/3</c:v>
                </c:pt>
                <c:pt idx="411">
                  <c:v>2023/1/4</c:v>
                </c:pt>
                <c:pt idx="412">
                  <c:v>2023/1/5</c:v>
                </c:pt>
                <c:pt idx="413">
                  <c:v>2023/1/6</c:v>
                </c:pt>
                <c:pt idx="414">
                  <c:v>2023/1/9</c:v>
                </c:pt>
                <c:pt idx="415">
                  <c:v>2023/1/10</c:v>
                </c:pt>
                <c:pt idx="416">
                  <c:v>2023/1/11</c:v>
                </c:pt>
                <c:pt idx="417">
                  <c:v>2023/1/12</c:v>
                </c:pt>
                <c:pt idx="418">
                  <c:v>2023/1/13</c:v>
                </c:pt>
                <c:pt idx="419">
                  <c:v>2023/1/16</c:v>
                </c:pt>
                <c:pt idx="420">
                  <c:v>2023/1/17</c:v>
                </c:pt>
                <c:pt idx="421">
                  <c:v>2023/1/18</c:v>
                </c:pt>
                <c:pt idx="422">
                  <c:v>2023/1/19</c:v>
                </c:pt>
                <c:pt idx="423">
                  <c:v>2023/1/20</c:v>
                </c:pt>
                <c:pt idx="424">
                  <c:v>2023/1/23</c:v>
                </c:pt>
                <c:pt idx="425">
                  <c:v>2023/1/24</c:v>
                </c:pt>
                <c:pt idx="426">
                  <c:v>2023/1/25</c:v>
                </c:pt>
                <c:pt idx="427">
                  <c:v>2023/1/26</c:v>
                </c:pt>
                <c:pt idx="428">
                  <c:v>2023/1/27</c:v>
                </c:pt>
                <c:pt idx="429">
                  <c:v>2023/1/28</c:v>
                </c:pt>
                <c:pt idx="430">
                  <c:v>2023/1/29</c:v>
                </c:pt>
                <c:pt idx="431">
                  <c:v>2023/1/30</c:v>
                </c:pt>
                <c:pt idx="432">
                  <c:v>2023/1/31</c:v>
                </c:pt>
                <c:pt idx="433">
                  <c:v>2023/2/1</c:v>
                </c:pt>
                <c:pt idx="434">
                  <c:v>2023/2/2</c:v>
                </c:pt>
                <c:pt idx="435">
                  <c:v>2023/2/3</c:v>
                </c:pt>
                <c:pt idx="436">
                  <c:v>2023/2/6</c:v>
                </c:pt>
                <c:pt idx="437">
                  <c:v>2023/2/7</c:v>
                </c:pt>
                <c:pt idx="438">
                  <c:v>2023/2/8</c:v>
                </c:pt>
                <c:pt idx="439">
                  <c:v>2023/2/9</c:v>
                </c:pt>
                <c:pt idx="440">
                  <c:v>2023/2/10</c:v>
                </c:pt>
                <c:pt idx="441">
                  <c:v>2023/2/13</c:v>
                </c:pt>
                <c:pt idx="442">
                  <c:v>2023/2/14</c:v>
                </c:pt>
                <c:pt idx="443">
                  <c:v>2023/2/15</c:v>
                </c:pt>
                <c:pt idx="444">
                  <c:v>2023/2/16</c:v>
                </c:pt>
                <c:pt idx="445">
                  <c:v>2023/2/17</c:v>
                </c:pt>
                <c:pt idx="446">
                  <c:v>2023/2/20</c:v>
                </c:pt>
                <c:pt idx="447">
                  <c:v>2023/2/21</c:v>
                </c:pt>
                <c:pt idx="448">
                  <c:v>2023/2/22</c:v>
                </c:pt>
                <c:pt idx="449">
                  <c:v>2023/2/23</c:v>
                </c:pt>
                <c:pt idx="450">
                  <c:v>2023/2/24</c:v>
                </c:pt>
                <c:pt idx="451">
                  <c:v>2023/2/27</c:v>
                </c:pt>
                <c:pt idx="452">
                  <c:v>2023/2/28</c:v>
                </c:pt>
                <c:pt idx="453">
                  <c:v>2023/3/1</c:v>
                </c:pt>
                <c:pt idx="454">
                  <c:v>2023/3/2</c:v>
                </c:pt>
                <c:pt idx="455">
                  <c:v>2023/3/3</c:v>
                </c:pt>
                <c:pt idx="456">
                  <c:v>2023/3/6</c:v>
                </c:pt>
                <c:pt idx="457">
                  <c:v>2023/3/7</c:v>
                </c:pt>
                <c:pt idx="458">
                  <c:v>2023/3/8</c:v>
                </c:pt>
                <c:pt idx="459">
                  <c:v>2023/3/9</c:v>
                </c:pt>
                <c:pt idx="460">
                  <c:v>2023/3/10</c:v>
                </c:pt>
                <c:pt idx="461">
                  <c:v>2023/3/13</c:v>
                </c:pt>
                <c:pt idx="462">
                  <c:v>2023/3/14</c:v>
                </c:pt>
                <c:pt idx="463">
                  <c:v>2023/3/15</c:v>
                </c:pt>
                <c:pt idx="464">
                  <c:v>2023/3/16</c:v>
                </c:pt>
                <c:pt idx="465">
                  <c:v>2023/3/17</c:v>
                </c:pt>
                <c:pt idx="466">
                  <c:v>2023/3/20</c:v>
                </c:pt>
                <c:pt idx="467">
                  <c:v>2023/3/21</c:v>
                </c:pt>
                <c:pt idx="468">
                  <c:v>2023/3/22</c:v>
                </c:pt>
                <c:pt idx="469">
                  <c:v>2023/3/23</c:v>
                </c:pt>
                <c:pt idx="470">
                  <c:v>2023/3/24</c:v>
                </c:pt>
                <c:pt idx="471">
                  <c:v>2023/3/27</c:v>
                </c:pt>
                <c:pt idx="472">
                  <c:v>2023/3/28</c:v>
                </c:pt>
                <c:pt idx="474">
                  <c:v>数据来源：Wind</c:v>
                </c:pt>
              </c:strCache>
            </c:strRef>
          </c:cat>
          <c:val>
            <c:numRef>
              <c:f>Charts!$B$1166:$B$1640</c:f>
              <c:numCache>
                <c:formatCode>General</c:formatCode>
                <c:ptCount val="475"/>
                <c:pt idx="0">
                  <c:v>1.95</c:v>
                </c:pt>
                <c:pt idx="1">
                  <c:v>1.95</c:v>
                </c:pt>
                <c:pt idx="2">
                  <c:v>1.95</c:v>
                </c:pt>
                <c:pt idx="3">
                  <c:v>1.95</c:v>
                </c:pt>
                <c:pt idx="4">
                  <c:v>1.95</c:v>
                </c:pt>
                <c:pt idx="5">
                  <c:v>1.95</c:v>
                </c:pt>
                <c:pt idx="6">
                  <c:v>1.95</c:v>
                </c:pt>
                <c:pt idx="7">
                  <c:v>1.95</c:v>
                </c:pt>
                <c:pt idx="8">
                  <c:v>1.95</c:v>
                </c:pt>
                <c:pt idx="9">
                  <c:v>1.95</c:v>
                </c:pt>
                <c:pt idx="10">
                  <c:v>1.95</c:v>
                </c:pt>
                <c:pt idx="11">
                  <c:v>1.95</c:v>
                </c:pt>
                <c:pt idx="12">
                  <c:v>1.95</c:v>
                </c:pt>
                <c:pt idx="13">
                  <c:v>1.95</c:v>
                </c:pt>
                <c:pt idx="14">
                  <c:v>1.95</c:v>
                </c:pt>
                <c:pt idx="15">
                  <c:v>1.95</c:v>
                </c:pt>
                <c:pt idx="16">
                  <c:v>1.95</c:v>
                </c:pt>
                <c:pt idx="17">
                  <c:v>1.95</c:v>
                </c:pt>
                <c:pt idx="18">
                  <c:v>1.95</c:v>
                </c:pt>
                <c:pt idx="19">
                  <c:v>1.95</c:v>
                </c:pt>
                <c:pt idx="20">
                  <c:v>1.95</c:v>
                </c:pt>
                <c:pt idx="21">
                  <c:v>1.95</c:v>
                </c:pt>
                <c:pt idx="22">
                  <c:v>1.95</c:v>
                </c:pt>
                <c:pt idx="23">
                  <c:v>1.95</c:v>
                </c:pt>
                <c:pt idx="24">
                  <c:v>1.95</c:v>
                </c:pt>
                <c:pt idx="25">
                  <c:v>1.95</c:v>
                </c:pt>
                <c:pt idx="26">
                  <c:v>1.95</c:v>
                </c:pt>
                <c:pt idx="27">
                  <c:v>1.95</c:v>
                </c:pt>
                <c:pt idx="28">
                  <c:v>1.95</c:v>
                </c:pt>
                <c:pt idx="29">
                  <c:v>1.95</c:v>
                </c:pt>
                <c:pt idx="30">
                  <c:v>1.95</c:v>
                </c:pt>
                <c:pt idx="31">
                  <c:v>1.95</c:v>
                </c:pt>
                <c:pt idx="32">
                  <c:v>1.95</c:v>
                </c:pt>
                <c:pt idx="33">
                  <c:v>1.95</c:v>
                </c:pt>
                <c:pt idx="34">
                  <c:v>1.95</c:v>
                </c:pt>
                <c:pt idx="35">
                  <c:v>1.95</c:v>
                </c:pt>
                <c:pt idx="36">
                  <c:v>1.95</c:v>
                </c:pt>
                <c:pt idx="37">
                  <c:v>1.95</c:v>
                </c:pt>
                <c:pt idx="38">
                  <c:v>1.95</c:v>
                </c:pt>
                <c:pt idx="39">
                  <c:v>1.95</c:v>
                </c:pt>
                <c:pt idx="40">
                  <c:v>1.95</c:v>
                </c:pt>
                <c:pt idx="41">
                  <c:v>1.95</c:v>
                </c:pt>
                <c:pt idx="42">
                  <c:v>1.95</c:v>
                </c:pt>
                <c:pt idx="43">
                  <c:v>1.95</c:v>
                </c:pt>
                <c:pt idx="44">
                  <c:v>1.95</c:v>
                </c:pt>
                <c:pt idx="45">
                  <c:v>1.95</c:v>
                </c:pt>
                <c:pt idx="46">
                  <c:v>1.95</c:v>
                </c:pt>
                <c:pt idx="47">
                  <c:v>1.95</c:v>
                </c:pt>
                <c:pt idx="48">
                  <c:v>1.95</c:v>
                </c:pt>
                <c:pt idx="49">
                  <c:v>1.95</c:v>
                </c:pt>
                <c:pt idx="50">
                  <c:v>1.95</c:v>
                </c:pt>
                <c:pt idx="51">
                  <c:v>1.95</c:v>
                </c:pt>
                <c:pt idx="52">
                  <c:v>1.95</c:v>
                </c:pt>
                <c:pt idx="53">
                  <c:v>1.95</c:v>
                </c:pt>
                <c:pt idx="54">
                  <c:v>1.95</c:v>
                </c:pt>
                <c:pt idx="55">
                  <c:v>1.95</c:v>
                </c:pt>
                <c:pt idx="56">
                  <c:v>1.95</c:v>
                </c:pt>
                <c:pt idx="57">
                  <c:v>1.95</c:v>
                </c:pt>
                <c:pt idx="58">
                  <c:v>1.95</c:v>
                </c:pt>
                <c:pt idx="59">
                  <c:v>1.95</c:v>
                </c:pt>
                <c:pt idx="60">
                  <c:v>1.95</c:v>
                </c:pt>
                <c:pt idx="61">
                  <c:v>1.95</c:v>
                </c:pt>
                <c:pt idx="62">
                  <c:v>1.95</c:v>
                </c:pt>
                <c:pt idx="63">
                  <c:v>1.95</c:v>
                </c:pt>
                <c:pt idx="64">
                  <c:v>1.95</c:v>
                </c:pt>
                <c:pt idx="65">
                  <c:v>1.95</c:v>
                </c:pt>
                <c:pt idx="66">
                  <c:v>1.95</c:v>
                </c:pt>
                <c:pt idx="67">
                  <c:v>1.95</c:v>
                </c:pt>
                <c:pt idx="68">
                  <c:v>1.95</c:v>
                </c:pt>
                <c:pt idx="69">
                  <c:v>1.95</c:v>
                </c:pt>
                <c:pt idx="70">
                  <c:v>1.95</c:v>
                </c:pt>
                <c:pt idx="71">
                  <c:v>1.95</c:v>
                </c:pt>
                <c:pt idx="72">
                  <c:v>1.95</c:v>
                </c:pt>
                <c:pt idx="73">
                  <c:v>1.95</c:v>
                </c:pt>
                <c:pt idx="74">
                  <c:v>1.95</c:v>
                </c:pt>
                <c:pt idx="75">
                  <c:v>1.95</c:v>
                </c:pt>
                <c:pt idx="76">
                  <c:v>1.95</c:v>
                </c:pt>
                <c:pt idx="77">
                  <c:v>1.95</c:v>
                </c:pt>
                <c:pt idx="78">
                  <c:v>1.95</c:v>
                </c:pt>
                <c:pt idx="79">
                  <c:v>1.95</c:v>
                </c:pt>
                <c:pt idx="80">
                  <c:v>1.95</c:v>
                </c:pt>
                <c:pt idx="81">
                  <c:v>1.95</c:v>
                </c:pt>
                <c:pt idx="82">
                  <c:v>1.95</c:v>
                </c:pt>
                <c:pt idx="83">
                  <c:v>1.95</c:v>
                </c:pt>
                <c:pt idx="84">
                  <c:v>1.95</c:v>
                </c:pt>
                <c:pt idx="85">
                  <c:v>1.95</c:v>
                </c:pt>
                <c:pt idx="86">
                  <c:v>1.95</c:v>
                </c:pt>
                <c:pt idx="87">
                  <c:v>1.95</c:v>
                </c:pt>
                <c:pt idx="88">
                  <c:v>1.95</c:v>
                </c:pt>
                <c:pt idx="89">
                  <c:v>1.95</c:v>
                </c:pt>
                <c:pt idx="90">
                  <c:v>1.95</c:v>
                </c:pt>
                <c:pt idx="91">
                  <c:v>1.95</c:v>
                </c:pt>
                <c:pt idx="92">
                  <c:v>1.95</c:v>
                </c:pt>
                <c:pt idx="93">
                  <c:v>1.95</c:v>
                </c:pt>
                <c:pt idx="94">
                  <c:v>1.95</c:v>
                </c:pt>
                <c:pt idx="95">
                  <c:v>1.95</c:v>
                </c:pt>
                <c:pt idx="96">
                  <c:v>1.95</c:v>
                </c:pt>
                <c:pt idx="97">
                  <c:v>1.95</c:v>
                </c:pt>
                <c:pt idx="98">
                  <c:v>1.95</c:v>
                </c:pt>
                <c:pt idx="99">
                  <c:v>1.95</c:v>
                </c:pt>
                <c:pt idx="100">
                  <c:v>1.95</c:v>
                </c:pt>
                <c:pt idx="101">
                  <c:v>1.95</c:v>
                </c:pt>
                <c:pt idx="102">
                  <c:v>1.95</c:v>
                </c:pt>
                <c:pt idx="103">
                  <c:v>1.95</c:v>
                </c:pt>
                <c:pt idx="104">
                  <c:v>1.95</c:v>
                </c:pt>
                <c:pt idx="105">
                  <c:v>1.95</c:v>
                </c:pt>
                <c:pt idx="106">
                  <c:v>1.95</c:v>
                </c:pt>
                <c:pt idx="107">
                  <c:v>1.95</c:v>
                </c:pt>
                <c:pt idx="108">
                  <c:v>1.95</c:v>
                </c:pt>
                <c:pt idx="109">
                  <c:v>1.95</c:v>
                </c:pt>
                <c:pt idx="110">
                  <c:v>1.95</c:v>
                </c:pt>
                <c:pt idx="111">
                  <c:v>1.95</c:v>
                </c:pt>
                <c:pt idx="112">
                  <c:v>1.95</c:v>
                </c:pt>
                <c:pt idx="113">
                  <c:v>1.95</c:v>
                </c:pt>
                <c:pt idx="114">
                  <c:v>1.95</c:v>
                </c:pt>
                <c:pt idx="115">
                  <c:v>1.95</c:v>
                </c:pt>
                <c:pt idx="116">
                  <c:v>2.0499999999999998</c:v>
                </c:pt>
                <c:pt idx="117">
                  <c:v>2.0499999999999998</c:v>
                </c:pt>
                <c:pt idx="118">
                  <c:v>2.0499999999999998</c:v>
                </c:pt>
                <c:pt idx="119">
                  <c:v>2.0499999999999998</c:v>
                </c:pt>
                <c:pt idx="120">
                  <c:v>2.0499999999999998</c:v>
                </c:pt>
                <c:pt idx="121">
                  <c:v>2.0499999999999998</c:v>
                </c:pt>
                <c:pt idx="122">
                  <c:v>2.0499999999999998</c:v>
                </c:pt>
                <c:pt idx="123">
                  <c:v>2.0499999999999998</c:v>
                </c:pt>
                <c:pt idx="124">
                  <c:v>2.0499999999999998</c:v>
                </c:pt>
                <c:pt idx="125">
                  <c:v>2.0499999999999998</c:v>
                </c:pt>
                <c:pt idx="126">
                  <c:v>2.0499999999999998</c:v>
                </c:pt>
                <c:pt idx="127">
                  <c:v>2.0499999999999998</c:v>
                </c:pt>
                <c:pt idx="128">
                  <c:v>2.0499999999999998</c:v>
                </c:pt>
                <c:pt idx="129">
                  <c:v>2.0499999999999998</c:v>
                </c:pt>
                <c:pt idx="130">
                  <c:v>2.0499999999999998</c:v>
                </c:pt>
                <c:pt idx="131">
                  <c:v>2.0499999999999998</c:v>
                </c:pt>
                <c:pt idx="132">
                  <c:v>2.0499999999999998</c:v>
                </c:pt>
                <c:pt idx="133">
                  <c:v>2.1</c:v>
                </c:pt>
                <c:pt idx="134">
                  <c:v>2.1</c:v>
                </c:pt>
                <c:pt idx="135">
                  <c:v>2.1</c:v>
                </c:pt>
                <c:pt idx="136">
                  <c:v>2.1</c:v>
                </c:pt>
                <c:pt idx="137">
                  <c:v>2.1</c:v>
                </c:pt>
                <c:pt idx="138">
                  <c:v>2.1</c:v>
                </c:pt>
                <c:pt idx="139">
                  <c:v>2.1</c:v>
                </c:pt>
                <c:pt idx="140">
                  <c:v>2.1</c:v>
                </c:pt>
                <c:pt idx="141">
                  <c:v>2.1</c:v>
                </c:pt>
                <c:pt idx="142">
                  <c:v>2.1</c:v>
                </c:pt>
                <c:pt idx="143">
                  <c:v>2.1</c:v>
                </c:pt>
                <c:pt idx="144">
                  <c:v>2.1</c:v>
                </c:pt>
                <c:pt idx="145">
                  <c:v>2.1</c:v>
                </c:pt>
                <c:pt idx="146">
                  <c:v>2.1</c:v>
                </c:pt>
                <c:pt idx="147">
                  <c:v>2.1</c:v>
                </c:pt>
                <c:pt idx="148">
                  <c:v>2.1</c:v>
                </c:pt>
                <c:pt idx="149">
                  <c:v>2.1</c:v>
                </c:pt>
                <c:pt idx="150">
                  <c:v>2.1</c:v>
                </c:pt>
                <c:pt idx="151">
                  <c:v>2.1</c:v>
                </c:pt>
                <c:pt idx="152">
                  <c:v>2.15</c:v>
                </c:pt>
                <c:pt idx="153">
                  <c:v>2.15</c:v>
                </c:pt>
                <c:pt idx="154">
                  <c:v>2.15</c:v>
                </c:pt>
                <c:pt idx="155">
                  <c:v>2.15</c:v>
                </c:pt>
                <c:pt idx="156">
                  <c:v>2.15</c:v>
                </c:pt>
                <c:pt idx="157">
                  <c:v>2.15</c:v>
                </c:pt>
                <c:pt idx="158">
                  <c:v>2.15</c:v>
                </c:pt>
                <c:pt idx="159">
                  <c:v>2.15</c:v>
                </c:pt>
                <c:pt idx="160">
                  <c:v>2.15</c:v>
                </c:pt>
                <c:pt idx="161">
                  <c:v>2.15</c:v>
                </c:pt>
                <c:pt idx="162">
                  <c:v>2.15</c:v>
                </c:pt>
                <c:pt idx="163">
                  <c:v>2.15</c:v>
                </c:pt>
                <c:pt idx="164">
                  <c:v>2.15</c:v>
                </c:pt>
                <c:pt idx="165">
                  <c:v>2.15</c:v>
                </c:pt>
                <c:pt idx="166">
                  <c:v>2.15</c:v>
                </c:pt>
                <c:pt idx="167">
                  <c:v>2.15</c:v>
                </c:pt>
                <c:pt idx="168">
                  <c:v>2.15</c:v>
                </c:pt>
                <c:pt idx="169">
                  <c:v>2.15</c:v>
                </c:pt>
                <c:pt idx="170">
                  <c:v>2.15</c:v>
                </c:pt>
                <c:pt idx="171">
                  <c:v>2.15</c:v>
                </c:pt>
                <c:pt idx="172">
                  <c:v>2.15</c:v>
                </c:pt>
                <c:pt idx="173">
                  <c:v>2.15</c:v>
                </c:pt>
                <c:pt idx="174">
                  <c:v>2.15</c:v>
                </c:pt>
                <c:pt idx="175">
                  <c:v>2.15</c:v>
                </c:pt>
                <c:pt idx="176">
                  <c:v>2.15</c:v>
                </c:pt>
                <c:pt idx="177">
                  <c:v>2.15</c:v>
                </c:pt>
                <c:pt idx="178">
                  <c:v>2.15</c:v>
                </c:pt>
                <c:pt idx="179">
                  <c:v>2.15</c:v>
                </c:pt>
                <c:pt idx="180">
                  <c:v>2.15</c:v>
                </c:pt>
                <c:pt idx="181">
                  <c:v>2.15</c:v>
                </c:pt>
                <c:pt idx="182">
                  <c:v>2.15</c:v>
                </c:pt>
                <c:pt idx="183">
                  <c:v>2.15</c:v>
                </c:pt>
                <c:pt idx="184">
                  <c:v>2.15</c:v>
                </c:pt>
                <c:pt idx="185">
                  <c:v>2.15</c:v>
                </c:pt>
                <c:pt idx="186">
                  <c:v>2.1800000000000002</c:v>
                </c:pt>
                <c:pt idx="187">
                  <c:v>2.1800000000000002</c:v>
                </c:pt>
                <c:pt idx="188">
                  <c:v>2.1800000000000002</c:v>
                </c:pt>
                <c:pt idx="189">
                  <c:v>2.1800000000000002</c:v>
                </c:pt>
                <c:pt idx="190">
                  <c:v>2.1800000000000002</c:v>
                </c:pt>
                <c:pt idx="191">
                  <c:v>2.1800000000000002</c:v>
                </c:pt>
                <c:pt idx="192">
                  <c:v>2.1800000000000002</c:v>
                </c:pt>
                <c:pt idx="193">
                  <c:v>2.1800000000000002</c:v>
                </c:pt>
                <c:pt idx="194">
                  <c:v>2.1800000000000002</c:v>
                </c:pt>
                <c:pt idx="195">
                  <c:v>2.1800000000000002</c:v>
                </c:pt>
                <c:pt idx="196">
                  <c:v>2.1800000000000002</c:v>
                </c:pt>
                <c:pt idx="197">
                  <c:v>2.1800000000000002</c:v>
                </c:pt>
                <c:pt idx="198">
                  <c:v>2.1800000000000002</c:v>
                </c:pt>
                <c:pt idx="199">
                  <c:v>2.1800000000000002</c:v>
                </c:pt>
                <c:pt idx="200">
                  <c:v>2.1800000000000002</c:v>
                </c:pt>
                <c:pt idx="201">
                  <c:v>2.1800000000000002</c:v>
                </c:pt>
                <c:pt idx="202">
                  <c:v>2.1800000000000002</c:v>
                </c:pt>
                <c:pt idx="203">
                  <c:v>2.1800000000000002</c:v>
                </c:pt>
                <c:pt idx="204">
                  <c:v>2.1800000000000002</c:v>
                </c:pt>
                <c:pt idx="205">
                  <c:v>2.1800000000000002</c:v>
                </c:pt>
                <c:pt idx="206">
                  <c:v>2.1800000000000002</c:v>
                </c:pt>
                <c:pt idx="207">
                  <c:v>2.1800000000000002</c:v>
                </c:pt>
                <c:pt idx="208">
                  <c:v>2.1800000000000002</c:v>
                </c:pt>
                <c:pt idx="209">
                  <c:v>2.1800000000000002</c:v>
                </c:pt>
                <c:pt idx="210">
                  <c:v>2.1800000000000002</c:v>
                </c:pt>
                <c:pt idx="211">
                  <c:v>2.1800000000000002</c:v>
                </c:pt>
                <c:pt idx="212">
                  <c:v>2.1800000000000002</c:v>
                </c:pt>
                <c:pt idx="213">
                  <c:v>2.1800000000000002</c:v>
                </c:pt>
                <c:pt idx="214">
                  <c:v>2.1800000000000002</c:v>
                </c:pt>
                <c:pt idx="215">
                  <c:v>2.1800000000000002</c:v>
                </c:pt>
                <c:pt idx="216">
                  <c:v>2.1800000000000002</c:v>
                </c:pt>
                <c:pt idx="217">
                  <c:v>2.1800000000000002</c:v>
                </c:pt>
                <c:pt idx="218">
                  <c:v>2.1800000000000002</c:v>
                </c:pt>
                <c:pt idx="219">
                  <c:v>2.1800000000000002</c:v>
                </c:pt>
                <c:pt idx="220">
                  <c:v>2.1800000000000002</c:v>
                </c:pt>
                <c:pt idx="221">
                  <c:v>2.1800000000000002</c:v>
                </c:pt>
                <c:pt idx="222">
                  <c:v>2.1800000000000002</c:v>
                </c:pt>
                <c:pt idx="223">
                  <c:v>2.1800000000000002</c:v>
                </c:pt>
                <c:pt idx="224">
                  <c:v>2.1800000000000002</c:v>
                </c:pt>
                <c:pt idx="225">
                  <c:v>2.1800000000000002</c:v>
                </c:pt>
                <c:pt idx="226">
                  <c:v>2.1800000000000002</c:v>
                </c:pt>
                <c:pt idx="227">
                  <c:v>2.1800000000000002</c:v>
                </c:pt>
                <c:pt idx="228">
                  <c:v>2.1800000000000002</c:v>
                </c:pt>
                <c:pt idx="229">
                  <c:v>2.1800000000000002</c:v>
                </c:pt>
                <c:pt idx="230">
                  <c:v>2.1800000000000002</c:v>
                </c:pt>
                <c:pt idx="231">
                  <c:v>2.1800000000000002</c:v>
                </c:pt>
                <c:pt idx="232">
                  <c:v>2.1800000000000002</c:v>
                </c:pt>
                <c:pt idx="233">
                  <c:v>2.1800000000000002</c:v>
                </c:pt>
                <c:pt idx="234">
                  <c:v>2.1800000000000002</c:v>
                </c:pt>
                <c:pt idx="235">
                  <c:v>2.1800000000000002</c:v>
                </c:pt>
                <c:pt idx="236">
                  <c:v>2.1800000000000002</c:v>
                </c:pt>
                <c:pt idx="237">
                  <c:v>2.1800000000000002</c:v>
                </c:pt>
                <c:pt idx="238">
                  <c:v>2.1800000000000002</c:v>
                </c:pt>
                <c:pt idx="239">
                  <c:v>2.1800000000000002</c:v>
                </c:pt>
                <c:pt idx="240">
                  <c:v>2.1800000000000002</c:v>
                </c:pt>
                <c:pt idx="241">
                  <c:v>2.1800000000000002</c:v>
                </c:pt>
                <c:pt idx="242">
                  <c:v>2.1800000000000002</c:v>
                </c:pt>
                <c:pt idx="243">
                  <c:v>2.1800000000000002</c:v>
                </c:pt>
                <c:pt idx="244">
                  <c:v>2.1800000000000002</c:v>
                </c:pt>
                <c:pt idx="245">
                  <c:v>2.1800000000000002</c:v>
                </c:pt>
                <c:pt idx="246">
                  <c:v>2.1800000000000002</c:v>
                </c:pt>
                <c:pt idx="247">
                  <c:v>2.1800000000000002</c:v>
                </c:pt>
                <c:pt idx="248">
                  <c:v>2.1800000000000002</c:v>
                </c:pt>
                <c:pt idx="249">
                  <c:v>2.1800000000000002</c:v>
                </c:pt>
                <c:pt idx="250">
                  <c:v>2.1800000000000002</c:v>
                </c:pt>
                <c:pt idx="251">
                  <c:v>2.1800000000000002</c:v>
                </c:pt>
                <c:pt idx="252">
                  <c:v>2.1800000000000002</c:v>
                </c:pt>
                <c:pt idx="253">
                  <c:v>2.1800000000000002</c:v>
                </c:pt>
                <c:pt idx="254">
                  <c:v>2.1800000000000002</c:v>
                </c:pt>
                <c:pt idx="255">
                  <c:v>2.1800000000000002</c:v>
                </c:pt>
                <c:pt idx="256">
                  <c:v>2.1800000000000002</c:v>
                </c:pt>
                <c:pt idx="257">
                  <c:v>2.1800000000000002</c:v>
                </c:pt>
                <c:pt idx="258">
                  <c:v>2.1800000000000002</c:v>
                </c:pt>
                <c:pt idx="259">
                  <c:v>2.1800000000000002</c:v>
                </c:pt>
                <c:pt idx="260">
                  <c:v>2.1800000000000002</c:v>
                </c:pt>
                <c:pt idx="261">
                  <c:v>2.1800000000000002</c:v>
                </c:pt>
                <c:pt idx="262">
                  <c:v>2.1800000000000002</c:v>
                </c:pt>
                <c:pt idx="263">
                  <c:v>2.1800000000000002</c:v>
                </c:pt>
                <c:pt idx="264">
                  <c:v>2.1800000000000002</c:v>
                </c:pt>
                <c:pt idx="265">
                  <c:v>2.1800000000000002</c:v>
                </c:pt>
                <c:pt idx="266">
                  <c:v>2.1800000000000002</c:v>
                </c:pt>
                <c:pt idx="267">
                  <c:v>2.1800000000000002</c:v>
                </c:pt>
                <c:pt idx="268">
                  <c:v>2.1800000000000002</c:v>
                </c:pt>
                <c:pt idx="269">
                  <c:v>2.1800000000000002</c:v>
                </c:pt>
                <c:pt idx="270">
                  <c:v>2.1800000000000002</c:v>
                </c:pt>
                <c:pt idx="271">
                  <c:v>2.1800000000000002</c:v>
                </c:pt>
                <c:pt idx="272">
                  <c:v>2.1800000000000002</c:v>
                </c:pt>
                <c:pt idx="273">
                  <c:v>2.1800000000000002</c:v>
                </c:pt>
                <c:pt idx="274">
                  <c:v>2.1800000000000002</c:v>
                </c:pt>
                <c:pt idx="275">
                  <c:v>2.1800000000000002</c:v>
                </c:pt>
                <c:pt idx="276">
                  <c:v>2.1800000000000002</c:v>
                </c:pt>
                <c:pt idx="277">
                  <c:v>2.1800000000000002</c:v>
                </c:pt>
                <c:pt idx="278">
                  <c:v>2.1800000000000002</c:v>
                </c:pt>
                <c:pt idx="279">
                  <c:v>2.1800000000000002</c:v>
                </c:pt>
                <c:pt idx="280">
                  <c:v>2.1800000000000002</c:v>
                </c:pt>
                <c:pt idx="281">
                  <c:v>2.1800000000000002</c:v>
                </c:pt>
                <c:pt idx="282">
                  <c:v>2.1800000000000002</c:v>
                </c:pt>
                <c:pt idx="283">
                  <c:v>2.1800000000000002</c:v>
                </c:pt>
                <c:pt idx="284">
                  <c:v>2.1800000000000002</c:v>
                </c:pt>
                <c:pt idx="285">
                  <c:v>2.1800000000000002</c:v>
                </c:pt>
                <c:pt idx="286">
                  <c:v>2.1800000000000002</c:v>
                </c:pt>
                <c:pt idx="287">
                  <c:v>2.1800000000000002</c:v>
                </c:pt>
                <c:pt idx="288">
                  <c:v>2.1800000000000002</c:v>
                </c:pt>
                <c:pt idx="289">
                  <c:v>2.1800000000000002</c:v>
                </c:pt>
                <c:pt idx="290">
                  <c:v>2.1800000000000002</c:v>
                </c:pt>
                <c:pt idx="291">
                  <c:v>2.1800000000000002</c:v>
                </c:pt>
                <c:pt idx="292">
                  <c:v>2.1800000000000002</c:v>
                </c:pt>
                <c:pt idx="293">
                  <c:v>2.1800000000000002</c:v>
                </c:pt>
                <c:pt idx="294">
                  <c:v>2.1800000000000002</c:v>
                </c:pt>
                <c:pt idx="295">
                  <c:v>2.1800000000000002</c:v>
                </c:pt>
                <c:pt idx="296">
                  <c:v>2.1800000000000002</c:v>
                </c:pt>
                <c:pt idx="297">
                  <c:v>2.1800000000000002</c:v>
                </c:pt>
                <c:pt idx="298">
                  <c:v>2.1800000000000002</c:v>
                </c:pt>
                <c:pt idx="299">
                  <c:v>2.1800000000000002</c:v>
                </c:pt>
                <c:pt idx="300">
                  <c:v>2.1800000000000002</c:v>
                </c:pt>
                <c:pt idx="301">
                  <c:v>2.1800000000000002</c:v>
                </c:pt>
                <c:pt idx="302">
                  <c:v>2.1800000000000002</c:v>
                </c:pt>
                <c:pt idx="303">
                  <c:v>2.1800000000000002</c:v>
                </c:pt>
                <c:pt idx="304">
                  <c:v>2.1800000000000002</c:v>
                </c:pt>
                <c:pt idx="305">
                  <c:v>2.1800000000000002</c:v>
                </c:pt>
                <c:pt idx="306">
                  <c:v>2.1800000000000002</c:v>
                </c:pt>
                <c:pt idx="307">
                  <c:v>2.1800000000000002</c:v>
                </c:pt>
                <c:pt idx="308">
                  <c:v>2.1800000000000002</c:v>
                </c:pt>
                <c:pt idx="309">
                  <c:v>2.1800000000000002</c:v>
                </c:pt>
                <c:pt idx="310">
                  <c:v>2.1800000000000002</c:v>
                </c:pt>
                <c:pt idx="311">
                  <c:v>2.1800000000000002</c:v>
                </c:pt>
                <c:pt idx="312">
                  <c:v>2.1800000000000002</c:v>
                </c:pt>
                <c:pt idx="313">
                  <c:v>2.1800000000000002</c:v>
                </c:pt>
                <c:pt idx="314">
                  <c:v>2.1800000000000002</c:v>
                </c:pt>
                <c:pt idx="315">
                  <c:v>2.1800000000000002</c:v>
                </c:pt>
                <c:pt idx="316">
                  <c:v>2.1800000000000002</c:v>
                </c:pt>
                <c:pt idx="317">
                  <c:v>2.1800000000000002</c:v>
                </c:pt>
                <c:pt idx="318">
                  <c:v>2.1800000000000002</c:v>
                </c:pt>
                <c:pt idx="319">
                  <c:v>2.1800000000000002</c:v>
                </c:pt>
                <c:pt idx="320">
                  <c:v>2.1800000000000002</c:v>
                </c:pt>
                <c:pt idx="321">
                  <c:v>2.1800000000000002</c:v>
                </c:pt>
                <c:pt idx="322">
                  <c:v>2.1800000000000002</c:v>
                </c:pt>
                <c:pt idx="323">
                  <c:v>2.1800000000000002</c:v>
                </c:pt>
                <c:pt idx="324">
                  <c:v>2.1800000000000002</c:v>
                </c:pt>
                <c:pt idx="325">
                  <c:v>2.1800000000000002</c:v>
                </c:pt>
                <c:pt idx="326">
                  <c:v>2.1800000000000002</c:v>
                </c:pt>
                <c:pt idx="327">
                  <c:v>2.1800000000000002</c:v>
                </c:pt>
                <c:pt idx="328">
                  <c:v>2.15</c:v>
                </c:pt>
                <c:pt idx="329">
                  <c:v>2.15</c:v>
                </c:pt>
                <c:pt idx="330">
                  <c:v>2.15</c:v>
                </c:pt>
                <c:pt idx="331">
                  <c:v>2.15</c:v>
                </c:pt>
                <c:pt idx="332">
                  <c:v>2.15</c:v>
                </c:pt>
                <c:pt idx="333">
                  <c:v>2.15</c:v>
                </c:pt>
                <c:pt idx="334">
                  <c:v>2.15</c:v>
                </c:pt>
                <c:pt idx="335">
                  <c:v>2.15</c:v>
                </c:pt>
                <c:pt idx="336">
                  <c:v>2.15</c:v>
                </c:pt>
                <c:pt idx="337">
                  <c:v>2.15</c:v>
                </c:pt>
                <c:pt idx="338">
                  <c:v>2.15</c:v>
                </c:pt>
                <c:pt idx="339">
                  <c:v>2.15</c:v>
                </c:pt>
                <c:pt idx="340">
                  <c:v>2.15</c:v>
                </c:pt>
                <c:pt idx="341">
                  <c:v>2.15</c:v>
                </c:pt>
                <c:pt idx="342">
                  <c:v>2.15</c:v>
                </c:pt>
                <c:pt idx="343">
                  <c:v>2.15</c:v>
                </c:pt>
                <c:pt idx="344">
                  <c:v>2.15</c:v>
                </c:pt>
                <c:pt idx="345">
                  <c:v>2.15</c:v>
                </c:pt>
                <c:pt idx="346">
                  <c:v>2.15</c:v>
                </c:pt>
                <c:pt idx="347">
                  <c:v>2.15</c:v>
                </c:pt>
                <c:pt idx="348">
                  <c:v>2.15</c:v>
                </c:pt>
                <c:pt idx="349">
                  <c:v>2.15</c:v>
                </c:pt>
                <c:pt idx="350">
                  <c:v>2.15</c:v>
                </c:pt>
                <c:pt idx="351">
                  <c:v>2.15</c:v>
                </c:pt>
                <c:pt idx="352">
                  <c:v>2.15</c:v>
                </c:pt>
                <c:pt idx="353">
                  <c:v>2.15</c:v>
                </c:pt>
                <c:pt idx="354">
                  <c:v>2.15</c:v>
                </c:pt>
                <c:pt idx="355">
                  <c:v>2.15</c:v>
                </c:pt>
                <c:pt idx="356">
                  <c:v>2.15</c:v>
                </c:pt>
                <c:pt idx="357">
                  <c:v>2.15</c:v>
                </c:pt>
                <c:pt idx="358">
                  <c:v>2.15</c:v>
                </c:pt>
                <c:pt idx="359">
                  <c:v>2.15</c:v>
                </c:pt>
                <c:pt idx="360">
                  <c:v>2.15</c:v>
                </c:pt>
                <c:pt idx="361">
                  <c:v>2.15</c:v>
                </c:pt>
                <c:pt idx="362">
                  <c:v>2.15</c:v>
                </c:pt>
                <c:pt idx="363">
                  <c:v>2.15</c:v>
                </c:pt>
                <c:pt idx="364">
                  <c:v>2.15</c:v>
                </c:pt>
                <c:pt idx="365">
                  <c:v>2.15</c:v>
                </c:pt>
                <c:pt idx="366">
                  <c:v>2.15</c:v>
                </c:pt>
                <c:pt idx="367">
                  <c:v>2.15</c:v>
                </c:pt>
                <c:pt idx="368">
                  <c:v>2.15</c:v>
                </c:pt>
                <c:pt idx="369">
                  <c:v>2.15</c:v>
                </c:pt>
                <c:pt idx="370">
                  <c:v>2.15</c:v>
                </c:pt>
                <c:pt idx="371">
                  <c:v>2.15</c:v>
                </c:pt>
                <c:pt idx="372">
                  <c:v>2.15</c:v>
                </c:pt>
                <c:pt idx="373">
                  <c:v>2.15</c:v>
                </c:pt>
                <c:pt idx="374">
                  <c:v>2.15</c:v>
                </c:pt>
                <c:pt idx="375">
                  <c:v>2.15</c:v>
                </c:pt>
                <c:pt idx="376">
                  <c:v>2.15</c:v>
                </c:pt>
                <c:pt idx="377">
                  <c:v>2.15</c:v>
                </c:pt>
                <c:pt idx="378">
                  <c:v>2.15</c:v>
                </c:pt>
                <c:pt idx="379">
                  <c:v>2.15</c:v>
                </c:pt>
                <c:pt idx="380">
                  <c:v>2.15</c:v>
                </c:pt>
                <c:pt idx="381">
                  <c:v>2.15</c:v>
                </c:pt>
                <c:pt idx="382">
                  <c:v>2.15</c:v>
                </c:pt>
                <c:pt idx="383">
                  <c:v>2.15</c:v>
                </c:pt>
                <c:pt idx="384">
                  <c:v>2.15</c:v>
                </c:pt>
                <c:pt idx="385">
                  <c:v>2.15</c:v>
                </c:pt>
                <c:pt idx="386">
                  <c:v>2.15</c:v>
                </c:pt>
                <c:pt idx="387">
                  <c:v>2.15</c:v>
                </c:pt>
                <c:pt idx="388">
                  <c:v>2.15</c:v>
                </c:pt>
                <c:pt idx="389">
                  <c:v>2.15</c:v>
                </c:pt>
                <c:pt idx="390">
                  <c:v>2.15</c:v>
                </c:pt>
                <c:pt idx="391">
                  <c:v>2.15</c:v>
                </c:pt>
                <c:pt idx="392">
                  <c:v>2.15</c:v>
                </c:pt>
                <c:pt idx="393">
                  <c:v>2.15</c:v>
                </c:pt>
                <c:pt idx="394">
                  <c:v>2.15</c:v>
                </c:pt>
                <c:pt idx="395">
                  <c:v>2.15</c:v>
                </c:pt>
                <c:pt idx="396">
                  <c:v>2.15</c:v>
                </c:pt>
                <c:pt idx="397">
                  <c:v>2.15</c:v>
                </c:pt>
                <c:pt idx="398">
                  <c:v>2.15</c:v>
                </c:pt>
                <c:pt idx="399">
                  <c:v>2.15</c:v>
                </c:pt>
                <c:pt idx="400">
                  <c:v>2.15</c:v>
                </c:pt>
                <c:pt idx="401">
                  <c:v>2.15</c:v>
                </c:pt>
                <c:pt idx="402">
                  <c:v>2.15</c:v>
                </c:pt>
                <c:pt idx="403">
                  <c:v>2.15</c:v>
                </c:pt>
                <c:pt idx="404">
                  <c:v>2.15</c:v>
                </c:pt>
                <c:pt idx="405">
                  <c:v>2.15</c:v>
                </c:pt>
                <c:pt idx="406">
                  <c:v>2.15</c:v>
                </c:pt>
                <c:pt idx="407">
                  <c:v>2.15</c:v>
                </c:pt>
                <c:pt idx="408">
                  <c:v>2.15</c:v>
                </c:pt>
                <c:pt idx="409">
                  <c:v>2.15</c:v>
                </c:pt>
                <c:pt idx="410">
                  <c:v>2.15</c:v>
                </c:pt>
                <c:pt idx="411">
                  <c:v>2.15</c:v>
                </c:pt>
                <c:pt idx="412">
                  <c:v>2.15</c:v>
                </c:pt>
                <c:pt idx="413">
                  <c:v>2.15</c:v>
                </c:pt>
                <c:pt idx="414">
                  <c:v>2.15</c:v>
                </c:pt>
                <c:pt idx="415">
                  <c:v>2.15</c:v>
                </c:pt>
                <c:pt idx="416">
                  <c:v>2.15</c:v>
                </c:pt>
                <c:pt idx="417">
                  <c:v>2.15</c:v>
                </c:pt>
                <c:pt idx="418">
                  <c:v>2.15</c:v>
                </c:pt>
                <c:pt idx="419">
                  <c:v>2.15</c:v>
                </c:pt>
                <c:pt idx="420">
                  <c:v>2.15</c:v>
                </c:pt>
                <c:pt idx="421">
                  <c:v>2.15</c:v>
                </c:pt>
                <c:pt idx="422">
                  <c:v>2.15</c:v>
                </c:pt>
                <c:pt idx="423">
                  <c:v>2.15</c:v>
                </c:pt>
                <c:pt idx="424">
                  <c:v>2.15</c:v>
                </c:pt>
                <c:pt idx="425">
                  <c:v>2.15</c:v>
                </c:pt>
                <c:pt idx="426">
                  <c:v>2.15</c:v>
                </c:pt>
                <c:pt idx="427">
                  <c:v>2.15</c:v>
                </c:pt>
                <c:pt idx="428">
                  <c:v>2.15</c:v>
                </c:pt>
                <c:pt idx="429">
                  <c:v>2.15</c:v>
                </c:pt>
                <c:pt idx="430">
                  <c:v>2.15</c:v>
                </c:pt>
                <c:pt idx="431">
                  <c:v>2.15</c:v>
                </c:pt>
                <c:pt idx="432">
                  <c:v>2.15</c:v>
                </c:pt>
                <c:pt idx="433">
                  <c:v>2.15</c:v>
                </c:pt>
                <c:pt idx="434">
                  <c:v>2.15</c:v>
                </c:pt>
                <c:pt idx="435">
                  <c:v>2.15</c:v>
                </c:pt>
                <c:pt idx="436">
                  <c:v>2.15</c:v>
                </c:pt>
                <c:pt idx="437">
                  <c:v>2.15</c:v>
                </c:pt>
                <c:pt idx="438">
                  <c:v>2.15</c:v>
                </c:pt>
                <c:pt idx="439">
                  <c:v>2.15</c:v>
                </c:pt>
                <c:pt idx="440">
                  <c:v>2.15</c:v>
                </c:pt>
                <c:pt idx="441">
                  <c:v>2.15</c:v>
                </c:pt>
                <c:pt idx="442">
                  <c:v>2.15</c:v>
                </c:pt>
                <c:pt idx="443">
                  <c:v>2.15</c:v>
                </c:pt>
                <c:pt idx="444">
                  <c:v>2.15</c:v>
                </c:pt>
                <c:pt idx="445">
                  <c:v>2.15</c:v>
                </c:pt>
                <c:pt idx="446">
                  <c:v>2.15</c:v>
                </c:pt>
                <c:pt idx="447">
                  <c:v>2.15</c:v>
                </c:pt>
                <c:pt idx="448">
                  <c:v>2.15</c:v>
                </c:pt>
                <c:pt idx="449">
                  <c:v>2.0499999999999998</c:v>
                </c:pt>
                <c:pt idx="450">
                  <c:v>2.0499999999999998</c:v>
                </c:pt>
                <c:pt idx="451">
                  <c:v>2.0499999999999998</c:v>
                </c:pt>
                <c:pt idx="452">
                  <c:v>2.0499999999999998</c:v>
                </c:pt>
                <c:pt idx="453">
                  <c:v>2.0499999999999998</c:v>
                </c:pt>
                <c:pt idx="454">
                  <c:v>2.0499999999999998</c:v>
                </c:pt>
                <c:pt idx="455">
                  <c:v>2.0499999999999998</c:v>
                </c:pt>
                <c:pt idx="456">
                  <c:v>2.0499999999999998</c:v>
                </c:pt>
                <c:pt idx="457">
                  <c:v>2.0499999999999998</c:v>
                </c:pt>
                <c:pt idx="458">
                  <c:v>2.0499999999999998</c:v>
                </c:pt>
                <c:pt idx="459">
                  <c:v>2.0499999999999998</c:v>
                </c:pt>
                <c:pt idx="460">
                  <c:v>2.0499999999999998</c:v>
                </c:pt>
                <c:pt idx="461">
                  <c:v>2.0499999999999998</c:v>
                </c:pt>
                <c:pt idx="462">
                  <c:v>2.0499999999999998</c:v>
                </c:pt>
                <c:pt idx="463">
                  <c:v>2.0499999999999998</c:v>
                </c:pt>
                <c:pt idx="464">
                  <c:v>2.0499999999999998</c:v>
                </c:pt>
                <c:pt idx="465">
                  <c:v>2.0499999999999998</c:v>
                </c:pt>
                <c:pt idx="466">
                  <c:v>1.95</c:v>
                </c:pt>
                <c:pt idx="467">
                  <c:v>1.95</c:v>
                </c:pt>
                <c:pt idx="468">
                  <c:v>1.95</c:v>
                </c:pt>
                <c:pt idx="469">
                  <c:v>1.95</c:v>
                </c:pt>
                <c:pt idx="470">
                  <c:v>1.95</c:v>
                </c:pt>
                <c:pt idx="471">
                  <c:v>1.95</c:v>
                </c:pt>
                <c:pt idx="472">
                  <c:v>1.95</c:v>
                </c:pt>
              </c:numCache>
            </c:numRef>
          </c:val>
          <c:smooth val="0"/>
          <c:extLst>
            <c:ext xmlns:c16="http://schemas.microsoft.com/office/drawing/2014/chart" uri="{C3380CC4-5D6E-409C-BE32-E72D297353CC}">
              <c16:uniqueId val="{00000001-8635-42B0-AB25-D4FF20E19E31}"/>
            </c:ext>
          </c:extLst>
        </c:ser>
        <c:ser>
          <c:idx val="1"/>
          <c:order val="1"/>
          <c:tx>
            <c:strRef>
              <c:f>Charts!$C$1165</c:f>
              <c:strCache>
                <c:ptCount val="1"/>
                <c:pt idx="0">
                  <c:v>中国:价格:隔膜:陶瓷涂覆:7+2μm:国产中端（元/平方米）</c:v>
                </c:pt>
              </c:strCache>
            </c:strRef>
          </c:tx>
          <c:spPr>
            <a:ln w="28575" cap="rnd">
              <a:solidFill>
                <a:schemeClr val="accent2"/>
              </a:solidFill>
              <a:round/>
            </a:ln>
            <a:effectLst/>
          </c:spPr>
          <c:marker>
            <c:symbol val="none"/>
          </c:marker>
          <c:cat>
            <c:strRef>
              <c:f>Charts!$A$1166:$A$1640</c:f>
              <c:strCache>
                <c:ptCount val="475"/>
                <c:pt idx="0">
                  <c:v>2021/5/19</c:v>
                </c:pt>
                <c:pt idx="1">
                  <c:v>2021/5/20</c:v>
                </c:pt>
                <c:pt idx="2">
                  <c:v>2021/5/21</c:v>
                </c:pt>
                <c:pt idx="3">
                  <c:v>2021/5/24</c:v>
                </c:pt>
                <c:pt idx="4">
                  <c:v>2021/5/25</c:v>
                </c:pt>
                <c:pt idx="5">
                  <c:v>2021/5/26</c:v>
                </c:pt>
                <c:pt idx="6">
                  <c:v>2021/5/27</c:v>
                </c:pt>
                <c:pt idx="7">
                  <c:v>2021/5/28</c:v>
                </c:pt>
                <c:pt idx="8">
                  <c:v>2021/5/31</c:v>
                </c:pt>
                <c:pt idx="9">
                  <c:v>2021/6/1</c:v>
                </c:pt>
                <c:pt idx="10">
                  <c:v>2021/6/2</c:v>
                </c:pt>
                <c:pt idx="11">
                  <c:v>2021/6/3</c:v>
                </c:pt>
                <c:pt idx="12">
                  <c:v>2021/6/4</c:v>
                </c:pt>
                <c:pt idx="13">
                  <c:v>2021/6/7</c:v>
                </c:pt>
                <c:pt idx="14">
                  <c:v>2021/6/8</c:v>
                </c:pt>
                <c:pt idx="15">
                  <c:v>2021/6/9</c:v>
                </c:pt>
                <c:pt idx="16">
                  <c:v>2021/6/10</c:v>
                </c:pt>
                <c:pt idx="17">
                  <c:v>2021/6/11</c:v>
                </c:pt>
                <c:pt idx="18">
                  <c:v>2021/6/14</c:v>
                </c:pt>
                <c:pt idx="19">
                  <c:v>2021/6/15</c:v>
                </c:pt>
                <c:pt idx="20">
                  <c:v>2021/6/16</c:v>
                </c:pt>
                <c:pt idx="21">
                  <c:v>2021/6/17</c:v>
                </c:pt>
                <c:pt idx="22">
                  <c:v>2021/6/18</c:v>
                </c:pt>
                <c:pt idx="23">
                  <c:v>2021/6/21</c:v>
                </c:pt>
                <c:pt idx="24">
                  <c:v>2021/6/22</c:v>
                </c:pt>
                <c:pt idx="25">
                  <c:v>2021/6/23</c:v>
                </c:pt>
                <c:pt idx="26">
                  <c:v>2021/6/24</c:v>
                </c:pt>
                <c:pt idx="27">
                  <c:v>2021/6/25</c:v>
                </c:pt>
                <c:pt idx="28">
                  <c:v>2021/6/28</c:v>
                </c:pt>
                <c:pt idx="29">
                  <c:v>2021/6/29</c:v>
                </c:pt>
                <c:pt idx="30">
                  <c:v>2021/6/30</c:v>
                </c:pt>
                <c:pt idx="31">
                  <c:v>2021/7/1</c:v>
                </c:pt>
                <c:pt idx="32">
                  <c:v>2021/7/2</c:v>
                </c:pt>
                <c:pt idx="33">
                  <c:v>2021/7/5</c:v>
                </c:pt>
                <c:pt idx="34">
                  <c:v>2021/7/6</c:v>
                </c:pt>
                <c:pt idx="35">
                  <c:v>2021/7/7</c:v>
                </c:pt>
                <c:pt idx="36">
                  <c:v>2021/7/8</c:v>
                </c:pt>
                <c:pt idx="37">
                  <c:v>2021/7/9</c:v>
                </c:pt>
                <c:pt idx="38">
                  <c:v>2021/7/12</c:v>
                </c:pt>
                <c:pt idx="39">
                  <c:v>2021/7/13</c:v>
                </c:pt>
                <c:pt idx="40">
                  <c:v>2021/7/14</c:v>
                </c:pt>
                <c:pt idx="41">
                  <c:v>2021/7/15</c:v>
                </c:pt>
                <c:pt idx="42">
                  <c:v>2021/7/16</c:v>
                </c:pt>
                <c:pt idx="43">
                  <c:v>2021/7/19</c:v>
                </c:pt>
                <c:pt idx="44">
                  <c:v>2021/7/20</c:v>
                </c:pt>
                <c:pt idx="45">
                  <c:v>2021/7/21</c:v>
                </c:pt>
                <c:pt idx="46">
                  <c:v>2021/7/22</c:v>
                </c:pt>
                <c:pt idx="47">
                  <c:v>2021/7/23</c:v>
                </c:pt>
                <c:pt idx="48">
                  <c:v>2021/7/26</c:v>
                </c:pt>
                <c:pt idx="49">
                  <c:v>2021/7/27</c:v>
                </c:pt>
                <c:pt idx="50">
                  <c:v>2021/7/28</c:v>
                </c:pt>
                <c:pt idx="51">
                  <c:v>2021/7/29</c:v>
                </c:pt>
                <c:pt idx="52">
                  <c:v>2021/7/30</c:v>
                </c:pt>
                <c:pt idx="53">
                  <c:v>2021/8/2</c:v>
                </c:pt>
                <c:pt idx="54">
                  <c:v>2021/8/3</c:v>
                </c:pt>
                <c:pt idx="55">
                  <c:v>2021/8/4</c:v>
                </c:pt>
                <c:pt idx="56">
                  <c:v>2021/8/5</c:v>
                </c:pt>
                <c:pt idx="57">
                  <c:v>2021/8/6</c:v>
                </c:pt>
                <c:pt idx="58">
                  <c:v>2021/8/9</c:v>
                </c:pt>
                <c:pt idx="59">
                  <c:v>2021/8/10</c:v>
                </c:pt>
                <c:pt idx="60">
                  <c:v>2021/8/11</c:v>
                </c:pt>
                <c:pt idx="61">
                  <c:v>2021/8/12</c:v>
                </c:pt>
                <c:pt idx="62">
                  <c:v>2021/8/13</c:v>
                </c:pt>
                <c:pt idx="63">
                  <c:v>2021/8/16</c:v>
                </c:pt>
                <c:pt idx="64">
                  <c:v>2021/8/17</c:v>
                </c:pt>
                <c:pt idx="65">
                  <c:v>2021/8/18</c:v>
                </c:pt>
                <c:pt idx="66">
                  <c:v>2021/8/19</c:v>
                </c:pt>
                <c:pt idx="67">
                  <c:v>2021/8/20</c:v>
                </c:pt>
                <c:pt idx="68">
                  <c:v>2021/8/23</c:v>
                </c:pt>
                <c:pt idx="69">
                  <c:v>2021/8/24</c:v>
                </c:pt>
                <c:pt idx="70">
                  <c:v>2021/8/25</c:v>
                </c:pt>
                <c:pt idx="71">
                  <c:v>2021/8/26</c:v>
                </c:pt>
                <c:pt idx="72">
                  <c:v>2021/8/27</c:v>
                </c:pt>
                <c:pt idx="73">
                  <c:v>2021/8/30</c:v>
                </c:pt>
                <c:pt idx="74">
                  <c:v>2021/8/31</c:v>
                </c:pt>
                <c:pt idx="75">
                  <c:v>2021/9/1</c:v>
                </c:pt>
                <c:pt idx="76">
                  <c:v>2021/9/2</c:v>
                </c:pt>
                <c:pt idx="77">
                  <c:v>2021/9/3</c:v>
                </c:pt>
                <c:pt idx="78">
                  <c:v>2021/9/6</c:v>
                </c:pt>
                <c:pt idx="79">
                  <c:v>2021/9/7</c:v>
                </c:pt>
                <c:pt idx="80">
                  <c:v>2021/9/8</c:v>
                </c:pt>
                <c:pt idx="81">
                  <c:v>2021/9/9</c:v>
                </c:pt>
                <c:pt idx="82">
                  <c:v>2021/9/10</c:v>
                </c:pt>
                <c:pt idx="83">
                  <c:v>2021/9/13</c:v>
                </c:pt>
                <c:pt idx="84">
                  <c:v>2021/9/14</c:v>
                </c:pt>
                <c:pt idx="85">
                  <c:v>2021/9/15</c:v>
                </c:pt>
                <c:pt idx="86">
                  <c:v>2021/9/16</c:v>
                </c:pt>
                <c:pt idx="87">
                  <c:v>2021/9/17</c:v>
                </c:pt>
                <c:pt idx="88">
                  <c:v>2021/9/20</c:v>
                </c:pt>
                <c:pt idx="89">
                  <c:v>2021/9/21</c:v>
                </c:pt>
                <c:pt idx="90">
                  <c:v>2021/9/22</c:v>
                </c:pt>
                <c:pt idx="91">
                  <c:v>2021/9/23</c:v>
                </c:pt>
                <c:pt idx="92">
                  <c:v>2021/9/24</c:v>
                </c:pt>
                <c:pt idx="93">
                  <c:v>2021/9/27</c:v>
                </c:pt>
                <c:pt idx="94">
                  <c:v>2021/9/28</c:v>
                </c:pt>
                <c:pt idx="95">
                  <c:v>2021/9/29</c:v>
                </c:pt>
                <c:pt idx="96">
                  <c:v>2021/9/30</c:v>
                </c:pt>
                <c:pt idx="97">
                  <c:v>2021/10/8</c:v>
                </c:pt>
                <c:pt idx="98">
                  <c:v>2021/10/11</c:v>
                </c:pt>
                <c:pt idx="99">
                  <c:v>2021/10/12</c:v>
                </c:pt>
                <c:pt idx="100">
                  <c:v>2021/10/13</c:v>
                </c:pt>
                <c:pt idx="101">
                  <c:v>2021/10/14</c:v>
                </c:pt>
                <c:pt idx="102">
                  <c:v>2021/10/15</c:v>
                </c:pt>
                <c:pt idx="103">
                  <c:v>2021/10/18</c:v>
                </c:pt>
                <c:pt idx="104">
                  <c:v>2021/10/19</c:v>
                </c:pt>
                <c:pt idx="105">
                  <c:v>2021/10/20</c:v>
                </c:pt>
                <c:pt idx="106">
                  <c:v>2021/10/21</c:v>
                </c:pt>
                <c:pt idx="107">
                  <c:v>2021/10/22</c:v>
                </c:pt>
                <c:pt idx="108">
                  <c:v>2021/10/25</c:v>
                </c:pt>
                <c:pt idx="109">
                  <c:v>2021/10/26</c:v>
                </c:pt>
                <c:pt idx="110">
                  <c:v>2021/10/27</c:v>
                </c:pt>
                <c:pt idx="111">
                  <c:v>2021/10/28</c:v>
                </c:pt>
                <c:pt idx="112">
                  <c:v>2021/10/29</c:v>
                </c:pt>
                <c:pt idx="113">
                  <c:v>2021/11/1</c:v>
                </c:pt>
                <c:pt idx="114">
                  <c:v>2021/11/2</c:v>
                </c:pt>
                <c:pt idx="115">
                  <c:v>2021/11/3</c:v>
                </c:pt>
                <c:pt idx="116">
                  <c:v>2021/11/4</c:v>
                </c:pt>
                <c:pt idx="117">
                  <c:v>2021/11/5</c:v>
                </c:pt>
                <c:pt idx="118">
                  <c:v>2021/11/8</c:v>
                </c:pt>
                <c:pt idx="119">
                  <c:v>2021/11/9</c:v>
                </c:pt>
                <c:pt idx="120">
                  <c:v>2021/11/10</c:v>
                </c:pt>
                <c:pt idx="121">
                  <c:v>2021/11/11</c:v>
                </c:pt>
                <c:pt idx="122">
                  <c:v>2021/11/12</c:v>
                </c:pt>
                <c:pt idx="123">
                  <c:v>2021/11/15</c:v>
                </c:pt>
                <c:pt idx="124">
                  <c:v>2021/11/16</c:v>
                </c:pt>
                <c:pt idx="125">
                  <c:v>2021/11/17</c:v>
                </c:pt>
                <c:pt idx="126">
                  <c:v>2021/11/18</c:v>
                </c:pt>
                <c:pt idx="127">
                  <c:v>2021/11/19</c:v>
                </c:pt>
                <c:pt idx="128">
                  <c:v>2021/11/22</c:v>
                </c:pt>
                <c:pt idx="129">
                  <c:v>2021/11/23</c:v>
                </c:pt>
                <c:pt idx="130">
                  <c:v>2021/11/24</c:v>
                </c:pt>
                <c:pt idx="131">
                  <c:v>2021/11/25</c:v>
                </c:pt>
                <c:pt idx="132">
                  <c:v>2021/11/26</c:v>
                </c:pt>
                <c:pt idx="133">
                  <c:v>2021/11/29</c:v>
                </c:pt>
                <c:pt idx="134">
                  <c:v>2021/11/30</c:v>
                </c:pt>
                <c:pt idx="135">
                  <c:v>2021/12/1</c:v>
                </c:pt>
                <c:pt idx="136">
                  <c:v>2021/12/2</c:v>
                </c:pt>
                <c:pt idx="137">
                  <c:v>2021/12/3</c:v>
                </c:pt>
                <c:pt idx="138">
                  <c:v>2021/12/6</c:v>
                </c:pt>
                <c:pt idx="139">
                  <c:v>2021/12/7</c:v>
                </c:pt>
                <c:pt idx="140">
                  <c:v>2021/12/8</c:v>
                </c:pt>
                <c:pt idx="141">
                  <c:v>2021/12/9</c:v>
                </c:pt>
                <c:pt idx="142">
                  <c:v>2021/12/10</c:v>
                </c:pt>
                <c:pt idx="143">
                  <c:v>2021/12/13</c:v>
                </c:pt>
                <c:pt idx="144">
                  <c:v>2021/12/14</c:v>
                </c:pt>
                <c:pt idx="145">
                  <c:v>2021/12/15</c:v>
                </c:pt>
                <c:pt idx="146">
                  <c:v>2021/12/16</c:v>
                </c:pt>
                <c:pt idx="147">
                  <c:v>2021/12/17</c:v>
                </c:pt>
                <c:pt idx="148">
                  <c:v>2021/12/20</c:v>
                </c:pt>
                <c:pt idx="149">
                  <c:v>2021/12/21</c:v>
                </c:pt>
                <c:pt idx="150">
                  <c:v>2021/12/22</c:v>
                </c:pt>
                <c:pt idx="151">
                  <c:v>2021/12/23</c:v>
                </c:pt>
                <c:pt idx="152">
                  <c:v>2021/12/24</c:v>
                </c:pt>
                <c:pt idx="153">
                  <c:v>2021/12/27</c:v>
                </c:pt>
                <c:pt idx="154">
                  <c:v>2021/12/28</c:v>
                </c:pt>
                <c:pt idx="155">
                  <c:v>2021/12/29</c:v>
                </c:pt>
                <c:pt idx="156">
                  <c:v>2021/12/30</c:v>
                </c:pt>
                <c:pt idx="157">
                  <c:v>2021/12/31</c:v>
                </c:pt>
                <c:pt idx="158">
                  <c:v>2022/1/4</c:v>
                </c:pt>
                <c:pt idx="159">
                  <c:v>2022/1/5</c:v>
                </c:pt>
                <c:pt idx="160">
                  <c:v>2022/1/6</c:v>
                </c:pt>
                <c:pt idx="161">
                  <c:v>2022/1/7</c:v>
                </c:pt>
                <c:pt idx="162">
                  <c:v>2022/1/10</c:v>
                </c:pt>
                <c:pt idx="163">
                  <c:v>2022/1/11</c:v>
                </c:pt>
                <c:pt idx="164">
                  <c:v>2022/1/12</c:v>
                </c:pt>
                <c:pt idx="165">
                  <c:v>2022/1/13</c:v>
                </c:pt>
                <c:pt idx="166">
                  <c:v>2022/1/14</c:v>
                </c:pt>
                <c:pt idx="167">
                  <c:v>2022/1/17</c:v>
                </c:pt>
                <c:pt idx="168">
                  <c:v>2022/1/18</c:v>
                </c:pt>
                <c:pt idx="169">
                  <c:v>2022/1/19</c:v>
                </c:pt>
                <c:pt idx="170">
                  <c:v>2022/1/20</c:v>
                </c:pt>
                <c:pt idx="171">
                  <c:v>2022/1/21</c:v>
                </c:pt>
                <c:pt idx="172">
                  <c:v>2022/1/24</c:v>
                </c:pt>
                <c:pt idx="173">
                  <c:v>2022/1/25</c:v>
                </c:pt>
                <c:pt idx="174">
                  <c:v>2022/1/26</c:v>
                </c:pt>
                <c:pt idx="175">
                  <c:v>2022/1/27</c:v>
                </c:pt>
                <c:pt idx="176">
                  <c:v>2022/1/28</c:v>
                </c:pt>
                <c:pt idx="177">
                  <c:v>2022/2/7</c:v>
                </c:pt>
                <c:pt idx="178">
                  <c:v>2022/2/8</c:v>
                </c:pt>
                <c:pt idx="179">
                  <c:v>2022/2/9</c:v>
                </c:pt>
                <c:pt idx="180">
                  <c:v>2022/2/10</c:v>
                </c:pt>
                <c:pt idx="181">
                  <c:v>2022/2/11</c:v>
                </c:pt>
                <c:pt idx="182">
                  <c:v>2022/2/14</c:v>
                </c:pt>
                <c:pt idx="183">
                  <c:v>2022/2/15</c:v>
                </c:pt>
                <c:pt idx="184">
                  <c:v>2022/2/16</c:v>
                </c:pt>
                <c:pt idx="185">
                  <c:v>2022/2/17</c:v>
                </c:pt>
                <c:pt idx="186">
                  <c:v>2022/2/18</c:v>
                </c:pt>
                <c:pt idx="187">
                  <c:v>2022/2/21</c:v>
                </c:pt>
                <c:pt idx="188">
                  <c:v>2022/2/22</c:v>
                </c:pt>
                <c:pt idx="189">
                  <c:v>2022/2/23</c:v>
                </c:pt>
                <c:pt idx="190">
                  <c:v>2022/2/24</c:v>
                </c:pt>
                <c:pt idx="191">
                  <c:v>2022/2/25</c:v>
                </c:pt>
                <c:pt idx="192">
                  <c:v>2022/2/28</c:v>
                </c:pt>
                <c:pt idx="193">
                  <c:v>2022/3/1</c:v>
                </c:pt>
                <c:pt idx="194">
                  <c:v>2022/3/2</c:v>
                </c:pt>
                <c:pt idx="195">
                  <c:v>2022/3/3</c:v>
                </c:pt>
                <c:pt idx="196">
                  <c:v>2022/3/4</c:v>
                </c:pt>
                <c:pt idx="197">
                  <c:v>2022/3/7</c:v>
                </c:pt>
                <c:pt idx="198">
                  <c:v>2022/3/8</c:v>
                </c:pt>
                <c:pt idx="199">
                  <c:v>2022/3/9</c:v>
                </c:pt>
                <c:pt idx="200">
                  <c:v>2022/3/10</c:v>
                </c:pt>
                <c:pt idx="201">
                  <c:v>2022/3/11</c:v>
                </c:pt>
                <c:pt idx="202">
                  <c:v>2022/3/14</c:v>
                </c:pt>
                <c:pt idx="203">
                  <c:v>2022/3/15</c:v>
                </c:pt>
                <c:pt idx="204">
                  <c:v>2022/3/16</c:v>
                </c:pt>
                <c:pt idx="205">
                  <c:v>2022/3/17</c:v>
                </c:pt>
                <c:pt idx="206">
                  <c:v>2022/3/18</c:v>
                </c:pt>
                <c:pt idx="207">
                  <c:v>2022/3/21</c:v>
                </c:pt>
                <c:pt idx="208">
                  <c:v>2022/3/22</c:v>
                </c:pt>
                <c:pt idx="209">
                  <c:v>2022/3/23</c:v>
                </c:pt>
                <c:pt idx="210">
                  <c:v>2022/3/24</c:v>
                </c:pt>
                <c:pt idx="211">
                  <c:v>2022/3/25</c:v>
                </c:pt>
                <c:pt idx="212">
                  <c:v>2022/3/28</c:v>
                </c:pt>
                <c:pt idx="213">
                  <c:v>2022/3/29</c:v>
                </c:pt>
                <c:pt idx="214">
                  <c:v>2022/3/30</c:v>
                </c:pt>
                <c:pt idx="215">
                  <c:v>2022/3/31</c:v>
                </c:pt>
                <c:pt idx="216">
                  <c:v>2022/4/1</c:v>
                </c:pt>
                <c:pt idx="217">
                  <c:v>2022/4/4</c:v>
                </c:pt>
                <c:pt idx="218">
                  <c:v>2022/4/5</c:v>
                </c:pt>
                <c:pt idx="219">
                  <c:v>2022/4/6</c:v>
                </c:pt>
                <c:pt idx="220">
                  <c:v>2022/4/7</c:v>
                </c:pt>
                <c:pt idx="221">
                  <c:v>2022/4/8</c:v>
                </c:pt>
                <c:pt idx="222">
                  <c:v>2022/4/11</c:v>
                </c:pt>
                <c:pt idx="223">
                  <c:v>2022/4/12</c:v>
                </c:pt>
                <c:pt idx="224">
                  <c:v>2022/4/13</c:v>
                </c:pt>
                <c:pt idx="225">
                  <c:v>2022/4/14</c:v>
                </c:pt>
                <c:pt idx="226">
                  <c:v>2022/4/15</c:v>
                </c:pt>
                <c:pt idx="227">
                  <c:v>2022/4/18</c:v>
                </c:pt>
                <c:pt idx="228">
                  <c:v>2022/4/19</c:v>
                </c:pt>
                <c:pt idx="229">
                  <c:v>2022/4/20</c:v>
                </c:pt>
                <c:pt idx="230">
                  <c:v>2022/4/21</c:v>
                </c:pt>
                <c:pt idx="231">
                  <c:v>2022/4/22</c:v>
                </c:pt>
                <c:pt idx="232">
                  <c:v>2022/4/24</c:v>
                </c:pt>
                <c:pt idx="233">
                  <c:v>2022/4/25</c:v>
                </c:pt>
                <c:pt idx="234">
                  <c:v>2022/4/26</c:v>
                </c:pt>
                <c:pt idx="235">
                  <c:v>2022/4/27</c:v>
                </c:pt>
                <c:pt idx="236">
                  <c:v>2022/4/28</c:v>
                </c:pt>
                <c:pt idx="237">
                  <c:v>2022/4/29</c:v>
                </c:pt>
                <c:pt idx="238">
                  <c:v>2022/5/5</c:v>
                </c:pt>
                <c:pt idx="239">
                  <c:v>2022/5/6</c:v>
                </c:pt>
                <c:pt idx="240">
                  <c:v>2022/5/7</c:v>
                </c:pt>
                <c:pt idx="241">
                  <c:v>2022/5/9</c:v>
                </c:pt>
                <c:pt idx="242">
                  <c:v>2022/5/10</c:v>
                </c:pt>
                <c:pt idx="243">
                  <c:v>2022/5/11</c:v>
                </c:pt>
                <c:pt idx="244">
                  <c:v>2022/5/12</c:v>
                </c:pt>
                <c:pt idx="245">
                  <c:v>2022/5/13</c:v>
                </c:pt>
                <c:pt idx="246">
                  <c:v>2022/5/16</c:v>
                </c:pt>
                <c:pt idx="247">
                  <c:v>2022/5/17</c:v>
                </c:pt>
                <c:pt idx="248">
                  <c:v>2022/5/18</c:v>
                </c:pt>
                <c:pt idx="249">
                  <c:v>2022/5/19</c:v>
                </c:pt>
                <c:pt idx="250">
                  <c:v>2022/5/20</c:v>
                </c:pt>
                <c:pt idx="251">
                  <c:v>2022/5/23</c:v>
                </c:pt>
                <c:pt idx="252">
                  <c:v>2022/5/24</c:v>
                </c:pt>
                <c:pt idx="253">
                  <c:v>2022/5/25</c:v>
                </c:pt>
                <c:pt idx="254">
                  <c:v>2022/5/26</c:v>
                </c:pt>
                <c:pt idx="255">
                  <c:v>2022/5/27</c:v>
                </c:pt>
                <c:pt idx="256">
                  <c:v>2022/5/30</c:v>
                </c:pt>
                <c:pt idx="257">
                  <c:v>2022/5/31</c:v>
                </c:pt>
                <c:pt idx="258">
                  <c:v>2022/6/1</c:v>
                </c:pt>
                <c:pt idx="259">
                  <c:v>2022/6/2</c:v>
                </c:pt>
                <c:pt idx="260">
                  <c:v>2022/6/3</c:v>
                </c:pt>
                <c:pt idx="261">
                  <c:v>2022/6/6</c:v>
                </c:pt>
                <c:pt idx="262">
                  <c:v>2022/6/7</c:v>
                </c:pt>
                <c:pt idx="263">
                  <c:v>2022/6/8</c:v>
                </c:pt>
                <c:pt idx="264">
                  <c:v>2022/6/9</c:v>
                </c:pt>
                <c:pt idx="265">
                  <c:v>2022/6/10</c:v>
                </c:pt>
                <c:pt idx="266">
                  <c:v>2022/6/13</c:v>
                </c:pt>
                <c:pt idx="267">
                  <c:v>2022/6/14</c:v>
                </c:pt>
                <c:pt idx="268">
                  <c:v>2022/6/15</c:v>
                </c:pt>
                <c:pt idx="269">
                  <c:v>2022/6/16</c:v>
                </c:pt>
                <c:pt idx="270">
                  <c:v>2022/6/17</c:v>
                </c:pt>
                <c:pt idx="271">
                  <c:v>2022/6/20</c:v>
                </c:pt>
                <c:pt idx="272">
                  <c:v>2022/6/21</c:v>
                </c:pt>
                <c:pt idx="273">
                  <c:v>2022/6/22</c:v>
                </c:pt>
                <c:pt idx="274">
                  <c:v>2022/6/23</c:v>
                </c:pt>
                <c:pt idx="275">
                  <c:v>2022/6/24</c:v>
                </c:pt>
                <c:pt idx="276">
                  <c:v>2022/6/27</c:v>
                </c:pt>
                <c:pt idx="277">
                  <c:v>2022/6/28</c:v>
                </c:pt>
                <c:pt idx="278">
                  <c:v>2022/6/29</c:v>
                </c:pt>
                <c:pt idx="279">
                  <c:v>2022/6/30</c:v>
                </c:pt>
                <c:pt idx="280">
                  <c:v>2022/7/1</c:v>
                </c:pt>
                <c:pt idx="281">
                  <c:v>2022/7/4</c:v>
                </c:pt>
                <c:pt idx="282">
                  <c:v>2022/7/5</c:v>
                </c:pt>
                <c:pt idx="283">
                  <c:v>2022/7/6</c:v>
                </c:pt>
                <c:pt idx="284">
                  <c:v>2022/7/7</c:v>
                </c:pt>
                <c:pt idx="285">
                  <c:v>2022/7/8</c:v>
                </c:pt>
                <c:pt idx="286">
                  <c:v>2022/7/11</c:v>
                </c:pt>
                <c:pt idx="287">
                  <c:v>2022/7/12</c:v>
                </c:pt>
                <c:pt idx="288">
                  <c:v>2022/7/13</c:v>
                </c:pt>
                <c:pt idx="289">
                  <c:v>2022/7/14</c:v>
                </c:pt>
                <c:pt idx="290">
                  <c:v>2022/7/15</c:v>
                </c:pt>
                <c:pt idx="291">
                  <c:v>2022/7/18</c:v>
                </c:pt>
                <c:pt idx="292">
                  <c:v>2022/7/19</c:v>
                </c:pt>
                <c:pt idx="293">
                  <c:v>2022/7/20</c:v>
                </c:pt>
                <c:pt idx="294">
                  <c:v>2022/7/21</c:v>
                </c:pt>
                <c:pt idx="295">
                  <c:v>2022/7/22</c:v>
                </c:pt>
                <c:pt idx="296">
                  <c:v>2022/7/25</c:v>
                </c:pt>
                <c:pt idx="297">
                  <c:v>2022/7/26</c:v>
                </c:pt>
                <c:pt idx="298">
                  <c:v>2022/7/27</c:v>
                </c:pt>
                <c:pt idx="299">
                  <c:v>2022/7/28</c:v>
                </c:pt>
                <c:pt idx="300">
                  <c:v>2022/7/29</c:v>
                </c:pt>
                <c:pt idx="301">
                  <c:v>2022/8/1</c:v>
                </c:pt>
                <c:pt idx="302">
                  <c:v>2022/8/2</c:v>
                </c:pt>
                <c:pt idx="303">
                  <c:v>2022/8/3</c:v>
                </c:pt>
                <c:pt idx="304">
                  <c:v>2022/8/4</c:v>
                </c:pt>
                <c:pt idx="305">
                  <c:v>2022/8/5</c:v>
                </c:pt>
                <c:pt idx="306">
                  <c:v>2022/8/8</c:v>
                </c:pt>
                <c:pt idx="307">
                  <c:v>2022/8/9</c:v>
                </c:pt>
                <c:pt idx="308">
                  <c:v>2022/8/10</c:v>
                </c:pt>
                <c:pt idx="309">
                  <c:v>2022/8/11</c:v>
                </c:pt>
                <c:pt idx="310">
                  <c:v>2022/8/12</c:v>
                </c:pt>
                <c:pt idx="311">
                  <c:v>2022/8/15</c:v>
                </c:pt>
                <c:pt idx="312">
                  <c:v>2022/8/16</c:v>
                </c:pt>
                <c:pt idx="313">
                  <c:v>2022/8/17</c:v>
                </c:pt>
                <c:pt idx="314">
                  <c:v>2022/8/18</c:v>
                </c:pt>
                <c:pt idx="315">
                  <c:v>2022/8/19</c:v>
                </c:pt>
                <c:pt idx="316">
                  <c:v>2022/8/22</c:v>
                </c:pt>
                <c:pt idx="317">
                  <c:v>2022/8/23</c:v>
                </c:pt>
                <c:pt idx="318">
                  <c:v>2022/8/24</c:v>
                </c:pt>
                <c:pt idx="319">
                  <c:v>2022/8/25</c:v>
                </c:pt>
                <c:pt idx="320">
                  <c:v>2022/8/26</c:v>
                </c:pt>
                <c:pt idx="321">
                  <c:v>2022/8/29</c:v>
                </c:pt>
                <c:pt idx="322">
                  <c:v>2022/8/30</c:v>
                </c:pt>
                <c:pt idx="323">
                  <c:v>2022/8/31</c:v>
                </c:pt>
                <c:pt idx="324">
                  <c:v>2022/9/1</c:v>
                </c:pt>
                <c:pt idx="325">
                  <c:v>2022/9/2</c:v>
                </c:pt>
                <c:pt idx="326">
                  <c:v>2022/9/5</c:v>
                </c:pt>
                <c:pt idx="327">
                  <c:v>2022/9/6</c:v>
                </c:pt>
                <c:pt idx="328">
                  <c:v>2022/9/7</c:v>
                </c:pt>
                <c:pt idx="329">
                  <c:v>2022/9/8</c:v>
                </c:pt>
                <c:pt idx="330">
                  <c:v>2022/9/9</c:v>
                </c:pt>
                <c:pt idx="331">
                  <c:v>2022/9/12</c:v>
                </c:pt>
                <c:pt idx="332">
                  <c:v>2022/9/13</c:v>
                </c:pt>
                <c:pt idx="333">
                  <c:v>2022/9/14</c:v>
                </c:pt>
                <c:pt idx="334">
                  <c:v>2022/9/15</c:v>
                </c:pt>
                <c:pt idx="335">
                  <c:v>2022/9/16</c:v>
                </c:pt>
                <c:pt idx="336">
                  <c:v>2022/9/19</c:v>
                </c:pt>
                <c:pt idx="337">
                  <c:v>2022/9/20</c:v>
                </c:pt>
                <c:pt idx="338">
                  <c:v>2022/9/21</c:v>
                </c:pt>
                <c:pt idx="339">
                  <c:v>2022/9/22</c:v>
                </c:pt>
                <c:pt idx="340">
                  <c:v>2022/9/23</c:v>
                </c:pt>
                <c:pt idx="341">
                  <c:v>2022/9/26</c:v>
                </c:pt>
                <c:pt idx="342">
                  <c:v>2022/9/27</c:v>
                </c:pt>
                <c:pt idx="343">
                  <c:v>2022/9/28</c:v>
                </c:pt>
                <c:pt idx="344">
                  <c:v>2022/9/29</c:v>
                </c:pt>
                <c:pt idx="345">
                  <c:v>2022/9/30</c:v>
                </c:pt>
                <c:pt idx="346">
                  <c:v>2022/10/7</c:v>
                </c:pt>
                <c:pt idx="347">
                  <c:v>2022/10/8</c:v>
                </c:pt>
                <c:pt idx="348">
                  <c:v>2022/10/9</c:v>
                </c:pt>
                <c:pt idx="349">
                  <c:v>2022/10/10</c:v>
                </c:pt>
                <c:pt idx="350">
                  <c:v>2022/10/11</c:v>
                </c:pt>
                <c:pt idx="351">
                  <c:v>2022/10/12</c:v>
                </c:pt>
                <c:pt idx="352">
                  <c:v>2022/10/13</c:v>
                </c:pt>
                <c:pt idx="353">
                  <c:v>2022/10/14</c:v>
                </c:pt>
                <c:pt idx="354">
                  <c:v>2022/10/17</c:v>
                </c:pt>
                <c:pt idx="355">
                  <c:v>2022/10/18</c:v>
                </c:pt>
                <c:pt idx="356">
                  <c:v>2022/10/19</c:v>
                </c:pt>
                <c:pt idx="357">
                  <c:v>2022/10/20</c:v>
                </c:pt>
                <c:pt idx="358">
                  <c:v>2022/10/21</c:v>
                </c:pt>
                <c:pt idx="359">
                  <c:v>2022/10/24</c:v>
                </c:pt>
                <c:pt idx="360">
                  <c:v>2022/10/25</c:v>
                </c:pt>
                <c:pt idx="361">
                  <c:v>2022/10/26</c:v>
                </c:pt>
                <c:pt idx="362">
                  <c:v>2022/10/27</c:v>
                </c:pt>
                <c:pt idx="363">
                  <c:v>2022/10/28</c:v>
                </c:pt>
                <c:pt idx="364">
                  <c:v>2022/10/31</c:v>
                </c:pt>
                <c:pt idx="365">
                  <c:v>2022/11/1</c:v>
                </c:pt>
                <c:pt idx="366">
                  <c:v>2022/11/2</c:v>
                </c:pt>
                <c:pt idx="367">
                  <c:v>2022/11/3</c:v>
                </c:pt>
                <c:pt idx="368">
                  <c:v>2022/11/4</c:v>
                </c:pt>
                <c:pt idx="369">
                  <c:v>2022/11/7</c:v>
                </c:pt>
                <c:pt idx="370">
                  <c:v>2022/11/8</c:v>
                </c:pt>
                <c:pt idx="371">
                  <c:v>2022/11/9</c:v>
                </c:pt>
                <c:pt idx="372">
                  <c:v>2022/11/10</c:v>
                </c:pt>
                <c:pt idx="373">
                  <c:v>2022/11/11</c:v>
                </c:pt>
                <c:pt idx="374">
                  <c:v>2022/11/14</c:v>
                </c:pt>
                <c:pt idx="375">
                  <c:v>2022/11/15</c:v>
                </c:pt>
                <c:pt idx="376">
                  <c:v>2022/11/16</c:v>
                </c:pt>
                <c:pt idx="377">
                  <c:v>2022/11/17</c:v>
                </c:pt>
                <c:pt idx="378">
                  <c:v>2022/11/18</c:v>
                </c:pt>
                <c:pt idx="379">
                  <c:v>2022/11/21</c:v>
                </c:pt>
                <c:pt idx="380">
                  <c:v>2022/11/22</c:v>
                </c:pt>
                <c:pt idx="381">
                  <c:v>2022/11/23</c:v>
                </c:pt>
                <c:pt idx="382">
                  <c:v>2022/11/24</c:v>
                </c:pt>
                <c:pt idx="383">
                  <c:v>2022/11/25</c:v>
                </c:pt>
                <c:pt idx="384">
                  <c:v>2022/11/28</c:v>
                </c:pt>
                <c:pt idx="385">
                  <c:v>2022/11/29</c:v>
                </c:pt>
                <c:pt idx="386">
                  <c:v>2022/11/30</c:v>
                </c:pt>
                <c:pt idx="387">
                  <c:v>2022/12/1</c:v>
                </c:pt>
                <c:pt idx="388">
                  <c:v>2022/12/2</c:v>
                </c:pt>
                <c:pt idx="389">
                  <c:v>2022/12/5</c:v>
                </c:pt>
                <c:pt idx="390">
                  <c:v>2022/12/6</c:v>
                </c:pt>
                <c:pt idx="391">
                  <c:v>2022/12/7</c:v>
                </c:pt>
                <c:pt idx="392">
                  <c:v>2022/12/8</c:v>
                </c:pt>
                <c:pt idx="393">
                  <c:v>2022/12/9</c:v>
                </c:pt>
                <c:pt idx="394">
                  <c:v>2022/12/12</c:v>
                </c:pt>
                <c:pt idx="395">
                  <c:v>2022/12/13</c:v>
                </c:pt>
                <c:pt idx="396">
                  <c:v>2022/12/14</c:v>
                </c:pt>
                <c:pt idx="397">
                  <c:v>2022/12/15</c:v>
                </c:pt>
                <c:pt idx="398">
                  <c:v>2022/12/16</c:v>
                </c:pt>
                <c:pt idx="399">
                  <c:v>2022/12/19</c:v>
                </c:pt>
                <c:pt idx="400">
                  <c:v>2022/12/20</c:v>
                </c:pt>
                <c:pt idx="401">
                  <c:v>2022/12/21</c:v>
                </c:pt>
                <c:pt idx="402">
                  <c:v>2022/12/22</c:v>
                </c:pt>
                <c:pt idx="403">
                  <c:v>2022/12/23</c:v>
                </c:pt>
                <c:pt idx="404">
                  <c:v>2022/12/26</c:v>
                </c:pt>
                <c:pt idx="405">
                  <c:v>2022/12/27</c:v>
                </c:pt>
                <c:pt idx="406">
                  <c:v>2022/12/28</c:v>
                </c:pt>
                <c:pt idx="407">
                  <c:v>2022/12/29</c:v>
                </c:pt>
                <c:pt idx="408">
                  <c:v>2022/12/30</c:v>
                </c:pt>
                <c:pt idx="409">
                  <c:v>2023/1/2</c:v>
                </c:pt>
                <c:pt idx="410">
                  <c:v>2023/1/3</c:v>
                </c:pt>
                <c:pt idx="411">
                  <c:v>2023/1/4</c:v>
                </c:pt>
                <c:pt idx="412">
                  <c:v>2023/1/5</c:v>
                </c:pt>
                <c:pt idx="413">
                  <c:v>2023/1/6</c:v>
                </c:pt>
                <c:pt idx="414">
                  <c:v>2023/1/9</c:v>
                </c:pt>
                <c:pt idx="415">
                  <c:v>2023/1/10</c:v>
                </c:pt>
                <c:pt idx="416">
                  <c:v>2023/1/11</c:v>
                </c:pt>
                <c:pt idx="417">
                  <c:v>2023/1/12</c:v>
                </c:pt>
                <c:pt idx="418">
                  <c:v>2023/1/13</c:v>
                </c:pt>
                <c:pt idx="419">
                  <c:v>2023/1/16</c:v>
                </c:pt>
                <c:pt idx="420">
                  <c:v>2023/1/17</c:v>
                </c:pt>
                <c:pt idx="421">
                  <c:v>2023/1/18</c:v>
                </c:pt>
                <c:pt idx="422">
                  <c:v>2023/1/19</c:v>
                </c:pt>
                <c:pt idx="423">
                  <c:v>2023/1/20</c:v>
                </c:pt>
                <c:pt idx="424">
                  <c:v>2023/1/23</c:v>
                </c:pt>
                <c:pt idx="425">
                  <c:v>2023/1/24</c:v>
                </c:pt>
                <c:pt idx="426">
                  <c:v>2023/1/25</c:v>
                </c:pt>
                <c:pt idx="427">
                  <c:v>2023/1/26</c:v>
                </c:pt>
                <c:pt idx="428">
                  <c:v>2023/1/27</c:v>
                </c:pt>
                <c:pt idx="429">
                  <c:v>2023/1/28</c:v>
                </c:pt>
                <c:pt idx="430">
                  <c:v>2023/1/29</c:v>
                </c:pt>
                <c:pt idx="431">
                  <c:v>2023/1/30</c:v>
                </c:pt>
                <c:pt idx="432">
                  <c:v>2023/1/31</c:v>
                </c:pt>
                <c:pt idx="433">
                  <c:v>2023/2/1</c:v>
                </c:pt>
                <c:pt idx="434">
                  <c:v>2023/2/2</c:v>
                </c:pt>
                <c:pt idx="435">
                  <c:v>2023/2/3</c:v>
                </c:pt>
                <c:pt idx="436">
                  <c:v>2023/2/6</c:v>
                </c:pt>
                <c:pt idx="437">
                  <c:v>2023/2/7</c:v>
                </c:pt>
                <c:pt idx="438">
                  <c:v>2023/2/8</c:v>
                </c:pt>
                <c:pt idx="439">
                  <c:v>2023/2/9</c:v>
                </c:pt>
                <c:pt idx="440">
                  <c:v>2023/2/10</c:v>
                </c:pt>
                <c:pt idx="441">
                  <c:v>2023/2/13</c:v>
                </c:pt>
                <c:pt idx="442">
                  <c:v>2023/2/14</c:v>
                </c:pt>
                <c:pt idx="443">
                  <c:v>2023/2/15</c:v>
                </c:pt>
                <c:pt idx="444">
                  <c:v>2023/2/16</c:v>
                </c:pt>
                <c:pt idx="445">
                  <c:v>2023/2/17</c:v>
                </c:pt>
                <c:pt idx="446">
                  <c:v>2023/2/20</c:v>
                </c:pt>
                <c:pt idx="447">
                  <c:v>2023/2/21</c:v>
                </c:pt>
                <c:pt idx="448">
                  <c:v>2023/2/22</c:v>
                </c:pt>
                <c:pt idx="449">
                  <c:v>2023/2/23</c:v>
                </c:pt>
                <c:pt idx="450">
                  <c:v>2023/2/24</c:v>
                </c:pt>
                <c:pt idx="451">
                  <c:v>2023/2/27</c:v>
                </c:pt>
                <c:pt idx="452">
                  <c:v>2023/2/28</c:v>
                </c:pt>
                <c:pt idx="453">
                  <c:v>2023/3/1</c:v>
                </c:pt>
                <c:pt idx="454">
                  <c:v>2023/3/2</c:v>
                </c:pt>
                <c:pt idx="455">
                  <c:v>2023/3/3</c:v>
                </c:pt>
                <c:pt idx="456">
                  <c:v>2023/3/6</c:v>
                </c:pt>
                <c:pt idx="457">
                  <c:v>2023/3/7</c:v>
                </c:pt>
                <c:pt idx="458">
                  <c:v>2023/3/8</c:v>
                </c:pt>
                <c:pt idx="459">
                  <c:v>2023/3/9</c:v>
                </c:pt>
                <c:pt idx="460">
                  <c:v>2023/3/10</c:v>
                </c:pt>
                <c:pt idx="461">
                  <c:v>2023/3/13</c:v>
                </c:pt>
                <c:pt idx="462">
                  <c:v>2023/3/14</c:v>
                </c:pt>
                <c:pt idx="463">
                  <c:v>2023/3/15</c:v>
                </c:pt>
                <c:pt idx="464">
                  <c:v>2023/3/16</c:v>
                </c:pt>
                <c:pt idx="465">
                  <c:v>2023/3/17</c:v>
                </c:pt>
                <c:pt idx="466">
                  <c:v>2023/3/20</c:v>
                </c:pt>
                <c:pt idx="467">
                  <c:v>2023/3/21</c:v>
                </c:pt>
                <c:pt idx="468">
                  <c:v>2023/3/22</c:v>
                </c:pt>
                <c:pt idx="469">
                  <c:v>2023/3/23</c:v>
                </c:pt>
                <c:pt idx="470">
                  <c:v>2023/3/24</c:v>
                </c:pt>
                <c:pt idx="471">
                  <c:v>2023/3/27</c:v>
                </c:pt>
                <c:pt idx="472">
                  <c:v>2023/3/28</c:v>
                </c:pt>
                <c:pt idx="474">
                  <c:v>数据来源：Wind</c:v>
                </c:pt>
              </c:strCache>
            </c:strRef>
          </c:cat>
          <c:val>
            <c:numRef>
              <c:f>Charts!$C$1166:$C$1640</c:f>
              <c:numCache>
                <c:formatCode>General</c:formatCode>
                <c:ptCount val="475"/>
                <c:pt idx="0">
                  <c:v>2.4</c:v>
                </c:pt>
                <c:pt idx="1">
                  <c:v>2.4</c:v>
                </c:pt>
                <c:pt idx="2">
                  <c:v>2.4</c:v>
                </c:pt>
                <c:pt idx="3">
                  <c:v>2.4</c:v>
                </c:pt>
                <c:pt idx="4">
                  <c:v>2.4</c:v>
                </c:pt>
                <c:pt idx="5">
                  <c:v>2.4</c:v>
                </c:pt>
                <c:pt idx="6">
                  <c:v>2.4</c:v>
                </c:pt>
                <c:pt idx="7">
                  <c:v>2.4</c:v>
                </c:pt>
                <c:pt idx="8">
                  <c:v>2.4</c:v>
                </c:pt>
                <c:pt idx="9">
                  <c:v>2.4</c:v>
                </c:pt>
                <c:pt idx="10">
                  <c:v>2.4</c:v>
                </c:pt>
                <c:pt idx="11">
                  <c:v>2.4</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2.4</c:v>
                </c:pt>
                <c:pt idx="54">
                  <c:v>2.4</c:v>
                </c:pt>
                <c:pt idx="55">
                  <c:v>2.4</c:v>
                </c:pt>
                <c:pt idx="56">
                  <c:v>2.4</c:v>
                </c:pt>
                <c:pt idx="57">
                  <c:v>2.4</c:v>
                </c:pt>
                <c:pt idx="58">
                  <c:v>2.4</c:v>
                </c:pt>
                <c:pt idx="59">
                  <c:v>2.4</c:v>
                </c:pt>
                <c:pt idx="60">
                  <c:v>2.4</c:v>
                </c:pt>
                <c:pt idx="61">
                  <c:v>2.4</c:v>
                </c:pt>
                <c:pt idx="62">
                  <c:v>2.4</c:v>
                </c:pt>
                <c:pt idx="63">
                  <c:v>2.4</c:v>
                </c:pt>
                <c:pt idx="64">
                  <c:v>2.4</c:v>
                </c:pt>
                <c:pt idx="65">
                  <c:v>2.4</c:v>
                </c:pt>
                <c:pt idx="66">
                  <c:v>2.4</c:v>
                </c:pt>
                <c:pt idx="67">
                  <c:v>2.4</c:v>
                </c:pt>
                <c:pt idx="68">
                  <c:v>2.4</c:v>
                </c:pt>
                <c:pt idx="69">
                  <c:v>2.4</c:v>
                </c:pt>
                <c:pt idx="70">
                  <c:v>2.4</c:v>
                </c:pt>
                <c:pt idx="71">
                  <c:v>2.4</c:v>
                </c:pt>
                <c:pt idx="72">
                  <c:v>2.4</c:v>
                </c:pt>
                <c:pt idx="73">
                  <c:v>2.4</c:v>
                </c:pt>
                <c:pt idx="74">
                  <c:v>2.4</c:v>
                </c:pt>
                <c:pt idx="75">
                  <c:v>2.4</c:v>
                </c:pt>
                <c:pt idx="76">
                  <c:v>2.4</c:v>
                </c:pt>
                <c:pt idx="77">
                  <c:v>2.4</c:v>
                </c:pt>
                <c:pt idx="78">
                  <c:v>2.4</c:v>
                </c:pt>
                <c:pt idx="79">
                  <c:v>2.4</c:v>
                </c:pt>
                <c:pt idx="80">
                  <c:v>2.4</c:v>
                </c:pt>
                <c:pt idx="81">
                  <c:v>2.4</c:v>
                </c:pt>
                <c:pt idx="82">
                  <c:v>2.4</c:v>
                </c:pt>
                <c:pt idx="83">
                  <c:v>2.4</c:v>
                </c:pt>
                <c:pt idx="84">
                  <c:v>2.4</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2.4</c:v>
                </c:pt>
                <c:pt idx="105">
                  <c:v>2.4</c:v>
                </c:pt>
                <c:pt idx="106">
                  <c:v>2.4</c:v>
                </c:pt>
                <c:pt idx="107">
                  <c:v>2.4</c:v>
                </c:pt>
                <c:pt idx="108">
                  <c:v>2.4</c:v>
                </c:pt>
                <c:pt idx="109">
                  <c:v>2.4</c:v>
                </c:pt>
                <c:pt idx="110">
                  <c:v>2.4</c:v>
                </c:pt>
                <c:pt idx="111">
                  <c:v>2.4</c:v>
                </c:pt>
                <c:pt idx="112">
                  <c:v>2.4</c:v>
                </c:pt>
                <c:pt idx="113">
                  <c:v>2.4</c:v>
                </c:pt>
                <c:pt idx="114">
                  <c:v>2.4</c:v>
                </c:pt>
                <c:pt idx="115">
                  <c:v>2.4</c:v>
                </c:pt>
                <c:pt idx="116">
                  <c:v>2.5</c:v>
                </c:pt>
                <c:pt idx="117">
                  <c:v>2.5</c:v>
                </c:pt>
                <c:pt idx="118">
                  <c:v>2.5</c:v>
                </c:pt>
                <c:pt idx="119">
                  <c:v>2.5</c:v>
                </c:pt>
                <c:pt idx="120">
                  <c:v>2.5</c:v>
                </c:pt>
                <c:pt idx="121">
                  <c:v>2.5</c:v>
                </c:pt>
                <c:pt idx="122">
                  <c:v>2.5</c:v>
                </c:pt>
                <c:pt idx="123">
                  <c:v>2.5</c:v>
                </c:pt>
                <c:pt idx="124">
                  <c:v>2.5</c:v>
                </c:pt>
                <c:pt idx="125">
                  <c:v>2.5</c:v>
                </c:pt>
                <c:pt idx="126">
                  <c:v>2.5</c:v>
                </c:pt>
                <c:pt idx="127">
                  <c:v>2.5</c:v>
                </c:pt>
                <c:pt idx="128">
                  <c:v>2.5</c:v>
                </c:pt>
                <c:pt idx="129">
                  <c:v>2.5</c:v>
                </c:pt>
                <c:pt idx="130">
                  <c:v>2.5</c:v>
                </c:pt>
                <c:pt idx="131">
                  <c:v>2.5</c:v>
                </c:pt>
                <c:pt idx="132">
                  <c:v>2.5</c:v>
                </c:pt>
                <c:pt idx="133">
                  <c:v>2.6</c:v>
                </c:pt>
                <c:pt idx="134">
                  <c:v>2.6</c:v>
                </c:pt>
                <c:pt idx="135">
                  <c:v>2.6</c:v>
                </c:pt>
                <c:pt idx="136">
                  <c:v>2.6</c:v>
                </c:pt>
                <c:pt idx="137">
                  <c:v>2.6</c:v>
                </c:pt>
                <c:pt idx="138">
                  <c:v>2.6</c:v>
                </c:pt>
                <c:pt idx="139">
                  <c:v>2.6</c:v>
                </c:pt>
                <c:pt idx="140">
                  <c:v>2.6</c:v>
                </c:pt>
                <c:pt idx="141">
                  <c:v>2.6</c:v>
                </c:pt>
                <c:pt idx="142">
                  <c:v>2.6</c:v>
                </c:pt>
                <c:pt idx="143">
                  <c:v>2.6</c:v>
                </c:pt>
                <c:pt idx="144">
                  <c:v>2.6</c:v>
                </c:pt>
                <c:pt idx="145">
                  <c:v>2.6</c:v>
                </c:pt>
                <c:pt idx="146">
                  <c:v>2.6</c:v>
                </c:pt>
                <c:pt idx="147">
                  <c:v>2.6</c:v>
                </c:pt>
                <c:pt idx="148">
                  <c:v>2.6</c:v>
                </c:pt>
                <c:pt idx="149">
                  <c:v>2.6</c:v>
                </c:pt>
                <c:pt idx="150">
                  <c:v>2.6</c:v>
                </c:pt>
                <c:pt idx="151">
                  <c:v>2.6</c:v>
                </c:pt>
                <c:pt idx="152">
                  <c:v>2.6</c:v>
                </c:pt>
                <c:pt idx="153">
                  <c:v>2.6</c:v>
                </c:pt>
                <c:pt idx="154">
                  <c:v>2.6</c:v>
                </c:pt>
                <c:pt idx="155">
                  <c:v>2.6</c:v>
                </c:pt>
                <c:pt idx="156">
                  <c:v>2.6</c:v>
                </c:pt>
                <c:pt idx="157">
                  <c:v>2.6</c:v>
                </c:pt>
                <c:pt idx="158">
                  <c:v>2.6</c:v>
                </c:pt>
                <c:pt idx="159">
                  <c:v>2.6</c:v>
                </c:pt>
                <c:pt idx="160">
                  <c:v>2.6</c:v>
                </c:pt>
                <c:pt idx="161">
                  <c:v>2.6</c:v>
                </c:pt>
                <c:pt idx="162">
                  <c:v>2.6</c:v>
                </c:pt>
                <c:pt idx="163">
                  <c:v>2.6</c:v>
                </c:pt>
                <c:pt idx="164">
                  <c:v>2.6</c:v>
                </c:pt>
                <c:pt idx="165">
                  <c:v>2.6</c:v>
                </c:pt>
                <c:pt idx="166">
                  <c:v>2.6</c:v>
                </c:pt>
                <c:pt idx="167">
                  <c:v>2.6</c:v>
                </c:pt>
                <c:pt idx="168">
                  <c:v>2.6</c:v>
                </c:pt>
                <c:pt idx="169">
                  <c:v>2.6</c:v>
                </c:pt>
                <c:pt idx="170">
                  <c:v>2.6</c:v>
                </c:pt>
                <c:pt idx="171">
                  <c:v>2.6</c:v>
                </c:pt>
                <c:pt idx="172">
                  <c:v>2.6</c:v>
                </c:pt>
                <c:pt idx="173">
                  <c:v>2.6</c:v>
                </c:pt>
                <c:pt idx="174">
                  <c:v>2.6</c:v>
                </c:pt>
                <c:pt idx="175">
                  <c:v>2.6</c:v>
                </c:pt>
                <c:pt idx="176">
                  <c:v>2.6</c:v>
                </c:pt>
                <c:pt idx="177">
                  <c:v>2.6</c:v>
                </c:pt>
                <c:pt idx="178">
                  <c:v>2.6</c:v>
                </c:pt>
                <c:pt idx="179">
                  <c:v>2.6</c:v>
                </c:pt>
                <c:pt idx="180">
                  <c:v>2.6</c:v>
                </c:pt>
                <c:pt idx="181">
                  <c:v>2.6</c:v>
                </c:pt>
                <c:pt idx="182">
                  <c:v>2.6</c:v>
                </c:pt>
                <c:pt idx="183">
                  <c:v>2.6</c:v>
                </c:pt>
                <c:pt idx="184">
                  <c:v>2.6</c:v>
                </c:pt>
                <c:pt idx="185">
                  <c:v>2.6</c:v>
                </c:pt>
                <c:pt idx="186">
                  <c:v>2.6</c:v>
                </c:pt>
                <c:pt idx="187">
                  <c:v>2.6</c:v>
                </c:pt>
                <c:pt idx="188">
                  <c:v>2.6</c:v>
                </c:pt>
                <c:pt idx="189">
                  <c:v>2.6</c:v>
                </c:pt>
                <c:pt idx="190">
                  <c:v>2.6</c:v>
                </c:pt>
                <c:pt idx="191">
                  <c:v>2.6</c:v>
                </c:pt>
                <c:pt idx="192">
                  <c:v>2.6</c:v>
                </c:pt>
                <c:pt idx="193">
                  <c:v>2.6</c:v>
                </c:pt>
                <c:pt idx="194">
                  <c:v>2.6</c:v>
                </c:pt>
                <c:pt idx="195">
                  <c:v>2.6</c:v>
                </c:pt>
                <c:pt idx="196">
                  <c:v>2.6</c:v>
                </c:pt>
                <c:pt idx="197">
                  <c:v>2.6</c:v>
                </c:pt>
                <c:pt idx="198">
                  <c:v>2.6</c:v>
                </c:pt>
                <c:pt idx="199">
                  <c:v>2.6</c:v>
                </c:pt>
                <c:pt idx="200">
                  <c:v>2.6</c:v>
                </c:pt>
                <c:pt idx="201">
                  <c:v>2.6</c:v>
                </c:pt>
                <c:pt idx="202">
                  <c:v>2.6</c:v>
                </c:pt>
                <c:pt idx="203">
                  <c:v>2.6</c:v>
                </c:pt>
                <c:pt idx="204">
                  <c:v>2.6</c:v>
                </c:pt>
                <c:pt idx="205">
                  <c:v>2.6</c:v>
                </c:pt>
                <c:pt idx="206">
                  <c:v>2.6</c:v>
                </c:pt>
                <c:pt idx="207">
                  <c:v>2.6</c:v>
                </c:pt>
                <c:pt idx="208">
                  <c:v>2.6</c:v>
                </c:pt>
                <c:pt idx="209">
                  <c:v>2.6</c:v>
                </c:pt>
                <c:pt idx="210">
                  <c:v>2.6</c:v>
                </c:pt>
                <c:pt idx="211">
                  <c:v>2.6</c:v>
                </c:pt>
                <c:pt idx="212">
                  <c:v>2.6</c:v>
                </c:pt>
                <c:pt idx="213">
                  <c:v>2.6</c:v>
                </c:pt>
                <c:pt idx="214">
                  <c:v>2.6</c:v>
                </c:pt>
                <c:pt idx="215">
                  <c:v>2.6</c:v>
                </c:pt>
                <c:pt idx="216">
                  <c:v>2.6</c:v>
                </c:pt>
                <c:pt idx="217">
                  <c:v>2.6</c:v>
                </c:pt>
                <c:pt idx="218">
                  <c:v>2.6</c:v>
                </c:pt>
                <c:pt idx="219">
                  <c:v>2.6</c:v>
                </c:pt>
                <c:pt idx="220">
                  <c:v>2.6</c:v>
                </c:pt>
                <c:pt idx="221">
                  <c:v>2.6</c:v>
                </c:pt>
                <c:pt idx="222">
                  <c:v>2.6</c:v>
                </c:pt>
                <c:pt idx="223">
                  <c:v>2.6</c:v>
                </c:pt>
                <c:pt idx="224">
                  <c:v>2.6</c:v>
                </c:pt>
                <c:pt idx="225">
                  <c:v>2.6</c:v>
                </c:pt>
                <c:pt idx="226">
                  <c:v>2.6</c:v>
                </c:pt>
                <c:pt idx="227">
                  <c:v>2.6</c:v>
                </c:pt>
                <c:pt idx="228">
                  <c:v>2.6</c:v>
                </c:pt>
                <c:pt idx="229">
                  <c:v>2.6</c:v>
                </c:pt>
                <c:pt idx="230">
                  <c:v>2.6</c:v>
                </c:pt>
                <c:pt idx="231">
                  <c:v>2.6</c:v>
                </c:pt>
                <c:pt idx="232">
                  <c:v>2.6</c:v>
                </c:pt>
                <c:pt idx="233">
                  <c:v>2.6</c:v>
                </c:pt>
                <c:pt idx="234">
                  <c:v>2.6</c:v>
                </c:pt>
                <c:pt idx="235">
                  <c:v>2.6</c:v>
                </c:pt>
                <c:pt idx="236">
                  <c:v>2.6</c:v>
                </c:pt>
                <c:pt idx="237">
                  <c:v>2.6</c:v>
                </c:pt>
                <c:pt idx="238">
                  <c:v>2.6</c:v>
                </c:pt>
                <c:pt idx="239">
                  <c:v>2.6</c:v>
                </c:pt>
                <c:pt idx="240">
                  <c:v>2.6</c:v>
                </c:pt>
                <c:pt idx="241">
                  <c:v>2.6</c:v>
                </c:pt>
                <c:pt idx="242">
                  <c:v>2.6</c:v>
                </c:pt>
                <c:pt idx="243">
                  <c:v>2.6</c:v>
                </c:pt>
                <c:pt idx="244">
                  <c:v>2.6</c:v>
                </c:pt>
                <c:pt idx="245">
                  <c:v>2.6</c:v>
                </c:pt>
                <c:pt idx="246">
                  <c:v>2.6</c:v>
                </c:pt>
                <c:pt idx="247">
                  <c:v>2.6</c:v>
                </c:pt>
                <c:pt idx="248">
                  <c:v>2.6</c:v>
                </c:pt>
                <c:pt idx="249">
                  <c:v>2.6</c:v>
                </c:pt>
                <c:pt idx="250">
                  <c:v>2.6</c:v>
                </c:pt>
                <c:pt idx="251">
                  <c:v>2.6</c:v>
                </c:pt>
                <c:pt idx="252">
                  <c:v>2.6</c:v>
                </c:pt>
                <c:pt idx="253">
                  <c:v>2.6</c:v>
                </c:pt>
                <c:pt idx="254">
                  <c:v>2.6</c:v>
                </c:pt>
                <c:pt idx="255">
                  <c:v>2.6</c:v>
                </c:pt>
                <c:pt idx="256">
                  <c:v>2.6</c:v>
                </c:pt>
                <c:pt idx="257">
                  <c:v>2.6</c:v>
                </c:pt>
                <c:pt idx="258">
                  <c:v>2.6</c:v>
                </c:pt>
                <c:pt idx="259">
                  <c:v>2.6</c:v>
                </c:pt>
                <c:pt idx="260">
                  <c:v>2.6</c:v>
                </c:pt>
                <c:pt idx="261">
                  <c:v>2.6</c:v>
                </c:pt>
                <c:pt idx="262">
                  <c:v>2.6</c:v>
                </c:pt>
                <c:pt idx="263">
                  <c:v>2.6</c:v>
                </c:pt>
                <c:pt idx="264">
                  <c:v>2.6</c:v>
                </c:pt>
                <c:pt idx="265">
                  <c:v>2.6</c:v>
                </c:pt>
                <c:pt idx="266">
                  <c:v>2.6</c:v>
                </c:pt>
                <c:pt idx="267">
                  <c:v>2.6</c:v>
                </c:pt>
                <c:pt idx="268">
                  <c:v>2.6</c:v>
                </c:pt>
                <c:pt idx="269">
                  <c:v>2.6</c:v>
                </c:pt>
                <c:pt idx="270">
                  <c:v>2.6</c:v>
                </c:pt>
                <c:pt idx="271">
                  <c:v>2.6</c:v>
                </c:pt>
                <c:pt idx="272">
                  <c:v>2.6</c:v>
                </c:pt>
                <c:pt idx="273">
                  <c:v>2.6</c:v>
                </c:pt>
                <c:pt idx="274">
                  <c:v>2.6</c:v>
                </c:pt>
                <c:pt idx="275">
                  <c:v>2.6</c:v>
                </c:pt>
                <c:pt idx="276">
                  <c:v>2.6</c:v>
                </c:pt>
                <c:pt idx="277">
                  <c:v>2.6</c:v>
                </c:pt>
                <c:pt idx="278">
                  <c:v>2.6</c:v>
                </c:pt>
                <c:pt idx="279">
                  <c:v>2.6</c:v>
                </c:pt>
                <c:pt idx="280">
                  <c:v>2.6</c:v>
                </c:pt>
                <c:pt idx="281">
                  <c:v>2.6</c:v>
                </c:pt>
                <c:pt idx="282">
                  <c:v>2.6</c:v>
                </c:pt>
                <c:pt idx="283">
                  <c:v>2.6</c:v>
                </c:pt>
                <c:pt idx="284">
                  <c:v>2.6</c:v>
                </c:pt>
                <c:pt idx="285">
                  <c:v>2.6</c:v>
                </c:pt>
                <c:pt idx="286">
                  <c:v>2.6</c:v>
                </c:pt>
                <c:pt idx="287">
                  <c:v>2.6</c:v>
                </c:pt>
                <c:pt idx="288">
                  <c:v>2.6</c:v>
                </c:pt>
                <c:pt idx="289">
                  <c:v>2.6</c:v>
                </c:pt>
                <c:pt idx="290">
                  <c:v>2.6</c:v>
                </c:pt>
                <c:pt idx="291">
                  <c:v>2.6</c:v>
                </c:pt>
                <c:pt idx="292">
                  <c:v>2.6</c:v>
                </c:pt>
                <c:pt idx="293">
                  <c:v>2.6</c:v>
                </c:pt>
                <c:pt idx="294">
                  <c:v>2.6</c:v>
                </c:pt>
                <c:pt idx="295">
                  <c:v>2.6</c:v>
                </c:pt>
                <c:pt idx="296">
                  <c:v>2.6</c:v>
                </c:pt>
                <c:pt idx="297">
                  <c:v>2.6</c:v>
                </c:pt>
                <c:pt idx="298">
                  <c:v>2.6</c:v>
                </c:pt>
                <c:pt idx="299">
                  <c:v>2.6</c:v>
                </c:pt>
                <c:pt idx="300">
                  <c:v>2.6</c:v>
                </c:pt>
                <c:pt idx="301">
                  <c:v>2.6</c:v>
                </c:pt>
                <c:pt idx="302">
                  <c:v>2.6</c:v>
                </c:pt>
                <c:pt idx="303">
                  <c:v>2.6</c:v>
                </c:pt>
                <c:pt idx="304">
                  <c:v>2.6</c:v>
                </c:pt>
                <c:pt idx="305">
                  <c:v>2.6</c:v>
                </c:pt>
                <c:pt idx="306">
                  <c:v>2.6</c:v>
                </c:pt>
                <c:pt idx="307">
                  <c:v>2.6</c:v>
                </c:pt>
                <c:pt idx="308">
                  <c:v>2.6</c:v>
                </c:pt>
                <c:pt idx="309">
                  <c:v>2.6</c:v>
                </c:pt>
                <c:pt idx="310">
                  <c:v>2.6</c:v>
                </c:pt>
                <c:pt idx="311">
                  <c:v>2.6</c:v>
                </c:pt>
                <c:pt idx="312">
                  <c:v>2.6</c:v>
                </c:pt>
                <c:pt idx="313">
                  <c:v>2.6</c:v>
                </c:pt>
                <c:pt idx="314">
                  <c:v>2.6</c:v>
                </c:pt>
                <c:pt idx="315">
                  <c:v>2.6</c:v>
                </c:pt>
                <c:pt idx="316">
                  <c:v>2.6</c:v>
                </c:pt>
                <c:pt idx="317">
                  <c:v>2.6</c:v>
                </c:pt>
                <c:pt idx="318">
                  <c:v>2.6</c:v>
                </c:pt>
                <c:pt idx="319">
                  <c:v>2.6</c:v>
                </c:pt>
                <c:pt idx="320">
                  <c:v>2.6</c:v>
                </c:pt>
                <c:pt idx="321">
                  <c:v>2.6</c:v>
                </c:pt>
                <c:pt idx="322">
                  <c:v>2.6</c:v>
                </c:pt>
                <c:pt idx="323">
                  <c:v>2.6</c:v>
                </c:pt>
                <c:pt idx="324">
                  <c:v>2.6</c:v>
                </c:pt>
                <c:pt idx="325">
                  <c:v>2.6</c:v>
                </c:pt>
                <c:pt idx="326">
                  <c:v>2.6</c:v>
                </c:pt>
                <c:pt idx="327">
                  <c:v>2.6</c:v>
                </c:pt>
                <c:pt idx="328">
                  <c:v>2.4500000000000002</c:v>
                </c:pt>
                <c:pt idx="329">
                  <c:v>2.4500000000000002</c:v>
                </c:pt>
                <c:pt idx="330">
                  <c:v>2.4500000000000002</c:v>
                </c:pt>
                <c:pt idx="331">
                  <c:v>2.4500000000000002</c:v>
                </c:pt>
                <c:pt idx="332">
                  <c:v>2.4500000000000002</c:v>
                </c:pt>
                <c:pt idx="333">
                  <c:v>2.4500000000000002</c:v>
                </c:pt>
                <c:pt idx="334">
                  <c:v>2.4500000000000002</c:v>
                </c:pt>
                <c:pt idx="335">
                  <c:v>2.4500000000000002</c:v>
                </c:pt>
                <c:pt idx="336">
                  <c:v>2.4500000000000002</c:v>
                </c:pt>
                <c:pt idx="337">
                  <c:v>2.4500000000000002</c:v>
                </c:pt>
                <c:pt idx="338">
                  <c:v>2.4500000000000002</c:v>
                </c:pt>
                <c:pt idx="339">
                  <c:v>2.4500000000000002</c:v>
                </c:pt>
                <c:pt idx="340">
                  <c:v>2.4500000000000002</c:v>
                </c:pt>
                <c:pt idx="341">
                  <c:v>2.4500000000000002</c:v>
                </c:pt>
                <c:pt idx="342">
                  <c:v>2.4500000000000002</c:v>
                </c:pt>
                <c:pt idx="343">
                  <c:v>2.4500000000000002</c:v>
                </c:pt>
                <c:pt idx="344">
                  <c:v>2.4500000000000002</c:v>
                </c:pt>
                <c:pt idx="345">
                  <c:v>2.4500000000000002</c:v>
                </c:pt>
                <c:pt idx="346">
                  <c:v>2.4500000000000002</c:v>
                </c:pt>
                <c:pt idx="347">
                  <c:v>2.4500000000000002</c:v>
                </c:pt>
                <c:pt idx="348">
                  <c:v>2.4500000000000002</c:v>
                </c:pt>
                <c:pt idx="349">
                  <c:v>2.4500000000000002</c:v>
                </c:pt>
                <c:pt idx="350">
                  <c:v>2.4500000000000002</c:v>
                </c:pt>
                <c:pt idx="351">
                  <c:v>2.4500000000000002</c:v>
                </c:pt>
                <c:pt idx="352">
                  <c:v>2.4500000000000002</c:v>
                </c:pt>
                <c:pt idx="353">
                  <c:v>2.4500000000000002</c:v>
                </c:pt>
                <c:pt idx="354">
                  <c:v>2.4500000000000002</c:v>
                </c:pt>
                <c:pt idx="355">
                  <c:v>2.4500000000000002</c:v>
                </c:pt>
                <c:pt idx="356">
                  <c:v>2.4500000000000002</c:v>
                </c:pt>
                <c:pt idx="357">
                  <c:v>2.4500000000000002</c:v>
                </c:pt>
                <c:pt idx="358">
                  <c:v>2.4500000000000002</c:v>
                </c:pt>
                <c:pt idx="359">
                  <c:v>2.4500000000000002</c:v>
                </c:pt>
                <c:pt idx="360">
                  <c:v>2.4500000000000002</c:v>
                </c:pt>
                <c:pt idx="361">
                  <c:v>2.4500000000000002</c:v>
                </c:pt>
                <c:pt idx="362">
                  <c:v>2.4500000000000002</c:v>
                </c:pt>
                <c:pt idx="363">
                  <c:v>2.4500000000000002</c:v>
                </c:pt>
                <c:pt idx="364">
                  <c:v>2.4500000000000002</c:v>
                </c:pt>
                <c:pt idx="365">
                  <c:v>2.4500000000000002</c:v>
                </c:pt>
                <c:pt idx="366">
                  <c:v>2.4500000000000002</c:v>
                </c:pt>
                <c:pt idx="367">
                  <c:v>2.4500000000000002</c:v>
                </c:pt>
                <c:pt idx="368">
                  <c:v>2.4500000000000002</c:v>
                </c:pt>
                <c:pt idx="369">
                  <c:v>2.4500000000000002</c:v>
                </c:pt>
                <c:pt idx="370">
                  <c:v>2.4500000000000002</c:v>
                </c:pt>
                <c:pt idx="371">
                  <c:v>2.4500000000000002</c:v>
                </c:pt>
                <c:pt idx="372">
                  <c:v>2.4500000000000002</c:v>
                </c:pt>
                <c:pt idx="373">
                  <c:v>2.4500000000000002</c:v>
                </c:pt>
                <c:pt idx="374">
                  <c:v>2.4500000000000002</c:v>
                </c:pt>
                <c:pt idx="375">
                  <c:v>2.4500000000000002</c:v>
                </c:pt>
                <c:pt idx="376">
                  <c:v>2.4500000000000002</c:v>
                </c:pt>
                <c:pt idx="377">
                  <c:v>2.4500000000000002</c:v>
                </c:pt>
                <c:pt idx="378">
                  <c:v>2.4500000000000002</c:v>
                </c:pt>
                <c:pt idx="379">
                  <c:v>2.4500000000000002</c:v>
                </c:pt>
                <c:pt idx="380">
                  <c:v>2.4500000000000002</c:v>
                </c:pt>
                <c:pt idx="381">
                  <c:v>2.4500000000000002</c:v>
                </c:pt>
                <c:pt idx="382">
                  <c:v>2.4500000000000002</c:v>
                </c:pt>
                <c:pt idx="383">
                  <c:v>2.4500000000000002</c:v>
                </c:pt>
                <c:pt idx="384">
                  <c:v>2.4500000000000002</c:v>
                </c:pt>
                <c:pt idx="385">
                  <c:v>2.4500000000000002</c:v>
                </c:pt>
                <c:pt idx="386">
                  <c:v>2.4500000000000002</c:v>
                </c:pt>
                <c:pt idx="387">
                  <c:v>2.4500000000000002</c:v>
                </c:pt>
                <c:pt idx="388">
                  <c:v>2.4500000000000002</c:v>
                </c:pt>
                <c:pt idx="389">
                  <c:v>2.4500000000000002</c:v>
                </c:pt>
                <c:pt idx="390">
                  <c:v>2.4500000000000002</c:v>
                </c:pt>
                <c:pt idx="391">
                  <c:v>2.4500000000000002</c:v>
                </c:pt>
                <c:pt idx="392">
                  <c:v>2.4500000000000002</c:v>
                </c:pt>
                <c:pt idx="393">
                  <c:v>2.4500000000000002</c:v>
                </c:pt>
                <c:pt idx="394">
                  <c:v>2.4500000000000002</c:v>
                </c:pt>
                <c:pt idx="395">
                  <c:v>2.4500000000000002</c:v>
                </c:pt>
                <c:pt idx="396">
                  <c:v>2.4500000000000002</c:v>
                </c:pt>
                <c:pt idx="397">
                  <c:v>2.4500000000000002</c:v>
                </c:pt>
                <c:pt idx="398">
                  <c:v>2.4500000000000002</c:v>
                </c:pt>
                <c:pt idx="399">
                  <c:v>2.4500000000000002</c:v>
                </c:pt>
                <c:pt idx="400">
                  <c:v>2.4500000000000002</c:v>
                </c:pt>
                <c:pt idx="401">
                  <c:v>2.4500000000000002</c:v>
                </c:pt>
                <c:pt idx="402">
                  <c:v>2.4500000000000002</c:v>
                </c:pt>
                <c:pt idx="403">
                  <c:v>2.4500000000000002</c:v>
                </c:pt>
                <c:pt idx="404">
                  <c:v>2.4500000000000002</c:v>
                </c:pt>
                <c:pt idx="405">
                  <c:v>2.4500000000000002</c:v>
                </c:pt>
                <c:pt idx="406">
                  <c:v>2.4500000000000002</c:v>
                </c:pt>
                <c:pt idx="407">
                  <c:v>2.4500000000000002</c:v>
                </c:pt>
                <c:pt idx="408">
                  <c:v>2.4500000000000002</c:v>
                </c:pt>
                <c:pt idx="409">
                  <c:v>2.4500000000000002</c:v>
                </c:pt>
                <c:pt idx="410">
                  <c:v>2.4500000000000002</c:v>
                </c:pt>
                <c:pt idx="411">
                  <c:v>2.4500000000000002</c:v>
                </c:pt>
                <c:pt idx="412">
                  <c:v>2.4500000000000002</c:v>
                </c:pt>
                <c:pt idx="413">
                  <c:v>2.4500000000000002</c:v>
                </c:pt>
                <c:pt idx="414">
                  <c:v>2.4500000000000002</c:v>
                </c:pt>
                <c:pt idx="415">
                  <c:v>2.4500000000000002</c:v>
                </c:pt>
                <c:pt idx="416">
                  <c:v>2.4500000000000002</c:v>
                </c:pt>
                <c:pt idx="417">
                  <c:v>2.4500000000000002</c:v>
                </c:pt>
                <c:pt idx="418">
                  <c:v>2.4500000000000002</c:v>
                </c:pt>
                <c:pt idx="419">
                  <c:v>2.4500000000000002</c:v>
                </c:pt>
                <c:pt idx="420">
                  <c:v>2.4500000000000002</c:v>
                </c:pt>
                <c:pt idx="421">
                  <c:v>2.4500000000000002</c:v>
                </c:pt>
                <c:pt idx="422">
                  <c:v>2.4500000000000002</c:v>
                </c:pt>
                <c:pt idx="423">
                  <c:v>2.4500000000000002</c:v>
                </c:pt>
                <c:pt idx="424">
                  <c:v>2.4500000000000002</c:v>
                </c:pt>
                <c:pt idx="425">
                  <c:v>2.4500000000000002</c:v>
                </c:pt>
                <c:pt idx="426">
                  <c:v>2.4500000000000002</c:v>
                </c:pt>
                <c:pt idx="427">
                  <c:v>2.4500000000000002</c:v>
                </c:pt>
                <c:pt idx="428">
                  <c:v>2.4500000000000002</c:v>
                </c:pt>
                <c:pt idx="429">
                  <c:v>2.4500000000000002</c:v>
                </c:pt>
                <c:pt idx="430">
                  <c:v>2.4500000000000002</c:v>
                </c:pt>
                <c:pt idx="431">
                  <c:v>2.4500000000000002</c:v>
                </c:pt>
                <c:pt idx="432">
                  <c:v>2.4500000000000002</c:v>
                </c:pt>
                <c:pt idx="433">
                  <c:v>2.4500000000000002</c:v>
                </c:pt>
                <c:pt idx="434">
                  <c:v>2.4500000000000002</c:v>
                </c:pt>
                <c:pt idx="435">
                  <c:v>2.4500000000000002</c:v>
                </c:pt>
                <c:pt idx="436">
                  <c:v>2.4500000000000002</c:v>
                </c:pt>
                <c:pt idx="437">
                  <c:v>2.4500000000000002</c:v>
                </c:pt>
                <c:pt idx="438">
                  <c:v>2.4500000000000002</c:v>
                </c:pt>
                <c:pt idx="439">
                  <c:v>2.4500000000000002</c:v>
                </c:pt>
                <c:pt idx="440">
                  <c:v>2.4500000000000002</c:v>
                </c:pt>
                <c:pt idx="441">
                  <c:v>2.4500000000000002</c:v>
                </c:pt>
                <c:pt idx="442">
                  <c:v>2.4500000000000002</c:v>
                </c:pt>
                <c:pt idx="443">
                  <c:v>2.4500000000000002</c:v>
                </c:pt>
                <c:pt idx="444">
                  <c:v>2.4500000000000002</c:v>
                </c:pt>
                <c:pt idx="445">
                  <c:v>2.4500000000000002</c:v>
                </c:pt>
                <c:pt idx="446">
                  <c:v>2.4500000000000002</c:v>
                </c:pt>
                <c:pt idx="447">
                  <c:v>2.4500000000000002</c:v>
                </c:pt>
                <c:pt idx="448">
                  <c:v>2.4500000000000002</c:v>
                </c:pt>
                <c:pt idx="449">
                  <c:v>2.35</c:v>
                </c:pt>
                <c:pt idx="450">
                  <c:v>2.35</c:v>
                </c:pt>
                <c:pt idx="451">
                  <c:v>2.35</c:v>
                </c:pt>
                <c:pt idx="452">
                  <c:v>2.35</c:v>
                </c:pt>
                <c:pt idx="453">
                  <c:v>2.35</c:v>
                </c:pt>
                <c:pt idx="454">
                  <c:v>2.35</c:v>
                </c:pt>
                <c:pt idx="455">
                  <c:v>2.35</c:v>
                </c:pt>
                <c:pt idx="456">
                  <c:v>2.35</c:v>
                </c:pt>
                <c:pt idx="457">
                  <c:v>2.35</c:v>
                </c:pt>
                <c:pt idx="458">
                  <c:v>2.35</c:v>
                </c:pt>
                <c:pt idx="459">
                  <c:v>2.35</c:v>
                </c:pt>
                <c:pt idx="460">
                  <c:v>2.35</c:v>
                </c:pt>
                <c:pt idx="461">
                  <c:v>2.35</c:v>
                </c:pt>
                <c:pt idx="462">
                  <c:v>2.35</c:v>
                </c:pt>
                <c:pt idx="463">
                  <c:v>2.35</c:v>
                </c:pt>
                <c:pt idx="464">
                  <c:v>2.35</c:v>
                </c:pt>
                <c:pt idx="465">
                  <c:v>2.35</c:v>
                </c:pt>
                <c:pt idx="466">
                  <c:v>2.25</c:v>
                </c:pt>
                <c:pt idx="467">
                  <c:v>2.25</c:v>
                </c:pt>
                <c:pt idx="468">
                  <c:v>2.25</c:v>
                </c:pt>
                <c:pt idx="469">
                  <c:v>2.25</c:v>
                </c:pt>
                <c:pt idx="470">
                  <c:v>2.25</c:v>
                </c:pt>
                <c:pt idx="471">
                  <c:v>2.25</c:v>
                </c:pt>
                <c:pt idx="472">
                  <c:v>2.25</c:v>
                </c:pt>
              </c:numCache>
            </c:numRef>
          </c:val>
          <c:smooth val="0"/>
          <c:extLst>
            <c:ext xmlns:c16="http://schemas.microsoft.com/office/drawing/2014/chart" uri="{C3380CC4-5D6E-409C-BE32-E72D297353CC}">
              <c16:uniqueId val="{00000003-8635-42B0-AB25-D4FF20E19E31}"/>
            </c:ext>
          </c:extLst>
        </c:ser>
        <c:ser>
          <c:idx val="2"/>
          <c:order val="2"/>
          <c:tx>
            <c:strRef>
              <c:f>Charts!$D$1165</c:f>
              <c:strCache>
                <c:ptCount val="1"/>
                <c:pt idx="0">
                  <c:v>中国:价格:隔膜:陶瓷涂覆:12+4μm:国产中端（元/平方米）</c:v>
                </c:pt>
              </c:strCache>
            </c:strRef>
          </c:tx>
          <c:spPr>
            <a:ln w="28575" cap="rnd">
              <a:solidFill>
                <a:schemeClr val="accent3"/>
              </a:solidFill>
              <a:round/>
            </a:ln>
            <a:effectLst/>
          </c:spPr>
          <c:marker>
            <c:symbol val="none"/>
          </c:marker>
          <c:cat>
            <c:strRef>
              <c:f>Charts!$A$1166:$A$1640</c:f>
              <c:strCache>
                <c:ptCount val="475"/>
                <c:pt idx="0">
                  <c:v>2021/5/19</c:v>
                </c:pt>
                <c:pt idx="1">
                  <c:v>2021/5/20</c:v>
                </c:pt>
                <c:pt idx="2">
                  <c:v>2021/5/21</c:v>
                </c:pt>
                <c:pt idx="3">
                  <c:v>2021/5/24</c:v>
                </c:pt>
                <c:pt idx="4">
                  <c:v>2021/5/25</c:v>
                </c:pt>
                <c:pt idx="5">
                  <c:v>2021/5/26</c:v>
                </c:pt>
                <c:pt idx="6">
                  <c:v>2021/5/27</c:v>
                </c:pt>
                <c:pt idx="7">
                  <c:v>2021/5/28</c:v>
                </c:pt>
                <c:pt idx="8">
                  <c:v>2021/5/31</c:v>
                </c:pt>
                <c:pt idx="9">
                  <c:v>2021/6/1</c:v>
                </c:pt>
                <c:pt idx="10">
                  <c:v>2021/6/2</c:v>
                </c:pt>
                <c:pt idx="11">
                  <c:v>2021/6/3</c:v>
                </c:pt>
                <c:pt idx="12">
                  <c:v>2021/6/4</c:v>
                </c:pt>
                <c:pt idx="13">
                  <c:v>2021/6/7</c:v>
                </c:pt>
                <c:pt idx="14">
                  <c:v>2021/6/8</c:v>
                </c:pt>
                <c:pt idx="15">
                  <c:v>2021/6/9</c:v>
                </c:pt>
                <c:pt idx="16">
                  <c:v>2021/6/10</c:v>
                </c:pt>
                <c:pt idx="17">
                  <c:v>2021/6/11</c:v>
                </c:pt>
                <c:pt idx="18">
                  <c:v>2021/6/14</c:v>
                </c:pt>
                <c:pt idx="19">
                  <c:v>2021/6/15</c:v>
                </c:pt>
                <c:pt idx="20">
                  <c:v>2021/6/16</c:v>
                </c:pt>
                <c:pt idx="21">
                  <c:v>2021/6/17</c:v>
                </c:pt>
                <c:pt idx="22">
                  <c:v>2021/6/18</c:v>
                </c:pt>
                <c:pt idx="23">
                  <c:v>2021/6/21</c:v>
                </c:pt>
                <c:pt idx="24">
                  <c:v>2021/6/22</c:v>
                </c:pt>
                <c:pt idx="25">
                  <c:v>2021/6/23</c:v>
                </c:pt>
                <c:pt idx="26">
                  <c:v>2021/6/24</c:v>
                </c:pt>
                <c:pt idx="27">
                  <c:v>2021/6/25</c:v>
                </c:pt>
                <c:pt idx="28">
                  <c:v>2021/6/28</c:v>
                </c:pt>
                <c:pt idx="29">
                  <c:v>2021/6/29</c:v>
                </c:pt>
                <c:pt idx="30">
                  <c:v>2021/6/30</c:v>
                </c:pt>
                <c:pt idx="31">
                  <c:v>2021/7/1</c:v>
                </c:pt>
                <c:pt idx="32">
                  <c:v>2021/7/2</c:v>
                </c:pt>
                <c:pt idx="33">
                  <c:v>2021/7/5</c:v>
                </c:pt>
                <c:pt idx="34">
                  <c:v>2021/7/6</c:v>
                </c:pt>
                <c:pt idx="35">
                  <c:v>2021/7/7</c:v>
                </c:pt>
                <c:pt idx="36">
                  <c:v>2021/7/8</c:v>
                </c:pt>
                <c:pt idx="37">
                  <c:v>2021/7/9</c:v>
                </c:pt>
                <c:pt idx="38">
                  <c:v>2021/7/12</c:v>
                </c:pt>
                <c:pt idx="39">
                  <c:v>2021/7/13</c:v>
                </c:pt>
                <c:pt idx="40">
                  <c:v>2021/7/14</c:v>
                </c:pt>
                <c:pt idx="41">
                  <c:v>2021/7/15</c:v>
                </c:pt>
                <c:pt idx="42">
                  <c:v>2021/7/16</c:v>
                </c:pt>
                <c:pt idx="43">
                  <c:v>2021/7/19</c:v>
                </c:pt>
                <c:pt idx="44">
                  <c:v>2021/7/20</c:v>
                </c:pt>
                <c:pt idx="45">
                  <c:v>2021/7/21</c:v>
                </c:pt>
                <c:pt idx="46">
                  <c:v>2021/7/22</c:v>
                </c:pt>
                <c:pt idx="47">
                  <c:v>2021/7/23</c:v>
                </c:pt>
                <c:pt idx="48">
                  <c:v>2021/7/26</c:v>
                </c:pt>
                <c:pt idx="49">
                  <c:v>2021/7/27</c:v>
                </c:pt>
                <c:pt idx="50">
                  <c:v>2021/7/28</c:v>
                </c:pt>
                <c:pt idx="51">
                  <c:v>2021/7/29</c:v>
                </c:pt>
                <c:pt idx="52">
                  <c:v>2021/7/30</c:v>
                </c:pt>
                <c:pt idx="53">
                  <c:v>2021/8/2</c:v>
                </c:pt>
                <c:pt idx="54">
                  <c:v>2021/8/3</c:v>
                </c:pt>
                <c:pt idx="55">
                  <c:v>2021/8/4</c:v>
                </c:pt>
                <c:pt idx="56">
                  <c:v>2021/8/5</c:v>
                </c:pt>
                <c:pt idx="57">
                  <c:v>2021/8/6</c:v>
                </c:pt>
                <c:pt idx="58">
                  <c:v>2021/8/9</c:v>
                </c:pt>
                <c:pt idx="59">
                  <c:v>2021/8/10</c:v>
                </c:pt>
                <c:pt idx="60">
                  <c:v>2021/8/11</c:v>
                </c:pt>
                <c:pt idx="61">
                  <c:v>2021/8/12</c:v>
                </c:pt>
                <c:pt idx="62">
                  <c:v>2021/8/13</c:v>
                </c:pt>
                <c:pt idx="63">
                  <c:v>2021/8/16</c:v>
                </c:pt>
                <c:pt idx="64">
                  <c:v>2021/8/17</c:v>
                </c:pt>
                <c:pt idx="65">
                  <c:v>2021/8/18</c:v>
                </c:pt>
                <c:pt idx="66">
                  <c:v>2021/8/19</c:v>
                </c:pt>
                <c:pt idx="67">
                  <c:v>2021/8/20</c:v>
                </c:pt>
                <c:pt idx="68">
                  <c:v>2021/8/23</c:v>
                </c:pt>
                <c:pt idx="69">
                  <c:v>2021/8/24</c:v>
                </c:pt>
                <c:pt idx="70">
                  <c:v>2021/8/25</c:v>
                </c:pt>
                <c:pt idx="71">
                  <c:v>2021/8/26</c:v>
                </c:pt>
                <c:pt idx="72">
                  <c:v>2021/8/27</c:v>
                </c:pt>
                <c:pt idx="73">
                  <c:v>2021/8/30</c:v>
                </c:pt>
                <c:pt idx="74">
                  <c:v>2021/8/31</c:v>
                </c:pt>
                <c:pt idx="75">
                  <c:v>2021/9/1</c:v>
                </c:pt>
                <c:pt idx="76">
                  <c:v>2021/9/2</c:v>
                </c:pt>
                <c:pt idx="77">
                  <c:v>2021/9/3</c:v>
                </c:pt>
                <c:pt idx="78">
                  <c:v>2021/9/6</c:v>
                </c:pt>
                <c:pt idx="79">
                  <c:v>2021/9/7</c:v>
                </c:pt>
                <c:pt idx="80">
                  <c:v>2021/9/8</c:v>
                </c:pt>
                <c:pt idx="81">
                  <c:v>2021/9/9</c:v>
                </c:pt>
                <c:pt idx="82">
                  <c:v>2021/9/10</c:v>
                </c:pt>
                <c:pt idx="83">
                  <c:v>2021/9/13</c:v>
                </c:pt>
                <c:pt idx="84">
                  <c:v>2021/9/14</c:v>
                </c:pt>
                <c:pt idx="85">
                  <c:v>2021/9/15</c:v>
                </c:pt>
                <c:pt idx="86">
                  <c:v>2021/9/16</c:v>
                </c:pt>
                <c:pt idx="87">
                  <c:v>2021/9/17</c:v>
                </c:pt>
                <c:pt idx="88">
                  <c:v>2021/9/20</c:v>
                </c:pt>
                <c:pt idx="89">
                  <c:v>2021/9/21</c:v>
                </c:pt>
                <c:pt idx="90">
                  <c:v>2021/9/22</c:v>
                </c:pt>
                <c:pt idx="91">
                  <c:v>2021/9/23</c:v>
                </c:pt>
                <c:pt idx="92">
                  <c:v>2021/9/24</c:v>
                </c:pt>
                <c:pt idx="93">
                  <c:v>2021/9/27</c:v>
                </c:pt>
                <c:pt idx="94">
                  <c:v>2021/9/28</c:v>
                </c:pt>
                <c:pt idx="95">
                  <c:v>2021/9/29</c:v>
                </c:pt>
                <c:pt idx="96">
                  <c:v>2021/9/30</c:v>
                </c:pt>
                <c:pt idx="97">
                  <c:v>2021/10/8</c:v>
                </c:pt>
                <c:pt idx="98">
                  <c:v>2021/10/11</c:v>
                </c:pt>
                <c:pt idx="99">
                  <c:v>2021/10/12</c:v>
                </c:pt>
                <c:pt idx="100">
                  <c:v>2021/10/13</c:v>
                </c:pt>
                <c:pt idx="101">
                  <c:v>2021/10/14</c:v>
                </c:pt>
                <c:pt idx="102">
                  <c:v>2021/10/15</c:v>
                </c:pt>
                <c:pt idx="103">
                  <c:v>2021/10/18</c:v>
                </c:pt>
                <c:pt idx="104">
                  <c:v>2021/10/19</c:v>
                </c:pt>
                <c:pt idx="105">
                  <c:v>2021/10/20</c:v>
                </c:pt>
                <c:pt idx="106">
                  <c:v>2021/10/21</c:v>
                </c:pt>
                <c:pt idx="107">
                  <c:v>2021/10/22</c:v>
                </c:pt>
                <c:pt idx="108">
                  <c:v>2021/10/25</c:v>
                </c:pt>
                <c:pt idx="109">
                  <c:v>2021/10/26</c:v>
                </c:pt>
                <c:pt idx="110">
                  <c:v>2021/10/27</c:v>
                </c:pt>
                <c:pt idx="111">
                  <c:v>2021/10/28</c:v>
                </c:pt>
                <c:pt idx="112">
                  <c:v>2021/10/29</c:v>
                </c:pt>
                <c:pt idx="113">
                  <c:v>2021/11/1</c:v>
                </c:pt>
                <c:pt idx="114">
                  <c:v>2021/11/2</c:v>
                </c:pt>
                <c:pt idx="115">
                  <c:v>2021/11/3</c:v>
                </c:pt>
                <c:pt idx="116">
                  <c:v>2021/11/4</c:v>
                </c:pt>
                <c:pt idx="117">
                  <c:v>2021/11/5</c:v>
                </c:pt>
                <c:pt idx="118">
                  <c:v>2021/11/8</c:v>
                </c:pt>
                <c:pt idx="119">
                  <c:v>2021/11/9</c:v>
                </c:pt>
                <c:pt idx="120">
                  <c:v>2021/11/10</c:v>
                </c:pt>
                <c:pt idx="121">
                  <c:v>2021/11/11</c:v>
                </c:pt>
                <c:pt idx="122">
                  <c:v>2021/11/12</c:v>
                </c:pt>
                <c:pt idx="123">
                  <c:v>2021/11/15</c:v>
                </c:pt>
                <c:pt idx="124">
                  <c:v>2021/11/16</c:v>
                </c:pt>
                <c:pt idx="125">
                  <c:v>2021/11/17</c:v>
                </c:pt>
                <c:pt idx="126">
                  <c:v>2021/11/18</c:v>
                </c:pt>
                <c:pt idx="127">
                  <c:v>2021/11/19</c:v>
                </c:pt>
                <c:pt idx="128">
                  <c:v>2021/11/22</c:v>
                </c:pt>
                <c:pt idx="129">
                  <c:v>2021/11/23</c:v>
                </c:pt>
                <c:pt idx="130">
                  <c:v>2021/11/24</c:v>
                </c:pt>
                <c:pt idx="131">
                  <c:v>2021/11/25</c:v>
                </c:pt>
                <c:pt idx="132">
                  <c:v>2021/11/26</c:v>
                </c:pt>
                <c:pt idx="133">
                  <c:v>2021/11/29</c:v>
                </c:pt>
                <c:pt idx="134">
                  <c:v>2021/11/30</c:v>
                </c:pt>
                <c:pt idx="135">
                  <c:v>2021/12/1</c:v>
                </c:pt>
                <c:pt idx="136">
                  <c:v>2021/12/2</c:v>
                </c:pt>
                <c:pt idx="137">
                  <c:v>2021/12/3</c:v>
                </c:pt>
                <c:pt idx="138">
                  <c:v>2021/12/6</c:v>
                </c:pt>
                <c:pt idx="139">
                  <c:v>2021/12/7</c:v>
                </c:pt>
                <c:pt idx="140">
                  <c:v>2021/12/8</c:v>
                </c:pt>
                <c:pt idx="141">
                  <c:v>2021/12/9</c:v>
                </c:pt>
                <c:pt idx="142">
                  <c:v>2021/12/10</c:v>
                </c:pt>
                <c:pt idx="143">
                  <c:v>2021/12/13</c:v>
                </c:pt>
                <c:pt idx="144">
                  <c:v>2021/12/14</c:v>
                </c:pt>
                <c:pt idx="145">
                  <c:v>2021/12/15</c:v>
                </c:pt>
                <c:pt idx="146">
                  <c:v>2021/12/16</c:v>
                </c:pt>
                <c:pt idx="147">
                  <c:v>2021/12/17</c:v>
                </c:pt>
                <c:pt idx="148">
                  <c:v>2021/12/20</c:v>
                </c:pt>
                <c:pt idx="149">
                  <c:v>2021/12/21</c:v>
                </c:pt>
                <c:pt idx="150">
                  <c:v>2021/12/22</c:v>
                </c:pt>
                <c:pt idx="151">
                  <c:v>2021/12/23</c:v>
                </c:pt>
                <c:pt idx="152">
                  <c:v>2021/12/24</c:v>
                </c:pt>
                <c:pt idx="153">
                  <c:v>2021/12/27</c:v>
                </c:pt>
                <c:pt idx="154">
                  <c:v>2021/12/28</c:v>
                </c:pt>
                <c:pt idx="155">
                  <c:v>2021/12/29</c:v>
                </c:pt>
                <c:pt idx="156">
                  <c:v>2021/12/30</c:v>
                </c:pt>
                <c:pt idx="157">
                  <c:v>2021/12/31</c:v>
                </c:pt>
                <c:pt idx="158">
                  <c:v>2022/1/4</c:v>
                </c:pt>
                <c:pt idx="159">
                  <c:v>2022/1/5</c:v>
                </c:pt>
                <c:pt idx="160">
                  <c:v>2022/1/6</c:v>
                </c:pt>
                <c:pt idx="161">
                  <c:v>2022/1/7</c:v>
                </c:pt>
                <c:pt idx="162">
                  <c:v>2022/1/10</c:v>
                </c:pt>
                <c:pt idx="163">
                  <c:v>2022/1/11</c:v>
                </c:pt>
                <c:pt idx="164">
                  <c:v>2022/1/12</c:v>
                </c:pt>
                <c:pt idx="165">
                  <c:v>2022/1/13</c:v>
                </c:pt>
                <c:pt idx="166">
                  <c:v>2022/1/14</c:v>
                </c:pt>
                <c:pt idx="167">
                  <c:v>2022/1/17</c:v>
                </c:pt>
                <c:pt idx="168">
                  <c:v>2022/1/18</c:v>
                </c:pt>
                <c:pt idx="169">
                  <c:v>2022/1/19</c:v>
                </c:pt>
                <c:pt idx="170">
                  <c:v>2022/1/20</c:v>
                </c:pt>
                <c:pt idx="171">
                  <c:v>2022/1/21</c:v>
                </c:pt>
                <c:pt idx="172">
                  <c:v>2022/1/24</c:v>
                </c:pt>
                <c:pt idx="173">
                  <c:v>2022/1/25</c:v>
                </c:pt>
                <c:pt idx="174">
                  <c:v>2022/1/26</c:v>
                </c:pt>
                <c:pt idx="175">
                  <c:v>2022/1/27</c:v>
                </c:pt>
                <c:pt idx="176">
                  <c:v>2022/1/28</c:v>
                </c:pt>
                <c:pt idx="177">
                  <c:v>2022/2/7</c:v>
                </c:pt>
                <c:pt idx="178">
                  <c:v>2022/2/8</c:v>
                </c:pt>
                <c:pt idx="179">
                  <c:v>2022/2/9</c:v>
                </c:pt>
                <c:pt idx="180">
                  <c:v>2022/2/10</c:v>
                </c:pt>
                <c:pt idx="181">
                  <c:v>2022/2/11</c:v>
                </c:pt>
                <c:pt idx="182">
                  <c:v>2022/2/14</c:v>
                </c:pt>
                <c:pt idx="183">
                  <c:v>2022/2/15</c:v>
                </c:pt>
                <c:pt idx="184">
                  <c:v>2022/2/16</c:v>
                </c:pt>
                <c:pt idx="185">
                  <c:v>2022/2/17</c:v>
                </c:pt>
                <c:pt idx="186">
                  <c:v>2022/2/18</c:v>
                </c:pt>
                <c:pt idx="187">
                  <c:v>2022/2/21</c:v>
                </c:pt>
                <c:pt idx="188">
                  <c:v>2022/2/22</c:v>
                </c:pt>
                <c:pt idx="189">
                  <c:v>2022/2/23</c:v>
                </c:pt>
                <c:pt idx="190">
                  <c:v>2022/2/24</c:v>
                </c:pt>
                <c:pt idx="191">
                  <c:v>2022/2/25</c:v>
                </c:pt>
                <c:pt idx="192">
                  <c:v>2022/2/28</c:v>
                </c:pt>
                <c:pt idx="193">
                  <c:v>2022/3/1</c:v>
                </c:pt>
                <c:pt idx="194">
                  <c:v>2022/3/2</c:v>
                </c:pt>
                <c:pt idx="195">
                  <c:v>2022/3/3</c:v>
                </c:pt>
                <c:pt idx="196">
                  <c:v>2022/3/4</c:v>
                </c:pt>
                <c:pt idx="197">
                  <c:v>2022/3/7</c:v>
                </c:pt>
                <c:pt idx="198">
                  <c:v>2022/3/8</c:v>
                </c:pt>
                <c:pt idx="199">
                  <c:v>2022/3/9</c:v>
                </c:pt>
                <c:pt idx="200">
                  <c:v>2022/3/10</c:v>
                </c:pt>
                <c:pt idx="201">
                  <c:v>2022/3/11</c:v>
                </c:pt>
                <c:pt idx="202">
                  <c:v>2022/3/14</c:v>
                </c:pt>
                <c:pt idx="203">
                  <c:v>2022/3/15</c:v>
                </c:pt>
                <c:pt idx="204">
                  <c:v>2022/3/16</c:v>
                </c:pt>
                <c:pt idx="205">
                  <c:v>2022/3/17</c:v>
                </c:pt>
                <c:pt idx="206">
                  <c:v>2022/3/18</c:v>
                </c:pt>
                <c:pt idx="207">
                  <c:v>2022/3/21</c:v>
                </c:pt>
                <c:pt idx="208">
                  <c:v>2022/3/22</c:v>
                </c:pt>
                <c:pt idx="209">
                  <c:v>2022/3/23</c:v>
                </c:pt>
                <c:pt idx="210">
                  <c:v>2022/3/24</c:v>
                </c:pt>
                <c:pt idx="211">
                  <c:v>2022/3/25</c:v>
                </c:pt>
                <c:pt idx="212">
                  <c:v>2022/3/28</c:v>
                </c:pt>
                <c:pt idx="213">
                  <c:v>2022/3/29</c:v>
                </c:pt>
                <c:pt idx="214">
                  <c:v>2022/3/30</c:v>
                </c:pt>
                <c:pt idx="215">
                  <c:v>2022/3/31</c:v>
                </c:pt>
                <c:pt idx="216">
                  <c:v>2022/4/1</c:v>
                </c:pt>
                <c:pt idx="217">
                  <c:v>2022/4/4</c:v>
                </c:pt>
                <c:pt idx="218">
                  <c:v>2022/4/5</c:v>
                </c:pt>
                <c:pt idx="219">
                  <c:v>2022/4/6</c:v>
                </c:pt>
                <c:pt idx="220">
                  <c:v>2022/4/7</c:v>
                </c:pt>
                <c:pt idx="221">
                  <c:v>2022/4/8</c:v>
                </c:pt>
                <c:pt idx="222">
                  <c:v>2022/4/11</c:v>
                </c:pt>
                <c:pt idx="223">
                  <c:v>2022/4/12</c:v>
                </c:pt>
                <c:pt idx="224">
                  <c:v>2022/4/13</c:v>
                </c:pt>
                <c:pt idx="225">
                  <c:v>2022/4/14</c:v>
                </c:pt>
                <c:pt idx="226">
                  <c:v>2022/4/15</c:v>
                </c:pt>
                <c:pt idx="227">
                  <c:v>2022/4/18</c:v>
                </c:pt>
                <c:pt idx="228">
                  <c:v>2022/4/19</c:v>
                </c:pt>
                <c:pt idx="229">
                  <c:v>2022/4/20</c:v>
                </c:pt>
                <c:pt idx="230">
                  <c:v>2022/4/21</c:v>
                </c:pt>
                <c:pt idx="231">
                  <c:v>2022/4/22</c:v>
                </c:pt>
                <c:pt idx="232">
                  <c:v>2022/4/24</c:v>
                </c:pt>
                <c:pt idx="233">
                  <c:v>2022/4/25</c:v>
                </c:pt>
                <c:pt idx="234">
                  <c:v>2022/4/26</c:v>
                </c:pt>
                <c:pt idx="235">
                  <c:v>2022/4/27</c:v>
                </c:pt>
                <c:pt idx="236">
                  <c:v>2022/4/28</c:v>
                </c:pt>
                <c:pt idx="237">
                  <c:v>2022/4/29</c:v>
                </c:pt>
                <c:pt idx="238">
                  <c:v>2022/5/5</c:v>
                </c:pt>
                <c:pt idx="239">
                  <c:v>2022/5/6</c:v>
                </c:pt>
                <c:pt idx="240">
                  <c:v>2022/5/7</c:v>
                </c:pt>
                <c:pt idx="241">
                  <c:v>2022/5/9</c:v>
                </c:pt>
                <c:pt idx="242">
                  <c:v>2022/5/10</c:v>
                </c:pt>
                <c:pt idx="243">
                  <c:v>2022/5/11</c:v>
                </c:pt>
                <c:pt idx="244">
                  <c:v>2022/5/12</c:v>
                </c:pt>
                <c:pt idx="245">
                  <c:v>2022/5/13</c:v>
                </c:pt>
                <c:pt idx="246">
                  <c:v>2022/5/16</c:v>
                </c:pt>
                <c:pt idx="247">
                  <c:v>2022/5/17</c:v>
                </c:pt>
                <c:pt idx="248">
                  <c:v>2022/5/18</c:v>
                </c:pt>
                <c:pt idx="249">
                  <c:v>2022/5/19</c:v>
                </c:pt>
                <c:pt idx="250">
                  <c:v>2022/5/20</c:v>
                </c:pt>
                <c:pt idx="251">
                  <c:v>2022/5/23</c:v>
                </c:pt>
                <c:pt idx="252">
                  <c:v>2022/5/24</c:v>
                </c:pt>
                <c:pt idx="253">
                  <c:v>2022/5/25</c:v>
                </c:pt>
                <c:pt idx="254">
                  <c:v>2022/5/26</c:v>
                </c:pt>
                <c:pt idx="255">
                  <c:v>2022/5/27</c:v>
                </c:pt>
                <c:pt idx="256">
                  <c:v>2022/5/30</c:v>
                </c:pt>
                <c:pt idx="257">
                  <c:v>2022/5/31</c:v>
                </c:pt>
                <c:pt idx="258">
                  <c:v>2022/6/1</c:v>
                </c:pt>
                <c:pt idx="259">
                  <c:v>2022/6/2</c:v>
                </c:pt>
                <c:pt idx="260">
                  <c:v>2022/6/3</c:v>
                </c:pt>
                <c:pt idx="261">
                  <c:v>2022/6/6</c:v>
                </c:pt>
                <c:pt idx="262">
                  <c:v>2022/6/7</c:v>
                </c:pt>
                <c:pt idx="263">
                  <c:v>2022/6/8</c:v>
                </c:pt>
                <c:pt idx="264">
                  <c:v>2022/6/9</c:v>
                </c:pt>
                <c:pt idx="265">
                  <c:v>2022/6/10</c:v>
                </c:pt>
                <c:pt idx="266">
                  <c:v>2022/6/13</c:v>
                </c:pt>
                <c:pt idx="267">
                  <c:v>2022/6/14</c:v>
                </c:pt>
                <c:pt idx="268">
                  <c:v>2022/6/15</c:v>
                </c:pt>
                <c:pt idx="269">
                  <c:v>2022/6/16</c:v>
                </c:pt>
                <c:pt idx="270">
                  <c:v>2022/6/17</c:v>
                </c:pt>
                <c:pt idx="271">
                  <c:v>2022/6/20</c:v>
                </c:pt>
                <c:pt idx="272">
                  <c:v>2022/6/21</c:v>
                </c:pt>
                <c:pt idx="273">
                  <c:v>2022/6/22</c:v>
                </c:pt>
                <c:pt idx="274">
                  <c:v>2022/6/23</c:v>
                </c:pt>
                <c:pt idx="275">
                  <c:v>2022/6/24</c:v>
                </c:pt>
                <c:pt idx="276">
                  <c:v>2022/6/27</c:v>
                </c:pt>
                <c:pt idx="277">
                  <c:v>2022/6/28</c:v>
                </c:pt>
                <c:pt idx="278">
                  <c:v>2022/6/29</c:v>
                </c:pt>
                <c:pt idx="279">
                  <c:v>2022/6/30</c:v>
                </c:pt>
                <c:pt idx="280">
                  <c:v>2022/7/1</c:v>
                </c:pt>
                <c:pt idx="281">
                  <c:v>2022/7/4</c:v>
                </c:pt>
                <c:pt idx="282">
                  <c:v>2022/7/5</c:v>
                </c:pt>
                <c:pt idx="283">
                  <c:v>2022/7/6</c:v>
                </c:pt>
                <c:pt idx="284">
                  <c:v>2022/7/7</c:v>
                </c:pt>
                <c:pt idx="285">
                  <c:v>2022/7/8</c:v>
                </c:pt>
                <c:pt idx="286">
                  <c:v>2022/7/11</c:v>
                </c:pt>
                <c:pt idx="287">
                  <c:v>2022/7/12</c:v>
                </c:pt>
                <c:pt idx="288">
                  <c:v>2022/7/13</c:v>
                </c:pt>
                <c:pt idx="289">
                  <c:v>2022/7/14</c:v>
                </c:pt>
                <c:pt idx="290">
                  <c:v>2022/7/15</c:v>
                </c:pt>
                <c:pt idx="291">
                  <c:v>2022/7/18</c:v>
                </c:pt>
                <c:pt idx="292">
                  <c:v>2022/7/19</c:v>
                </c:pt>
                <c:pt idx="293">
                  <c:v>2022/7/20</c:v>
                </c:pt>
                <c:pt idx="294">
                  <c:v>2022/7/21</c:v>
                </c:pt>
                <c:pt idx="295">
                  <c:v>2022/7/22</c:v>
                </c:pt>
                <c:pt idx="296">
                  <c:v>2022/7/25</c:v>
                </c:pt>
                <c:pt idx="297">
                  <c:v>2022/7/26</c:v>
                </c:pt>
                <c:pt idx="298">
                  <c:v>2022/7/27</c:v>
                </c:pt>
                <c:pt idx="299">
                  <c:v>2022/7/28</c:v>
                </c:pt>
                <c:pt idx="300">
                  <c:v>2022/7/29</c:v>
                </c:pt>
                <c:pt idx="301">
                  <c:v>2022/8/1</c:v>
                </c:pt>
                <c:pt idx="302">
                  <c:v>2022/8/2</c:v>
                </c:pt>
                <c:pt idx="303">
                  <c:v>2022/8/3</c:v>
                </c:pt>
                <c:pt idx="304">
                  <c:v>2022/8/4</c:v>
                </c:pt>
                <c:pt idx="305">
                  <c:v>2022/8/5</c:v>
                </c:pt>
                <c:pt idx="306">
                  <c:v>2022/8/8</c:v>
                </c:pt>
                <c:pt idx="307">
                  <c:v>2022/8/9</c:v>
                </c:pt>
                <c:pt idx="308">
                  <c:v>2022/8/10</c:v>
                </c:pt>
                <c:pt idx="309">
                  <c:v>2022/8/11</c:v>
                </c:pt>
                <c:pt idx="310">
                  <c:v>2022/8/12</c:v>
                </c:pt>
                <c:pt idx="311">
                  <c:v>2022/8/15</c:v>
                </c:pt>
                <c:pt idx="312">
                  <c:v>2022/8/16</c:v>
                </c:pt>
                <c:pt idx="313">
                  <c:v>2022/8/17</c:v>
                </c:pt>
                <c:pt idx="314">
                  <c:v>2022/8/18</c:v>
                </c:pt>
                <c:pt idx="315">
                  <c:v>2022/8/19</c:v>
                </c:pt>
                <c:pt idx="316">
                  <c:v>2022/8/22</c:v>
                </c:pt>
                <c:pt idx="317">
                  <c:v>2022/8/23</c:v>
                </c:pt>
                <c:pt idx="318">
                  <c:v>2022/8/24</c:v>
                </c:pt>
                <c:pt idx="319">
                  <c:v>2022/8/25</c:v>
                </c:pt>
                <c:pt idx="320">
                  <c:v>2022/8/26</c:v>
                </c:pt>
                <c:pt idx="321">
                  <c:v>2022/8/29</c:v>
                </c:pt>
                <c:pt idx="322">
                  <c:v>2022/8/30</c:v>
                </c:pt>
                <c:pt idx="323">
                  <c:v>2022/8/31</c:v>
                </c:pt>
                <c:pt idx="324">
                  <c:v>2022/9/1</c:v>
                </c:pt>
                <c:pt idx="325">
                  <c:v>2022/9/2</c:v>
                </c:pt>
                <c:pt idx="326">
                  <c:v>2022/9/5</c:v>
                </c:pt>
                <c:pt idx="327">
                  <c:v>2022/9/6</c:v>
                </c:pt>
                <c:pt idx="328">
                  <c:v>2022/9/7</c:v>
                </c:pt>
                <c:pt idx="329">
                  <c:v>2022/9/8</c:v>
                </c:pt>
                <c:pt idx="330">
                  <c:v>2022/9/9</c:v>
                </c:pt>
                <c:pt idx="331">
                  <c:v>2022/9/12</c:v>
                </c:pt>
                <c:pt idx="332">
                  <c:v>2022/9/13</c:v>
                </c:pt>
                <c:pt idx="333">
                  <c:v>2022/9/14</c:v>
                </c:pt>
                <c:pt idx="334">
                  <c:v>2022/9/15</c:v>
                </c:pt>
                <c:pt idx="335">
                  <c:v>2022/9/16</c:v>
                </c:pt>
                <c:pt idx="336">
                  <c:v>2022/9/19</c:v>
                </c:pt>
                <c:pt idx="337">
                  <c:v>2022/9/20</c:v>
                </c:pt>
                <c:pt idx="338">
                  <c:v>2022/9/21</c:v>
                </c:pt>
                <c:pt idx="339">
                  <c:v>2022/9/22</c:v>
                </c:pt>
                <c:pt idx="340">
                  <c:v>2022/9/23</c:v>
                </c:pt>
                <c:pt idx="341">
                  <c:v>2022/9/26</c:v>
                </c:pt>
                <c:pt idx="342">
                  <c:v>2022/9/27</c:v>
                </c:pt>
                <c:pt idx="343">
                  <c:v>2022/9/28</c:v>
                </c:pt>
                <c:pt idx="344">
                  <c:v>2022/9/29</c:v>
                </c:pt>
                <c:pt idx="345">
                  <c:v>2022/9/30</c:v>
                </c:pt>
                <c:pt idx="346">
                  <c:v>2022/10/7</c:v>
                </c:pt>
                <c:pt idx="347">
                  <c:v>2022/10/8</c:v>
                </c:pt>
                <c:pt idx="348">
                  <c:v>2022/10/9</c:v>
                </c:pt>
                <c:pt idx="349">
                  <c:v>2022/10/10</c:v>
                </c:pt>
                <c:pt idx="350">
                  <c:v>2022/10/11</c:v>
                </c:pt>
                <c:pt idx="351">
                  <c:v>2022/10/12</c:v>
                </c:pt>
                <c:pt idx="352">
                  <c:v>2022/10/13</c:v>
                </c:pt>
                <c:pt idx="353">
                  <c:v>2022/10/14</c:v>
                </c:pt>
                <c:pt idx="354">
                  <c:v>2022/10/17</c:v>
                </c:pt>
                <c:pt idx="355">
                  <c:v>2022/10/18</c:v>
                </c:pt>
                <c:pt idx="356">
                  <c:v>2022/10/19</c:v>
                </c:pt>
                <c:pt idx="357">
                  <c:v>2022/10/20</c:v>
                </c:pt>
                <c:pt idx="358">
                  <c:v>2022/10/21</c:v>
                </c:pt>
                <c:pt idx="359">
                  <c:v>2022/10/24</c:v>
                </c:pt>
                <c:pt idx="360">
                  <c:v>2022/10/25</c:v>
                </c:pt>
                <c:pt idx="361">
                  <c:v>2022/10/26</c:v>
                </c:pt>
                <c:pt idx="362">
                  <c:v>2022/10/27</c:v>
                </c:pt>
                <c:pt idx="363">
                  <c:v>2022/10/28</c:v>
                </c:pt>
                <c:pt idx="364">
                  <c:v>2022/10/31</c:v>
                </c:pt>
                <c:pt idx="365">
                  <c:v>2022/11/1</c:v>
                </c:pt>
                <c:pt idx="366">
                  <c:v>2022/11/2</c:v>
                </c:pt>
                <c:pt idx="367">
                  <c:v>2022/11/3</c:v>
                </c:pt>
                <c:pt idx="368">
                  <c:v>2022/11/4</c:v>
                </c:pt>
                <c:pt idx="369">
                  <c:v>2022/11/7</c:v>
                </c:pt>
                <c:pt idx="370">
                  <c:v>2022/11/8</c:v>
                </c:pt>
                <c:pt idx="371">
                  <c:v>2022/11/9</c:v>
                </c:pt>
                <c:pt idx="372">
                  <c:v>2022/11/10</c:v>
                </c:pt>
                <c:pt idx="373">
                  <c:v>2022/11/11</c:v>
                </c:pt>
                <c:pt idx="374">
                  <c:v>2022/11/14</c:v>
                </c:pt>
                <c:pt idx="375">
                  <c:v>2022/11/15</c:v>
                </c:pt>
                <c:pt idx="376">
                  <c:v>2022/11/16</c:v>
                </c:pt>
                <c:pt idx="377">
                  <c:v>2022/11/17</c:v>
                </c:pt>
                <c:pt idx="378">
                  <c:v>2022/11/18</c:v>
                </c:pt>
                <c:pt idx="379">
                  <c:v>2022/11/21</c:v>
                </c:pt>
                <c:pt idx="380">
                  <c:v>2022/11/22</c:v>
                </c:pt>
                <c:pt idx="381">
                  <c:v>2022/11/23</c:v>
                </c:pt>
                <c:pt idx="382">
                  <c:v>2022/11/24</c:v>
                </c:pt>
                <c:pt idx="383">
                  <c:v>2022/11/25</c:v>
                </c:pt>
                <c:pt idx="384">
                  <c:v>2022/11/28</c:v>
                </c:pt>
                <c:pt idx="385">
                  <c:v>2022/11/29</c:v>
                </c:pt>
                <c:pt idx="386">
                  <c:v>2022/11/30</c:v>
                </c:pt>
                <c:pt idx="387">
                  <c:v>2022/12/1</c:v>
                </c:pt>
                <c:pt idx="388">
                  <c:v>2022/12/2</c:v>
                </c:pt>
                <c:pt idx="389">
                  <c:v>2022/12/5</c:v>
                </c:pt>
                <c:pt idx="390">
                  <c:v>2022/12/6</c:v>
                </c:pt>
                <c:pt idx="391">
                  <c:v>2022/12/7</c:v>
                </c:pt>
                <c:pt idx="392">
                  <c:v>2022/12/8</c:v>
                </c:pt>
                <c:pt idx="393">
                  <c:v>2022/12/9</c:v>
                </c:pt>
                <c:pt idx="394">
                  <c:v>2022/12/12</c:v>
                </c:pt>
                <c:pt idx="395">
                  <c:v>2022/12/13</c:v>
                </c:pt>
                <c:pt idx="396">
                  <c:v>2022/12/14</c:v>
                </c:pt>
                <c:pt idx="397">
                  <c:v>2022/12/15</c:v>
                </c:pt>
                <c:pt idx="398">
                  <c:v>2022/12/16</c:v>
                </c:pt>
                <c:pt idx="399">
                  <c:v>2022/12/19</c:v>
                </c:pt>
                <c:pt idx="400">
                  <c:v>2022/12/20</c:v>
                </c:pt>
                <c:pt idx="401">
                  <c:v>2022/12/21</c:v>
                </c:pt>
                <c:pt idx="402">
                  <c:v>2022/12/22</c:v>
                </c:pt>
                <c:pt idx="403">
                  <c:v>2022/12/23</c:v>
                </c:pt>
                <c:pt idx="404">
                  <c:v>2022/12/26</c:v>
                </c:pt>
                <c:pt idx="405">
                  <c:v>2022/12/27</c:v>
                </c:pt>
                <c:pt idx="406">
                  <c:v>2022/12/28</c:v>
                </c:pt>
                <c:pt idx="407">
                  <c:v>2022/12/29</c:v>
                </c:pt>
                <c:pt idx="408">
                  <c:v>2022/12/30</c:v>
                </c:pt>
                <c:pt idx="409">
                  <c:v>2023/1/2</c:v>
                </c:pt>
                <c:pt idx="410">
                  <c:v>2023/1/3</c:v>
                </c:pt>
                <c:pt idx="411">
                  <c:v>2023/1/4</c:v>
                </c:pt>
                <c:pt idx="412">
                  <c:v>2023/1/5</c:v>
                </c:pt>
                <c:pt idx="413">
                  <c:v>2023/1/6</c:v>
                </c:pt>
                <c:pt idx="414">
                  <c:v>2023/1/9</c:v>
                </c:pt>
                <c:pt idx="415">
                  <c:v>2023/1/10</c:v>
                </c:pt>
                <c:pt idx="416">
                  <c:v>2023/1/11</c:v>
                </c:pt>
                <c:pt idx="417">
                  <c:v>2023/1/12</c:v>
                </c:pt>
                <c:pt idx="418">
                  <c:v>2023/1/13</c:v>
                </c:pt>
                <c:pt idx="419">
                  <c:v>2023/1/16</c:v>
                </c:pt>
                <c:pt idx="420">
                  <c:v>2023/1/17</c:v>
                </c:pt>
                <c:pt idx="421">
                  <c:v>2023/1/18</c:v>
                </c:pt>
                <c:pt idx="422">
                  <c:v>2023/1/19</c:v>
                </c:pt>
                <c:pt idx="423">
                  <c:v>2023/1/20</c:v>
                </c:pt>
                <c:pt idx="424">
                  <c:v>2023/1/23</c:v>
                </c:pt>
                <c:pt idx="425">
                  <c:v>2023/1/24</c:v>
                </c:pt>
                <c:pt idx="426">
                  <c:v>2023/1/25</c:v>
                </c:pt>
                <c:pt idx="427">
                  <c:v>2023/1/26</c:v>
                </c:pt>
                <c:pt idx="428">
                  <c:v>2023/1/27</c:v>
                </c:pt>
                <c:pt idx="429">
                  <c:v>2023/1/28</c:v>
                </c:pt>
                <c:pt idx="430">
                  <c:v>2023/1/29</c:v>
                </c:pt>
                <c:pt idx="431">
                  <c:v>2023/1/30</c:v>
                </c:pt>
                <c:pt idx="432">
                  <c:v>2023/1/31</c:v>
                </c:pt>
                <c:pt idx="433">
                  <c:v>2023/2/1</c:v>
                </c:pt>
                <c:pt idx="434">
                  <c:v>2023/2/2</c:v>
                </c:pt>
                <c:pt idx="435">
                  <c:v>2023/2/3</c:v>
                </c:pt>
                <c:pt idx="436">
                  <c:v>2023/2/6</c:v>
                </c:pt>
                <c:pt idx="437">
                  <c:v>2023/2/7</c:v>
                </c:pt>
                <c:pt idx="438">
                  <c:v>2023/2/8</c:v>
                </c:pt>
                <c:pt idx="439">
                  <c:v>2023/2/9</c:v>
                </c:pt>
                <c:pt idx="440">
                  <c:v>2023/2/10</c:v>
                </c:pt>
                <c:pt idx="441">
                  <c:v>2023/2/13</c:v>
                </c:pt>
                <c:pt idx="442">
                  <c:v>2023/2/14</c:v>
                </c:pt>
                <c:pt idx="443">
                  <c:v>2023/2/15</c:v>
                </c:pt>
                <c:pt idx="444">
                  <c:v>2023/2/16</c:v>
                </c:pt>
                <c:pt idx="445">
                  <c:v>2023/2/17</c:v>
                </c:pt>
                <c:pt idx="446">
                  <c:v>2023/2/20</c:v>
                </c:pt>
                <c:pt idx="447">
                  <c:v>2023/2/21</c:v>
                </c:pt>
                <c:pt idx="448">
                  <c:v>2023/2/22</c:v>
                </c:pt>
                <c:pt idx="449">
                  <c:v>2023/2/23</c:v>
                </c:pt>
                <c:pt idx="450">
                  <c:v>2023/2/24</c:v>
                </c:pt>
                <c:pt idx="451">
                  <c:v>2023/2/27</c:v>
                </c:pt>
                <c:pt idx="452">
                  <c:v>2023/2/28</c:v>
                </c:pt>
                <c:pt idx="453">
                  <c:v>2023/3/1</c:v>
                </c:pt>
                <c:pt idx="454">
                  <c:v>2023/3/2</c:v>
                </c:pt>
                <c:pt idx="455">
                  <c:v>2023/3/3</c:v>
                </c:pt>
                <c:pt idx="456">
                  <c:v>2023/3/6</c:v>
                </c:pt>
                <c:pt idx="457">
                  <c:v>2023/3/7</c:v>
                </c:pt>
                <c:pt idx="458">
                  <c:v>2023/3/8</c:v>
                </c:pt>
                <c:pt idx="459">
                  <c:v>2023/3/9</c:v>
                </c:pt>
                <c:pt idx="460">
                  <c:v>2023/3/10</c:v>
                </c:pt>
                <c:pt idx="461">
                  <c:v>2023/3/13</c:v>
                </c:pt>
                <c:pt idx="462">
                  <c:v>2023/3/14</c:v>
                </c:pt>
                <c:pt idx="463">
                  <c:v>2023/3/15</c:v>
                </c:pt>
                <c:pt idx="464">
                  <c:v>2023/3/16</c:v>
                </c:pt>
                <c:pt idx="465">
                  <c:v>2023/3/17</c:v>
                </c:pt>
                <c:pt idx="466">
                  <c:v>2023/3/20</c:v>
                </c:pt>
                <c:pt idx="467">
                  <c:v>2023/3/21</c:v>
                </c:pt>
                <c:pt idx="468">
                  <c:v>2023/3/22</c:v>
                </c:pt>
                <c:pt idx="469">
                  <c:v>2023/3/23</c:v>
                </c:pt>
                <c:pt idx="470">
                  <c:v>2023/3/24</c:v>
                </c:pt>
                <c:pt idx="471">
                  <c:v>2023/3/27</c:v>
                </c:pt>
                <c:pt idx="472">
                  <c:v>2023/3/28</c:v>
                </c:pt>
                <c:pt idx="474">
                  <c:v>数据来源：Wind</c:v>
                </c:pt>
              </c:strCache>
            </c:strRef>
          </c:cat>
          <c:val>
            <c:numRef>
              <c:f>Charts!$D$1166:$D$1640</c:f>
              <c:numCache>
                <c:formatCode>General</c:formatCode>
                <c:ptCount val="475"/>
                <c:pt idx="0">
                  <c:v>1.9</c:v>
                </c:pt>
                <c:pt idx="1">
                  <c:v>1.9</c:v>
                </c:pt>
                <c:pt idx="2">
                  <c:v>1.9</c:v>
                </c:pt>
                <c:pt idx="3">
                  <c:v>1.9</c:v>
                </c:pt>
                <c:pt idx="4">
                  <c:v>1.9</c:v>
                </c:pt>
                <c:pt idx="5">
                  <c:v>1.9</c:v>
                </c:pt>
                <c:pt idx="6">
                  <c:v>1.9</c:v>
                </c:pt>
                <c:pt idx="7">
                  <c:v>1.9</c:v>
                </c:pt>
                <c:pt idx="8">
                  <c:v>1.9</c:v>
                </c:pt>
                <c:pt idx="9">
                  <c:v>1.9</c:v>
                </c:pt>
                <c:pt idx="10">
                  <c:v>1.9</c:v>
                </c:pt>
                <c:pt idx="11">
                  <c:v>1.9</c:v>
                </c:pt>
                <c:pt idx="12">
                  <c:v>1.9</c:v>
                </c:pt>
                <c:pt idx="13">
                  <c:v>1.9</c:v>
                </c:pt>
                <c:pt idx="14">
                  <c:v>1.9</c:v>
                </c:pt>
                <c:pt idx="15">
                  <c:v>1.9</c:v>
                </c:pt>
                <c:pt idx="16">
                  <c:v>1.9</c:v>
                </c:pt>
                <c:pt idx="17">
                  <c:v>1.9</c:v>
                </c:pt>
                <c:pt idx="18">
                  <c:v>1.9</c:v>
                </c:pt>
                <c:pt idx="19">
                  <c:v>1.9</c:v>
                </c:pt>
                <c:pt idx="20">
                  <c:v>1.9</c:v>
                </c:pt>
                <c:pt idx="21">
                  <c:v>1.9</c:v>
                </c:pt>
                <c:pt idx="22">
                  <c:v>1.9</c:v>
                </c:pt>
                <c:pt idx="23">
                  <c:v>1.9</c:v>
                </c:pt>
                <c:pt idx="24">
                  <c:v>1.9</c:v>
                </c:pt>
                <c:pt idx="25">
                  <c:v>1.9</c:v>
                </c:pt>
                <c:pt idx="26">
                  <c:v>1.9</c:v>
                </c:pt>
                <c:pt idx="27">
                  <c:v>1.9</c:v>
                </c:pt>
                <c:pt idx="28">
                  <c:v>1.9</c:v>
                </c:pt>
                <c:pt idx="29">
                  <c:v>1.9</c:v>
                </c:pt>
                <c:pt idx="30">
                  <c:v>1.9</c:v>
                </c:pt>
                <c:pt idx="31">
                  <c:v>1.9</c:v>
                </c:pt>
                <c:pt idx="32">
                  <c:v>1.9</c:v>
                </c:pt>
                <c:pt idx="33">
                  <c:v>1.9</c:v>
                </c:pt>
                <c:pt idx="34">
                  <c:v>1.9</c:v>
                </c:pt>
                <c:pt idx="35">
                  <c:v>1.9</c:v>
                </c:pt>
                <c:pt idx="36">
                  <c:v>1.9</c:v>
                </c:pt>
                <c:pt idx="37">
                  <c:v>1.9</c:v>
                </c:pt>
                <c:pt idx="38">
                  <c:v>1.9</c:v>
                </c:pt>
                <c:pt idx="39">
                  <c:v>1.9</c:v>
                </c:pt>
                <c:pt idx="40">
                  <c:v>1.9</c:v>
                </c:pt>
                <c:pt idx="41">
                  <c:v>1.9</c:v>
                </c:pt>
                <c:pt idx="42">
                  <c:v>1.9</c:v>
                </c:pt>
                <c:pt idx="43">
                  <c:v>1.9</c:v>
                </c:pt>
                <c:pt idx="44">
                  <c:v>1.9</c:v>
                </c:pt>
                <c:pt idx="45">
                  <c:v>1.9</c:v>
                </c:pt>
                <c:pt idx="46">
                  <c:v>1.9</c:v>
                </c:pt>
                <c:pt idx="47">
                  <c:v>1.9</c:v>
                </c:pt>
                <c:pt idx="48">
                  <c:v>1.9</c:v>
                </c:pt>
                <c:pt idx="49">
                  <c:v>1.9</c:v>
                </c:pt>
                <c:pt idx="50">
                  <c:v>1.9</c:v>
                </c:pt>
                <c:pt idx="51">
                  <c:v>1.9</c:v>
                </c:pt>
                <c:pt idx="52">
                  <c:v>1.9</c:v>
                </c:pt>
                <c:pt idx="53">
                  <c:v>1.9</c:v>
                </c:pt>
                <c:pt idx="54">
                  <c:v>1.9</c:v>
                </c:pt>
                <c:pt idx="55">
                  <c:v>1.9</c:v>
                </c:pt>
                <c:pt idx="56">
                  <c:v>1.9</c:v>
                </c:pt>
                <c:pt idx="57">
                  <c:v>1.9</c:v>
                </c:pt>
                <c:pt idx="58">
                  <c:v>1.9</c:v>
                </c:pt>
                <c:pt idx="59">
                  <c:v>1.9</c:v>
                </c:pt>
                <c:pt idx="60">
                  <c:v>1.9</c:v>
                </c:pt>
                <c:pt idx="61">
                  <c:v>1.9</c:v>
                </c:pt>
                <c:pt idx="62">
                  <c:v>1.9</c:v>
                </c:pt>
                <c:pt idx="63">
                  <c:v>1.9</c:v>
                </c:pt>
                <c:pt idx="64">
                  <c:v>1.9</c:v>
                </c:pt>
                <c:pt idx="65">
                  <c:v>1.9</c:v>
                </c:pt>
                <c:pt idx="66">
                  <c:v>1.9</c:v>
                </c:pt>
                <c:pt idx="67">
                  <c:v>1.9</c:v>
                </c:pt>
                <c:pt idx="68">
                  <c:v>1.9</c:v>
                </c:pt>
                <c:pt idx="69">
                  <c:v>1.9</c:v>
                </c:pt>
                <c:pt idx="70">
                  <c:v>1.9</c:v>
                </c:pt>
                <c:pt idx="71">
                  <c:v>1.9</c:v>
                </c:pt>
                <c:pt idx="72">
                  <c:v>1.9</c:v>
                </c:pt>
                <c:pt idx="73">
                  <c:v>1.9</c:v>
                </c:pt>
                <c:pt idx="74">
                  <c:v>1.9</c:v>
                </c:pt>
                <c:pt idx="75">
                  <c:v>1.9</c:v>
                </c:pt>
                <c:pt idx="76">
                  <c:v>1.9</c:v>
                </c:pt>
                <c:pt idx="77">
                  <c:v>1.9</c:v>
                </c:pt>
                <c:pt idx="78">
                  <c:v>1.9</c:v>
                </c:pt>
                <c:pt idx="79">
                  <c:v>1.9</c:v>
                </c:pt>
                <c:pt idx="80">
                  <c:v>1.9</c:v>
                </c:pt>
                <c:pt idx="81">
                  <c:v>1.9</c:v>
                </c:pt>
                <c:pt idx="82">
                  <c:v>1.9</c:v>
                </c:pt>
                <c:pt idx="83">
                  <c:v>1.9</c:v>
                </c:pt>
                <c:pt idx="84">
                  <c:v>1.9</c:v>
                </c:pt>
                <c:pt idx="85">
                  <c:v>1.9</c:v>
                </c:pt>
                <c:pt idx="86">
                  <c:v>1.9</c:v>
                </c:pt>
                <c:pt idx="87">
                  <c:v>1.9</c:v>
                </c:pt>
                <c:pt idx="88">
                  <c:v>1.9</c:v>
                </c:pt>
                <c:pt idx="89">
                  <c:v>1.9</c:v>
                </c:pt>
                <c:pt idx="90">
                  <c:v>1.9</c:v>
                </c:pt>
                <c:pt idx="91">
                  <c:v>1.9</c:v>
                </c:pt>
                <c:pt idx="92">
                  <c:v>1.9</c:v>
                </c:pt>
                <c:pt idx="93">
                  <c:v>1.9</c:v>
                </c:pt>
                <c:pt idx="94">
                  <c:v>1.9</c:v>
                </c:pt>
                <c:pt idx="95">
                  <c:v>1.9</c:v>
                </c:pt>
                <c:pt idx="96">
                  <c:v>1.9</c:v>
                </c:pt>
                <c:pt idx="97">
                  <c:v>1.9</c:v>
                </c:pt>
                <c:pt idx="98">
                  <c:v>1.9</c:v>
                </c:pt>
                <c:pt idx="99">
                  <c:v>1.9</c:v>
                </c:pt>
                <c:pt idx="100">
                  <c:v>1.9</c:v>
                </c:pt>
                <c:pt idx="101">
                  <c:v>1.9</c:v>
                </c:pt>
                <c:pt idx="102">
                  <c:v>1.9</c:v>
                </c:pt>
                <c:pt idx="103">
                  <c:v>1.9</c:v>
                </c:pt>
                <c:pt idx="104">
                  <c:v>1.9</c:v>
                </c:pt>
                <c:pt idx="105">
                  <c:v>1.9</c:v>
                </c:pt>
                <c:pt idx="106">
                  <c:v>1.9</c:v>
                </c:pt>
                <c:pt idx="107">
                  <c:v>1.9</c:v>
                </c:pt>
                <c:pt idx="108">
                  <c:v>1.9</c:v>
                </c:pt>
                <c:pt idx="109">
                  <c:v>1.9</c:v>
                </c:pt>
                <c:pt idx="110">
                  <c:v>1.9</c:v>
                </c:pt>
                <c:pt idx="111">
                  <c:v>1.9</c:v>
                </c:pt>
                <c:pt idx="112">
                  <c:v>1.9</c:v>
                </c:pt>
                <c:pt idx="113">
                  <c:v>1.9</c:v>
                </c:pt>
                <c:pt idx="114">
                  <c:v>1.9</c:v>
                </c:pt>
                <c:pt idx="115">
                  <c:v>1.9</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2.0499999999999998</c:v>
                </c:pt>
                <c:pt idx="134">
                  <c:v>2.0499999999999998</c:v>
                </c:pt>
                <c:pt idx="135">
                  <c:v>2.0499999999999998</c:v>
                </c:pt>
                <c:pt idx="136">
                  <c:v>2.0499999999999998</c:v>
                </c:pt>
                <c:pt idx="137">
                  <c:v>2.0499999999999998</c:v>
                </c:pt>
                <c:pt idx="138">
                  <c:v>2.0499999999999998</c:v>
                </c:pt>
                <c:pt idx="139">
                  <c:v>2.0499999999999998</c:v>
                </c:pt>
                <c:pt idx="140">
                  <c:v>2.0499999999999998</c:v>
                </c:pt>
                <c:pt idx="141">
                  <c:v>2.0499999999999998</c:v>
                </c:pt>
                <c:pt idx="142">
                  <c:v>2.0499999999999998</c:v>
                </c:pt>
                <c:pt idx="143">
                  <c:v>2.0499999999999998</c:v>
                </c:pt>
                <c:pt idx="144">
                  <c:v>2.0499999999999998</c:v>
                </c:pt>
                <c:pt idx="145">
                  <c:v>2.0499999999999998</c:v>
                </c:pt>
                <c:pt idx="146">
                  <c:v>2.0499999999999998</c:v>
                </c:pt>
                <c:pt idx="147">
                  <c:v>2.0499999999999998</c:v>
                </c:pt>
                <c:pt idx="148">
                  <c:v>2.0499999999999998</c:v>
                </c:pt>
                <c:pt idx="149">
                  <c:v>2.0499999999999998</c:v>
                </c:pt>
                <c:pt idx="150">
                  <c:v>2.0499999999999998</c:v>
                </c:pt>
                <c:pt idx="151">
                  <c:v>2.0499999999999998</c:v>
                </c:pt>
                <c:pt idx="152">
                  <c:v>2.1</c:v>
                </c:pt>
                <c:pt idx="153">
                  <c:v>2.1</c:v>
                </c:pt>
                <c:pt idx="154">
                  <c:v>2.1</c:v>
                </c:pt>
                <c:pt idx="155">
                  <c:v>2.1</c:v>
                </c:pt>
                <c:pt idx="156">
                  <c:v>2.1</c:v>
                </c:pt>
                <c:pt idx="157">
                  <c:v>2.1</c:v>
                </c:pt>
                <c:pt idx="158">
                  <c:v>2.1</c:v>
                </c:pt>
                <c:pt idx="159">
                  <c:v>2.1</c:v>
                </c:pt>
                <c:pt idx="160">
                  <c:v>2.1</c:v>
                </c:pt>
                <c:pt idx="161">
                  <c:v>2.1</c:v>
                </c:pt>
                <c:pt idx="162">
                  <c:v>2.1</c:v>
                </c:pt>
                <c:pt idx="163">
                  <c:v>2.1</c:v>
                </c:pt>
                <c:pt idx="164">
                  <c:v>2.1</c:v>
                </c:pt>
                <c:pt idx="165">
                  <c:v>2.1</c:v>
                </c:pt>
                <c:pt idx="166">
                  <c:v>2.1</c:v>
                </c:pt>
                <c:pt idx="167">
                  <c:v>2.1</c:v>
                </c:pt>
                <c:pt idx="168">
                  <c:v>2.1</c:v>
                </c:pt>
                <c:pt idx="169">
                  <c:v>2.1</c:v>
                </c:pt>
                <c:pt idx="170">
                  <c:v>2.1</c:v>
                </c:pt>
                <c:pt idx="171">
                  <c:v>2.1</c:v>
                </c:pt>
                <c:pt idx="172">
                  <c:v>2.1</c:v>
                </c:pt>
                <c:pt idx="173">
                  <c:v>2.1</c:v>
                </c:pt>
                <c:pt idx="174">
                  <c:v>2.1</c:v>
                </c:pt>
                <c:pt idx="175">
                  <c:v>2.1</c:v>
                </c:pt>
                <c:pt idx="176">
                  <c:v>2.1</c:v>
                </c:pt>
                <c:pt idx="177">
                  <c:v>2.1</c:v>
                </c:pt>
                <c:pt idx="178">
                  <c:v>2.1</c:v>
                </c:pt>
                <c:pt idx="179">
                  <c:v>2.1</c:v>
                </c:pt>
                <c:pt idx="180">
                  <c:v>2.1</c:v>
                </c:pt>
                <c:pt idx="181">
                  <c:v>2.1</c:v>
                </c:pt>
                <c:pt idx="182">
                  <c:v>2.1</c:v>
                </c:pt>
                <c:pt idx="183">
                  <c:v>2.1</c:v>
                </c:pt>
                <c:pt idx="184">
                  <c:v>2.1</c:v>
                </c:pt>
                <c:pt idx="185">
                  <c:v>2.1</c:v>
                </c:pt>
                <c:pt idx="186">
                  <c:v>2.13</c:v>
                </c:pt>
                <c:pt idx="187">
                  <c:v>2.13</c:v>
                </c:pt>
                <c:pt idx="188">
                  <c:v>2.13</c:v>
                </c:pt>
                <c:pt idx="189">
                  <c:v>2.13</c:v>
                </c:pt>
                <c:pt idx="190">
                  <c:v>2.13</c:v>
                </c:pt>
                <c:pt idx="191">
                  <c:v>2.13</c:v>
                </c:pt>
                <c:pt idx="192">
                  <c:v>2.13</c:v>
                </c:pt>
                <c:pt idx="193">
                  <c:v>2.13</c:v>
                </c:pt>
                <c:pt idx="194">
                  <c:v>2.13</c:v>
                </c:pt>
                <c:pt idx="195">
                  <c:v>2.13</c:v>
                </c:pt>
                <c:pt idx="196">
                  <c:v>2.13</c:v>
                </c:pt>
                <c:pt idx="197">
                  <c:v>2.13</c:v>
                </c:pt>
                <c:pt idx="198">
                  <c:v>2.13</c:v>
                </c:pt>
                <c:pt idx="199">
                  <c:v>2.13</c:v>
                </c:pt>
                <c:pt idx="200">
                  <c:v>2.13</c:v>
                </c:pt>
                <c:pt idx="201">
                  <c:v>2.13</c:v>
                </c:pt>
                <c:pt idx="202">
                  <c:v>2.13</c:v>
                </c:pt>
                <c:pt idx="203">
                  <c:v>2.13</c:v>
                </c:pt>
                <c:pt idx="204">
                  <c:v>2.13</c:v>
                </c:pt>
                <c:pt idx="205">
                  <c:v>2.13</c:v>
                </c:pt>
                <c:pt idx="206">
                  <c:v>2.13</c:v>
                </c:pt>
                <c:pt idx="207">
                  <c:v>2.13</c:v>
                </c:pt>
                <c:pt idx="208">
                  <c:v>2.13</c:v>
                </c:pt>
                <c:pt idx="209">
                  <c:v>2.13</c:v>
                </c:pt>
                <c:pt idx="210">
                  <c:v>2.13</c:v>
                </c:pt>
                <c:pt idx="211">
                  <c:v>2.13</c:v>
                </c:pt>
                <c:pt idx="212">
                  <c:v>2.13</c:v>
                </c:pt>
                <c:pt idx="213">
                  <c:v>2.13</c:v>
                </c:pt>
                <c:pt idx="214">
                  <c:v>2.13</c:v>
                </c:pt>
                <c:pt idx="215">
                  <c:v>2.13</c:v>
                </c:pt>
                <c:pt idx="216">
                  <c:v>2.13</c:v>
                </c:pt>
                <c:pt idx="217">
                  <c:v>2.13</c:v>
                </c:pt>
                <c:pt idx="218">
                  <c:v>2.13</c:v>
                </c:pt>
                <c:pt idx="219">
                  <c:v>2.13</c:v>
                </c:pt>
                <c:pt idx="220">
                  <c:v>2.13</c:v>
                </c:pt>
                <c:pt idx="221">
                  <c:v>2.13</c:v>
                </c:pt>
                <c:pt idx="222">
                  <c:v>2.13</c:v>
                </c:pt>
                <c:pt idx="223">
                  <c:v>2.13</c:v>
                </c:pt>
                <c:pt idx="224">
                  <c:v>2.13</c:v>
                </c:pt>
                <c:pt idx="225">
                  <c:v>2.13</c:v>
                </c:pt>
                <c:pt idx="226">
                  <c:v>2.13</c:v>
                </c:pt>
                <c:pt idx="227">
                  <c:v>2.13</c:v>
                </c:pt>
                <c:pt idx="228">
                  <c:v>2.13</c:v>
                </c:pt>
                <c:pt idx="229">
                  <c:v>2.13</c:v>
                </c:pt>
                <c:pt idx="230">
                  <c:v>2.2000000000000002</c:v>
                </c:pt>
                <c:pt idx="231">
                  <c:v>2.2000000000000002</c:v>
                </c:pt>
                <c:pt idx="232">
                  <c:v>2.2000000000000002</c:v>
                </c:pt>
                <c:pt idx="233">
                  <c:v>2.2000000000000002</c:v>
                </c:pt>
                <c:pt idx="234">
                  <c:v>2.2000000000000002</c:v>
                </c:pt>
                <c:pt idx="235">
                  <c:v>2.2000000000000002</c:v>
                </c:pt>
                <c:pt idx="236">
                  <c:v>2.2000000000000002</c:v>
                </c:pt>
                <c:pt idx="237">
                  <c:v>2.2000000000000002</c:v>
                </c:pt>
                <c:pt idx="238">
                  <c:v>2.2000000000000002</c:v>
                </c:pt>
                <c:pt idx="239">
                  <c:v>2.2000000000000002</c:v>
                </c:pt>
                <c:pt idx="240">
                  <c:v>2.2000000000000002</c:v>
                </c:pt>
                <c:pt idx="241">
                  <c:v>2.2000000000000002</c:v>
                </c:pt>
                <c:pt idx="242">
                  <c:v>2.2000000000000002</c:v>
                </c:pt>
                <c:pt idx="243">
                  <c:v>2.2000000000000002</c:v>
                </c:pt>
                <c:pt idx="244">
                  <c:v>2.2000000000000002</c:v>
                </c:pt>
                <c:pt idx="245">
                  <c:v>2.2000000000000002</c:v>
                </c:pt>
                <c:pt idx="246">
                  <c:v>2.2000000000000002</c:v>
                </c:pt>
                <c:pt idx="247">
                  <c:v>2.2000000000000002</c:v>
                </c:pt>
                <c:pt idx="248">
                  <c:v>2.2000000000000002</c:v>
                </c:pt>
                <c:pt idx="249">
                  <c:v>2.2000000000000002</c:v>
                </c:pt>
                <c:pt idx="250">
                  <c:v>2.2000000000000002</c:v>
                </c:pt>
                <c:pt idx="251">
                  <c:v>2.2000000000000002</c:v>
                </c:pt>
                <c:pt idx="252">
                  <c:v>2.2000000000000002</c:v>
                </c:pt>
                <c:pt idx="253">
                  <c:v>2.2000000000000002</c:v>
                </c:pt>
                <c:pt idx="254">
                  <c:v>2.2000000000000002</c:v>
                </c:pt>
                <c:pt idx="255">
                  <c:v>2.2000000000000002</c:v>
                </c:pt>
                <c:pt idx="256">
                  <c:v>2.2000000000000002</c:v>
                </c:pt>
                <c:pt idx="257">
                  <c:v>2.2000000000000002</c:v>
                </c:pt>
                <c:pt idx="258">
                  <c:v>2.2000000000000002</c:v>
                </c:pt>
                <c:pt idx="259">
                  <c:v>2.2000000000000002</c:v>
                </c:pt>
                <c:pt idx="260">
                  <c:v>2.2000000000000002</c:v>
                </c:pt>
                <c:pt idx="261">
                  <c:v>2.2000000000000002</c:v>
                </c:pt>
                <c:pt idx="262">
                  <c:v>2.2000000000000002</c:v>
                </c:pt>
                <c:pt idx="263">
                  <c:v>2.2000000000000002</c:v>
                </c:pt>
                <c:pt idx="264">
                  <c:v>2.2000000000000002</c:v>
                </c:pt>
                <c:pt idx="265">
                  <c:v>2.2000000000000002</c:v>
                </c:pt>
                <c:pt idx="266">
                  <c:v>2.2000000000000002</c:v>
                </c:pt>
                <c:pt idx="267">
                  <c:v>2.2000000000000002</c:v>
                </c:pt>
                <c:pt idx="268">
                  <c:v>2.2000000000000002</c:v>
                </c:pt>
                <c:pt idx="269">
                  <c:v>2.2000000000000002</c:v>
                </c:pt>
                <c:pt idx="270">
                  <c:v>2.2000000000000002</c:v>
                </c:pt>
                <c:pt idx="271">
                  <c:v>2.2000000000000002</c:v>
                </c:pt>
                <c:pt idx="272">
                  <c:v>2.2000000000000002</c:v>
                </c:pt>
                <c:pt idx="273">
                  <c:v>2.2000000000000002</c:v>
                </c:pt>
                <c:pt idx="274">
                  <c:v>2.2000000000000002</c:v>
                </c:pt>
                <c:pt idx="275">
                  <c:v>2.2000000000000002</c:v>
                </c:pt>
                <c:pt idx="276">
                  <c:v>2.2000000000000002</c:v>
                </c:pt>
                <c:pt idx="277">
                  <c:v>2.2000000000000002</c:v>
                </c:pt>
                <c:pt idx="278">
                  <c:v>2.2000000000000002</c:v>
                </c:pt>
                <c:pt idx="279">
                  <c:v>2.2000000000000002</c:v>
                </c:pt>
                <c:pt idx="280">
                  <c:v>2.2000000000000002</c:v>
                </c:pt>
                <c:pt idx="281">
                  <c:v>2.2000000000000002</c:v>
                </c:pt>
                <c:pt idx="282">
                  <c:v>2.2000000000000002</c:v>
                </c:pt>
                <c:pt idx="283">
                  <c:v>2.2000000000000002</c:v>
                </c:pt>
                <c:pt idx="284">
                  <c:v>2.2000000000000002</c:v>
                </c:pt>
                <c:pt idx="285">
                  <c:v>2.2000000000000002</c:v>
                </c:pt>
                <c:pt idx="286">
                  <c:v>2.2000000000000002</c:v>
                </c:pt>
                <c:pt idx="287">
                  <c:v>2.2000000000000002</c:v>
                </c:pt>
                <c:pt idx="288">
                  <c:v>2.2000000000000002</c:v>
                </c:pt>
                <c:pt idx="289">
                  <c:v>2.2000000000000002</c:v>
                </c:pt>
                <c:pt idx="290">
                  <c:v>2.2000000000000002</c:v>
                </c:pt>
                <c:pt idx="291">
                  <c:v>2.2000000000000002</c:v>
                </c:pt>
                <c:pt idx="292">
                  <c:v>2.2000000000000002</c:v>
                </c:pt>
                <c:pt idx="293">
                  <c:v>2.2000000000000002</c:v>
                </c:pt>
                <c:pt idx="294">
                  <c:v>2.2000000000000002</c:v>
                </c:pt>
                <c:pt idx="295">
                  <c:v>2.2000000000000002</c:v>
                </c:pt>
                <c:pt idx="296">
                  <c:v>2.2000000000000002</c:v>
                </c:pt>
                <c:pt idx="297">
                  <c:v>2.2000000000000002</c:v>
                </c:pt>
                <c:pt idx="298">
                  <c:v>2.2000000000000002</c:v>
                </c:pt>
                <c:pt idx="299">
                  <c:v>2.2000000000000002</c:v>
                </c:pt>
                <c:pt idx="300">
                  <c:v>2.2000000000000002</c:v>
                </c:pt>
                <c:pt idx="301">
                  <c:v>2.2000000000000002</c:v>
                </c:pt>
                <c:pt idx="302">
                  <c:v>2.2000000000000002</c:v>
                </c:pt>
                <c:pt idx="303">
                  <c:v>2.2000000000000002</c:v>
                </c:pt>
                <c:pt idx="304">
                  <c:v>2.2000000000000002</c:v>
                </c:pt>
                <c:pt idx="305">
                  <c:v>2.2000000000000002</c:v>
                </c:pt>
                <c:pt idx="306">
                  <c:v>2.2000000000000002</c:v>
                </c:pt>
                <c:pt idx="307">
                  <c:v>2.2000000000000002</c:v>
                </c:pt>
                <c:pt idx="308">
                  <c:v>2.2000000000000002</c:v>
                </c:pt>
                <c:pt idx="309">
                  <c:v>2.2000000000000002</c:v>
                </c:pt>
                <c:pt idx="310">
                  <c:v>2.2000000000000002</c:v>
                </c:pt>
                <c:pt idx="311">
                  <c:v>2.2000000000000002</c:v>
                </c:pt>
                <c:pt idx="312">
                  <c:v>2.2000000000000002</c:v>
                </c:pt>
                <c:pt idx="313">
                  <c:v>2.2000000000000002</c:v>
                </c:pt>
                <c:pt idx="314">
                  <c:v>2.2000000000000002</c:v>
                </c:pt>
                <c:pt idx="315">
                  <c:v>2.2000000000000002</c:v>
                </c:pt>
                <c:pt idx="316">
                  <c:v>2.2000000000000002</c:v>
                </c:pt>
                <c:pt idx="317">
                  <c:v>2.2000000000000002</c:v>
                </c:pt>
                <c:pt idx="318">
                  <c:v>2.2000000000000002</c:v>
                </c:pt>
                <c:pt idx="319">
                  <c:v>2.2000000000000002</c:v>
                </c:pt>
                <c:pt idx="320">
                  <c:v>2.2000000000000002</c:v>
                </c:pt>
                <c:pt idx="321">
                  <c:v>2.2000000000000002</c:v>
                </c:pt>
                <c:pt idx="322">
                  <c:v>2.2000000000000002</c:v>
                </c:pt>
                <c:pt idx="323">
                  <c:v>2.2000000000000002</c:v>
                </c:pt>
                <c:pt idx="324">
                  <c:v>2.2000000000000002</c:v>
                </c:pt>
                <c:pt idx="325">
                  <c:v>2.2000000000000002</c:v>
                </c:pt>
                <c:pt idx="326">
                  <c:v>2.2000000000000002</c:v>
                </c:pt>
                <c:pt idx="327">
                  <c:v>2.2000000000000002</c:v>
                </c:pt>
                <c:pt idx="328">
                  <c:v>2.1800000000000002</c:v>
                </c:pt>
                <c:pt idx="329">
                  <c:v>2.1800000000000002</c:v>
                </c:pt>
                <c:pt idx="330">
                  <c:v>2.1800000000000002</c:v>
                </c:pt>
                <c:pt idx="331">
                  <c:v>2.1800000000000002</c:v>
                </c:pt>
                <c:pt idx="332">
                  <c:v>2.1800000000000002</c:v>
                </c:pt>
                <c:pt idx="333">
                  <c:v>2.1800000000000002</c:v>
                </c:pt>
                <c:pt idx="334">
                  <c:v>2.1800000000000002</c:v>
                </c:pt>
                <c:pt idx="335">
                  <c:v>2.1800000000000002</c:v>
                </c:pt>
                <c:pt idx="336">
                  <c:v>2.1800000000000002</c:v>
                </c:pt>
                <c:pt idx="337">
                  <c:v>2.1800000000000002</c:v>
                </c:pt>
                <c:pt idx="338">
                  <c:v>2.1800000000000002</c:v>
                </c:pt>
                <c:pt idx="339">
                  <c:v>2.1800000000000002</c:v>
                </c:pt>
                <c:pt idx="340">
                  <c:v>2.1800000000000002</c:v>
                </c:pt>
                <c:pt idx="341">
                  <c:v>2.1800000000000002</c:v>
                </c:pt>
                <c:pt idx="342">
                  <c:v>2.1800000000000002</c:v>
                </c:pt>
                <c:pt idx="343">
                  <c:v>2.1800000000000002</c:v>
                </c:pt>
                <c:pt idx="344">
                  <c:v>2.1800000000000002</c:v>
                </c:pt>
                <c:pt idx="345">
                  <c:v>2.1800000000000002</c:v>
                </c:pt>
                <c:pt idx="346">
                  <c:v>2.1800000000000002</c:v>
                </c:pt>
                <c:pt idx="347">
                  <c:v>2.1800000000000002</c:v>
                </c:pt>
                <c:pt idx="348">
                  <c:v>2.1800000000000002</c:v>
                </c:pt>
                <c:pt idx="349">
                  <c:v>2.1800000000000002</c:v>
                </c:pt>
                <c:pt idx="350">
                  <c:v>2.1800000000000002</c:v>
                </c:pt>
                <c:pt idx="351">
                  <c:v>2.1800000000000002</c:v>
                </c:pt>
                <c:pt idx="352">
                  <c:v>2.1800000000000002</c:v>
                </c:pt>
                <c:pt idx="353">
                  <c:v>2.1800000000000002</c:v>
                </c:pt>
                <c:pt idx="354">
                  <c:v>2.1800000000000002</c:v>
                </c:pt>
                <c:pt idx="355">
                  <c:v>2.1800000000000002</c:v>
                </c:pt>
                <c:pt idx="356">
                  <c:v>2.1800000000000002</c:v>
                </c:pt>
                <c:pt idx="357">
                  <c:v>2.1800000000000002</c:v>
                </c:pt>
                <c:pt idx="358">
                  <c:v>2.1800000000000002</c:v>
                </c:pt>
                <c:pt idx="359">
                  <c:v>2.1800000000000002</c:v>
                </c:pt>
                <c:pt idx="360">
                  <c:v>2.1800000000000002</c:v>
                </c:pt>
                <c:pt idx="361">
                  <c:v>2.1800000000000002</c:v>
                </c:pt>
                <c:pt idx="362">
                  <c:v>2.1800000000000002</c:v>
                </c:pt>
                <c:pt idx="363">
                  <c:v>2.1800000000000002</c:v>
                </c:pt>
                <c:pt idx="364">
                  <c:v>2.1800000000000002</c:v>
                </c:pt>
                <c:pt idx="365">
                  <c:v>2.1800000000000002</c:v>
                </c:pt>
                <c:pt idx="366">
                  <c:v>2.1800000000000002</c:v>
                </c:pt>
                <c:pt idx="367">
                  <c:v>2.1800000000000002</c:v>
                </c:pt>
                <c:pt idx="368">
                  <c:v>2.1800000000000002</c:v>
                </c:pt>
                <c:pt idx="369">
                  <c:v>2.1800000000000002</c:v>
                </c:pt>
                <c:pt idx="370">
                  <c:v>2.1800000000000002</c:v>
                </c:pt>
                <c:pt idx="371">
                  <c:v>2.1800000000000002</c:v>
                </c:pt>
                <c:pt idx="372">
                  <c:v>2.1800000000000002</c:v>
                </c:pt>
                <c:pt idx="373">
                  <c:v>2.1800000000000002</c:v>
                </c:pt>
                <c:pt idx="374">
                  <c:v>2.1800000000000002</c:v>
                </c:pt>
                <c:pt idx="375">
                  <c:v>2.1800000000000002</c:v>
                </c:pt>
                <c:pt idx="376">
                  <c:v>2.1800000000000002</c:v>
                </c:pt>
                <c:pt idx="377">
                  <c:v>2.1800000000000002</c:v>
                </c:pt>
                <c:pt idx="378">
                  <c:v>2.1800000000000002</c:v>
                </c:pt>
                <c:pt idx="379">
                  <c:v>2.1800000000000002</c:v>
                </c:pt>
                <c:pt idx="380">
                  <c:v>2.1800000000000002</c:v>
                </c:pt>
                <c:pt idx="381">
                  <c:v>2.1800000000000002</c:v>
                </c:pt>
                <c:pt idx="382">
                  <c:v>2.1800000000000002</c:v>
                </c:pt>
                <c:pt idx="383">
                  <c:v>2.1800000000000002</c:v>
                </c:pt>
                <c:pt idx="384">
                  <c:v>2.1800000000000002</c:v>
                </c:pt>
                <c:pt idx="385">
                  <c:v>2.1800000000000002</c:v>
                </c:pt>
                <c:pt idx="386">
                  <c:v>2.1800000000000002</c:v>
                </c:pt>
                <c:pt idx="387">
                  <c:v>2.1800000000000002</c:v>
                </c:pt>
                <c:pt idx="388">
                  <c:v>2.1800000000000002</c:v>
                </c:pt>
                <c:pt idx="389">
                  <c:v>2.1800000000000002</c:v>
                </c:pt>
                <c:pt idx="390">
                  <c:v>2.1800000000000002</c:v>
                </c:pt>
                <c:pt idx="391">
                  <c:v>2.1800000000000002</c:v>
                </c:pt>
                <c:pt idx="392">
                  <c:v>2.1800000000000002</c:v>
                </c:pt>
                <c:pt idx="393">
                  <c:v>2.1800000000000002</c:v>
                </c:pt>
                <c:pt idx="394">
                  <c:v>2.1800000000000002</c:v>
                </c:pt>
                <c:pt idx="395">
                  <c:v>2.1800000000000002</c:v>
                </c:pt>
                <c:pt idx="396">
                  <c:v>2.1800000000000002</c:v>
                </c:pt>
                <c:pt idx="397">
                  <c:v>2.1800000000000002</c:v>
                </c:pt>
                <c:pt idx="398">
                  <c:v>2.1800000000000002</c:v>
                </c:pt>
                <c:pt idx="399">
                  <c:v>2.1800000000000002</c:v>
                </c:pt>
                <c:pt idx="400">
                  <c:v>2.1800000000000002</c:v>
                </c:pt>
                <c:pt idx="401">
                  <c:v>2.1800000000000002</c:v>
                </c:pt>
                <c:pt idx="402">
                  <c:v>2.1800000000000002</c:v>
                </c:pt>
                <c:pt idx="403">
                  <c:v>2.1800000000000002</c:v>
                </c:pt>
                <c:pt idx="404">
                  <c:v>2.1800000000000002</c:v>
                </c:pt>
                <c:pt idx="405">
                  <c:v>2.1800000000000002</c:v>
                </c:pt>
                <c:pt idx="406">
                  <c:v>2.1800000000000002</c:v>
                </c:pt>
                <c:pt idx="407">
                  <c:v>2.1800000000000002</c:v>
                </c:pt>
                <c:pt idx="408">
                  <c:v>2.1800000000000002</c:v>
                </c:pt>
                <c:pt idx="409">
                  <c:v>2.1800000000000002</c:v>
                </c:pt>
                <c:pt idx="410">
                  <c:v>2.1800000000000002</c:v>
                </c:pt>
                <c:pt idx="411">
                  <c:v>2.1800000000000002</c:v>
                </c:pt>
                <c:pt idx="412">
                  <c:v>2.1800000000000002</c:v>
                </c:pt>
                <c:pt idx="413">
                  <c:v>2.1800000000000002</c:v>
                </c:pt>
                <c:pt idx="414">
                  <c:v>2.1800000000000002</c:v>
                </c:pt>
                <c:pt idx="415">
                  <c:v>2.1800000000000002</c:v>
                </c:pt>
                <c:pt idx="416">
                  <c:v>2.1800000000000002</c:v>
                </c:pt>
                <c:pt idx="417">
                  <c:v>2.1800000000000002</c:v>
                </c:pt>
                <c:pt idx="418">
                  <c:v>2.1800000000000002</c:v>
                </c:pt>
                <c:pt idx="419">
                  <c:v>2.1800000000000002</c:v>
                </c:pt>
                <c:pt idx="420">
                  <c:v>2.1800000000000002</c:v>
                </c:pt>
                <c:pt idx="421">
                  <c:v>2.1800000000000002</c:v>
                </c:pt>
                <c:pt idx="422">
                  <c:v>2.1800000000000002</c:v>
                </c:pt>
                <c:pt idx="423">
                  <c:v>2.1800000000000002</c:v>
                </c:pt>
                <c:pt idx="424">
                  <c:v>2.1800000000000002</c:v>
                </c:pt>
                <c:pt idx="425">
                  <c:v>2.1800000000000002</c:v>
                </c:pt>
                <c:pt idx="426">
                  <c:v>2.1800000000000002</c:v>
                </c:pt>
                <c:pt idx="427">
                  <c:v>2.1800000000000002</c:v>
                </c:pt>
                <c:pt idx="428">
                  <c:v>2.1800000000000002</c:v>
                </c:pt>
                <c:pt idx="429">
                  <c:v>2.1800000000000002</c:v>
                </c:pt>
                <c:pt idx="430">
                  <c:v>2.1800000000000002</c:v>
                </c:pt>
                <c:pt idx="431">
                  <c:v>2.1800000000000002</c:v>
                </c:pt>
                <c:pt idx="432">
                  <c:v>2.1800000000000002</c:v>
                </c:pt>
                <c:pt idx="433">
                  <c:v>2.1800000000000002</c:v>
                </c:pt>
                <c:pt idx="434">
                  <c:v>2.1800000000000002</c:v>
                </c:pt>
                <c:pt idx="435">
                  <c:v>2.1800000000000002</c:v>
                </c:pt>
                <c:pt idx="436">
                  <c:v>2.1800000000000002</c:v>
                </c:pt>
                <c:pt idx="437">
                  <c:v>2.1800000000000002</c:v>
                </c:pt>
                <c:pt idx="438">
                  <c:v>2.1800000000000002</c:v>
                </c:pt>
                <c:pt idx="439">
                  <c:v>2.1800000000000002</c:v>
                </c:pt>
                <c:pt idx="440">
                  <c:v>2.1800000000000002</c:v>
                </c:pt>
                <c:pt idx="441">
                  <c:v>2.1800000000000002</c:v>
                </c:pt>
                <c:pt idx="442">
                  <c:v>2.1800000000000002</c:v>
                </c:pt>
                <c:pt idx="443">
                  <c:v>2.1800000000000002</c:v>
                </c:pt>
                <c:pt idx="444">
                  <c:v>2.1800000000000002</c:v>
                </c:pt>
                <c:pt idx="445">
                  <c:v>2.1800000000000002</c:v>
                </c:pt>
                <c:pt idx="446">
                  <c:v>2.1800000000000002</c:v>
                </c:pt>
                <c:pt idx="447">
                  <c:v>2.1800000000000002</c:v>
                </c:pt>
                <c:pt idx="448">
                  <c:v>2.1800000000000002</c:v>
                </c:pt>
                <c:pt idx="449">
                  <c:v>2.0699999999999998</c:v>
                </c:pt>
                <c:pt idx="450">
                  <c:v>2.0699999999999998</c:v>
                </c:pt>
                <c:pt idx="451">
                  <c:v>2.0699999999999998</c:v>
                </c:pt>
                <c:pt idx="452">
                  <c:v>2.0699999999999998</c:v>
                </c:pt>
                <c:pt idx="453">
                  <c:v>2.0699999999999998</c:v>
                </c:pt>
                <c:pt idx="454">
                  <c:v>2.0699999999999998</c:v>
                </c:pt>
                <c:pt idx="455">
                  <c:v>2.0699999999999998</c:v>
                </c:pt>
                <c:pt idx="456">
                  <c:v>2.0699999999999998</c:v>
                </c:pt>
                <c:pt idx="457">
                  <c:v>2.0699999999999998</c:v>
                </c:pt>
                <c:pt idx="458">
                  <c:v>2.0699999999999998</c:v>
                </c:pt>
                <c:pt idx="459">
                  <c:v>2.0699999999999998</c:v>
                </c:pt>
                <c:pt idx="460">
                  <c:v>2.0699999999999998</c:v>
                </c:pt>
                <c:pt idx="461">
                  <c:v>2.0699999999999998</c:v>
                </c:pt>
                <c:pt idx="462">
                  <c:v>2.0699999999999998</c:v>
                </c:pt>
                <c:pt idx="463">
                  <c:v>2.0699999999999998</c:v>
                </c:pt>
                <c:pt idx="464">
                  <c:v>2.0699999999999998</c:v>
                </c:pt>
                <c:pt idx="465">
                  <c:v>2.0699999999999998</c:v>
                </c:pt>
                <c:pt idx="466">
                  <c:v>1.98</c:v>
                </c:pt>
                <c:pt idx="467">
                  <c:v>1.98</c:v>
                </c:pt>
                <c:pt idx="468">
                  <c:v>1.98</c:v>
                </c:pt>
                <c:pt idx="469">
                  <c:v>1.98</c:v>
                </c:pt>
                <c:pt idx="470">
                  <c:v>1.98</c:v>
                </c:pt>
                <c:pt idx="471">
                  <c:v>1.98</c:v>
                </c:pt>
                <c:pt idx="472">
                  <c:v>1.98</c:v>
                </c:pt>
              </c:numCache>
            </c:numRef>
          </c:val>
          <c:smooth val="0"/>
          <c:extLst>
            <c:ext xmlns:c16="http://schemas.microsoft.com/office/drawing/2014/chart" uri="{C3380CC4-5D6E-409C-BE32-E72D297353CC}">
              <c16:uniqueId val="{00000005-8635-42B0-AB25-D4FF20E19E31}"/>
            </c:ext>
          </c:extLst>
        </c:ser>
        <c:dLbls>
          <c:showLegendKey val="0"/>
          <c:showVal val="0"/>
          <c:showCatName val="0"/>
          <c:showSerName val="0"/>
          <c:showPercent val="0"/>
          <c:showBubbleSize val="0"/>
        </c:dLbls>
        <c:smooth val="0"/>
        <c:axId val="625716567"/>
        <c:axId val="670917927"/>
      </c:lineChart>
      <c:catAx>
        <c:axId val="625716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0917927"/>
        <c:crosses val="autoZero"/>
        <c:auto val="1"/>
        <c:lblAlgn val="ctr"/>
        <c:lblOffset val="100"/>
        <c:noMultiLvlLbl val="0"/>
      </c:catAx>
      <c:valAx>
        <c:axId val="670917927"/>
        <c:scaling>
          <c:orientation val="minMax"/>
          <c:min val="1.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25716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Charts!$B$1643</c:f>
              <c:strCache>
                <c:ptCount val="1"/>
                <c:pt idx="0">
                  <c:v>Lithium Carbonate - CIF Europe ($/tonne)</c:v>
                </c:pt>
              </c:strCache>
            </c:strRef>
          </c:tx>
          <c:spPr>
            <a:ln w="28575" cap="rnd">
              <a:solidFill>
                <a:schemeClr val="accent1"/>
              </a:solidFill>
              <a:round/>
            </a:ln>
            <a:effectLst/>
          </c:spPr>
          <c:marker>
            <c:symbol val="none"/>
          </c:marker>
          <c:cat>
            <c:numRef>
              <c:f>Charts!$A$1644:$A$1656</c:f>
              <c:numCache>
                <c:formatCode>m/d/yyyy</c:formatCode>
                <c:ptCount val="13"/>
                <c:pt idx="0">
                  <c:v>44995</c:v>
                </c:pt>
                <c:pt idx="1">
                  <c:v>44981</c:v>
                </c:pt>
                <c:pt idx="2">
                  <c:v>44953</c:v>
                </c:pt>
                <c:pt idx="3">
                  <c:v>44925</c:v>
                </c:pt>
                <c:pt idx="4">
                  <c:v>44897</c:v>
                </c:pt>
                <c:pt idx="5">
                  <c:v>44869</c:v>
                </c:pt>
                <c:pt idx="6">
                  <c:v>44834</c:v>
                </c:pt>
                <c:pt idx="7">
                  <c:v>44806</c:v>
                </c:pt>
                <c:pt idx="8">
                  <c:v>44778</c:v>
                </c:pt>
                <c:pt idx="9">
                  <c:v>44743</c:v>
                </c:pt>
                <c:pt idx="10">
                  <c:v>44715</c:v>
                </c:pt>
                <c:pt idx="11">
                  <c:v>44680</c:v>
                </c:pt>
                <c:pt idx="12">
                  <c:v>44652</c:v>
                </c:pt>
              </c:numCache>
            </c:numRef>
          </c:cat>
          <c:val>
            <c:numRef>
              <c:f>Charts!$B$1644:$B$1656</c:f>
              <c:numCache>
                <c:formatCode>#,##0.00</c:formatCode>
                <c:ptCount val="13"/>
                <c:pt idx="0">
                  <c:v>65000</c:v>
                </c:pt>
                <c:pt idx="1">
                  <c:v>65000</c:v>
                </c:pt>
                <c:pt idx="2">
                  <c:v>65000</c:v>
                </c:pt>
                <c:pt idx="3">
                  <c:v>59500</c:v>
                </c:pt>
                <c:pt idx="4">
                  <c:v>58500</c:v>
                </c:pt>
                <c:pt idx="5">
                  <c:v>58000</c:v>
                </c:pt>
                <c:pt idx="6">
                  <c:v>49000</c:v>
                </c:pt>
                <c:pt idx="7">
                  <c:v>48000</c:v>
                </c:pt>
                <c:pt idx="8">
                  <c:v>48000</c:v>
                </c:pt>
                <c:pt idx="9">
                  <c:v>45500</c:v>
                </c:pt>
                <c:pt idx="10">
                  <c:v>48000</c:v>
                </c:pt>
                <c:pt idx="11">
                  <c:v>51000</c:v>
                </c:pt>
                <c:pt idx="12">
                  <c:v>45000</c:v>
                </c:pt>
              </c:numCache>
            </c:numRef>
          </c:val>
          <c:smooth val="0"/>
          <c:extLst>
            <c:ext xmlns:c16="http://schemas.microsoft.com/office/drawing/2014/chart" uri="{C3380CC4-5D6E-409C-BE32-E72D297353CC}">
              <c16:uniqueId val="{00000001-4929-467F-B319-160067DF37DB}"/>
            </c:ext>
          </c:extLst>
        </c:ser>
        <c:ser>
          <c:idx val="1"/>
          <c:order val="1"/>
          <c:tx>
            <c:strRef>
              <c:f>Charts!$C$1643</c:f>
              <c:strCache>
                <c:ptCount val="1"/>
                <c:pt idx="0">
                  <c:v>Lithium Carbonate - CIF N. America ($/tonne)</c:v>
                </c:pt>
              </c:strCache>
            </c:strRef>
          </c:tx>
          <c:spPr>
            <a:ln w="28575" cap="rnd">
              <a:solidFill>
                <a:schemeClr val="accent2"/>
              </a:solidFill>
              <a:round/>
            </a:ln>
            <a:effectLst/>
          </c:spPr>
          <c:marker>
            <c:symbol val="none"/>
          </c:marker>
          <c:cat>
            <c:numRef>
              <c:f>Charts!$A$1644:$A$1656</c:f>
              <c:numCache>
                <c:formatCode>m/d/yyyy</c:formatCode>
                <c:ptCount val="13"/>
                <c:pt idx="0">
                  <c:v>44995</c:v>
                </c:pt>
                <c:pt idx="1">
                  <c:v>44981</c:v>
                </c:pt>
                <c:pt idx="2">
                  <c:v>44953</c:v>
                </c:pt>
                <c:pt idx="3">
                  <c:v>44925</c:v>
                </c:pt>
                <c:pt idx="4">
                  <c:v>44897</c:v>
                </c:pt>
                <c:pt idx="5">
                  <c:v>44869</c:v>
                </c:pt>
                <c:pt idx="6">
                  <c:v>44834</c:v>
                </c:pt>
                <c:pt idx="7">
                  <c:v>44806</c:v>
                </c:pt>
                <c:pt idx="8">
                  <c:v>44778</c:v>
                </c:pt>
                <c:pt idx="9">
                  <c:v>44743</c:v>
                </c:pt>
                <c:pt idx="10">
                  <c:v>44715</c:v>
                </c:pt>
                <c:pt idx="11">
                  <c:v>44680</c:v>
                </c:pt>
                <c:pt idx="12">
                  <c:v>44652</c:v>
                </c:pt>
              </c:numCache>
            </c:numRef>
          </c:cat>
          <c:val>
            <c:numRef>
              <c:f>Charts!$C$1644:$C$1656</c:f>
              <c:numCache>
                <c:formatCode>#,##0.00</c:formatCode>
                <c:ptCount val="13"/>
                <c:pt idx="0">
                  <c:v>65000</c:v>
                </c:pt>
                <c:pt idx="1">
                  <c:v>65000</c:v>
                </c:pt>
                <c:pt idx="2">
                  <c:v>65000</c:v>
                </c:pt>
                <c:pt idx="3">
                  <c:v>59500</c:v>
                </c:pt>
                <c:pt idx="4">
                  <c:v>58000</c:v>
                </c:pt>
                <c:pt idx="5">
                  <c:v>59500</c:v>
                </c:pt>
                <c:pt idx="6">
                  <c:v>47500</c:v>
                </c:pt>
                <c:pt idx="7">
                  <c:v>47500</c:v>
                </c:pt>
                <c:pt idx="8">
                  <c:v>47500</c:v>
                </c:pt>
                <c:pt idx="9">
                  <c:v>45500</c:v>
                </c:pt>
                <c:pt idx="10">
                  <c:v>48000</c:v>
                </c:pt>
                <c:pt idx="11">
                  <c:v>51000</c:v>
                </c:pt>
                <c:pt idx="12">
                  <c:v>45000</c:v>
                </c:pt>
              </c:numCache>
            </c:numRef>
          </c:val>
          <c:smooth val="0"/>
          <c:extLst>
            <c:ext xmlns:c16="http://schemas.microsoft.com/office/drawing/2014/chart" uri="{C3380CC4-5D6E-409C-BE32-E72D297353CC}">
              <c16:uniqueId val="{00000003-4929-467F-B319-160067DF37DB}"/>
            </c:ext>
          </c:extLst>
        </c:ser>
        <c:ser>
          <c:idx val="2"/>
          <c:order val="2"/>
          <c:tx>
            <c:strRef>
              <c:f>Charts!$D$1643</c:f>
              <c:strCache>
                <c:ptCount val="1"/>
                <c:pt idx="0">
                  <c:v>Lithium Hydroxide - CIF Europe ($/tonne)</c:v>
                </c:pt>
              </c:strCache>
            </c:strRef>
          </c:tx>
          <c:spPr>
            <a:ln w="28575" cap="rnd">
              <a:solidFill>
                <a:schemeClr val="accent3"/>
              </a:solidFill>
              <a:round/>
            </a:ln>
            <a:effectLst/>
          </c:spPr>
          <c:marker>
            <c:symbol val="none"/>
          </c:marker>
          <c:cat>
            <c:numRef>
              <c:f>Charts!$A$1644:$A$1656</c:f>
              <c:numCache>
                <c:formatCode>m/d/yyyy</c:formatCode>
                <c:ptCount val="13"/>
                <c:pt idx="0">
                  <c:v>44995</c:v>
                </c:pt>
                <c:pt idx="1">
                  <c:v>44981</c:v>
                </c:pt>
                <c:pt idx="2">
                  <c:v>44953</c:v>
                </c:pt>
                <c:pt idx="3">
                  <c:v>44925</c:v>
                </c:pt>
                <c:pt idx="4">
                  <c:v>44897</c:v>
                </c:pt>
                <c:pt idx="5">
                  <c:v>44869</c:v>
                </c:pt>
                <c:pt idx="6">
                  <c:v>44834</c:v>
                </c:pt>
                <c:pt idx="7">
                  <c:v>44806</c:v>
                </c:pt>
                <c:pt idx="8">
                  <c:v>44778</c:v>
                </c:pt>
                <c:pt idx="9">
                  <c:v>44743</c:v>
                </c:pt>
                <c:pt idx="10">
                  <c:v>44715</c:v>
                </c:pt>
                <c:pt idx="11">
                  <c:v>44680</c:v>
                </c:pt>
                <c:pt idx="12">
                  <c:v>44652</c:v>
                </c:pt>
              </c:numCache>
            </c:numRef>
          </c:cat>
          <c:val>
            <c:numRef>
              <c:f>Charts!$D$1644:$D$1656</c:f>
              <c:numCache>
                <c:formatCode>#,##0.00</c:formatCode>
                <c:ptCount val="13"/>
                <c:pt idx="0">
                  <c:v>72000</c:v>
                </c:pt>
                <c:pt idx="1">
                  <c:v>72000</c:v>
                </c:pt>
                <c:pt idx="2">
                  <c:v>72000</c:v>
                </c:pt>
                <c:pt idx="3">
                  <c:v>60500</c:v>
                </c:pt>
                <c:pt idx="4">
                  <c:v>60500</c:v>
                </c:pt>
                <c:pt idx="5">
                  <c:v>60500</c:v>
                </c:pt>
                <c:pt idx="6">
                  <c:v>55500</c:v>
                </c:pt>
                <c:pt idx="7">
                  <c:v>55000</c:v>
                </c:pt>
                <c:pt idx="8">
                  <c:v>54500</c:v>
                </c:pt>
                <c:pt idx="9">
                  <c:v>52000</c:v>
                </c:pt>
                <c:pt idx="10">
                  <c:v>51000</c:v>
                </c:pt>
                <c:pt idx="11">
                  <c:v>51000</c:v>
                </c:pt>
                <c:pt idx="12">
                  <c:v>45000</c:v>
                </c:pt>
              </c:numCache>
            </c:numRef>
          </c:val>
          <c:smooth val="0"/>
          <c:extLst>
            <c:ext xmlns:c16="http://schemas.microsoft.com/office/drawing/2014/chart" uri="{C3380CC4-5D6E-409C-BE32-E72D297353CC}">
              <c16:uniqueId val="{00000005-4929-467F-B319-160067DF37DB}"/>
            </c:ext>
          </c:extLst>
        </c:ser>
        <c:ser>
          <c:idx val="3"/>
          <c:order val="3"/>
          <c:tx>
            <c:strRef>
              <c:f>Charts!$E$1643</c:f>
              <c:strCache>
                <c:ptCount val="1"/>
                <c:pt idx="0">
                  <c:v>Lithium Hydroxide - FOB North America ($/tonne)</c:v>
                </c:pt>
              </c:strCache>
            </c:strRef>
          </c:tx>
          <c:spPr>
            <a:ln w="28575" cap="rnd">
              <a:solidFill>
                <a:schemeClr val="accent4"/>
              </a:solidFill>
              <a:round/>
            </a:ln>
            <a:effectLst/>
          </c:spPr>
          <c:marker>
            <c:symbol val="none"/>
          </c:marker>
          <c:cat>
            <c:numRef>
              <c:f>Charts!$A$1644:$A$1656</c:f>
              <c:numCache>
                <c:formatCode>m/d/yyyy</c:formatCode>
                <c:ptCount val="13"/>
                <c:pt idx="0">
                  <c:v>44995</c:v>
                </c:pt>
                <c:pt idx="1">
                  <c:v>44981</c:v>
                </c:pt>
                <c:pt idx="2">
                  <c:v>44953</c:v>
                </c:pt>
                <c:pt idx="3">
                  <c:v>44925</c:v>
                </c:pt>
                <c:pt idx="4">
                  <c:v>44897</c:v>
                </c:pt>
                <c:pt idx="5">
                  <c:v>44869</c:v>
                </c:pt>
                <c:pt idx="6">
                  <c:v>44834</c:v>
                </c:pt>
                <c:pt idx="7">
                  <c:v>44806</c:v>
                </c:pt>
                <c:pt idx="8">
                  <c:v>44778</c:v>
                </c:pt>
                <c:pt idx="9">
                  <c:v>44743</c:v>
                </c:pt>
                <c:pt idx="10">
                  <c:v>44715</c:v>
                </c:pt>
                <c:pt idx="11">
                  <c:v>44680</c:v>
                </c:pt>
                <c:pt idx="12">
                  <c:v>44652</c:v>
                </c:pt>
              </c:numCache>
            </c:numRef>
          </c:cat>
          <c:val>
            <c:numRef>
              <c:f>Charts!$E$1644:$E$1656</c:f>
              <c:numCache>
                <c:formatCode>#,##0.00</c:formatCode>
                <c:ptCount val="13"/>
                <c:pt idx="0">
                  <c:v>71500</c:v>
                </c:pt>
                <c:pt idx="1">
                  <c:v>71500</c:v>
                </c:pt>
                <c:pt idx="2">
                  <c:v>71500</c:v>
                </c:pt>
                <c:pt idx="3">
                  <c:v>61500</c:v>
                </c:pt>
                <c:pt idx="4">
                  <c:v>60250</c:v>
                </c:pt>
                <c:pt idx="5">
                  <c:v>60250</c:v>
                </c:pt>
                <c:pt idx="6">
                  <c:v>54000</c:v>
                </c:pt>
                <c:pt idx="7">
                  <c:v>54000</c:v>
                </c:pt>
                <c:pt idx="8">
                  <c:v>54500</c:v>
                </c:pt>
                <c:pt idx="9">
                  <c:v>50500</c:v>
                </c:pt>
                <c:pt idx="10">
                  <c:v>47500</c:v>
                </c:pt>
                <c:pt idx="11">
                  <c:v>47500</c:v>
                </c:pt>
                <c:pt idx="12">
                  <c:v>44875</c:v>
                </c:pt>
              </c:numCache>
            </c:numRef>
          </c:val>
          <c:smooth val="0"/>
          <c:extLst>
            <c:ext xmlns:c16="http://schemas.microsoft.com/office/drawing/2014/chart" uri="{C3380CC4-5D6E-409C-BE32-E72D297353CC}">
              <c16:uniqueId val="{00000007-4929-467F-B319-160067DF37DB}"/>
            </c:ext>
          </c:extLst>
        </c:ser>
        <c:dLbls>
          <c:showLegendKey val="0"/>
          <c:showVal val="0"/>
          <c:showCatName val="0"/>
          <c:showSerName val="0"/>
          <c:showPercent val="0"/>
          <c:showBubbleSize val="0"/>
        </c:dLbls>
        <c:smooth val="0"/>
        <c:axId val="462897432"/>
        <c:axId val="1837196935"/>
      </c:lineChart>
      <c:dateAx>
        <c:axId val="46289743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37196935"/>
        <c:crosses val="autoZero"/>
        <c:auto val="1"/>
        <c:lblOffset val="100"/>
        <c:baseTimeUnit val="days"/>
      </c:dateAx>
      <c:valAx>
        <c:axId val="18371969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2897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Charts!$I$1664</c:f>
              <c:strCache>
                <c:ptCount val="1"/>
                <c:pt idx="0">
                  <c:v>Industry Average - Gross Porfit Margin</c:v>
                </c:pt>
              </c:strCache>
            </c:strRef>
          </c:tx>
          <c:spPr>
            <a:ln w="28575" cap="rnd">
              <a:solidFill>
                <a:schemeClr val="accent1"/>
              </a:solidFill>
              <a:round/>
            </a:ln>
            <a:effectLst/>
          </c:spPr>
          <c:marker>
            <c:symbol val="none"/>
          </c:marker>
          <c:cat>
            <c:strRef>
              <c:f>Charts!$H$1665:$H$1671</c:f>
              <c:strCache>
                <c:ptCount val="7"/>
                <c:pt idx="0">
                  <c:v>2019</c:v>
                </c:pt>
                <c:pt idx="1">
                  <c:v>2020</c:v>
                </c:pt>
                <c:pt idx="2">
                  <c:v>2021</c:v>
                </c:pt>
                <c:pt idx="3">
                  <c:v>2022</c:v>
                </c:pt>
                <c:pt idx="4">
                  <c:v>2023E</c:v>
                </c:pt>
                <c:pt idx="5">
                  <c:v>2024E</c:v>
                </c:pt>
                <c:pt idx="6">
                  <c:v>2025E</c:v>
                </c:pt>
              </c:strCache>
            </c:strRef>
          </c:cat>
          <c:val>
            <c:numRef>
              <c:f>Charts!$I$1665:$I$1671</c:f>
              <c:numCache>
                <c:formatCode>0.0%</c:formatCode>
                <c:ptCount val="7"/>
                <c:pt idx="0">
                  <c:v>3.7703447372818666E-2</c:v>
                </c:pt>
                <c:pt idx="1">
                  <c:v>0.17316597813919185</c:v>
                </c:pt>
                <c:pt idx="2">
                  <c:v>0.19197766735520511</c:v>
                </c:pt>
                <c:pt idx="3">
                  <c:v>0.19709985085231713</c:v>
                </c:pt>
                <c:pt idx="4">
                  <c:v>0.21516592824106051</c:v>
                </c:pt>
                <c:pt idx="5">
                  <c:v>0.22882752580434157</c:v>
                </c:pt>
                <c:pt idx="6">
                  <c:v>0.24124383456425028</c:v>
                </c:pt>
              </c:numCache>
            </c:numRef>
          </c:val>
          <c:smooth val="0"/>
          <c:extLst>
            <c:ext xmlns:c16="http://schemas.microsoft.com/office/drawing/2014/chart" uri="{C3380CC4-5D6E-409C-BE32-E72D297353CC}">
              <c16:uniqueId val="{00000001-06EE-4C55-AA64-73D3D89C38AB}"/>
            </c:ext>
          </c:extLst>
        </c:ser>
        <c:dLbls>
          <c:showLegendKey val="0"/>
          <c:showVal val="0"/>
          <c:showCatName val="0"/>
          <c:showSerName val="0"/>
          <c:showPercent val="0"/>
          <c:showBubbleSize val="0"/>
        </c:dLbls>
        <c:smooth val="0"/>
        <c:axId val="2142544647"/>
        <c:axId val="1636964263"/>
      </c:lineChart>
      <c:catAx>
        <c:axId val="2142544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36964263"/>
        <c:crosses val="autoZero"/>
        <c:auto val="1"/>
        <c:lblAlgn val="ctr"/>
        <c:lblOffset val="100"/>
        <c:noMultiLvlLbl val="0"/>
      </c:catAx>
      <c:valAx>
        <c:axId val="163696426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42544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Charts!$B$765</c:f>
              <c:strCache>
                <c:ptCount val="1"/>
                <c:pt idx="0">
                  <c:v>Tesla Battery%</c:v>
                </c:pt>
              </c:strCache>
            </c:strRef>
          </c:tx>
          <c:spPr>
            <a:ln w="28575" cap="rnd">
              <a:solidFill>
                <a:schemeClr val="accent1"/>
              </a:solidFill>
              <a:round/>
            </a:ln>
            <a:effectLst/>
          </c:spPr>
          <c:marker>
            <c:symbol val="none"/>
          </c:marker>
          <c:cat>
            <c:strRef>
              <c:f>Charts!$A$766:$A$771</c:f>
              <c:strCache>
                <c:ptCount val="6"/>
                <c:pt idx="0">
                  <c:v>2020</c:v>
                </c:pt>
                <c:pt idx="1">
                  <c:v>2021</c:v>
                </c:pt>
                <c:pt idx="2">
                  <c:v>2022E</c:v>
                </c:pt>
                <c:pt idx="3">
                  <c:v>2023E</c:v>
                </c:pt>
                <c:pt idx="4">
                  <c:v>2024E</c:v>
                </c:pt>
                <c:pt idx="5">
                  <c:v>2025E</c:v>
                </c:pt>
              </c:strCache>
            </c:strRef>
          </c:cat>
          <c:val>
            <c:numRef>
              <c:f>Charts!$B$766:$B$771</c:f>
              <c:numCache>
                <c:formatCode>0.00%</c:formatCode>
                <c:ptCount val="6"/>
                <c:pt idx="0">
                  <c:v>0.33142760342177235</c:v>
                </c:pt>
                <c:pt idx="1">
                  <c:v>0.33813892876794194</c:v>
                </c:pt>
                <c:pt idx="2">
                  <c:v>0.3375075298617029</c:v>
                </c:pt>
                <c:pt idx="3">
                  <c:v>0.32437532370993621</c:v>
                </c:pt>
                <c:pt idx="4">
                  <c:v>0.32083669035266688</c:v>
                </c:pt>
                <c:pt idx="5">
                  <c:v>0.30586323235850538</c:v>
                </c:pt>
              </c:numCache>
            </c:numRef>
          </c:val>
          <c:smooth val="0"/>
          <c:extLst>
            <c:ext xmlns:c16="http://schemas.microsoft.com/office/drawing/2014/chart" uri="{C3380CC4-5D6E-409C-BE32-E72D297353CC}">
              <c16:uniqueId val="{00000001-886C-4CC5-BACE-94531990E701}"/>
            </c:ext>
          </c:extLst>
        </c:ser>
        <c:ser>
          <c:idx val="1"/>
          <c:order val="1"/>
          <c:tx>
            <c:strRef>
              <c:f>Charts!$C$765</c:f>
              <c:strCache>
                <c:ptCount val="1"/>
                <c:pt idx="0">
                  <c:v>BYD Battery%</c:v>
                </c:pt>
              </c:strCache>
            </c:strRef>
          </c:tx>
          <c:spPr>
            <a:ln w="28575" cap="rnd">
              <a:solidFill>
                <a:schemeClr val="accent2"/>
              </a:solidFill>
              <a:round/>
            </a:ln>
            <a:effectLst/>
          </c:spPr>
          <c:marker>
            <c:symbol val="none"/>
          </c:marker>
          <c:cat>
            <c:strRef>
              <c:f>Charts!$A$766:$A$771</c:f>
              <c:strCache>
                <c:ptCount val="6"/>
                <c:pt idx="0">
                  <c:v>2020</c:v>
                </c:pt>
                <c:pt idx="1">
                  <c:v>2021</c:v>
                </c:pt>
                <c:pt idx="2">
                  <c:v>2022E</c:v>
                </c:pt>
                <c:pt idx="3">
                  <c:v>2023E</c:v>
                </c:pt>
                <c:pt idx="4">
                  <c:v>2024E</c:v>
                </c:pt>
                <c:pt idx="5">
                  <c:v>2025E</c:v>
                </c:pt>
              </c:strCache>
            </c:strRef>
          </c:cat>
          <c:val>
            <c:numRef>
              <c:f>Charts!$C$766:$C$771</c:f>
              <c:numCache>
                <c:formatCode>0.00%</c:formatCode>
                <c:ptCount val="6"/>
                <c:pt idx="0">
                  <c:v>0.12376401745386809</c:v>
                </c:pt>
                <c:pt idx="1">
                  <c:v>0.18000567729415132</c:v>
                </c:pt>
                <c:pt idx="2">
                  <c:v>0.21028449639690944</c:v>
                </c:pt>
                <c:pt idx="3">
                  <c:v>0.20951114875690316</c:v>
                </c:pt>
                <c:pt idx="4">
                  <c:v>0.20849621072969343</c:v>
                </c:pt>
                <c:pt idx="5">
                  <c:v>0.20619398508782452</c:v>
                </c:pt>
              </c:numCache>
            </c:numRef>
          </c:val>
          <c:smooth val="0"/>
          <c:extLst>
            <c:ext xmlns:c16="http://schemas.microsoft.com/office/drawing/2014/chart" uri="{C3380CC4-5D6E-409C-BE32-E72D297353CC}">
              <c16:uniqueId val="{00000003-886C-4CC5-BACE-94531990E701}"/>
            </c:ext>
          </c:extLst>
        </c:ser>
        <c:ser>
          <c:idx val="2"/>
          <c:order val="2"/>
          <c:tx>
            <c:strRef>
              <c:f>Charts!$D$765</c:f>
              <c:strCache>
                <c:ptCount val="1"/>
                <c:pt idx="0">
                  <c:v>Li Battery%</c:v>
                </c:pt>
              </c:strCache>
            </c:strRef>
          </c:tx>
          <c:spPr>
            <a:ln w="28575" cap="rnd">
              <a:solidFill>
                <a:schemeClr val="accent3"/>
              </a:solidFill>
              <a:round/>
            </a:ln>
            <a:effectLst/>
          </c:spPr>
          <c:marker>
            <c:symbol val="none"/>
          </c:marker>
          <c:cat>
            <c:strRef>
              <c:f>Charts!$A$766:$A$771</c:f>
              <c:strCache>
                <c:ptCount val="6"/>
                <c:pt idx="0">
                  <c:v>2020</c:v>
                </c:pt>
                <c:pt idx="1">
                  <c:v>2021</c:v>
                </c:pt>
                <c:pt idx="2">
                  <c:v>2022E</c:v>
                </c:pt>
                <c:pt idx="3">
                  <c:v>2023E</c:v>
                </c:pt>
                <c:pt idx="4">
                  <c:v>2024E</c:v>
                </c:pt>
                <c:pt idx="5">
                  <c:v>2025E</c:v>
                </c:pt>
              </c:strCache>
            </c:strRef>
          </c:cat>
          <c:val>
            <c:numRef>
              <c:f>Charts!$D$766:$D$771</c:f>
              <c:numCache>
                <c:formatCode>0.00%</c:formatCode>
                <c:ptCount val="6"/>
                <c:pt idx="0">
                  <c:v>0.15480546291275979</c:v>
                </c:pt>
                <c:pt idx="1">
                  <c:v>0.138417543396849</c:v>
                </c:pt>
                <c:pt idx="2">
                  <c:v>0.1341795323977627</c:v>
                </c:pt>
                <c:pt idx="3">
                  <c:v>0.12800180391942195</c:v>
                </c:pt>
                <c:pt idx="4">
                  <c:v>0.12193700284185005</c:v>
                </c:pt>
                <c:pt idx="5">
                  <c:v>0.11567196437716501</c:v>
                </c:pt>
              </c:numCache>
            </c:numRef>
          </c:val>
          <c:smooth val="0"/>
          <c:extLst>
            <c:ext xmlns:c16="http://schemas.microsoft.com/office/drawing/2014/chart" uri="{C3380CC4-5D6E-409C-BE32-E72D297353CC}">
              <c16:uniqueId val="{00000005-886C-4CC5-BACE-94531990E701}"/>
            </c:ext>
          </c:extLst>
        </c:ser>
        <c:ser>
          <c:idx val="3"/>
          <c:order val="3"/>
          <c:tx>
            <c:strRef>
              <c:f>Charts!$E$765</c:f>
              <c:strCache>
                <c:ptCount val="1"/>
                <c:pt idx="0">
                  <c:v>XPeng Battery%</c:v>
                </c:pt>
              </c:strCache>
            </c:strRef>
          </c:tx>
          <c:spPr>
            <a:ln w="28575" cap="rnd">
              <a:solidFill>
                <a:schemeClr val="accent4"/>
              </a:solidFill>
              <a:round/>
            </a:ln>
            <a:effectLst/>
          </c:spPr>
          <c:marker>
            <c:symbol val="none"/>
          </c:marker>
          <c:cat>
            <c:strRef>
              <c:f>Charts!$A$766:$A$771</c:f>
              <c:strCache>
                <c:ptCount val="6"/>
                <c:pt idx="0">
                  <c:v>2020</c:v>
                </c:pt>
                <c:pt idx="1">
                  <c:v>2021</c:v>
                </c:pt>
                <c:pt idx="2">
                  <c:v>2022E</c:v>
                </c:pt>
                <c:pt idx="3">
                  <c:v>2023E</c:v>
                </c:pt>
                <c:pt idx="4">
                  <c:v>2024E</c:v>
                </c:pt>
                <c:pt idx="5">
                  <c:v>2025E</c:v>
                </c:pt>
              </c:strCache>
            </c:strRef>
          </c:cat>
          <c:val>
            <c:numRef>
              <c:f>Charts!$E$766:$E$771</c:f>
              <c:numCache>
                <c:formatCode>0.00%</c:formatCode>
                <c:ptCount val="6"/>
                <c:pt idx="0">
                  <c:v>0.29118768306386961</c:v>
                </c:pt>
                <c:pt idx="1">
                  <c:v>0.29929909178229913</c:v>
                </c:pt>
                <c:pt idx="2">
                  <c:v>0.31280644206977781</c:v>
                </c:pt>
                <c:pt idx="3">
                  <c:v>0.3189875493548</c:v>
                </c:pt>
                <c:pt idx="4">
                  <c:v>0.27511904911654872</c:v>
                </c:pt>
                <c:pt idx="5">
                  <c:v>0.24105314049471052</c:v>
                </c:pt>
              </c:numCache>
            </c:numRef>
          </c:val>
          <c:smooth val="0"/>
          <c:extLst>
            <c:ext xmlns:c16="http://schemas.microsoft.com/office/drawing/2014/chart" uri="{C3380CC4-5D6E-409C-BE32-E72D297353CC}">
              <c16:uniqueId val="{00000007-886C-4CC5-BACE-94531990E701}"/>
            </c:ext>
          </c:extLst>
        </c:ser>
        <c:dLbls>
          <c:showLegendKey val="0"/>
          <c:showVal val="0"/>
          <c:showCatName val="0"/>
          <c:showSerName val="0"/>
          <c:showPercent val="0"/>
          <c:showBubbleSize val="0"/>
        </c:dLbls>
        <c:smooth val="0"/>
        <c:axId val="316332023"/>
        <c:axId val="434026312"/>
      </c:lineChart>
      <c:catAx>
        <c:axId val="316332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026312"/>
        <c:crosses val="autoZero"/>
        <c:auto val="1"/>
        <c:lblAlgn val="ctr"/>
        <c:lblOffset val="100"/>
        <c:noMultiLvlLbl val="0"/>
      </c:catAx>
      <c:valAx>
        <c:axId val="4340263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16332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Charts!$R$766</c:f>
              <c:strCache>
                <c:ptCount val="1"/>
                <c:pt idx="0">
                  <c:v>Industry Average - Battery%</c:v>
                </c:pt>
              </c:strCache>
            </c:strRef>
          </c:tx>
          <c:spPr>
            <a:ln w="28575" cap="rnd">
              <a:solidFill>
                <a:schemeClr val="accent1"/>
              </a:solidFill>
              <a:round/>
            </a:ln>
            <a:effectLst/>
          </c:spPr>
          <c:marker>
            <c:symbol val="none"/>
          </c:marker>
          <c:cat>
            <c:strRef>
              <c:f>Charts!$Q$767:$Q$772</c:f>
              <c:strCache>
                <c:ptCount val="6"/>
                <c:pt idx="0">
                  <c:v>2020</c:v>
                </c:pt>
                <c:pt idx="1">
                  <c:v>2021</c:v>
                </c:pt>
                <c:pt idx="2">
                  <c:v>2022E</c:v>
                </c:pt>
                <c:pt idx="3">
                  <c:v>2023E</c:v>
                </c:pt>
                <c:pt idx="4">
                  <c:v>2024E</c:v>
                </c:pt>
                <c:pt idx="5">
                  <c:v>2025E</c:v>
                </c:pt>
              </c:strCache>
            </c:strRef>
          </c:cat>
          <c:val>
            <c:numRef>
              <c:f>Charts!$R$767:$R$772</c:f>
              <c:numCache>
                <c:formatCode>0.00%</c:formatCode>
                <c:ptCount val="6"/>
                <c:pt idx="0">
                  <c:v>0.22529619171306747</c:v>
                </c:pt>
                <c:pt idx="1">
                  <c:v>0.23896531031031032</c:v>
                </c:pt>
                <c:pt idx="2">
                  <c:v>0.24869450018153821</c:v>
                </c:pt>
                <c:pt idx="3">
                  <c:v>0.24521895643526534</c:v>
                </c:pt>
                <c:pt idx="4">
                  <c:v>0.23159723826018977</c:v>
                </c:pt>
                <c:pt idx="5">
                  <c:v>0.21719558057955135</c:v>
                </c:pt>
              </c:numCache>
            </c:numRef>
          </c:val>
          <c:smooth val="0"/>
          <c:extLst>
            <c:ext xmlns:c16="http://schemas.microsoft.com/office/drawing/2014/chart" uri="{C3380CC4-5D6E-409C-BE32-E72D297353CC}">
              <c16:uniqueId val="{00000001-CF3E-42BB-A0E6-87CB74C80171}"/>
            </c:ext>
          </c:extLst>
        </c:ser>
        <c:dLbls>
          <c:showLegendKey val="0"/>
          <c:showVal val="0"/>
          <c:showCatName val="0"/>
          <c:showSerName val="0"/>
          <c:showPercent val="0"/>
          <c:showBubbleSize val="0"/>
        </c:dLbls>
        <c:smooth val="0"/>
        <c:axId val="928337608"/>
        <c:axId val="238349368"/>
      </c:lineChart>
      <c:catAx>
        <c:axId val="928337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38349368"/>
        <c:crosses val="autoZero"/>
        <c:auto val="1"/>
        <c:lblAlgn val="ctr"/>
        <c:lblOffset val="100"/>
        <c:noMultiLvlLbl val="0"/>
      </c:catAx>
      <c:valAx>
        <c:axId val="2383493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2833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Charts!$N$778</c:f>
              <c:strCache>
                <c:ptCount val="1"/>
                <c:pt idx="0">
                  <c:v>中国:富宝价格指数:电解液（元/吨）</c:v>
                </c:pt>
              </c:strCache>
            </c:strRef>
          </c:tx>
          <c:spPr>
            <a:ln w="28575" cap="rnd">
              <a:solidFill>
                <a:schemeClr val="accent1"/>
              </a:solidFill>
              <a:round/>
            </a:ln>
            <a:effectLst/>
          </c:spPr>
          <c:marker>
            <c:symbol val="none"/>
          </c:marker>
          <c:cat>
            <c:strRef>
              <c:f>Charts!$M$779:$M$1161</c:f>
              <c:strCache>
                <c:ptCount val="383"/>
                <c:pt idx="0">
                  <c:v>2021/9/1</c:v>
                </c:pt>
                <c:pt idx="1">
                  <c:v>2021/9/2</c:v>
                </c:pt>
                <c:pt idx="2">
                  <c:v>2021/9/3</c:v>
                </c:pt>
                <c:pt idx="3">
                  <c:v>2021/9/6</c:v>
                </c:pt>
                <c:pt idx="4">
                  <c:v>2021/9/7</c:v>
                </c:pt>
                <c:pt idx="5">
                  <c:v>2021/9/8</c:v>
                </c:pt>
                <c:pt idx="6">
                  <c:v>2021/9/9</c:v>
                </c:pt>
                <c:pt idx="7">
                  <c:v>2021/9/10</c:v>
                </c:pt>
                <c:pt idx="8">
                  <c:v>2021/9/13</c:v>
                </c:pt>
                <c:pt idx="9">
                  <c:v>2021/9/14</c:v>
                </c:pt>
                <c:pt idx="10">
                  <c:v>2021/9/15</c:v>
                </c:pt>
                <c:pt idx="11">
                  <c:v>2021/9/16</c:v>
                </c:pt>
                <c:pt idx="12">
                  <c:v>2021/9/17</c:v>
                </c:pt>
                <c:pt idx="13">
                  <c:v>2021/9/22</c:v>
                </c:pt>
                <c:pt idx="14">
                  <c:v>2021/9/23</c:v>
                </c:pt>
                <c:pt idx="15">
                  <c:v>2021/9/24</c:v>
                </c:pt>
                <c:pt idx="16">
                  <c:v>2021/9/27</c:v>
                </c:pt>
                <c:pt idx="17">
                  <c:v>2021/9/28</c:v>
                </c:pt>
                <c:pt idx="18">
                  <c:v>2021/9/29</c:v>
                </c:pt>
                <c:pt idx="19">
                  <c:v>2021/9/30</c:v>
                </c:pt>
                <c:pt idx="20">
                  <c:v>2021/10/8</c:v>
                </c:pt>
                <c:pt idx="21">
                  <c:v>2021/10/11</c:v>
                </c:pt>
                <c:pt idx="22">
                  <c:v>2021/10/12</c:v>
                </c:pt>
                <c:pt idx="23">
                  <c:v>2021/10/13</c:v>
                </c:pt>
                <c:pt idx="24">
                  <c:v>2021/10/14</c:v>
                </c:pt>
                <c:pt idx="25">
                  <c:v>2021/10/15</c:v>
                </c:pt>
                <c:pt idx="26">
                  <c:v>2021/10/18</c:v>
                </c:pt>
                <c:pt idx="27">
                  <c:v>2021/10/19</c:v>
                </c:pt>
                <c:pt idx="28">
                  <c:v>2021/10/20</c:v>
                </c:pt>
                <c:pt idx="29">
                  <c:v>2021/10/21</c:v>
                </c:pt>
                <c:pt idx="30">
                  <c:v>2021/10/22</c:v>
                </c:pt>
                <c:pt idx="31">
                  <c:v>2021/10/25</c:v>
                </c:pt>
                <c:pt idx="32">
                  <c:v>2021/10/26</c:v>
                </c:pt>
                <c:pt idx="33">
                  <c:v>2021/10/27</c:v>
                </c:pt>
                <c:pt idx="34">
                  <c:v>2021/10/28</c:v>
                </c:pt>
                <c:pt idx="35">
                  <c:v>2021/10/29</c:v>
                </c:pt>
                <c:pt idx="36">
                  <c:v>2021/11/1</c:v>
                </c:pt>
                <c:pt idx="37">
                  <c:v>2021/11/2</c:v>
                </c:pt>
                <c:pt idx="38">
                  <c:v>2021/11/3</c:v>
                </c:pt>
                <c:pt idx="39">
                  <c:v>2021/11/4</c:v>
                </c:pt>
                <c:pt idx="40">
                  <c:v>2021/11/5</c:v>
                </c:pt>
                <c:pt idx="41">
                  <c:v>2021/11/8</c:v>
                </c:pt>
                <c:pt idx="42">
                  <c:v>2021/11/9</c:v>
                </c:pt>
                <c:pt idx="43">
                  <c:v>2021/11/10</c:v>
                </c:pt>
                <c:pt idx="44">
                  <c:v>2021/11/11</c:v>
                </c:pt>
                <c:pt idx="45">
                  <c:v>2021/11/12</c:v>
                </c:pt>
                <c:pt idx="46">
                  <c:v>2021/11/15</c:v>
                </c:pt>
                <c:pt idx="47">
                  <c:v>2021/11/16</c:v>
                </c:pt>
                <c:pt idx="48">
                  <c:v>2021/11/17</c:v>
                </c:pt>
                <c:pt idx="49">
                  <c:v>2021/11/18</c:v>
                </c:pt>
                <c:pt idx="50">
                  <c:v>2021/11/19</c:v>
                </c:pt>
                <c:pt idx="51">
                  <c:v>2021/11/22</c:v>
                </c:pt>
                <c:pt idx="52">
                  <c:v>2021/11/23</c:v>
                </c:pt>
                <c:pt idx="53">
                  <c:v>2021/11/24</c:v>
                </c:pt>
                <c:pt idx="54">
                  <c:v>2021/11/25</c:v>
                </c:pt>
                <c:pt idx="55">
                  <c:v>2021/11/26</c:v>
                </c:pt>
                <c:pt idx="56">
                  <c:v>2021/11/29</c:v>
                </c:pt>
                <c:pt idx="57">
                  <c:v>2021/11/30</c:v>
                </c:pt>
                <c:pt idx="58">
                  <c:v>2021/12/1</c:v>
                </c:pt>
                <c:pt idx="59">
                  <c:v>2021/12/2</c:v>
                </c:pt>
                <c:pt idx="60">
                  <c:v>2021/12/3</c:v>
                </c:pt>
                <c:pt idx="61">
                  <c:v>2021/12/6</c:v>
                </c:pt>
                <c:pt idx="62">
                  <c:v>2021/12/7</c:v>
                </c:pt>
                <c:pt idx="63">
                  <c:v>2021/12/8</c:v>
                </c:pt>
                <c:pt idx="64">
                  <c:v>2021/12/9</c:v>
                </c:pt>
                <c:pt idx="65">
                  <c:v>2021/12/10</c:v>
                </c:pt>
                <c:pt idx="66">
                  <c:v>2021/12/13</c:v>
                </c:pt>
                <c:pt idx="67">
                  <c:v>2021/12/14</c:v>
                </c:pt>
                <c:pt idx="68">
                  <c:v>2021/12/15</c:v>
                </c:pt>
                <c:pt idx="69">
                  <c:v>2021/12/16</c:v>
                </c:pt>
                <c:pt idx="70">
                  <c:v>2021/12/17</c:v>
                </c:pt>
                <c:pt idx="71">
                  <c:v>2021/12/20</c:v>
                </c:pt>
                <c:pt idx="72">
                  <c:v>2021/12/21</c:v>
                </c:pt>
                <c:pt idx="73">
                  <c:v>2021/12/22</c:v>
                </c:pt>
                <c:pt idx="74">
                  <c:v>2021/12/23</c:v>
                </c:pt>
                <c:pt idx="75">
                  <c:v>2021/12/24</c:v>
                </c:pt>
                <c:pt idx="76">
                  <c:v>2021/12/27</c:v>
                </c:pt>
                <c:pt idx="77">
                  <c:v>2021/12/28</c:v>
                </c:pt>
                <c:pt idx="78">
                  <c:v>2021/12/29</c:v>
                </c:pt>
                <c:pt idx="79">
                  <c:v>2021/12/30</c:v>
                </c:pt>
                <c:pt idx="80">
                  <c:v>2021/12/31</c:v>
                </c:pt>
                <c:pt idx="81">
                  <c:v>2022/1/4</c:v>
                </c:pt>
                <c:pt idx="82">
                  <c:v>2022/1/5</c:v>
                </c:pt>
                <c:pt idx="83">
                  <c:v>2022/1/6</c:v>
                </c:pt>
                <c:pt idx="84">
                  <c:v>2022/1/7</c:v>
                </c:pt>
                <c:pt idx="85">
                  <c:v>2022/1/10</c:v>
                </c:pt>
                <c:pt idx="86">
                  <c:v>2022/1/11</c:v>
                </c:pt>
                <c:pt idx="87">
                  <c:v>2022/1/12</c:v>
                </c:pt>
                <c:pt idx="88">
                  <c:v>2022/1/13</c:v>
                </c:pt>
                <c:pt idx="89">
                  <c:v>2022/1/14</c:v>
                </c:pt>
                <c:pt idx="90">
                  <c:v>2022/1/17</c:v>
                </c:pt>
                <c:pt idx="91">
                  <c:v>2022/1/18</c:v>
                </c:pt>
                <c:pt idx="92">
                  <c:v>2022/1/19</c:v>
                </c:pt>
                <c:pt idx="93">
                  <c:v>2022/1/20</c:v>
                </c:pt>
                <c:pt idx="94">
                  <c:v>2022/1/21</c:v>
                </c:pt>
                <c:pt idx="95">
                  <c:v>2022/1/24</c:v>
                </c:pt>
                <c:pt idx="96">
                  <c:v>2022/1/25</c:v>
                </c:pt>
                <c:pt idx="97">
                  <c:v>2022/1/26</c:v>
                </c:pt>
                <c:pt idx="98">
                  <c:v>2022/1/27</c:v>
                </c:pt>
                <c:pt idx="99">
                  <c:v>2022/1/28</c:v>
                </c:pt>
                <c:pt idx="100">
                  <c:v>2022/2/7</c:v>
                </c:pt>
                <c:pt idx="101">
                  <c:v>2022/2/8</c:v>
                </c:pt>
                <c:pt idx="102">
                  <c:v>2022/2/9</c:v>
                </c:pt>
                <c:pt idx="103">
                  <c:v>2022/2/10</c:v>
                </c:pt>
                <c:pt idx="104">
                  <c:v>2022/2/11</c:v>
                </c:pt>
                <c:pt idx="105">
                  <c:v>2022/2/14</c:v>
                </c:pt>
                <c:pt idx="106">
                  <c:v>2022/2/15</c:v>
                </c:pt>
                <c:pt idx="107">
                  <c:v>2022/2/16</c:v>
                </c:pt>
                <c:pt idx="108">
                  <c:v>2022/2/17</c:v>
                </c:pt>
                <c:pt idx="109">
                  <c:v>2022/2/18</c:v>
                </c:pt>
                <c:pt idx="110">
                  <c:v>2022/2/21</c:v>
                </c:pt>
                <c:pt idx="111">
                  <c:v>2022/2/22</c:v>
                </c:pt>
                <c:pt idx="112">
                  <c:v>2022/2/23</c:v>
                </c:pt>
                <c:pt idx="113">
                  <c:v>2022/2/24</c:v>
                </c:pt>
                <c:pt idx="114">
                  <c:v>2022/2/25</c:v>
                </c:pt>
                <c:pt idx="115">
                  <c:v>2022/2/28</c:v>
                </c:pt>
                <c:pt idx="116">
                  <c:v>2022/3/1</c:v>
                </c:pt>
                <c:pt idx="117">
                  <c:v>2022/3/2</c:v>
                </c:pt>
                <c:pt idx="118">
                  <c:v>2022/3/3</c:v>
                </c:pt>
                <c:pt idx="119">
                  <c:v>2022/3/4</c:v>
                </c:pt>
                <c:pt idx="120">
                  <c:v>2022/3/7</c:v>
                </c:pt>
                <c:pt idx="121">
                  <c:v>2022/3/8</c:v>
                </c:pt>
                <c:pt idx="122">
                  <c:v>2022/3/9</c:v>
                </c:pt>
                <c:pt idx="123">
                  <c:v>2022/3/10</c:v>
                </c:pt>
                <c:pt idx="124">
                  <c:v>2022/3/11</c:v>
                </c:pt>
                <c:pt idx="125">
                  <c:v>2022/3/14</c:v>
                </c:pt>
                <c:pt idx="126">
                  <c:v>2022/3/15</c:v>
                </c:pt>
                <c:pt idx="127">
                  <c:v>2022/3/16</c:v>
                </c:pt>
                <c:pt idx="128">
                  <c:v>2022/3/17</c:v>
                </c:pt>
                <c:pt idx="129">
                  <c:v>2022/3/18</c:v>
                </c:pt>
                <c:pt idx="130">
                  <c:v>2022/3/21</c:v>
                </c:pt>
                <c:pt idx="131">
                  <c:v>2022/3/22</c:v>
                </c:pt>
                <c:pt idx="132">
                  <c:v>2022/3/23</c:v>
                </c:pt>
                <c:pt idx="133">
                  <c:v>2022/3/24</c:v>
                </c:pt>
                <c:pt idx="134">
                  <c:v>2022/3/25</c:v>
                </c:pt>
                <c:pt idx="135">
                  <c:v>2022/3/28</c:v>
                </c:pt>
                <c:pt idx="136">
                  <c:v>2022/3/29</c:v>
                </c:pt>
                <c:pt idx="137">
                  <c:v>2022/3/30</c:v>
                </c:pt>
                <c:pt idx="138">
                  <c:v>2022/3/31</c:v>
                </c:pt>
                <c:pt idx="139">
                  <c:v>2022/4/1</c:v>
                </c:pt>
                <c:pt idx="140">
                  <c:v>2022/4/6</c:v>
                </c:pt>
                <c:pt idx="141">
                  <c:v>2022/4/7</c:v>
                </c:pt>
                <c:pt idx="142">
                  <c:v>2022/4/8</c:v>
                </c:pt>
                <c:pt idx="143">
                  <c:v>2022/4/11</c:v>
                </c:pt>
                <c:pt idx="144">
                  <c:v>2022/4/12</c:v>
                </c:pt>
                <c:pt idx="145">
                  <c:v>2022/4/13</c:v>
                </c:pt>
                <c:pt idx="146">
                  <c:v>2022/4/14</c:v>
                </c:pt>
                <c:pt idx="147">
                  <c:v>2022/4/15</c:v>
                </c:pt>
                <c:pt idx="148">
                  <c:v>2022/4/18</c:v>
                </c:pt>
                <c:pt idx="149">
                  <c:v>2022/4/19</c:v>
                </c:pt>
                <c:pt idx="150">
                  <c:v>2022/4/20</c:v>
                </c:pt>
                <c:pt idx="151">
                  <c:v>2022/4/21</c:v>
                </c:pt>
                <c:pt idx="152">
                  <c:v>2022/4/22</c:v>
                </c:pt>
                <c:pt idx="153">
                  <c:v>2022/4/25</c:v>
                </c:pt>
                <c:pt idx="154">
                  <c:v>2022/4/26</c:v>
                </c:pt>
                <c:pt idx="155">
                  <c:v>2022/4/27</c:v>
                </c:pt>
                <c:pt idx="156">
                  <c:v>2022/4/28</c:v>
                </c:pt>
                <c:pt idx="157">
                  <c:v>2022/4/29</c:v>
                </c:pt>
                <c:pt idx="158">
                  <c:v>2022/5/5</c:v>
                </c:pt>
                <c:pt idx="159">
                  <c:v>2022/5/6</c:v>
                </c:pt>
                <c:pt idx="160">
                  <c:v>2022/5/9</c:v>
                </c:pt>
                <c:pt idx="161">
                  <c:v>2022/5/10</c:v>
                </c:pt>
                <c:pt idx="162">
                  <c:v>2022/5/11</c:v>
                </c:pt>
                <c:pt idx="163">
                  <c:v>2022/5/12</c:v>
                </c:pt>
                <c:pt idx="164">
                  <c:v>2022/5/13</c:v>
                </c:pt>
                <c:pt idx="165">
                  <c:v>2022/5/16</c:v>
                </c:pt>
                <c:pt idx="166">
                  <c:v>2022/5/17</c:v>
                </c:pt>
                <c:pt idx="167">
                  <c:v>2022/5/18</c:v>
                </c:pt>
                <c:pt idx="168">
                  <c:v>2022/5/19</c:v>
                </c:pt>
                <c:pt idx="169">
                  <c:v>2022/5/20</c:v>
                </c:pt>
                <c:pt idx="170">
                  <c:v>2022/5/23</c:v>
                </c:pt>
                <c:pt idx="171">
                  <c:v>2022/5/24</c:v>
                </c:pt>
                <c:pt idx="172">
                  <c:v>2022/5/25</c:v>
                </c:pt>
                <c:pt idx="173">
                  <c:v>2022/5/26</c:v>
                </c:pt>
                <c:pt idx="174">
                  <c:v>2022/5/27</c:v>
                </c:pt>
                <c:pt idx="175">
                  <c:v>2022/5/30</c:v>
                </c:pt>
                <c:pt idx="176">
                  <c:v>2022/5/31</c:v>
                </c:pt>
                <c:pt idx="177">
                  <c:v>2022/6/1</c:v>
                </c:pt>
                <c:pt idx="178">
                  <c:v>2022/6/2</c:v>
                </c:pt>
                <c:pt idx="179">
                  <c:v>2022/6/6</c:v>
                </c:pt>
                <c:pt idx="180">
                  <c:v>2022/6/7</c:v>
                </c:pt>
                <c:pt idx="181">
                  <c:v>2022/6/8</c:v>
                </c:pt>
                <c:pt idx="182">
                  <c:v>2022/6/9</c:v>
                </c:pt>
                <c:pt idx="183">
                  <c:v>2022/6/10</c:v>
                </c:pt>
                <c:pt idx="184">
                  <c:v>2022/6/13</c:v>
                </c:pt>
                <c:pt idx="185">
                  <c:v>2022/6/14</c:v>
                </c:pt>
                <c:pt idx="186">
                  <c:v>2022/6/15</c:v>
                </c:pt>
                <c:pt idx="187">
                  <c:v>2022/6/16</c:v>
                </c:pt>
                <c:pt idx="188">
                  <c:v>2022/6/17</c:v>
                </c:pt>
                <c:pt idx="189">
                  <c:v>2022/6/20</c:v>
                </c:pt>
                <c:pt idx="190">
                  <c:v>2022/6/21</c:v>
                </c:pt>
                <c:pt idx="191">
                  <c:v>2022/6/22</c:v>
                </c:pt>
                <c:pt idx="192">
                  <c:v>2022/6/23</c:v>
                </c:pt>
                <c:pt idx="193">
                  <c:v>2022/6/24</c:v>
                </c:pt>
                <c:pt idx="194">
                  <c:v>2022/6/27</c:v>
                </c:pt>
                <c:pt idx="195">
                  <c:v>2022/6/28</c:v>
                </c:pt>
                <c:pt idx="196">
                  <c:v>2022/6/29</c:v>
                </c:pt>
                <c:pt idx="197">
                  <c:v>2022/6/30</c:v>
                </c:pt>
                <c:pt idx="198">
                  <c:v>2022/7/1</c:v>
                </c:pt>
                <c:pt idx="199">
                  <c:v>2022/7/4</c:v>
                </c:pt>
                <c:pt idx="200">
                  <c:v>2022/7/5</c:v>
                </c:pt>
                <c:pt idx="201">
                  <c:v>2022/7/6</c:v>
                </c:pt>
                <c:pt idx="202">
                  <c:v>2022/7/7</c:v>
                </c:pt>
                <c:pt idx="203">
                  <c:v>2022/7/8</c:v>
                </c:pt>
                <c:pt idx="204">
                  <c:v>2022/7/11</c:v>
                </c:pt>
                <c:pt idx="205">
                  <c:v>2022/7/12</c:v>
                </c:pt>
                <c:pt idx="206">
                  <c:v>2022/7/13</c:v>
                </c:pt>
                <c:pt idx="207">
                  <c:v>2022/7/14</c:v>
                </c:pt>
                <c:pt idx="208">
                  <c:v>2022/7/15</c:v>
                </c:pt>
                <c:pt idx="209">
                  <c:v>2022/7/18</c:v>
                </c:pt>
                <c:pt idx="210">
                  <c:v>2022/7/19</c:v>
                </c:pt>
                <c:pt idx="211">
                  <c:v>2022/7/20</c:v>
                </c:pt>
                <c:pt idx="212">
                  <c:v>2022/7/21</c:v>
                </c:pt>
                <c:pt idx="213">
                  <c:v>2022/7/22</c:v>
                </c:pt>
                <c:pt idx="214">
                  <c:v>2022/7/25</c:v>
                </c:pt>
                <c:pt idx="215">
                  <c:v>2022/7/26</c:v>
                </c:pt>
                <c:pt idx="216">
                  <c:v>2022/7/27</c:v>
                </c:pt>
                <c:pt idx="217">
                  <c:v>2022/7/28</c:v>
                </c:pt>
                <c:pt idx="218">
                  <c:v>2022/7/29</c:v>
                </c:pt>
                <c:pt idx="219">
                  <c:v>2022/8/1</c:v>
                </c:pt>
                <c:pt idx="220">
                  <c:v>2022/8/2</c:v>
                </c:pt>
                <c:pt idx="221">
                  <c:v>2022/8/3</c:v>
                </c:pt>
                <c:pt idx="222">
                  <c:v>2022/8/4</c:v>
                </c:pt>
                <c:pt idx="223">
                  <c:v>2022/8/5</c:v>
                </c:pt>
                <c:pt idx="224">
                  <c:v>2022/8/8</c:v>
                </c:pt>
                <c:pt idx="225">
                  <c:v>2022/8/9</c:v>
                </c:pt>
                <c:pt idx="226">
                  <c:v>2022/8/10</c:v>
                </c:pt>
                <c:pt idx="227">
                  <c:v>2022/8/11</c:v>
                </c:pt>
                <c:pt idx="228">
                  <c:v>2022/8/12</c:v>
                </c:pt>
                <c:pt idx="229">
                  <c:v>2022/8/15</c:v>
                </c:pt>
                <c:pt idx="230">
                  <c:v>2022/8/16</c:v>
                </c:pt>
                <c:pt idx="231">
                  <c:v>2022/8/17</c:v>
                </c:pt>
                <c:pt idx="232">
                  <c:v>2022/8/18</c:v>
                </c:pt>
                <c:pt idx="233">
                  <c:v>2022/8/19</c:v>
                </c:pt>
                <c:pt idx="234">
                  <c:v>2022/8/22</c:v>
                </c:pt>
                <c:pt idx="235">
                  <c:v>2022/8/23</c:v>
                </c:pt>
                <c:pt idx="236">
                  <c:v>2022/8/24</c:v>
                </c:pt>
                <c:pt idx="237">
                  <c:v>2022/8/25</c:v>
                </c:pt>
                <c:pt idx="238">
                  <c:v>2022/8/26</c:v>
                </c:pt>
                <c:pt idx="239">
                  <c:v>2022/8/29</c:v>
                </c:pt>
                <c:pt idx="240">
                  <c:v>2022/8/30</c:v>
                </c:pt>
                <c:pt idx="241">
                  <c:v>2022/8/31</c:v>
                </c:pt>
                <c:pt idx="242">
                  <c:v>2022/9/1</c:v>
                </c:pt>
                <c:pt idx="243">
                  <c:v>2022/9/2</c:v>
                </c:pt>
                <c:pt idx="244">
                  <c:v>2022/9/5</c:v>
                </c:pt>
                <c:pt idx="245">
                  <c:v>2022/9/6</c:v>
                </c:pt>
                <c:pt idx="246">
                  <c:v>2022/9/7</c:v>
                </c:pt>
                <c:pt idx="247">
                  <c:v>2022/9/8</c:v>
                </c:pt>
                <c:pt idx="248">
                  <c:v>2022/9/9</c:v>
                </c:pt>
                <c:pt idx="249">
                  <c:v>2022/9/13</c:v>
                </c:pt>
                <c:pt idx="250">
                  <c:v>2022/9/14</c:v>
                </c:pt>
                <c:pt idx="251">
                  <c:v>2022/9/15</c:v>
                </c:pt>
                <c:pt idx="252">
                  <c:v>2022/9/16</c:v>
                </c:pt>
                <c:pt idx="253">
                  <c:v>2022/9/19</c:v>
                </c:pt>
                <c:pt idx="254">
                  <c:v>2022/9/20</c:v>
                </c:pt>
                <c:pt idx="255">
                  <c:v>2022/9/21</c:v>
                </c:pt>
                <c:pt idx="256">
                  <c:v>2022/9/22</c:v>
                </c:pt>
                <c:pt idx="257">
                  <c:v>2022/9/23</c:v>
                </c:pt>
                <c:pt idx="258">
                  <c:v>2022/9/26</c:v>
                </c:pt>
                <c:pt idx="259">
                  <c:v>2022/9/27</c:v>
                </c:pt>
                <c:pt idx="260">
                  <c:v>2022/9/28</c:v>
                </c:pt>
                <c:pt idx="261">
                  <c:v>2022/9/29</c:v>
                </c:pt>
                <c:pt idx="262">
                  <c:v>2022/9/30</c:v>
                </c:pt>
                <c:pt idx="263">
                  <c:v>2022/10/10</c:v>
                </c:pt>
                <c:pt idx="264">
                  <c:v>2022/10/11</c:v>
                </c:pt>
                <c:pt idx="265">
                  <c:v>2022/10/12</c:v>
                </c:pt>
                <c:pt idx="266">
                  <c:v>2022/10/13</c:v>
                </c:pt>
                <c:pt idx="267">
                  <c:v>2022/10/14</c:v>
                </c:pt>
                <c:pt idx="268">
                  <c:v>2022/10/17</c:v>
                </c:pt>
                <c:pt idx="269">
                  <c:v>2022/10/18</c:v>
                </c:pt>
                <c:pt idx="270">
                  <c:v>2022/10/19</c:v>
                </c:pt>
                <c:pt idx="271">
                  <c:v>2022/10/20</c:v>
                </c:pt>
                <c:pt idx="272">
                  <c:v>2022/10/21</c:v>
                </c:pt>
                <c:pt idx="273">
                  <c:v>2022/10/24</c:v>
                </c:pt>
                <c:pt idx="274">
                  <c:v>2022/10/25</c:v>
                </c:pt>
                <c:pt idx="275">
                  <c:v>2022/10/26</c:v>
                </c:pt>
                <c:pt idx="276">
                  <c:v>2022/10/27</c:v>
                </c:pt>
                <c:pt idx="277">
                  <c:v>2022/10/28</c:v>
                </c:pt>
                <c:pt idx="278">
                  <c:v>2022/10/31</c:v>
                </c:pt>
                <c:pt idx="279">
                  <c:v>2022/11/1</c:v>
                </c:pt>
                <c:pt idx="280">
                  <c:v>2022/11/2</c:v>
                </c:pt>
                <c:pt idx="281">
                  <c:v>2022/11/3</c:v>
                </c:pt>
                <c:pt idx="282">
                  <c:v>2022/11/4</c:v>
                </c:pt>
                <c:pt idx="283">
                  <c:v>2022/11/7</c:v>
                </c:pt>
                <c:pt idx="284">
                  <c:v>2022/11/8</c:v>
                </c:pt>
                <c:pt idx="285">
                  <c:v>2022/11/9</c:v>
                </c:pt>
                <c:pt idx="286">
                  <c:v>2022/11/10</c:v>
                </c:pt>
                <c:pt idx="287">
                  <c:v>2022/11/11</c:v>
                </c:pt>
                <c:pt idx="288">
                  <c:v>2022/11/14</c:v>
                </c:pt>
                <c:pt idx="289">
                  <c:v>2022/11/15</c:v>
                </c:pt>
                <c:pt idx="290">
                  <c:v>2022/11/16</c:v>
                </c:pt>
                <c:pt idx="291">
                  <c:v>2022/11/17</c:v>
                </c:pt>
                <c:pt idx="292">
                  <c:v>2022/11/18</c:v>
                </c:pt>
                <c:pt idx="293">
                  <c:v>2022/11/21</c:v>
                </c:pt>
                <c:pt idx="294">
                  <c:v>2022/11/22</c:v>
                </c:pt>
                <c:pt idx="295">
                  <c:v>2022/11/23</c:v>
                </c:pt>
                <c:pt idx="296">
                  <c:v>2022/11/24</c:v>
                </c:pt>
                <c:pt idx="297">
                  <c:v>2022/11/25</c:v>
                </c:pt>
                <c:pt idx="298">
                  <c:v>2022/11/28</c:v>
                </c:pt>
                <c:pt idx="299">
                  <c:v>2022/11/29</c:v>
                </c:pt>
                <c:pt idx="300">
                  <c:v>2022/11/30</c:v>
                </c:pt>
                <c:pt idx="301">
                  <c:v>2022/12/1</c:v>
                </c:pt>
                <c:pt idx="302">
                  <c:v>2022/12/2</c:v>
                </c:pt>
                <c:pt idx="303">
                  <c:v>2022/12/5</c:v>
                </c:pt>
                <c:pt idx="304">
                  <c:v>2022/12/6</c:v>
                </c:pt>
                <c:pt idx="305">
                  <c:v>2022/12/7</c:v>
                </c:pt>
                <c:pt idx="306">
                  <c:v>2022/12/8</c:v>
                </c:pt>
                <c:pt idx="307">
                  <c:v>2022/12/9</c:v>
                </c:pt>
                <c:pt idx="308">
                  <c:v>2022/12/12</c:v>
                </c:pt>
                <c:pt idx="309">
                  <c:v>2022/12/13</c:v>
                </c:pt>
                <c:pt idx="310">
                  <c:v>2022/12/14</c:v>
                </c:pt>
                <c:pt idx="311">
                  <c:v>2022/12/15</c:v>
                </c:pt>
                <c:pt idx="312">
                  <c:v>2022/12/16</c:v>
                </c:pt>
                <c:pt idx="313">
                  <c:v>2022/12/19</c:v>
                </c:pt>
                <c:pt idx="314">
                  <c:v>2022/12/20</c:v>
                </c:pt>
                <c:pt idx="315">
                  <c:v>2022/12/21</c:v>
                </c:pt>
                <c:pt idx="316">
                  <c:v>2022/12/22</c:v>
                </c:pt>
                <c:pt idx="317">
                  <c:v>2022/12/23</c:v>
                </c:pt>
                <c:pt idx="318">
                  <c:v>2022/12/26</c:v>
                </c:pt>
                <c:pt idx="319">
                  <c:v>2022/12/27</c:v>
                </c:pt>
                <c:pt idx="320">
                  <c:v>2022/12/28</c:v>
                </c:pt>
                <c:pt idx="321">
                  <c:v>2022/12/29</c:v>
                </c:pt>
                <c:pt idx="322">
                  <c:v>2022/12/30</c:v>
                </c:pt>
                <c:pt idx="323">
                  <c:v>2023/1/3</c:v>
                </c:pt>
                <c:pt idx="324">
                  <c:v>2023/1/4</c:v>
                </c:pt>
                <c:pt idx="325">
                  <c:v>2023/1/5</c:v>
                </c:pt>
                <c:pt idx="326">
                  <c:v>2023/1/6</c:v>
                </c:pt>
                <c:pt idx="327">
                  <c:v>2023/1/9</c:v>
                </c:pt>
                <c:pt idx="328">
                  <c:v>2023/1/10</c:v>
                </c:pt>
                <c:pt idx="329">
                  <c:v>2023/1/11</c:v>
                </c:pt>
                <c:pt idx="330">
                  <c:v>2023/1/12</c:v>
                </c:pt>
                <c:pt idx="331">
                  <c:v>2023/1/13</c:v>
                </c:pt>
                <c:pt idx="332">
                  <c:v>2023/1/16</c:v>
                </c:pt>
                <c:pt idx="333">
                  <c:v>2023/1/17</c:v>
                </c:pt>
                <c:pt idx="334">
                  <c:v>2023/1/18</c:v>
                </c:pt>
                <c:pt idx="335">
                  <c:v>2023/1/19</c:v>
                </c:pt>
                <c:pt idx="336">
                  <c:v>2023/1/20</c:v>
                </c:pt>
                <c:pt idx="337">
                  <c:v>2023/1/28</c:v>
                </c:pt>
                <c:pt idx="338">
                  <c:v>2023/1/29</c:v>
                </c:pt>
                <c:pt idx="339">
                  <c:v>2023/1/30</c:v>
                </c:pt>
                <c:pt idx="340">
                  <c:v>2023/1/31</c:v>
                </c:pt>
                <c:pt idx="341">
                  <c:v>2023/2/1</c:v>
                </c:pt>
                <c:pt idx="342">
                  <c:v>2023/2/2</c:v>
                </c:pt>
                <c:pt idx="343">
                  <c:v>2023/2/3</c:v>
                </c:pt>
                <c:pt idx="344">
                  <c:v>2023/2/6</c:v>
                </c:pt>
                <c:pt idx="345">
                  <c:v>2023/2/7</c:v>
                </c:pt>
                <c:pt idx="346">
                  <c:v>2023/2/8</c:v>
                </c:pt>
                <c:pt idx="347">
                  <c:v>2023/2/9</c:v>
                </c:pt>
                <c:pt idx="348">
                  <c:v>2023/2/10</c:v>
                </c:pt>
                <c:pt idx="349">
                  <c:v>2023/2/13</c:v>
                </c:pt>
                <c:pt idx="350">
                  <c:v>2023/2/14</c:v>
                </c:pt>
                <c:pt idx="351">
                  <c:v>2023/2/15</c:v>
                </c:pt>
                <c:pt idx="352">
                  <c:v>2023/2/16</c:v>
                </c:pt>
                <c:pt idx="353">
                  <c:v>2023/2/17</c:v>
                </c:pt>
                <c:pt idx="354">
                  <c:v>2023/2/20</c:v>
                </c:pt>
                <c:pt idx="355">
                  <c:v>2023/2/21</c:v>
                </c:pt>
                <c:pt idx="356">
                  <c:v>2023/2/22</c:v>
                </c:pt>
                <c:pt idx="357">
                  <c:v>2023/2/23</c:v>
                </c:pt>
                <c:pt idx="358">
                  <c:v>2023/2/24</c:v>
                </c:pt>
                <c:pt idx="359">
                  <c:v>2023/2/27</c:v>
                </c:pt>
                <c:pt idx="360">
                  <c:v>2023/2/28</c:v>
                </c:pt>
                <c:pt idx="361">
                  <c:v>2023/3/1</c:v>
                </c:pt>
                <c:pt idx="362">
                  <c:v>2023/3/2</c:v>
                </c:pt>
                <c:pt idx="363">
                  <c:v>2023/3/3</c:v>
                </c:pt>
                <c:pt idx="364">
                  <c:v>2023/3/6</c:v>
                </c:pt>
                <c:pt idx="365">
                  <c:v>2023/3/7</c:v>
                </c:pt>
                <c:pt idx="366">
                  <c:v>2023/3/8</c:v>
                </c:pt>
                <c:pt idx="367">
                  <c:v>2023/3/9</c:v>
                </c:pt>
                <c:pt idx="368">
                  <c:v>2023/3/10</c:v>
                </c:pt>
                <c:pt idx="369">
                  <c:v>2023/3/13</c:v>
                </c:pt>
                <c:pt idx="370">
                  <c:v>2023/3/14</c:v>
                </c:pt>
                <c:pt idx="371">
                  <c:v>2023/3/15</c:v>
                </c:pt>
                <c:pt idx="372">
                  <c:v>2023/3/16</c:v>
                </c:pt>
                <c:pt idx="373">
                  <c:v>2023/3/17</c:v>
                </c:pt>
                <c:pt idx="374">
                  <c:v>2023/3/20</c:v>
                </c:pt>
                <c:pt idx="375">
                  <c:v>2023/3/21</c:v>
                </c:pt>
                <c:pt idx="376">
                  <c:v>2023/3/22</c:v>
                </c:pt>
                <c:pt idx="377">
                  <c:v>2023/3/23</c:v>
                </c:pt>
                <c:pt idx="378">
                  <c:v>2023/3/24</c:v>
                </c:pt>
                <c:pt idx="379">
                  <c:v>2023/3/27</c:v>
                </c:pt>
                <c:pt idx="380">
                  <c:v>2023/3/28</c:v>
                </c:pt>
                <c:pt idx="382">
                  <c:v>数据来源：Wind</c:v>
                </c:pt>
              </c:strCache>
            </c:strRef>
          </c:cat>
          <c:val>
            <c:numRef>
              <c:f>Charts!$N$779:$N$1161</c:f>
              <c:numCache>
                <c:formatCode>General</c:formatCode>
                <c:ptCount val="383"/>
                <c:pt idx="0">
                  <c:v>90000</c:v>
                </c:pt>
                <c:pt idx="1">
                  <c:v>90750</c:v>
                </c:pt>
                <c:pt idx="2">
                  <c:v>90750</c:v>
                </c:pt>
                <c:pt idx="3">
                  <c:v>91750</c:v>
                </c:pt>
                <c:pt idx="4">
                  <c:v>92750</c:v>
                </c:pt>
                <c:pt idx="5">
                  <c:v>93750</c:v>
                </c:pt>
                <c:pt idx="6">
                  <c:v>93750</c:v>
                </c:pt>
                <c:pt idx="7">
                  <c:v>93750</c:v>
                </c:pt>
                <c:pt idx="8">
                  <c:v>94750</c:v>
                </c:pt>
                <c:pt idx="9">
                  <c:v>96750</c:v>
                </c:pt>
                <c:pt idx="10">
                  <c:v>98750</c:v>
                </c:pt>
                <c:pt idx="11">
                  <c:v>100750</c:v>
                </c:pt>
                <c:pt idx="12">
                  <c:v>100750</c:v>
                </c:pt>
                <c:pt idx="13">
                  <c:v>101750</c:v>
                </c:pt>
                <c:pt idx="14">
                  <c:v>102500</c:v>
                </c:pt>
                <c:pt idx="15">
                  <c:v>102500</c:v>
                </c:pt>
                <c:pt idx="16">
                  <c:v>102500</c:v>
                </c:pt>
                <c:pt idx="17">
                  <c:v>102500</c:v>
                </c:pt>
                <c:pt idx="18">
                  <c:v>102500</c:v>
                </c:pt>
                <c:pt idx="19">
                  <c:v>102500</c:v>
                </c:pt>
                <c:pt idx="20">
                  <c:v>102500</c:v>
                </c:pt>
                <c:pt idx="21">
                  <c:v>103500</c:v>
                </c:pt>
                <c:pt idx="22">
                  <c:v>104500</c:v>
                </c:pt>
                <c:pt idx="23">
                  <c:v>105500</c:v>
                </c:pt>
                <c:pt idx="24">
                  <c:v>105500</c:v>
                </c:pt>
                <c:pt idx="25">
                  <c:v>105500</c:v>
                </c:pt>
                <c:pt idx="26">
                  <c:v>105500</c:v>
                </c:pt>
                <c:pt idx="27">
                  <c:v>105500</c:v>
                </c:pt>
                <c:pt idx="28">
                  <c:v>105500</c:v>
                </c:pt>
                <c:pt idx="29">
                  <c:v>105500</c:v>
                </c:pt>
                <c:pt idx="30">
                  <c:v>106500</c:v>
                </c:pt>
                <c:pt idx="31">
                  <c:v>107750</c:v>
                </c:pt>
                <c:pt idx="32">
                  <c:v>109250</c:v>
                </c:pt>
                <c:pt idx="33">
                  <c:v>109250</c:v>
                </c:pt>
                <c:pt idx="34">
                  <c:v>109250</c:v>
                </c:pt>
                <c:pt idx="35">
                  <c:v>109250</c:v>
                </c:pt>
                <c:pt idx="36">
                  <c:v>109250</c:v>
                </c:pt>
                <c:pt idx="37">
                  <c:v>109250</c:v>
                </c:pt>
                <c:pt idx="38">
                  <c:v>110750</c:v>
                </c:pt>
                <c:pt idx="39">
                  <c:v>111750</c:v>
                </c:pt>
                <c:pt idx="40">
                  <c:v>112750</c:v>
                </c:pt>
                <c:pt idx="41">
                  <c:v>112750</c:v>
                </c:pt>
                <c:pt idx="42">
                  <c:v>114750</c:v>
                </c:pt>
                <c:pt idx="43">
                  <c:v>114750</c:v>
                </c:pt>
                <c:pt idx="44">
                  <c:v>114750</c:v>
                </c:pt>
                <c:pt idx="45">
                  <c:v>116750</c:v>
                </c:pt>
                <c:pt idx="46">
                  <c:v>116750</c:v>
                </c:pt>
                <c:pt idx="47">
                  <c:v>116750</c:v>
                </c:pt>
                <c:pt idx="48">
                  <c:v>116750</c:v>
                </c:pt>
                <c:pt idx="49">
                  <c:v>116750</c:v>
                </c:pt>
                <c:pt idx="50">
                  <c:v>116750</c:v>
                </c:pt>
                <c:pt idx="51">
                  <c:v>116750</c:v>
                </c:pt>
                <c:pt idx="52">
                  <c:v>116750</c:v>
                </c:pt>
                <c:pt idx="53">
                  <c:v>116750</c:v>
                </c:pt>
                <c:pt idx="54">
                  <c:v>116750</c:v>
                </c:pt>
                <c:pt idx="55">
                  <c:v>116750</c:v>
                </c:pt>
                <c:pt idx="56">
                  <c:v>116750</c:v>
                </c:pt>
                <c:pt idx="57">
                  <c:v>116750</c:v>
                </c:pt>
                <c:pt idx="58">
                  <c:v>118250</c:v>
                </c:pt>
                <c:pt idx="59">
                  <c:v>118250</c:v>
                </c:pt>
                <c:pt idx="60">
                  <c:v>118250</c:v>
                </c:pt>
                <c:pt idx="61">
                  <c:v>118250</c:v>
                </c:pt>
                <c:pt idx="62">
                  <c:v>118250</c:v>
                </c:pt>
                <c:pt idx="63">
                  <c:v>118250</c:v>
                </c:pt>
                <c:pt idx="64">
                  <c:v>119000</c:v>
                </c:pt>
                <c:pt idx="65">
                  <c:v>119000</c:v>
                </c:pt>
                <c:pt idx="66">
                  <c:v>119000</c:v>
                </c:pt>
                <c:pt idx="67">
                  <c:v>120000</c:v>
                </c:pt>
                <c:pt idx="68">
                  <c:v>120750</c:v>
                </c:pt>
                <c:pt idx="69">
                  <c:v>121375</c:v>
                </c:pt>
                <c:pt idx="70">
                  <c:v>121375</c:v>
                </c:pt>
                <c:pt idx="71">
                  <c:v>121625</c:v>
                </c:pt>
                <c:pt idx="72">
                  <c:v>121625</c:v>
                </c:pt>
                <c:pt idx="73">
                  <c:v>121625</c:v>
                </c:pt>
                <c:pt idx="74">
                  <c:v>121625</c:v>
                </c:pt>
                <c:pt idx="75">
                  <c:v>121625</c:v>
                </c:pt>
                <c:pt idx="76">
                  <c:v>121625</c:v>
                </c:pt>
                <c:pt idx="77">
                  <c:v>121625</c:v>
                </c:pt>
                <c:pt idx="78">
                  <c:v>121625</c:v>
                </c:pt>
                <c:pt idx="79">
                  <c:v>121625</c:v>
                </c:pt>
                <c:pt idx="80">
                  <c:v>121625</c:v>
                </c:pt>
                <c:pt idx="81">
                  <c:v>121625</c:v>
                </c:pt>
                <c:pt idx="82">
                  <c:v>121625</c:v>
                </c:pt>
                <c:pt idx="83">
                  <c:v>121625</c:v>
                </c:pt>
                <c:pt idx="84">
                  <c:v>121625</c:v>
                </c:pt>
                <c:pt idx="85">
                  <c:v>121625</c:v>
                </c:pt>
                <c:pt idx="86">
                  <c:v>121625</c:v>
                </c:pt>
                <c:pt idx="87">
                  <c:v>121625</c:v>
                </c:pt>
                <c:pt idx="88">
                  <c:v>121625</c:v>
                </c:pt>
                <c:pt idx="89">
                  <c:v>121625</c:v>
                </c:pt>
                <c:pt idx="90">
                  <c:v>121625</c:v>
                </c:pt>
                <c:pt idx="91">
                  <c:v>121625</c:v>
                </c:pt>
                <c:pt idx="92">
                  <c:v>121625</c:v>
                </c:pt>
                <c:pt idx="93">
                  <c:v>121625</c:v>
                </c:pt>
                <c:pt idx="94">
                  <c:v>121625</c:v>
                </c:pt>
                <c:pt idx="95">
                  <c:v>121625</c:v>
                </c:pt>
                <c:pt idx="96">
                  <c:v>121625</c:v>
                </c:pt>
                <c:pt idx="97">
                  <c:v>121625</c:v>
                </c:pt>
                <c:pt idx="98">
                  <c:v>121625</c:v>
                </c:pt>
                <c:pt idx="99">
                  <c:v>121625</c:v>
                </c:pt>
                <c:pt idx="100">
                  <c:v>121625</c:v>
                </c:pt>
                <c:pt idx="101">
                  <c:v>121625</c:v>
                </c:pt>
                <c:pt idx="102">
                  <c:v>121625</c:v>
                </c:pt>
                <c:pt idx="103">
                  <c:v>121625</c:v>
                </c:pt>
                <c:pt idx="104">
                  <c:v>121625</c:v>
                </c:pt>
                <c:pt idx="105">
                  <c:v>121625</c:v>
                </c:pt>
                <c:pt idx="106">
                  <c:v>121625</c:v>
                </c:pt>
                <c:pt idx="107">
                  <c:v>121625</c:v>
                </c:pt>
                <c:pt idx="108">
                  <c:v>121625</c:v>
                </c:pt>
                <c:pt idx="109">
                  <c:v>121875</c:v>
                </c:pt>
                <c:pt idx="110">
                  <c:v>121875</c:v>
                </c:pt>
                <c:pt idx="111">
                  <c:v>121875</c:v>
                </c:pt>
                <c:pt idx="112">
                  <c:v>121875</c:v>
                </c:pt>
                <c:pt idx="113">
                  <c:v>121875</c:v>
                </c:pt>
                <c:pt idx="114">
                  <c:v>121875</c:v>
                </c:pt>
                <c:pt idx="115">
                  <c:v>121875</c:v>
                </c:pt>
                <c:pt idx="116">
                  <c:v>121875</c:v>
                </c:pt>
                <c:pt idx="117">
                  <c:v>121875</c:v>
                </c:pt>
                <c:pt idx="118">
                  <c:v>122625</c:v>
                </c:pt>
                <c:pt idx="119">
                  <c:v>122625</c:v>
                </c:pt>
                <c:pt idx="120">
                  <c:v>122625</c:v>
                </c:pt>
                <c:pt idx="121">
                  <c:v>122625</c:v>
                </c:pt>
                <c:pt idx="122">
                  <c:v>122625</c:v>
                </c:pt>
                <c:pt idx="123">
                  <c:v>122625</c:v>
                </c:pt>
                <c:pt idx="124">
                  <c:v>122625</c:v>
                </c:pt>
                <c:pt idx="125">
                  <c:v>122625</c:v>
                </c:pt>
                <c:pt idx="126">
                  <c:v>122625</c:v>
                </c:pt>
                <c:pt idx="127">
                  <c:v>122625</c:v>
                </c:pt>
                <c:pt idx="128">
                  <c:v>122625</c:v>
                </c:pt>
                <c:pt idx="129">
                  <c:v>122625</c:v>
                </c:pt>
                <c:pt idx="130">
                  <c:v>122625</c:v>
                </c:pt>
                <c:pt idx="131">
                  <c:v>122625</c:v>
                </c:pt>
                <c:pt idx="132">
                  <c:v>122625</c:v>
                </c:pt>
                <c:pt idx="133">
                  <c:v>122625</c:v>
                </c:pt>
                <c:pt idx="134">
                  <c:v>122625</c:v>
                </c:pt>
                <c:pt idx="135">
                  <c:v>122625</c:v>
                </c:pt>
                <c:pt idx="136">
                  <c:v>122625</c:v>
                </c:pt>
                <c:pt idx="137">
                  <c:v>122625</c:v>
                </c:pt>
                <c:pt idx="138">
                  <c:v>122625</c:v>
                </c:pt>
                <c:pt idx="139">
                  <c:v>122625</c:v>
                </c:pt>
                <c:pt idx="140">
                  <c:v>121250</c:v>
                </c:pt>
                <c:pt idx="141">
                  <c:v>119375</c:v>
                </c:pt>
                <c:pt idx="142">
                  <c:v>117125</c:v>
                </c:pt>
                <c:pt idx="143">
                  <c:v>116375</c:v>
                </c:pt>
                <c:pt idx="144">
                  <c:v>114750</c:v>
                </c:pt>
                <c:pt idx="145">
                  <c:v>112625</c:v>
                </c:pt>
                <c:pt idx="146">
                  <c:v>111500</c:v>
                </c:pt>
                <c:pt idx="147">
                  <c:v>110250</c:v>
                </c:pt>
                <c:pt idx="148">
                  <c:v>110250</c:v>
                </c:pt>
                <c:pt idx="149">
                  <c:v>110250</c:v>
                </c:pt>
                <c:pt idx="150">
                  <c:v>110250</c:v>
                </c:pt>
                <c:pt idx="151">
                  <c:v>108125</c:v>
                </c:pt>
                <c:pt idx="152">
                  <c:v>105500</c:v>
                </c:pt>
                <c:pt idx="153">
                  <c:v>102875</c:v>
                </c:pt>
                <c:pt idx="154">
                  <c:v>102875</c:v>
                </c:pt>
                <c:pt idx="155">
                  <c:v>102875</c:v>
                </c:pt>
                <c:pt idx="156">
                  <c:v>102875</c:v>
                </c:pt>
                <c:pt idx="157">
                  <c:v>102875</c:v>
                </c:pt>
                <c:pt idx="158">
                  <c:v>102875</c:v>
                </c:pt>
                <c:pt idx="159">
                  <c:v>102875</c:v>
                </c:pt>
                <c:pt idx="160">
                  <c:v>102875</c:v>
                </c:pt>
                <c:pt idx="161">
                  <c:v>100750</c:v>
                </c:pt>
                <c:pt idx="162">
                  <c:v>100750</c:v>
                </c:pt>
                <c:pt idx="163">
                  <c:v>100750</c:v>
                </c:pt>
                <c:pt idx="164">
                  <c:v>100750</c:v>
                </c:pt>
                <c:pt idx="165">
                  <c:v>100750</c:v>
                </c:pt>
                <c:pt idx="166">
                  <c:v>100750</c:v>
                </c:pt>
                <c:pt idx="167">
                  <c:v>100750</c:v>
                </c:pt>
                <c:pt idx="168">
                  <c:v>100750</c:v>
                </c:pt>
                <c:pt idx="169">
                  <c:v>100750</c:v>
                </c:pt>
                <c:pt idx="170">
                  <c:v>100750</c:v>
                </c:pt>
                <c:pt idx="171">
                  <c:v>100750</c:v>
                </c:pt>
                <c:pt idx="172">
                  <c:v>100750</c:v>
                </c:pt>
                <c:pt idx="173">
                  <c:v>100750</c:v>
                </c:pt>
                <c:pt idx="174">
                  <c:v>100750</c:v>
                </c:pt>
                <c:pt idx="175">
                  <c:v>98250</c:v>
                </c:pt>
                <c:pt idx="176">
                  <c:v>96000</c:v>
                </c:pt>
                <c:pt idx="177">
                  <c:v>95000</c:v>
                </c:pt>
                <c:pt idx="178">
                  <c:v>95000</c:v>
                </c:pt>
                <c:pt idx="179">
                  <c:v>92500</c:v>
                </c:pt>
                <c:pt idx="180">
                  <c:v>92500</c:v>
                </c:pt>
                <c:pt idx="181">
                  <c:v>90000</c:v>
                </c:pt>
                <c:pt idx="182">
                  <c:v>88000</c:v>
                </c:pt>
                <c:pt idx="183">
                  <c:v>86750</c:v>
                </c:pt>
                <c:pt idx="184">
                  <c:v>86750</c:v>
                </c:pt>
                <c:pt idx="185">
                  <c:v>86750</c:v>
                </c:pt>
                <c:pt idx="186">
                  <c:v>86750</c:v>
                </c:pt>
                <c:pt idx="187">
                  <c:v>85750</c:v>
                </c:pt>
                <c:pt idx="188">
                  <c:v>85750</c:v>
                </c:pt>
                <c:pt idx="189">
                  <c:v>85750</c:v>
                </c:pt>
                <c:pt idx="190">
                  <c:v>85750</c:v>
                </c:pt>
                <c:pt idx="191">
                  <c:v>85750</c:v>
                </c:pt>
                <c:pt idx="192">
                  <c:v>85750</c:v>
                </c:pt>
                <c:pt idx="193">
                  <c:v>85750</c:v>
                </c:pt>
                <c:pt idx="194">
                  <c:v>85750</c:v>
                </c:pt>
                <c:pt idx="195">
                  <c:v>85750</c:v>
                </c:pt>
                <c:pt idx="196">
                  <c:v>85750</c:v>
                </c:pt>
                <c:pt idx="197">
                  <c:v>85750</c:v>
                </c:pt>
                <c:pt idx="198">
                  <c:v>85750</c:v>
                </c:pt>
                <c:pt idx="199">
                  <c:v>85750</c:v>
                </c:pt>
                <c:pt idx="200">
                  <c:v>85750</c:v>
                </c:pt>
                <c:pt idx="201">
                  <c:v>85750</c:v>
                </c:pt>
                <c:pt idx="202">
                  <c:v>85750</c:v>
                </c:pt>
                <c:pt idx="203">
                  <c:v>85750</c:v>
                </c:pt>
                <c:pt idx="204">
                  <c:v>85750</c:v>
                </c:pt>
                <c:pt idx="205">
                  <c:v>85750</c:v>
                </c:pt>
                <c:pt idx="206">
                  <c:v>85750</c:v>
                </c:pt>
                <c:pt idx="207">
                  <c:v>85750</c:v>
                </c:pt>
                <c:pt idx="208">
                  <c:v>85750</c:v>
                </c:pt>
                <c:pt idx="209">
                  <c:v>85750</c:v>
                </c:pt>
                <c:pt idx="210">
                  <c:v>85750</c:v>
                </c:pt>
                <c:pt idx="211">
                  <c:v>85750</c:v>
                </c:pt>
                <c:pt idx="212">
                  <c:v>84000</c:v>
                </c:pt>
                <c:pt idx="213">
                  <c:v>84000</c:v>
                </c:pt>
                <c:pt idx="214">
                  <c:v>84000</c:v>
                </c:pt>
                <c:pt idx="215">
                  <c:v>84000</c:v>
                </c:pt>
                <c:pt idx="216">
                  <c:v>84000</c:v>
                </c:pt>
                <c:pt idx="217">
                  <c:v>84000</c:v>
                </c:pt>
                <c:pt idx="218">
                  <c:v>84000</c:v>
                </c:pt>
                <c:pt idx="219">
                  <c:v>84000</c:v>
                </c:pt>
                <c:pt idx="220">
                  <c:v>84000</c:v>
                </c:pt>
                <c:pt idx="221">
                  <c:v>84000</c:v>
                </c:pt>
                <c:pt idx="222">
                  <c:v>84000</c:v>
                </c:pt>
                <c:pt idx="223">
                  <c:v>84000</c:v>
                </c:pt>
                <c:pt idx="224">
                  <c:v>84000</c:v>
                </c:pt>
                <c:pt idx="225">
                  <c:v>84000</c:v>
                </c:pt>
                <c:pt idx="226">
                  <c:v>84000</c:v>
                </c:pt>
                <c:pt idx="227">
                  <c:v>84000</c:v>
                </c:pt>
                <c:pt idx="228">
                  <c:v>81750</c:v>
                </c:pt>
                <c:pt idx="229">
                  <c:v>81750</c:v>
                </c:pt>
                <c:pt idx="230">
                  <c:v>81750</c:v>
                </c:pt>
                <c:pt idx="231">
                  <c:v>81750</c:v>
                </c:pt>
                <c:pt idx="232">
                  <c:v>81750</c:v>
                </c:pt>
                <c:pt idx="233">
                  <c:v>81750</c:v>
                </c:pt>
                <c:pt idx="234">
                  <c:v>81750</c:v>
                </c:pt>
                <c:pt idx="235">
                  <c:v>81750</c:v>
                </c:pt>
                <c:pt idx="236">
                  <c:v>81750</c:v>
                </c:pt>
                <c:pt idx="237">
                  <c:v>81750</c:v>
                </c:pt>
                <c:pt idx="238">
                  <c:v>81750</c:v>
                </c:pt>
                <c:pt idx="239">
                  <c:v>81750</c:v>
                </c:pt>
                <c:pt idx="240">
                  <c:v>81750</c:v>
                </c:pt>
                <c:pt idx="241">
                  <c:v>81750</c:v>
                </c:pt>
                <c:pt idx="242">
                  <c:v>81750</c:v>
                </c:pt>
                <c:pt idx="243">
                  <c:v>81750</c:v>
                </c:pt>
                <c:pt idx="244">
                  <c:v>81750</c:v>
                </c:pt>
                <c:pt idx="245">
                  <c:v>81750</c:v>
                </c:pt>
                <c:pt idx="246">
                  <c:v>81750</c:v>
                </c:pt>
                <c:pt idx="247">
                  <c:v>81750</c:v>
                </c:pt>
                <c:pt idx="248">
                  <c:v>81000</c:v>
                </c:pt>
                <c:pt idx="249">
                  <c:v>81000</c:v>
                </c:pt>
                <c:pt idx="250">
                  <c:v>81000</c:v>
                </c:pt>
                <c:pt idx="251">
                  <c:v>81000</c:v>
                </c:pt>
                <c:pt idx="252">
                  <c:v>81000</c:v>
                </c:pt>
                <c:pt idx="253">
                  <c:v>81000</c:v>
                </c:pt>
                <c:pt idx="254">
                  <c:v>81000</c:v>
                </c:pt>
                <c:pt idx="255">
                  <c:v>81000</c:v>
                </c:pt>
                <c:pt idx="256">
                  <c:v>81000</c:v>
                </c:pt>
                <c:pt idx="257">
                  <c:v>81000</c:v>
                </c:pt>
                <c:pt idx="258">
                  <c:v>81000</c:v>
                </c:pt>
                <c:pt idx="259">
                  <c:v>81500</c:v>
                </c:pt>
                <c:pt idx="260">
                  <c:v>81500</c:v>
                </c:pt>
                <c:pt idx="261">
                  <c:v>81500</c:v>
                </c:pt>
                <c:pt idx="262">
                  <c:v>81500</c:v>
                </c:pt>
                <c:pt idx="263">
                  <c:v>81500</c:v>
                </c:pt>
                <c:pt idx="264">
                  <c:v>81500</c:v>
                </c:pt>
                <c:pt idx="265">
                  <c:v>82250</c:v>
                </c:pt>
                <c:pt idx="266">
                  <c:v>82250</c:v>
                </c:pt>
                <c:pt idx="267">
                  <c:v>82250</c:v>
                </c:pt>
                <c:pt idx="268">
                  <c:v>82250</c:v>
                </c:pt>
                <c:pt idx="269">
                  <c:v>82250</c:v>
                </c:pt>
                <c:pt idx="270">
                  <c:v>82250</c:v>
                </c:pt>
                <c:pt idx="271">
                  <c:v>82250</c:v>
                </c:pt>
                <c:pt idx="272">
                  <c:v>82250</c:v>
                </c:pt>
                <c:pt idx="273">
                  <c:v>82250</c:v>
                </c:pt>
                <c:pt idx="274">
                  <c:v>82250</c:v>
                </c:pt>
                <c:pt idx="275">
                  <c:v>82250</c:v>
                </c:pt>
                <c:pt idx="276">
                  <c:v>82250</c:v>
                </c:pt>
                <c:pt idx="277">
                  <c:v>82250</c:v>
                </c:pt>
                <c:pt idx="278">
                  <c:v>82250</c:v>
                </c:pt>
                <c:pt idx="279">
                  <c:v>82250</c:v>
                </c:pt>
                <c:pt idx="280">
                  <c:v>82250</c:v>
                </c:pt>
                <c:pt idx="281">
                  <c:v>82250</c:v>
                </c:pt>
                <c:pt idx="282">
                  <c:v>82250</c:v>
                </c:pt>
                <c:pt idx="283">
                  <c:v>82250</c:v>
                </c:pt>
                <c:pt idx="284">
                  <c:v>82250</c:v>
                </c:pt>
                <c:pt idx="285">
                  <c:v>82250</c:v>
                </c:pt>
                <c:pt idx="286">
                  <c:v>82250</c:v>
                </c:pt>
                <c:pt idx="287">
                  <c:v>82250</c:v>
                </c:pt>
                <c:pt idx="288">
                  <c:v>82250</c:v>
                </c:pt>
                <c:pt idx="289">
                  <c:v>82250</c:v>
                </c:pt>
                <c:pt idx="290">
                  <c:v>82250</c:v>
                </c:pt>
                <c:pt idx="291">
                  <c:v>82250</c:v>
                </c:pt>
                <c:pt idx="292">
                  <c:v>82250</c:v>
                </c:pt>
                <c:pt idx="293">
                  <c:v>82250</c:v>
                </c:pt>
                <c:pt idx="294">
                  <c:v>82250</c:v>
                </c:pt>
                <c:pt idx="295">
                  <c:v>82250</c:v>
                </c:pt>
                <c:pt idx="296">
                  <c:v>82250</c:v>
                </c:pt>
                <c:pt idx="297">
                  <c:v>82250</c:v>
                </c:pt>
                <c:pt idx="298">
                  <c:v>82250</c:v>
                </c:pt>
                <c:pt idx="299">
                  <c:v>82250</c:v>
                </c:pt>
                <c:pt idx="300">
                  <c:v>82250</c:v>
                </c:pt>
                <c:pt idx="301">
                  <c:v>82250</c:v>
                </c:pt>
                <c:pt idx="302">
                  <c:v>82250</c:v>
                </c:pt>
                <c:pt idx="303">
                  <c:v>82250</c:v>
                </c:pt>
                <c:pt idx="304">
                  <c:v>82250</c:v>
                </c:pt>
                <c:pt idx="305">
                  <c:v>82250</c:v>
                </c:pt>
                <c:pt idx="306">
                  <c:v>82250</c:v>
                </c:pt>
                <c:pt idx="307">
                  <c:v>82250</c:v>
                </c:pt>
                <c:pt idx="308">
                  <c:v>82250</c:v>
                </c:pt>
                <c:pt idx="309">
                  <c:v>82250</c:v>
                </c:pt>
                <c:pt idx="310">
                  <c:v>82250</c:v>
                </c:pt>
                <c:pt idx="311">
                  <c:v>82250</c:v>
                </c:pt>
                <c:pt idx="312">
                  <c:v>80250</c:v>
                </c:pt>
                <c:pt idx="313">
                  <c:v>78500</c:v>
                </c:pt>
                <c:pt idx="314">
                  <c:v>78500</c:v>
                </c:pt>
                <c:pt idx="315">
                  <c:v>73500</c:v>
                </c:pt>
                <c:pt idx="316">
                  <c:v>71000</c:v>
                </c:pt>
                <c:pt idx="317">
                  <c:v>71000</c:v>
                </c:pt>
                <c:pt idx="318">
                  <c:v>71000</c:v>
                </c:pt>
                <c:pt idx="319">
                  <c:v>68500</c:v>
                </c:pt>
                <c:pt idx="320">
                  <c:v>63813</c:v>
                </c:pt>
                <c:pt idx="321">
                  <c:v>62626</c:v>
                </c:pt>
                <c:pt idx="322">
                  <c:v>60626</c:v>
                </c:pt>
                <c:pt idx="323">
                  <c:v>60500</c:v>
                </c:pt>
                <c:pt idx="324">
                  <c:v>60500</c:v>
                </c:pt>
                <c:pt idx="325">
                  <c:v>60500</c:v>
                </c:pt>
                <c:pt idx="326">
                  <c:v>60500</c:v>
                </c:pt>
                <c:pt idx="327">
                  <c:v>60500</c:v>
                </c:pt>
                <c:pt idx="328">
                  <c:v>60500</c:v>
                </c:pt>
                <c:pt idx="329">
                  <c:v>60500</c:v>
                </c:pt>
                <c:pt idx="330">
                  <c:v>60500</c:v>
                </c:pt>
                <c:pt idx="331">
                  <c:v>60500</c:v>
                </c:pt>
                <c:pt idx="332">
                  <c:v>60500</c:v>
                </c:pt>
                <c:pt idx="333">
                  <c:v>60500</c:v>
                </c:pt>
                <c:pt idx="334">
                  <c:v>60500</c:v>
                </c:pt>
                <c:pt idx="335">
                  <c:v>60500</c:v>
                </c:pt>
                <c:pt idx="336">
                  <c:v>60500</c:v>
                </c:pt>
                <c:pt idx="337">
                  <c:v>60500</c:v>
                </c:pt>
                <c:pt idx="338">
                  <c:v>60500</c:v>
                </c:pt>
                <c:pt idx="339">
                  <c:v>60500</c:v>
                </c:pt>
                <c:pt idx="340">
                  <c:v>60500</c:v>
                </c:pt>
                <c:pt idx="341">
                  <c:v>60500</c:v>
                </c:pt>
                <c:pt idx="342">
                  <c:v>60500</c:v>
                </c:pt>
                <c:pt idx="343">
                  <c:v>60500</c:v>
                </c:pt>
                <c:pt idx="344">
                  <c:v>59500</c:v>
                </c:pt>
                <c:pt idx="345">
                  <c:v>58750</c:v>
                </c:pt>
                <c:pt idx="346">
                  <c:v>58750</c:v>
                </c:pt>
                <c:pt idx="347">
                  <c:v>58750</c:v>
                </c:pt>
                <c:pt idx="348">
                  <c:v>58750</c:v>
                </c:pt>
                <c:pt idx="349">
                  <c:v>58750</c:v>
                </c:pt>
                <c:pt idx="350">
                  <c:v>58750</c:v>
                </c:pt>
                <c:pt idx="351">
                  <c:v>58750</c:v>
                </c:pt>
                <c:pt idx="352">
                  <c:v>58500</c:v>
                </c:pt>
                <c:pt idx="353">
                  <c:v>58500</c:v>
                </c:pt>
                <c:pt idx="354">
                  <c:v>58500</c:v>
                </c:pt>
                <c:pt idx="355">
                  <c:v>58500</c:v>
                </c:pt>
                <c:pt idx="356">
                  <c:v>58500</c:v>
                </c:pt>
                <c:pt idx="357">
                  <c:v>58500</c:v>
                </c:pt>
                <c:pt idx="358">
                  <c:v>57875</c:v>
                </c:pt>
                <c:pt idx="359">
                  <c:v>57875</c:v>
                </c:pt>
                <c:pt idx="360">
                  <c:v>57875</c:v>
                </c:pt>
                <c:pt idx="361">
                  <c:v>57875</c:v>
                </c:pt>
                <c:pt idx="362">
                  <c:v>55250</c:v>
                </c:pt>
                <c:pt idx="363">
                  <c:v>52750</c:v>
                </c:pt>
                <c:pt idx="364">
                  <c:v>51375</c:v>
                </c:pt>
                <c:pt idx="365">
                  <c:v>50125</c:v>
                </c:pt>
                <c:pt idx="366">
                  <c:v>50125</c:v>
                </c:pt>
                <c:pt idx="367">
                  <c:v>50125</c:v>
                </c:pt>
                <c:pt idx="368">
                  <c:v>49937</c:v>
                </c:pt>
                <c:pt idx="369">
                  <c:v>49812</c:v>
                </c:pt>
                <c:pt idx="370">
                  <c:v>49812</c:v>
                </c:pt>
                <c:pt idx="371">
                  <c:v>49812</c:v>
                </c:pt>
                <c:pt idx="372">
                  <c:v>49437</c:v>
                </c:pt>
                <c:pt idx="373">
                  <c:v>49187</c:v>
                </c:pt>
                <c:pt idx="374">
                  <c:v>49050</c:v>
                </c:pt>
                <c:pt idx="375">
                  <c:v>49050</c:v>
                </c:pt>
                <c:pt idx="376">
                  <c:v>48850</c:v>
                </c:pt>
                <c:pt idx="377">
                  <c:v>48850</c:v>
                </c:pt>
                <c:pt idx="378">
                  <c:v>48850</c:v>
                </c:pt>
                <c:pt idx="379">
                  <c:v>48350</c:v>
                </c:pt>
                <c:pt idx="380">
                  <c:v>48350</c:v>
                </c:pt>
              </c:numCache>
            </c:numRef>
          </c:val>
          <c:smooth val="0"/>
          <c:extLst>
            <c:ext xmlns:c16="http://schemas.microsoft.com/office/drawing/2014/chart" uri="{C3380CC4-5D6E-409C-BE32-E72D297353CC}">
              <c16:uniqueId val="{00000001-BC8C-4303-8113-184003FE4124}"/>
            </c:ext>
          </c:extLst>
        </c:ser>
        <c:ser>
          <c:idx val="1"/>
          <c:order val="1"/>
          <c:tx>
            <c:strRef>
              <c:f>Charts!$O$778</c:f>
              <c:strCache>
                <c:ptCount val="1"/>
                <c:pt idx="0">
                  <c:v>中国:富宝价格指数:负极材料(元/吨)</c:v>
                </c:pt>
              </c:strCache>
            </c:strRef>
          </c:tx>
          <c:spPr>
            <a:ln w="28575" cap="rnd">
              <a:solidFill>
                <a:schemeClr val="accent2"/>
              </a:solidFill>
              <a:round/>
            </a:ln>
            <a:effectLst/>
          </c:spPr>
          <c:marker>
            <c:symbol val="none"/>
          </c:marker>
          <c:cat>
            <c:strRef>
              <c:f>Charts!$M$779:$M$1161</c:f>
              <c:strCache>
                <c:ptCount val="383"/>
                <c:pt idx="0">
                  <c:v>2021/9/1</c:v>
                </c:pt>
                <c:pt idx="1">
                  <c:v>2021/9/2</c:v>
                </c:pt>
                <c:pt idx="2">
                  <c:v>2021/9/3</c:v>
                </c:pt>
                <c:pt idx="3">
                  <c:v>2021/9/6</c:v>
                </c:pt>
                <c:pt idx="4">
                  <c:v>2021/9/7</c:v>
                </c:pt>
                <c:pt idx="5">
                  <c:v>2021/9/8</c:v>
                </c:pt>
                <c:pt idx="6">
                  <c:v>2021/9/9</c:v>
                </c:pt>
                <c:pt idx="7">
                  <c:v>2021/9/10</c:v>
                </c:pt>
                <c:pt idx="8">
                  <c:v>2021/9/13</c:v>
                </c:pt>
                <c:pt idx="9">
                  <c:v>2021/9/14</c:v>
                </c:pt>
                <c:pt idx="10">
                  <c:v>2021/9/15</c:v>
                </c:pt>
                <c:pt idx="11">
                  <c:v>2021/9/16</c:v>
                </c:pt>
                <c:pt idx="12">
                  <c:v>2021/9/17</c:v>
                </c:pt>
                <c:pt idx="13">
                  <c:v>2021/9/22</c:v>
                </c:pt>
                <c:pt idx="14">
                  <c:v>2021/9/23</c:v>
                </c:pt>
                <c:pt idx="15">
                  <c:v>2021/9/24</c:v>
                </c:pt>
                <c:pt idx="16">
                  <c:v>2021/9/27</c:v>
                </c:pt>
                <c:pt idx="17">
                  <c:v>2021/9/28</c:v>
                </c:pt>
                <c:pt idx="18">
                  <c:v>2021/9/29</c:v>
                </c:pt>
                <c:pt idx="19">
                  <c:v>2021/9/30</c:v>
                </c:pt>
                <c:pt idx="20">
                  <c:v>2021/10/8</c:v>
                </c:pt>
                <c:pt idx="21">
                  <c:v>2021/10/11</c:v>
                </c:pt>
                <c:pt idx="22">
                  <c:v>2021/10/12</c:v>
                </c:pt>
                <c:pt idx="23">
                  <c:v>2021/10/13</c:v>
                </c:pt>
                <c:pt idx="24">
                  <c:v>2021/10/14</c:v>
                </c:pt>
                <c:pt idx="25">
                  <c:v>2021/10/15</c:v>
                </c:pt>
                <c:pt idx="26">
                  <c:v>2021/10/18</c:v>
                </c:pt>
                <c:pt idx="27">
                  <c:v>2021/10/19</c:v>
                </c:pt>
                <c:pt idx="28">
                  <c:v>2021/10/20</c:v>
                </c:pt>
                <c:pt idx="29">
                  <c:v>2021/10/21</c:v>
                </c:pt>
                <c:pt idx="30">
                  <c:v>2021/10/22</c:v>
                </c:pt>
                <c:pt idx="31">
                  <c:v>2021/10/25</c:v>
                </c:pt>
                <c:pt idx="32">
                  <c:v>2021/10/26</c:v>
                </c:pt>
                <c:pt idx="33">
                  <c:v>2021/10/27</c:v>
                </c:pt>
                <c:pt idx="34">
                  <c:v>2021/10/28</c:v>
                </c:pt>
                <c:pt idx="35">
                  <c:v>2021/10/29</c:v>
                </c:pt>
                <c:pt idx="36">
                  <c:v>2021/11/1</c:v>
                </c:pt>
                <c:pt idx="37">
                  <c:v>2021/11/2</c:v>
                </c:pt>
                <c:pt idx="38">
                  <c:v>2021/11/3</c:v>
                </c:pt>
                <c:pt idx="39">
                  <c:v>2021/11/4</c:v>
                </c:pt>
                <c:pt idx="40">
                  <c:v>2021/11/5</c:v>
                </c:pt>
                <c:pt idx="41">
                  <c:v>2021/11/8</c:v>
                </c:pt>
                <c:pt idx="42">
                  <c:v>2021/11/9</c:v>
                </c:pt>
                <c:pt idx="43">
                  <c:v>2021/11/10</c:v>
                </c:pt>
                <c:pt idx="44">
                  <c:v>2021/11/11</c:v>
                </c:pt>
                <c:pt idx="45">
                  <c:v>2021/11/12</c:v>
                </c:pt>
                <c:pt idx="46">
                  <c:v>2021/11/15</c:v>
                </c:pt>
                <c:pt idx="47">
                  <c:v>2021/11/16</c:v>
                </c:pt>
                <c:pt idx="48">
                  <c:v>2021/11/17</c:v>
                </c:pt>
                <c:pt idx="49">
                  <c:v>2021/11/18</c:v>
                </c:pt>
                <c:pt idx="50">
                  <c:v>2021/11/19</c:v>
                </c:pt>
                <c:pt idx="51">
                  <c:v>2021/11/22</c:v>
                </c:pt>
                <c:pt idx="52">
                  <c:v>2021/11/23</c:v>
                </c:pt>
                <c:pt idx="53">
                  <c:v>2021/11/24</c:v>
                </c:pt>
                <c:pt idx="54">
                  <c:v>2021/11/25</c:v>
                </c:pt>
                <c:pt idx="55">
                  <c:v>2021/11/26</c:v>
                </c:pt>
                <c:pt idx="56">
                  <c:v>2021/11/29</c:v>
                </c:pt>
                <c:pt idx="57">
                  <c:v>2021/11/30</c:v>
                </c:pt>
                <c:pt idx="58">
                  <c:v>2021/12/1</c:v>
                </c:pt>
                <c:pt idx="59">
                  <c:v>2021/12/2</c:v>
                </c:pt>
                <c:pt idx="60">
                  <c:v>2021/12/3</c:v>
                </c:pt>
                <c:pt idx="61">
                  <c:v>2021/12/6</c:v>
                </c:pt>
                <c:pt idx="62">
                  <c:v>2021/12/7</c:v>
                </c:pt>
                <c:pt idx="63">
                  <c:v>2021/12/8</c:v>
                </c:pt>
                <c:pt idx="64">
                  <c:v>2021/12/9</c:v>
                </c:pt>
                <c:pt idx="65">
                  <c:v>2021/12/10</c:v>
                </c:pt>
                <c:pt idx="66">
                  <c:v>2021/12/13</c:v>
                </c:pt>
                <c:pt idx="67">
                  <c:v>2021/12/14</c:v>
                </c:pt>
                <c:pt idx="68">
                  <c:v>2021/12/15</c:v>
                </c:pt>
                <c:pt idx="69">
                  <c:v>2021/12/16</c:v>
                </c:pt>
                <c:pt idx="70">
                  <c:v>2021/12/17</c:v>
                </c:pt>
                <c:pt idx="71">
                  <c:v>2021/12/20</c:v>
                </c:pt>
                <c:pt idx="72">
                  <c:v>2021/12/21</c:v>
                </c:pt>
                <c:pt idx="73">
                  <c:v>2021/12/22</c:v>
                </c:pt>
                <c:pt idx="74">
                  <c:v>2021/12/23</c:v>
                </c:pt>
                <c:pt idx="75">
                  <c:v>2021/12/24</c:v>
                </c:pt>
                <c:pt idx="76">
                  <c:v>2021/12/27</c:v>
                </c:pt>
                <c:pt idx="77">
                  <c:v>2021/12/28</c:v>
                </c:pt>
                <c:pt idx="78">
                  <c:v>2021/12/29</c:v>
                </c:pt>
                <c:pt idx="79">
                  <c:v>2021/12/30</c:v>
                </c:pt>
                <c:pt idx="80">
                  <c:v>2021/12/31</c:v>
                </c:pt>
                <c:pt idx="81">
                  <c:v>2022/1/4</c:v>
                </c:pt>
                <c:pt idx="82">
                  <c:v>2022/1/5</c:v>
                </c:pt>
                <c:pt idx="83">
                  <c:v>2022/1/6</c:v>
                </c:pt>
                <c:pt idx="84">
                  <c:v>2022/1/7</c:v>
                </c:pt>
                <c:pt idx="85">
                  <c:v>2022/1/10</c:v>
                </c:pt>
                <c:pt idx="86">
                  <c:v>2022/1/11</c:v>
                </c:pt>
                <c:pt idx="87">
                  <c:v>2022/1/12</c:v>
                </c:pt>
                <c:pt idx="88">
                  <c:v>2022/1/13</c:v>
                </c:pt>
                <c:pt idx="89">
                  <c:v>2022/1/14</c:v>
                </c:pt>
                <c:pt idx="90">
                  <c:v>2022/1/17</c:v>
                </c:pt>
                <c:pt idx="91">
                  <c:v>2022/1/18</c:v>
                </c:pt>
                <c:pt idx="92">
                  <c:v>2022/1/19</c:v>
                </c:pt>
                <c:pt idx="93">
                  <c:v>2022/1/20</c:v>
                </c:pt>
                <c:pt idx="94">
                  <c:v>2022/1/21</c:v>
                </c:pt>
                <c:pt idx="95">
                  <c:v>2022/1/24</c:v>
                </c:pt>
                <c:pt idx="96">
                  <c:v>2022/1/25</c:v>
                </c:pt>
                <c:pt idx="97">
                  <c:v>2022/1/26</c:v>
                </c:pt>
                <c:pt idx="98">
                  <c:v>2022/1/27</c:v>
                </c:pt>
                <c:pt idx="99">
                  <c:v>2022/1/28</c:v>
                </c:pt>
                <c:pt idx="100">
                  <c:v>2022/2/7</c:v>
                </c:pt>
                <c:pt idx="101">
                  <c:v>2022/2/8</c:v>
                </c:pt>
                <c:pt idx="102">
                  <c:v>2022/2/9</c:v>
                </c:pt>
                <c:pt idx="103">
                  <c:v>2022/2/10</c:v>
                </c:pt>
                <c:pt idx="104">
                  <c:v>2022/2/11</c:v>
                </c:pt>
                <c:pt idx="105">
                  <c:v>2022/2/14</c:v>
                </c:pt>
                <c:pt idx="106">
                  <c:v>2022/2/15</c:v>
                </c:pt>
                <c:pt idx="107">
                  <c:v>2022/2/16</c:v>
                </c:pt>
                <c:pt idx="108">
                  <c:v>2022/2/17</c:v>
                </c:pt>
                <c:pt idx="109">
                  <c:v>2022/2/18</c:v>
                </c:pt>
                <c:pt idx="110">
                  <c:v>2022/2/21</c:v>
                </c:pt>
                <c:pt idx="111">
                  <c:v>2022/2/22</c:v>
                </c:pt>
                <c:pt idx="112">
                  <c:v>2022/2/23</c:v>
                </c:pt>
                <c:pt idx="113">
                  <c:v>2022/2/24</c:v>
                </c:pt>
                <c:pt idx="114">
                  <c:v>2022/2/25</c:v>
                </c:pt>
                <c:pt idx="115">
                  <c:v>2022/2/28</c:v>
                </c:pt>
                <c:pt idx="116">
                  <c:v>2022/3/1</c:v>
                </c:pt>
                <c:pt idx="117">
                  <c:v>2022/3/2</c:v>
                </c:pt>
                <c:pt idx="118">
                  <c:v>2022/3/3</c:v>
                </c:pt>
                <c:pt idx="119">
                  <c:v>2022/3/4</c:v>
                </c:pt>
                <c:pt idx="120">
                  <c:v>2022/3/7</c:v>
                </c:pt>
                <c:pt idx="121">
                  <c:v>2022/3/8</c:v>
                </c:pt>
                <c:pt idx="122">
                  <c:v>2022/3/9</c:v>
                </c:pt>
                <c:pt idx="123">
                  <c:v>2022/3/10</c:v>
                </c:pt>
                <c:pt idx="124">
                  <c:v>2022/3/11</c:v>
                </c:pt>
                <c:pt idx="125">
                  <c:v>2022/3/14</c:v>
                </c:pt>
                <c:pt idx="126">
                  <c:v>2022/3/15</c:v>
                </c:pt>
                <c:pt idx="127">
                  <c:v>2022/3/16</c:v>
                </c:pt>
                <c:pt idx="128">
                  <c:v>2022/3/17</c:v>
                </c:pt>
                <c:pt idx="129">
                  <c:v>2022/3/18</c:v>
                </c:pt>
                <c:pt idx="130">
                  <c:v>2022/3/21</c:v>
                </c:pt>
                <c:pt idx="131">
                  <c:v>2022/3/22</c:v>
                </c:pt>
                <c:pt idx="132">
                  <c:v>2022/3/23</c:v>
                </c:pt>
                <c:pt idx="133">
                  <c:v>2022/3/24</c:v>
                </c:pt>
                <c:pt idx="134">
                  <c:v>2022/3/25</c:v>
                </c:pt>
                <c:pt idx="135">
                  <c:v>2022/3/28</c:v>
                </c:pt>
                <c:pt idx="136">
                  <c:v>2022/3/29</c:v>
                </c:pt>
                <c:pt idx="137">
                  <c:v>2022/3/30</c:v>
                </c:pt>
                <c:pt idx="138">
                  <c:v>2022/3/31</c:v>
                </c:pt>
                <c:pt idx="139">
                  <c:v>2022/4/1</c:v>
                </c:pt>
                <c:pt idx="140">
                  <c:v>2022/4/6</c:v>
                </c:pt>
                <c:pt idx="141">
                  <c:v>2022/4/7</c:v>
                </c:pt>
                <c:pt idx="142">
                  <c:v>2022/4/8</c:v>
                </c:pt>
                <c:pt idx="143">
                  <c:v>2022/4/11</c:v>
                </c:pt>
                <c:pt idx="144">
                  <c:v>2022/4/12</c:v>
                </c:pt>
                <c:pt idx="145">
                  <c:v>2022/4/13</c:v>
                </c:pt>
                <c:pt idx="146">
                  <c:v>2022/4/14</c:v>
                </c:pt>
                <c:pt idx="147">
                  <c:v>2022/4/15</c:v>
                </c:pt>
                <c:pt idx="148">
                  <c:v>2022/4/18</c:v>
                </c:pt>
                <c:pt idx="149">
                  <c:v>2022/4/19</c:v>
                </c:pt>
                <c:pt idx="150">
                  <c:v>2022/4/20</c:v>
                </c:pt>
                <c:pt idx="151">
                  <c:v>2022/4/21</c:v>
                </c:pt>
                <c:pt idx="152">
                  <c:v>2022/4/22</c:v>
                </c:pt>
                <c:pt idx="153">
                  <c:v>2022/4/25</c:v>
                </c:pt>
                <c:pt idx="154">
                  <c:v>2022/4/26</c:v>
                </c:pt>
                <c:pt idx="155">
                  <c:v>2022/4/27</c:v>
                </c:pt>
                <c:pt idx="156">
                  <c:v>2022/4/28</c:v>
                </c:pt>
                <c:pt idx="157">
                  <c:v>2022/4/29</c:v>
                </c:pt>
                <c:pt idx="158">
                  <c:v>2022/5/5</c:v>
                </c:pt>
                <c:pt idx="159">
                  <c:v>2022/5/6</c:v>
                </c:pt>
                <c:pt idx="160">
                  <c:v>2022/5/9</c:v>
                </c:pt>
                <c:pt idx="161">
                  <c:v>2022/5/10</c:v>
                </c:pt>
                <c:pt idx="162">
                  <c:v>2022/5/11</c:v>
                </c:pt>
                <c:pt idx="163">
                  <c:v>2022/5/12</c:v>
                </c:pt>
                <c:pt idx="164">
                  <c:v>2022/5/13</c:v>
                </c:pt>
                <c:pt idx="165">
                  <c:v>2022/5/16</c:v>
                </c:pt>
                <c:pt idx="166">
                  <c:v>2022/5/17</c:v>
                </c:pt>
                <c:pt idx="167">
                  <c:v>2022/5/18</c:v>
                </c:pt>
                <c:pt idx="168">
                  <c:v>2022/5/19</c:v>
                </c:pt>
                <c:pt idx="169">
                  <c:v>2022/5/20</c:v>
                </c:pt>
                <c:pt idx="170">
                  <c:v>2022/5/23</c:v>
                </c:pt>
                <c:pt idx="171">
                  <c:v>2022/5/24</c:v>
                </c:pt>
                <c:pt idx="172">
                  <c:v>2022/5/25</c:v>
                </c:pt>
                <c:pt idx="173">
                  <c:v>2022/5/26</c:v>
                </c:pt>
                <c:pt idx="174">
                  <c:v>2022/5/27</c:v>
                </c:pt>
                <c:pt idx="175">
                  <c:v>2022/5/30</c:v>
                </c:pt>
                <c:pt idx="176">
                  <c:v>2022/5/31</c:v>
                </c:pt>
                <c:pt idx="177">
                  <c:v>2022/6/1</c:v>
                </c:pt>
                <c:pt idx="178">
                  <c:v>2022/6/2</c:v>
                </c:pt>
                <c:pt idx="179">
                  <c:v>2022/6/6</c:v>
                </c:pt>
                <c:pt idx="180">
                  <c:v>2022/6/7</c:v>
                </c:pt>
                <c:pt idx="181">
                  <c:v>2022/6/8</c:v>
                </c:pt>
                <c:pt idx="182">
                  <c:v>2022/6/9</c:v>
                </c:pt>
                <c:pt idx="183">
                  <c:v>2022/6/10</c:v>
                </c:pt>
                <c:pt idx="184">
                  <c:v>2022/6/13</c:v>
                </c:pt>
                <c:pt idx="185">
                  <c:v>2022/6/14</c:v>
                </c:pt>
                <c:pt idx="186">
                  <c:v>2022/6/15</c:v>
                </c:pt>
                <c:pt idx="187">
                  <c:v>2022/6/16</c:v>
                </c:pt>
                <c:pt idx="188">
                  <c:v>2022/6/17</c:v>
                </c:pt>
                <c:pt idx="189">
                  <c:v>2022/6/20</c:v>
                </c:pt>
                <c:pt idx="190">
                  <c:v>2022/6/21</c:v>
                </c:pt>
                <c:pt idx="191">
                  <c:v>2022/6/22</c:v>
                </c:pt>
                <c:pt idx="192">
                  <c:v>2022/6/23</c:v>
                </c:pt>
                <c:pt idx="193">
                  <c:v>2022/6/24</c:v>
                </c:pt>
                <c:pt idx="194">
                  <c:v>2022/6/27</c:v>
                </c:pt>
                <c:pt idx="195">
                  <c:v>2022/6/28</c:v>
                </c:pt>
                <c:pt idx="196">
                  <c:v>2022/6/29</c:v>
                </c:pt>
                <c:pt idx="197">
                  <c:v>2022/6/30</c:v>
                </c:pt>
                <c:pt idx="198">
                  <c:v>2022/7/1</c:v>
                </c:pt>
                <c:pt idx="199">
                  <c:v>2022/7/4</c:v>
                </c:pt>
                <c:pt idx="200">
                  <c:v>2022/7/5</c:v>
                </c:pt>
                <c:pt idx="201">
                  <c:v>2022/7/6</c:v>
                </c:pt>
                <c:pt idx="202">
                  <c:v>2022/7/7</c:v>
                </c:pt>
                <c:pt idx="203">
                  <c:v>2022/7/8</c:v>
                </c:pt>
                <c:pt idx="204">
                  <c:v>2022/7/11</c:v>
                </c:pt>
                <c:pt idx="205">
                  <c:v>2022/7/12</c:v>
                </c:pt>
                <c:pt idx="206">
                  <c:v>2022/7/13</c:v>
                </c:pt>
                <c:pt idx="207">
                  <c:v>2022/7/14</c:v>
                </c:pt>
                <c:pt idx="208">
                  <c:v>2022/7/15</c:v>
                </c:pt>
                <c:pt idx="209">
                  <c:v>2022/7/18</c:v>
                </c:pt>
                <c:pt idx="210">
                  <c:v>2022/7/19</c:v>
                </c:pt>
                <c:pt idx="211">
                  <c:v>2022/7/20</c:v>
                </c:pt>
                <c:pt idx="212">
                  <c:v>2022/7/21</c:v>
                </c:pt>
                <c:pt idx="213">
                  <c:v>2022/7/22</c:v>
                </c:pt>
                <c:pt idx="214">
                  <c:v>2022/7/25</c:v>
                </c:pt>
                <c:pt idx="215">
                  <c:v>2022/7/26</c:v>
                </c:pt>
                <c:pt idx="216">
                  <c:v>2022/7/27</c:v>
                </c:pt>
                <c:pt idx="217">
                  <c:v>2022/7/28</c:v>
                </c:pt>
                <c:pt idx="218">
                  <c:v>2022/7/29</c:v>
                </c:pt>
                <c:pt idx="219">
                  <c:v>2022/8/1</c:v>
                </c:pt>
                <c:pt idx="220">
                  <c:v>2022/8/2</c:v>
                </c:pt>
                <c:pt idx="221">
                  <c:v>2022/8/3</c:v>
                </c:pt>
                <c:pt idx="222">
                  <c:v>2022/8/4</c:v>
                </c:pt>
                <c:pt idx="223">
                  <c:v>2022/8/5</c:v>
                </c:pt>
                <c:pt idx="224">
                  <c:v>2022/8/8</c:v>
                </c:pt>
                <c:pt idx="225">
                  <c:v>2022/8/9</c:v>
                </c:pt>
                <c:pt idx="226">
                  <c:v>2022/8/10</c:v>
                </c:pt>
                <c:pt idx="227">
                  <c:v>2022/8/11</c:v>
                </c:pt>
                <c:pt idx="228">
                  <c:v>2022/8/12</c:v>
                </c:pt>
                <c:pt idx="229">
                  <c:v>2022/8/15</c:v>
                </c:pt>
                <c:pt idx="230">
                  <c:v>2022/8/16</c:v>
                </c:pt>
                <c:pt idx="231">
                  <c:v>2022/8/17</c:v>
                </c:pt>
                <c:pt idx="232">
                  <c:v>2022/8/18</c:v>
                </c:pt>
                <c:pt idx="233">
                  <c:v>2022/8/19</c:v>
                </c:pt>
                <c:pt idx="234">
                  <c:v>2022/8/22</c:v>
                </c:pt>
                <c:pt idx="235">
                  <c:v>2022/8/23</c:v>
                </c:pt>
                <c:pt idx="236">
                  <c:v>2022/8/24</c:v>
                </c:pt>
                <c:pt idx="237">
                  <c:v>2022/8/25</c:v>
                </c:pt>
                <c:pt idx="238">
                  <c:v>2022/8/26</c:v>
                </c:pt>
                <c:pt idx="239">
                  <c:v>2022/8/29</c:v>
                </c:pt>
                <c:pt idx="240">
                  <c:v>2022/8/30</c:v>
                </c:pt>
                <c:pt idx="241">
                  <c:v>2022/8/31</c:v>
                </c:pt>
                <c:pt idx="242">
                  <c:v>2022/9/1</c:v>
                </c:pt>
                <c:pt idx="243">
                  <c:v>2022/9/2</c:v>
                </c:pt>
                <c:pt idx="244">
                  <c:v>2022/9/5</c:v>
                </c:pt>
                <c:pt idx="245">
                  <c:v>2022/9/6</c:v>
                </c:pt>
                <c:pt idx="246">
                  <c:v>2022/9/7</c:v>
                </c:pt>
                <c:pt idx="247">
                  <c:v>2022/9/8</c:v>
                </c:pt>
                <c:pt idx="248">
                  <c:v>2022/9/9</c:v>
                </c:pt>
                <c:pt idx="249">
                  <c:v>2022/9/13</c:v>
                </c:pt>
                <c:pt idx="250">
                  <c:v>2022/9/14</c:v>
                </c:pt>
                <c:pt idx="251">
                  <c:v>2022/9/15</c:v>
                </c:pt>
                <c:pt idx="252">
                  <c:v>2022/9/16</c:v>
                </c:pt>
                <c:pt idx="253">
                  <c:v>2022/9/19</c:v>
                </c:pt>
                <c:pt idx="254">
                  <c:v>2022/9/20</c:v>
                </c:pt>
                <c:pt idx="255">
                  <c:v>2022/9/21</c:v>
                </c:pt>
                <c:pt idx="256">
                  <c:v>2022/9/22</c:v>
                </c:pt>
                <c:pt idx="257">
                  <c:v>2022/9/23</c:v>
                </c:pt>
                <c:pt idx="258">
                  <c:v>2022/9/26</c:v>
                </c:pt>
                <c:pt idx="259">
                  <c:v>2022/9/27</c:v>
                </c:pt>
                <c:pt idx="260">
                  <c:v>2022/9/28</c:v>
                </c:pt>
                <c:pt idx="261">
                  <c:v>2022/9/29</c:v>
                </c:pt>
                <c:pt idx="262">
                  <c:v>2022/9/30</c:v>
                </c:pt>
                <c:pt idx="263">
                  <c:v>2022/10/10</c:v>
                </c:pt>
                <c:pt idx="264">
                  <c:v>2022/10/11</c:v>
                </c:pt>
                <c:pt idx="265">
                  <c:v>2022/10/12</c:v>
                </c:pt>
                <c:pt idx="266">
                  <c:v>2022/10/13</c:v>
                </c:pt>
                <c:pt idx="267">
                  <c:v>2022/10/14</c:v>
                </c:pt>
                <c:pt idx="268">
                  <c:v>2022/10/17</c:v>
                </c:pt>
                <c:pt idx="269">
                  <c:v>2022/10/18</c:v>
                </c:pt>
                <c:pt idx="270">
                  <c:v>2022/10/19</c:v>
                </c:pt>
                <c:pt idx="271">
                  <c:v>2022/10/20</c:v>
                </c:pt>
                <c:pt idx="272">
                  <c:v>2022/10/21</c:v>
                </c:pt>
                <c:pt idx="273">
                  <c:v>2022/10/24</c:v>
                </c:pt>
                <c:pt idx="274">
                  <c:v>2022/10/25</c:v>
                </c:pt>
                <c:pt idx="275">
                  <c:v>2022/10/26</c:v>
                </c:pt>
                <c:pt idx="276">
                  <c:v>2022/10/27</c:v>
                </c:pt>
                <c:pt idx="277">
                  <c:v>2022/10/28</c:v>
                </c:pt>
                <c:pt idx="278">
                  <c:v>2022/10/31</c:v>
                </c:pt>
                <c:pt idx="279">
                  <c:v>2022/11/1</c:v>
                </c:pt>
                <c:pt idx="280">
                  <c:v>2022/11/2</c:v>
                </c:pt>
                <c:pt idx="281">
                  <c:v>2022/11/3</c:v>
                </c:pt>
                <c:pt idx="282">
                  <c:v>2022/11/4</c:v>
                </c:pt>
                <c:pt idx="283">
                  <c:v>2022/11/7</c:v>
                </c:pt>
                <c:pt idx="284">
                  <c:v>2022/11/8</c:v>
                </c:pt>
                <c:pt idx="285">
                  <c:v>2022/11/9</c:v>
                </c:pt>
                <c:pt idx="286">
                  <c:v>2022/11/10</c:v>
                </c:pt>
                <c:pt idx="287">
                  <c:v>2022/11/11</c:v>
                </c:pt>
                <c:pt idx="288">
                  <c:v>2022/11/14</c:v>
                </c:pt>
                <c:pt idx="289">
                  <c:v>2022/11/15</c:v>
                </c:pt>
                <c:pt idx="290">
                  <c:v>2022/11/16</c:v>
                </c:pt>
                <c:pt idx="291">
                  <c:v>2022/11/17</c:v>
                </c:pt>
                <c:pt idx="292">
                  <c:v>2022/11/18</c:v>
                </c:pt>
                <c:pt idx="293">
                  <c:v>2022/11/21</c:v>
                </c:pt>
                <c:pt idx="294">
                  <c:v>2022/11/22</c:v>
                </c:pt>
                <c:pt idx="295">
                  <c:v>2022/11/23</c:v>
                </c:pt>
                <c:pt idx="296">
                  <c:v>2022/11/24</c:v>
                </c:pt>
                <c:pt idx="297">
                  <c:v>2022/11/25</c:v>
                </c:pt>
                <c:pt idx="298">
                  <c:v>2022/11/28</c:v>
                </c:pt>
                <c:pt idx="299">
                  <c:v>2022/11/29</c:v>
                </c:pt>
                <c:pt idx="300">
                  <c:v>2022/11/30</c:v>
                </c:pt>
                <c:pt idx="301">
                  <c:v>2022/12/1</c:v>
                </c:pt>
                <c:pt idx="302">
                  <c:v>2022/12/2</c:v>
                </c:pt>
                <c:pt idx="303">
                  <c:v>2022/12/5</c:v>
                </c:pt>
                <c:pt idx="304">
                  <c:v>2022/12/6</c:v>
                </c:pt>
                <c:pt idx="305">
                  <c:v>2022/12/7</c:v>
                </c:pt>
                <c:pt idx="306">
                  <c:v>2022/12/8</c:v>
                </c:pt>
                <c:pt idx="307">
                  <c:v>2022/12/9</c:v>
                </c:pt>
                <c:pt idx="308">
                  <c:v>2022/12/12</c:v>
                </c:pt>
                <c:pt idx="309">
                  <c:v>2022/12/13</c:v>
                </c:pt>
                <c:pt idx="310">
                  <c:v>2022/12/14</c:v>
                </c:pt>
                <c:pt idx="311">
                  <c:v>2022/12/15</c:v>
                </c:pt>
                <c:pt idx="312">
                  <c:v>2022/12/16</c:v>
                </c:pt>
                <c:pt idx="313">
                  <c:v>2022/12/19</c:v>
                </c:pt>
                <c:pt idx="314">
                  <c:v>2022/12/20</c:v>
                </c:pt>
                <c:pt idx="315">
                  <c:v>2022/12/21</c:v>
                </c:pt>
                <c:pt idx="316">
                  <c:v>2022/12/22</c:v>
                </c:pt>
                <c:pt idx="317">
                  <c:v>2022/12/23</c:v>
                </c:pt>
                <c:pt idx="318">
                  <c:v>2022/12/26</c:v>
                </c:pt>
                <c:pt idx="319">
                  <c:v>2022/12/27</c:v>
                </c:pt>
                <c:pt idx="320">
                  <c:v>2022/12/28</c:v>
                </c:pt>
                <c:pt idx="321">
                  <c:v>2022/12/29</c:v>
                </c:pt>
                <c:pt idx="322">
                  <c:v>2022/12/30</c:v>
                </c:pt>
                <c:pt idx="323">
                  <c:v>2023/1/3</c:v>
                </c:pt>
                <c:pt idx="324">
                  <c:v>2023/1/4</c:v>
                </c:pt>
                <c:pt idx="325">
                  <c:v>2023/1/5</c:v>
                </c:pt>
                <c:pt idx="326">
                  <c:v>2023/1/6</c:v>
                </c:pt>
                <c:pt idx="327">
                  <c:v>2023/1/9</c:v>
                </c:pt>
                <c:pt idx="328">
                  <c:v>2023/1/10</c:v>
                </c:pt>
                <c:pt idx="329">
                  <c:v>2023/1/11</c:v>
                </c:pt>
                <c:pt idx="330">
                  <c:v>2023/1/12</c:v>
                </c:pt>
                <c:pt idx="331">
                  <c:v>2023/1/13</c:v>
                </c:pt>
                <c:pt idx="332">
                  <c:v>2023/1/16</c:v>
                </c:pt>
                <c:pt idx="333">
                  <c:v>2023/1/17</c:v>
                </c:pt>
                <c:pt idx="334">
                  <c:v>2023/1/18</c:v>
                </c:pt>
                <c:pt idx="335">
                  <c:v>2023/1/19</c:v>
                </c:pt>
                <c:pt idx="336">
                  <c:v>2023/1/20</c:v>
                </c:pt>
                <c:pt idx="337">
                  <c:v>2023/1/28</c:v>
                </c:pt>
                <c:pt idx="338">
                  <c:v>2023/1/29</c:v>
                </c:pt>
                <c:pt idx="339">
                  <c:v>2023/1/30</c:v>
                </c:pt>
                <c:pt idx="340">
                  <c:v>2023/1/31</c:v>
                </c:pt>
                <c:pt idx="341">
                  <c:v>2023/2/1</c:v>
                </c:pt>
                <c:pt idx="342">
                  <c:v>2023/2/2</c:v>
                </c:pt>
                <c:pt idx="343">
                  <c:v>2023/2/3</c:v>
                </c:pt>
                <c:pt idx="344">
                  <c:v>2023/2/6</c:v>
                </c:pt>
                <c:pt idx="345">
                  <c:v>2023/2/7</c:v>
                </c:pt>
                <c:pt idx="346">
                  <c:v>2023/2/8</c:v>
                </c:pt>
                <c:pt idx="347">
                  <c:v>2023/2/9</c:v>
                </c:pt>
                <c:pt idx="348">
                  <c:v>2023/2/10</c:v>
                </c:pt>
                <c:pt idx="349">
                  <c:v>2023/2/13</c:v>
                </c:pt>
                <c:pt idx="350">
                  <c:v>2023/2/14</c:v>
                </c:pt>
                <c:pt idx="351">
                  <c:v>2023/2/15</c:v>
                </c:pt>
                <c:pt idx="352">
                  <c:v>2023/2/16</c:v>
                </c:pt>
                <c:pt idx="353">
                  <c:v>2023/2/17</c:v>
                </c:pt>
                <c:pt idx="354">
                  <c:v>2023/2/20</c:v>
                </c:pt>
                <c:pt idx="355">
                  <c:v>2023/2/21</c:v>
                </c:pt>
                <c:pt idx="356">
                  <c:v>2023/2/22</c:v>
                </c:pt>
                <c:pt idx="357">
                  <c:v>2023/2/23</c:v>
                </c:pt>
                <c:pt idx="358">
                  <c:v>2023/2/24</c:v>
                </c:pt>
                <c:pt idx="359">
                  <c:v>2023/2/27</c:v>
                </c:pt>
                <c:pt idx="360">
                  <c:v>2023/2/28</c:v>
                </c:pt>
                <c:pt idx="361">
                  <c:v>2023/3/1</c:v>
                </c:pt>
                <c:pt idx="362">
                  <c:v>2023/3/2</c:v>
                </c:pt>
                <c:pt idx="363">
                  <c:v>2023/3/3</c:v>
                </c:pt>
                <c:pt idx="364">
                  <c:v>2023/3/6</c:v>
                </c:pt>
                <c:pt idx="365">
                  <c:v>2023/3/7</c:v>
                </c:pt>
                <c:pt idx="366">
                  <c:v>2023/3/8</c:v>
                </c:pt>
                <c:pt idx="367">
                  <c:v>2023/3/9</c:v>
                </c:pt>
                <c:pt idx="368">
                  <c:v>2023/3/10</c:v>
                </c:pt>
                <c:pt idx="369">
                  <c:v>2023/3/13</c:v>
                </c:pt>
                <c:pt idx="370">
                  <c:v>2023/3/14</c:v>
                </c:pt>
                <c:pt idx="371">
                  <c:v>2023/3/15</c:v>
                </c:pt>
                <c:pt idx="372">
                  <c:v>2023/3/16</c:v>
                </c:pt>
                <c:pt idx="373">
                  <c:v>2023/3/17</c:v>
                </c:pt>
                <c:pt idx="374">
                  <c:v>2023/3/20</c:v>
                </c:pt>
                <c:pt idx="375">
                  <c:v>2023/3/21</c:v>
                </c:pt>
                <c:pt idx="376">
                  <c:v>2023/3/22</c:v>
                </c:pt>
                <c:pt idx="377">
                  <c:v>2023/3/23</c:v>
                </c:pt>
                <c:pt idx="378">
                  <c:v>2023/3/24</c:v>
                </c:pt>
                <c:pt idx="379">
                  <c:v>2023/3/27</c:v>
                </c:pt>
                <c:pt idx="380">
                  <c:v>2023/3/28</c:v>
                </c:pt>
                <c:pt idx="382">
                  <c:v>数据来源：Wind</c:v>
                </c:pt>
              </c:strCache>
            </c:strRef>
          </c:cat>
          <c:val>
            <c:numRef>
              <c:f>Charts!$O$779:$O$1161</c:f>
              <c:numCache>
                <c:formatCode>General</c:formatCode>
                <c:ptCount val="383"/>
                <c:pt idx="0">
                  <c:v>44440</c:v>
                </c:pt>
                <c:pt idx="1">
                  <c:v>44441</c:v>
                </c:pt>
                <c:pt idx="2">
                  <c:v>44442</c:v>
                </c:pt>
                <c:pt idx="3">
                  <c:v>44445</c:v>
                </c:pt>
                <c:pt idx="4">
                  <c:v>44446</c:v>
                </c:pt>
                <c:pt idx="5">
                  <c:v>44447</c:v>
                </c:pt>
                <c:pt idx="6">
                  <c:v>44448</c:v>
                </c:pt>
                <c:pt idx="7">
                  <c:v>44449</c:v>
                </c:pt>
                <c:pt idx="8">
                  <c:v>44452</c:v>
                </c:pt>
                <c:pt idx="9">
                  <c:v>44453</c:v>
                </c:pt>
                <c:pt idx="10">
                  <c:v>44454</c:v>
                </c:pt>
                <c:pt idx="11">
                  <c:v>44455</c:v>
                </c:pt>
                <c:pt idx="12">
                  <c:v>44456</c:v>
                </c:pt>
                <c:pt idx="13">
                  <c:v>44461</c:v>
                </c:pt>
                <c:pt idx="14">
                  <c:v>44462</c:v>
                </c:pt>
                <c:pt idx="15">
                  <c:v>44463</c:v>
                </c:pt>
                <c:pt idx="16">
                  <c:v>44466</c:v>
                </c:pt>
                <c:pt idx="17">
                  <c:v>44467</c:v>
                </c:pt>
                <c:pt idx="18">
                  <c:v>44468</c:v>
                </c:pt>
                <c:pt idx="19">
                  <c:v>44469</c:v>
                </c:pt>
                <c:pt idx="20">
                  <c:v>44477</c:v>
                </c:pt>
                <c:pt idx="21">
                  <c:v>44480</c:v>
                </c:pt>
                <c:pt idx="22">
                  <c:v>44481</c:v>
                </c:pt>
                <c:pt idx="23">
                  <c:v>44482</c:v>
                </c:pt>
                <c:pt idx="24">
                  <c:v>44483</c:v>
                </c:pt>
                <c:pt idx="25">
                  <c:v>44484</c:v>
                </c:pt>
                <c:pt idx="26">
                  <c:v>44487</c:v>
                </c:pt>
                <c:pt idx="27">
                  <c:v>44488</c:v>
                </c:pt>
                <c:pt idx="28">
                  <c:v>44489</c:v>
                </c:pt>
                <c:pt idx="29">
                  <c:v>44490</c:v>
                </c:pt>
                <c:pt idx="30">
                  <c:v>44491</c:v>
                </c:pt>
                <c:pt idx="31">
                  <c:v>44494</c:v>
                </c:pt>
                <c:pt idx="32">
                  <c:v>44495</c:v>
                </c:pt>
                <c:pt idx="33">
                  <c:v>44496</c:v>
                </c:pt>
                <c:pt idx="34">
                  <c:v>44497</c:v>
                </c:pt>
                <c:pt idx="35">
                  <c:v>44498</c:v>
                </c:pt>
                <c:pt idx="36">
                  <c:v>44501</c:v>
                </c:pt>
                <c:pt idx="37">
                  <c:v>44502</c:v>
                </c:pt>
                <c:pt idx="38">
                  <c:v>44503</c:v>
                </c:pt>
                <c:pt idx="39">
                  <c:v>44504</c:v>
                </c:pt>
                <c:pt idx="40">
                  <c:v>44505</c:v>
                </c:pt>
                <c:pt idx="41">
                  <c:v>44508</c:v>
                </c:pt>
                <c:pt idx="42">
                  <c:v>44509</c:v>
                </c:pt>
                <c:pt idx="43">
                  <c:v>44510</c:v>
                </c:pt>
                <c:pt idx="44">
                  <c:v>44511</c:v>
                </c:pt>
                <c:pt idx="45">
                  <c:v>44512</c:v>
                </c:pt>
                <c:pt idx="46">
                  <c:v>44515</c:v>
                </c:pt>
                <c:pt idx="47">
                  <c:v>44516</c:v>
                </c:pt>
                <c:pt idx="48">
                  <c:v>44517</c:v>
                </c:pt>
                <c:pt idx="49">
                  <c:v>44518</c:v>
                </c:pt>
                <c:pt idx="50">
                  <c:v>44519</c:v>
                </c:pt>
                <c:pt idx="51">
                  <c:v>44522</c:v>
                </c:pt>
                <c:pt idx="52">
                  <c:v>44523</c:v>
                </c:pt>
                <c:pt idx="53">
                  <c:v>44524</c:v>
                </c:pt>
                <c:pt idx="54">
                  <c:v>44525</c:v>
                </c:pt>
                <c:pt idx="55">
                  <c:v>44526</c:v>
                </c:pt>
                <c:pt idx="56">
                  <c:v>44529</c:v>
                </c:pt>
                <c:pt idx="57">
                  <c:v>44530</c:v>
                </c:pt>
                <c:pt idx="58">
                  <c:v>44531</c:v>
                </c:pt>
                <c:pt idx="59">
                  <c:v>44532</c:v>
                </c:pt>
                <c:pt idx="60">
                  <c:v>44533</c:v>
                </c:pt>
                <c:pt idx="61">
                  <c:v>44536</c:v>
                </c:pt>
                <c:pt idx="62">
                  <c:v>44537</c:v>
                </c:pt>
                <c:pt idx="63">
                  <c:v>44538</c:v>
                </c:pt>
                <c:pt idx="64">
                  <c:v>44539</c:v>
                </c:pt>
                <c:pt idx="65">
                  <c:v>44540</c:v>
                </c:pt>
                <c:pt idx="66">
                  <c:v>44543</c:v>
                </c:pt>
                <c:pt idx="67">
                  <c:v>44544</c:v>
                </c:pt>
                <c:pt idx="68">
                  <c:v>44545</c:v>
                </c:pt>
                <c:pt idx="69">
                  <c:v>44546</c:v>
                </c:pt>
                <c:pt idx="70">
                  <c:v>44547</c:v>
                </c:pt>
                <c:pt idx="71">
                  <c:v>44550</c:v>
                </c:pt>
                <c:pt idx="72">
                  <c:v>44551</c:v>
                </c:pt>
                <c:pt idx="73">
                  <c:v>44552</c:v>
                </c:pt>
                <c:pt idx="74">
                  <c:v>44553</c:v>
                </c:pt>
                <c:pt idx="75">
                  <c:v>44554</c:v>
                </c:pt>
                <c:pt idx="76">
                  <c:v>44557</c:v>
                </c:pt>
                <c:pt idx="77">
                  <c:v>44558</c:v>
                </c:pt>
                <c:pt idx="78">
                  <c:v>44559</c:v>
                </c:pt>
                <c:pt idx="79">
                  <c:v>44560</c:v>
                </c:pt>
                <c:pt idx="80">
                  <c:v>44561</c:v>
                </c:pt>
                <c:pt idx="81">
                  <c:v>44565</c:v>
                </c:pt>
                <c:pt idx="82">
                  <c:v>44566</c:v>
                </c:pt>
                <c:pt idx="83">
                  <c:v>44567</c:v>
                </c:pt>
                <c:pt idx="84">
                  <c:v>44568</c:v>
                </c:pt>
                <c:pt idx="85">
                  <c:v>44571</c:v>
                </c:pt>
                <c:pt idx="86">
                  <c:v>44572</c:v>
                </c:pt>
                <c:pt idx="87">
                  <c:v>44573</c:v>
                </c:pt>
                <c:pt idx="88">
                  <c:v>44574</c:v>
                </c:pt>
                <c:pt idx="89">
                  <c:v>44575</c:v>
                </c:pt>
                <c:pt idx="90">
                  <c:v>44578</c:v>
                </c:pt>
                <c:pt idx="91">
                  <c:v>44579</c:v>
                </c:pt>
                <c:pt idx="92">
                  <c:v>44580</c:v>
                </c:pt>
                <c:pt idx="93">
                  <c:v>44581</c:v>
                </c:pt>
                <c:pt idx="94">
                  <c:v>44582</c:v>
                </c:pt>
                <c:pt idx="95">
                  <c:v>44585</c:v>
                </c:pt>
                <c:pt idx="96">
                  <c:v>44586</c:v>
                </c:pt>
                <c:pt idx="97">
                  <c:v>44587</c:v>
                </c:pt>
                <c:pt idx="98">
                  <c:v>44588</c:v>
                </c:pt>
                <c:pt idx="99">
                  <c:v>44589</c:v>
                </c:pt>
                <c:pt idx="100">
                  <c:v>44599</c:v>
                </c:pt>
                <c:pt idx="101">
                  <c:v>44600</c:v>
                </c:pt>
                <c:pt idx="102">
                  <c:v>44601</c:v>
                </c:pt>
                <c:pt idx="103">
                  <c:v>44602</c:v>
                </c:pt>
                <c:pt idx="104">
                  <c:v>44603</c:v>
                </c:pt>
                <c:pt idx="105">
                  <c:v>44606</c:v>
                </c:pt>
                <c:pt idx="106">
                  <c:v>44607</c:v>
                </c:pt>
                <c:pt idx="107">
                  <c:v>44608</c:v>
                </c:pt>
                <c:pt idx="108">
                  <c:v>44609</c:v>
                </c:pt>
                <c:pt idx="109">
                  <c:v>44610</c:v>
                </c:pt>
                <c:pt idx="110">
                  <c:v>44613</c:v>
                </c:pt>
                <c:pt idx="111">
                  <c:v>44614</c:v>
                </c:pt>
                <c:pt idx="112">
                  <c:v>44615</c:v>
                </c:pt>
                <c:pt idx="113">
                  <c:v>44616</c:v>
                </c:pt>
                <c:pt idx="114">
                  <c:v>44617</c:v>
                </c:pt>
                <c:pt idx="115">
                  <c:v>44620</c:v>
                </c:pt>
                <c:pt idx="116">
                  <c:v>44621</c:v>
                </c:pt>
                <c:pt idx="117">
                  <c:v>44622</c:v>
                </c:pt>
                <c:pt idx="118">
                  <c:v>44623</c:v>
                </c:pt>
                <c:pt idx="119">
                  <c:v>44624</c:v>
                </c:pt>
                <c:pt idx="120">
                  <c:v>44627</c:v>
                </c:pt>
                <c:pt idx="121">
                  <c:v>44628</c:v>
                </c:pt>
                <c:pt idx="122">
                  <c:v>44629</c:v>
                </c:pt>
                <c:pt idx="123">
                  <c:v>44630</c:v>
                </c:pt>
                <c:pt idx="124">
                  <c:v>44631</c:v>
                </c:pt>
                <c:pt idx="125">
                  <c:v>44634</c:v>
                </c:pt>
                <c:pt idx="126">
                  <c:v>44635</c:v>
                </c:pt>
                <c:pt idx="127">
                  <c:v>44636</c:v>
                </c:pt>
                <c:pt idx="128">
                  <c:v>44637</c:v>
                </c:pt>
                <c:pt idx="129">
                  <c:v>44638</c:v>
                </c:pt>
                <c:pt idx="130">
                  <c:v>44641</c:v>
                </c:pt>
                <c:pt idx="131">
                  <c:v>44642</c:v>
                </c:pt>
                <c:pt idx="132">
                  <c:v>44643</c:v>
                </c:pt>
                <c:pt idx="133">
                  <c:v>44644</c:v>
                </c:pt>
                <c:pt idx="134">
                  <c:v>44645</c:v>
                </c:pt>
                <c:pt idx="135">
                  <c:v>44648</c:v>
                </c:pt>
                <c:pt idx="136">
                  <c:v>44649</c:v>
                </c:pt>
                <c:pt idx="137">
                  <c:v>44650</c:v>
                </c:pt>
                <c:pt idx="138">
                  <c:v>44651</c:v>
                </c:pt>
                <c:pt idx="139">
                  <c:v>44652</c:v>
                </c:pt>
                <c:pt idx="140">
                  <c:v>44657</c:v>
                </c:pt>
                <c:pt idx="141">
                  <c:v>44658</c:v>
                </c:pt>
                <c:pt idx="142">
                  <c:v>44659</c:v>
                </c:pt>
                <c:pt idx="143">
                  <c:v>44662</c:v>
                </c:pt>
                <c:pt idx="144">
                  <c:v>44663</c:v>
                </c:pt>
                <c:pt idx="145">
                  <c:v>44664</c:v>
                </c:pt>
                <c:pt idx="146">
                  <c:v>44665</c:v>
                </c:pt>
                <c:pt idx="147">
                  <c:v>44666</c:v>
                </c:pt>
                <c:pt idx="148">
                  <c:v>44669</c:v>
                </c:pt>
                <c:pt idx="149">
                  <c:v>44670</c:v>
                </c:pt>
                <c:pt idx="150">
                  <c:v>44671</c:v>
                </c:pt>
                <c:pt idx="151">
                  <c:v>44672</c:v>
                </c:pt>
                <c:pt idx="152">
                  <c:v>44673</c:v>
                </c:pt>
                <c:pt idx="153">
                  <c:v>44676</c:v>
                </c:pt>
                <c:pt idx="154">
                  <c:v>44677</c:v>
                </c:pt>
                <c:pt idx="155">
                  <c:v>44678</c:v>
                </c:pt>
                <c:pt idx="156">
                  <c:v>44679</c:v>
                </c:pt>
                <c:pt idx="157">
                  <c:v>44680</c:v>
                </c:pt>
                <c:pt idx="158">
                  <c:v>44686</c:v>
                </c:pt>
                <c:pt idx="159">
                  <c:v>44687</c:v>
                </c:pt>
                <c:pt idx="160">
                  <c:v>44690</c:v>
                </c:pt>
                <c:pt idx="161">
                  <c:v>44691</c:v>
                </c:pt>
                <c:pt idx="162">
                  <c:v>44692</c:v>
                </c:pt>
                <c:pt idx="163">
                  <c:v>44693</c:v>
                </c:pt>
                <c:pt idx="164">
                  <c:v>44694</c:v>
                </c:pt>
                <c:pt idx="165">
                  <c:v>44697</c:v>
                </c:pt>
                <c:pt idx="166">
                  <c:v>44698</c:v>
                </c:pt>
                <c:pt idx="167">
                  <c:v>44699</c:v>
                </c:pt>
                <c:pt idx="168">
                  <c:v>44700</c:v>
                </c:pt>
                <c:pt idx="169">
                  <c:v>44701</c:v>
                </c:pt>
                <c:pt idx="170">
                  <c:v>44704</c:v>
                </c:pt>
                <c:pt idx="171">
                  <c:v>44705</c:v>
                </c:pt>
                <c:pt idx="172">
                  <c:v>44706</c:v>
                </c:pt>
                <c:pt idx="173">
                  <c:v>44707</c:v>
                </c:pt>
                <c:pt idx="174">
                  <c:v>44708</c:v>
                </c:pt>
                <c:pt idx="175">
                  <c:v>44711</c:v>
                </c:pt>
                <c:pt idx="176">
                  <c:v>44712</c:v>
                </c:pt>
                <c:pt idx="177">
                  <c:v>44713</c:v>
                </c:pt>
                <c:pt idx="178">
                  <c:v>44714</c:v>
                </c:pt>
                <c:pt idx="179">
                  <c:v>44718</c:v>
                </c:pt>
                <c:pt idx="180">
                  <c:v>44719</c:v>
                </c:pt>
                <c:pt idx="181">
                  <c:v>44720</c:v>
                </c:pt>
                <c:pt idx="182">
                  <c:v>44721</c:v>
                </c:pt>
                <c:pt idx="183">
                  <c:v>44722</c:v>
                </c:pt>
                <c:pt idx="184">
                  <c:v>44725</c:v>
                </c:pt>
                <c:pt idx="185">
                  <c:v>44726</c:v>
                </c:pt>
                <c:pt idx="186">
                  <c:v>44727</c:v>
                </c:pt>
                <c:pt idx="187">
                  <c:v>44728</c:v>
                </c:pt>
                <c:pt idx="188">
                  <c:v>44729</c:v>
                </c:pt>
                <c:pt idx="189">
                  <c:v>44732</c:v>
                </c:pt>
                <c:pt idx="190">
                  <c:v>44733</c:v>
                </c:pt>
                <c:pt idx="191">
                  <c:v>44734</c:v>
                </c:pt>
                <c:pt idx="192">
                  <c:v>44735</c:v>
                </c:pt>
                <c:pt idx="193">
                  <c:v>44736</c:v>
                </c:pt>
                <c:pt idx="194">
                  <c:v>44739</c:v>
                </c:pt>
                <c:pt idx="195">
                  <c:v>44740</c:v>
                </c:pt>
                <c:pt idx="196">
                  <c:v>44741</c:v>
                </c:pt>
                <c:pt idx="197">
                  <c:v>44742</c:v>
                </c:pt>
                <c:pt idx="198">
                  <c:v>44743</c:v>
                </c:pt>
                <c:pt idx="199">
                  <c:v>44746</c:v>
                </c:pt>
                <c:pt idx="200">
                  <c:v>44747</c:v>
                </c:pt>
                <c:pt idx="201">
                  <c:v>44748</c:v>
                </c:pt>
                <c:pt idx="202">
                  <c:v>44749</c:v>
                </c:pt>
                <c:pt idx="203">
                  <c:v>44750</c:v>
                </c:pt>
                <c:pt idx="204">
                  <c:v>44753</c:v>
                </c:pt>
                <c:pt idx="205">
                  <c:v>44754</c:v>
                </c:pt>
                <c:pt idx="206">
                  <c:v>44755</c:v>
                </c:pt>
                <c:pt idx="207">
                  <c:v>44756</c:v>
                </c:pt>
                <c:pt idx="208">
                  <c:v>44757</c:v>
                </c:pt>
                <c:pt idx="209">
                  <c:v>44760</c:v>
                </c:pt>
                <c:pt idx="210">
                  <c:v>44761</c:v>
                </c:pt>
                <c:pt idx="211">
                  <c:v>44762</c:v>
                </c:pt>
                <c:pt idx="212">
                  <c:v>44763</c:v>
                </c:pt>
                <c:pt idx="213">
                  <c:v>44764</c:v>
                </c:pt>
                <c:pt idx="214">
                  <c:v>44767</c:v>
                </c:pt>
                <c:pt idx="215">
                  <c:v>44768</c:v>
                </c:pt>
                <c:pt idx="216">
                  <c:v>44769</c:v>
                </c:pt>
                <c:pt idx="217">
                  <c:v>44770</c:v>
                </c:pt>
                <c:pt idx="218">
                  <c:v>44771</c:v>
                </c:pt>
                <c:pt idx="219">
                  <c:v>44774</c:v>
                </c:pt>
                <c:pt idx="220">
                  <c:v>44775</c:v>
                </c:pt>
                <c:pt idx="221">
                  <c:v>44776</c:v>
                </c:pt>
                <c:pt idx="222">
                  <c:v>44777</c:v>
                </c:pt>
                <c:pt idx="223">
                  <c:v>44778</c:v>
                </c:pt>
                <c:pt idx="224">
                  <c:v>44781</c:v>
                </c:pt>
                <c:pt idx="225">
                  <c:v>44782</c:v>
                </c:pt>
                <c:pt idx="226">
                  <c:v>44783</c:v>
                </c:pt>
                <c:pt idx="227">
                  <c:v>44784</c:v>
                </c:pt>
                <c:pt idx="228">
                  <c:v>44785</c:v>
                </c:pt>
                <c:pt idx="229">
                  <c:v>44788</c:v>
                </c:pt>
                <c:pt idx="230">
                  <c:v>44789</c:v>
                </c:pt>
                <c:pt idx="231">
                  <c:v>44790</c:v>
                </c:pt>
                <c:pt idx="232">
                  <c:v>44791</c:v>
                </c:pt>
                <c:pt idx="233">
                  <c:v>44792</c:v>
                </c:pt>
                <c:pt idx="234">
                  <c:v>44795</c:v>
                </c:pt>
                <c:pt idx="235">
                  <c:v>44796</c:v>
                </c:pt>
                <c:pt idx="236">
                  <c:v>44797</c:v>
                </c:pt>
                <c:pt idx="237">
                  <c:v>44798</c:v>
                </c:pt>
                <c:pt idx="238">
                  <c:v>44799</c:v>
                </c:pt>
                <c:pt idx="239">
                  <c:v>44802</c:v>
                </c:pt>
                <c:pt idx="240">
                  <c:v>44803</c:v>
                </c:pt>
                <c:pt idx="241">
                  <c:v>44804</c:v>
                </c:pt>
                <c:pt idx="242">
                  <c:v>44805</c:v>
                </c:pt>
                <c:pt idx="243">
                  <c:v>44806</c:v>
                </c:pt>
                <c:pt idx="244">
                  <c:v>44809</c:v>
                </c:pt>
                <c:pt idx="245">
                  <c:v>44810</c:v>
                </c:pt>
                <c:pt idx="246">
                  <c:v>44811</c:v>
                </c:pt>
                <c:pt idx="247">
                  <c:v>44812</c:v>
                </c:pt>
                <c:pt idx="248">
                  <c:v>44813</c:v>
                </c:pt>
                <c:pt idx="249">
                  <c:v>44817</c:v>
                </c:pt>
                <c:pt idx="250">
                  <c:v>44818</c:v>
                </c:pt>
                <c:pt idx="251">
                  <c:v>44819</c:v>
                </c:pt>
                <c:pt idx="252">
                  <c:v>44820</c:v>
                </c:pt>
                <c:pt idx="253">
                  <c:v>44823</c:v>
                </c:pt>
                <c:pt idx="254">
                  <c:v>44824</c:v>
                </c:pt>
                <c:pt idx="255">
                  <c:v>44825</c:v>
                </c:pt>
                <c:pt idx="256">
                  <c:v>44826</c:v>
                </c:pt>
                <c:pt idx="257">
                  <c:v>44827</c:v>
                </c:pt>
                <c:pt idx="258">
                  <c:v>44830</c:v>
                </c:pt>
                <c:pt idx="259">
                  <c:v>44831</c:v>
                </c:pt>
                <c:pt idx="260">
                  <c:v>44832</c:v>
                </c:pt>
                <c:pt idx="261">
                  <c:v>44833</c:v>
                </c:pt>
                <c:pt idx="262">
                  <c:v>44834</c:v>
                </c:pt>
                <c:pt idx="263">
                  <c:v>44844</c:v>
                </c:pt>
                <c:pt idx="264">
                  <c:v>44845</c:v>
                </c:pt>
                <c:pt idx="265">
                  <c:v>44846</c:v>
                </c:pt>
                <c:pt idx="266">
                  <c:v>44847</c:v>
                </c:pt>
                <c:pt idx="267">
                  <c:v>44848</c:v>
                </c:pt>
                <c:pt idx="268">
                  <c:v>44851</c:v>
                </c:pt>
                <c:pt idx="269">
                  <c:v>44852</c:v>
                </c:pt>
                <c:pt idx="270">
                  <c:v>44853</c:v>
                </c:pt>
                <c:pt idx="271">
                  <c:v>44854</c:v>
                </c:pt>
                <c:pt idx="272">
                  <c:v>44855</c:v>
                </c:pt>
                <c:pt idx="273">
                  <c:v>44858</c:v>
                </c:pt>
                <c:pt idx="274">
                  <c:v>44859</c:v>
                </c:pt>
                <c:pt idx="275">
                  <c:v>44860</c:v>
                </c:pt>
                <c:pt idx="276">
                  <c:v>44861</c:v>
                </c:pt>
                <c:pt idx="277">
                  <c:v>44862</c:v>
                </c:pt>
                <c:pt idx="278">
                  <c:v>44865</c:v>
                </c:pt>
                <c:pt idx="279">
                  <c:v>44866</c:v>
                </c:pt>
                <c:pt idx="280">
                  <c:v>44867</c:v>
                </c:pt>
                <c:pt idx="281">
                  <c:v>44868</c:v>
                </c:pt>
                <c:pt idx="282">
                  <c:v>44869</c:v>
                </c:pt>
                <c:pt idx="283">
                  <c:v>44872</c:v>
                </c:pt>
                <c:pt idx="284">
                  <c:v>44873</c:v>
                </c:pt>
                <c:pt idx="285">
                  <c:v>44874</c:v>
                </c:pt>
                <c:pt idx="286">
                  <c:v>44875</c:v>
                </c:pt>
                <c:pt idx="287">
                  <c:v>44876</c:v>
                </c:pt>
                <c:pt idx="288">
                  <c:v>44879</c:v>
                </c:pt>
                <c:pt idx="289">
                  <c:v>44880</c:v>
                </c:pt>
                <c:pt idx="290">
                  <c:v>44881</c:v>
                </c:pt>
                <c:pt idx="291">
                  <c:v>44882</c:v>
                </c:pt>
                <c:pt idx="292">
                  <c:v>44883</c:v>
                </c:pt>
                <c:pt idx="293">
                  <c:v>44886</c:v>
                </c:pt>
                <c:pt idx="294">
                  <c:v>44887</c:v>
                </c:pt>
                <c:pt idx="295">
                  <c:v>44888</c:v>
                </c:pt>
                <c:pt idx="296">
                  <c:v>44889</c:v>
                </c:pt>
                <c:pt idx="297">
                  <c:v>44890</c:v>
                </c:pt>
                <c:pt idx="298">
                  <c:v>44893</c:v>
                </c:pt>
                <c:pt idx="299">
                  <c:v>44894</c:v>
                </c:pt>
                <c:pt idx="300">
                  <c:v>44895</c:v>
                </c:pt>
                <c:pt idx="301">
                  <c:v>44896</c:v>
                </c:pt>
                <c:pt idx="302">
                  <c:v>44897</c:v>
                </c:pt>
                <c:pt idx="303">
                  <c:v>44900</c:v>
                </c:pt>
                <c:pt idx="304">
                  <c:v>44901</c:v>
                </c:pt>
                <c:pt idx="305">
                  <c:v>44902</c:v>
                </c:pt>
                <c:pt idx="306">
                  <c:v>44903</c:v>
                </c:pt>
                <c:pt idx="307">
                  <c:v>44904</c:v>
                </c:pt>
                <c:pt idx="308">
                  <c:v>44907</c:v>
                </c:pt>
                <c:pt idx="309">
                  <c:v>44908</c:v>
                </c:pt>
                <c:pt idx="310">
                  <c:v>44909</c:v>
                </c:pt>
                <c:pt idx="311">
                  <c:v>44910</c:v>
                </c:pt>
                <c:pt idx="312">
                  <c:v>44911</c:v>
                </c:pt>
                <c:pt idx="313">
                  <c:v>44914</c:v>
                </c:pt>
                <c:pt idx="314">
                  <c:v>44915</c:v>
                </c:pt>
                <c:pt idx="315">
                  <c:v>44916</c:v>
                </c:pt>
                <c:pt idx="316">
                  <c:v>44917</c:v>
                </c:pt>
                <c:pt idx="317">
                  <c:v>44918</c:v>
                </c:pt>
                <c:pt idx="318">
                  <c:v>44921</c:v>
                </c:pt>
                <c:pt idx="319">
                  <c:v>44922</c:v>
                </c:pt>
                <c:pt idx="320">
                  <c:v>44923</c:v>
                </c:pt>
                <c:pt idx="321">
                  <c:v>44924</c:v>
                </c:pt>
                <c:pt idx="322">
                  <c:v>44925</c:v>
                </c:pt>
                <c:pt idx="323">
                  <c:v>44929</c:v>
                </c:pt>
                <c:pt idx="324">
                  <c:v>44930</c:v>
                </c:pt>
                <c:pt idx="325">
                  <c:v>44931</c:v>
                </c:pt>
                <c:pt idx="326">
                  <c:v>44932</c:v>
                </c:pt>
                <c:pt idx="327">
                  <c:v>44935</c:v>
                </c:pt>
                <c:pt idx="328">
                  <c:v>44936</c:v>
                </c:pt>
                <c:pt idx="329">
                  <c:v>44937</c:v>
                </c:pt>
                <c:pt idx="330">
                  <c:v>44938</c:v>
                </c:pt>
                <c:pt idx="331">
                  <c:v>44939</c:v>
                </c:pt>
                <c:pt idx="332">
                  <c:v>44942</c:v>
                </c:pt>
                <c:pt idx="333">
                  <c:v>44943</c:v>
                </c:pt>
                <c:pt idx="334">
                  <c:v>44944</c:v>
                </c:pt>
                <c:pt idx="335">
                  <c:v>44945</c:v>
                </c:pt>
                <c:pt idx="336">
                  <c:v>44946</c:v>
                </c:pt>
                <c:pt idx="337">
                  <c:v>44954</c:v>
                </c:pt>
                <c:pt idx="338">
                  <c:v>44955</c:v>
                </c:pt>
                <c:pt idx="339">
                  <c:v>44956</c:v>
                </c:pt>
                <c:pt idx="340">
                  <c:v>44957</c:v>
                </c:pt>
                <c:pt idx="341">
                  <c:v>44958</c:v>
                </c:pt>
                <c:pt idx="342">
                  <c:v>44959</c:v>
                </c:pt>
                <c:pt idx="343">
                  <c:v>44960</c:v>
                </c:pt>
                <c:pt idx="344">
                  <c:v>44963</c:v>
                </c:pt>
                <c:pt idx="345">
                  <c:v>44964</c:v>
                </c:pt>
                <c:pt idx="346">
                  <c:v>44965</c:v>
                </c:pt>
                <c:pt idx="347">
                  <c:v>44966</c:v>
                </c:pt>
                <c:pt idx="348">
                  <c:v>44967</c:v>
                </c:pt>
                <c:pt idx="349">
                  <c:v>44970</c:v>
                </c:pt>
                <c:pt idx="350">
                  <c:v>44971</c:v>
                </c:pt>
                <c:pt idx="351">
                  <c:v>44972</c:v>
                </c:pt>
                <c:pt idx="352">
                  <c:v>44973</c:v>
                </c:pt>
                <c:pt idx="353">
                  <c:v>44974</c:v>
                </c:pt>
                <c:pt idx="354">
                  <c:v>44977</c:v>
                </c:pt>
                <c:pt idx="355">
                  <c:v>44978</c:v>
                </c:pt>
                <c:pt idx="356">
                  <c:v>44979</c:v>
                </c:pt>
                <c:pt idx="357">
                  <c:v>44980</c:v>
                </c:pt>
                <c:pt idx="358">
                  <c:v>44981</c:v>
                </c:pt>
                <c:pt idx="359">
                  <c:v>44984</c:v>
                </c:pt>
                <c:pt idx="360">
                  <c:v>44985</c:v>
                </c:pt>
                <c:pt idx="361">
                  <c:v>44986</c:v>
                </c:pt>
                <c:pt idx="362">
                  <c:v>44987</c:v>
                </c:pt>
                <c:pt idx="363">
                  <c:v>44988</c:v>
                </c:pt>
                <c:pt idx="364">
                  <c:v>44991</c:v>
                </c:pt>
                <c:pt idx="365">
                  <c:v>44992</c:v>
                </c:pt>
                <c:pt idx="366">
                  <c:v>44993</c:v>
                </c:pt>
                <c:pt idx="367">
                  <c:v>44994</c:v>
                </c:pt>
                <c:pt idx="368">
                  <c:v>44995</c:v>
                </c:pt>
                <c:pt idx="369">
                  <c:v>44998</c:v>
                </c:pt>
                <c:pt idx="370">
                  <c:v>44999</c:v>
                </c:pt>
                <c:pt idx="371">
                  <c:v>45000</c:v>
                </c:pt>
                <c:pt idx="372">
                  <c:v>45001</c:v>
                </c:pt>
                <c:pt idx="373">
                  <c:v>45002</c:v>
                </c:pt>
                <c:pt idx="374">
                  <c:v>45005</c:v>
                </c:pt>
                <c:pt idx="375">
                  <c:v>45006</c:v>
                </c:pt>
                <c:pt idx="376">
                  <c:v>45007</c:v>
                </c:pt>
                <c:pt idx="377">
                  <c:v>45008</c:v>
                </c:pt>
                <c:pt idx="378">
                  <c:v>45009</c:v>
                </c:pt>
                <c:pt idx="379">
                  <c:v>45012</c:v>
                </c:pt>
                <c:pt idx="380">
                  <c:v>45013</c:v>
                </c:pt>
              </c:numCache>
            </c:numRef>
          </c:val>
          <c:smooth val="0"/>
          <c:extLst>
            <c:ext xmlns:c16="http://schemas.microsoft.com/office/drawing/2014/chart" uri="{C3380CC4-5D6E-409C-BE32-E72D297353CC}">
              <c16:uniqueId val="{00000003-BC8C-4303-8113-184003FE4124}"/>
            </c:ext>
          </c:extLst>
        </c:ser>
        <c:dLbls>
          <c:showLegendKey val="0"/>
          <c:showVal val="0"/>
          <c:showCatName val="0"/>
          <c:showSerName val="0"/>
          <c:showPercent val="0"/>
          <c:showBubbleSize val="0"/>
        </c:dLbls>
        <c:smooth val="0"/>
        <c:axId val="164913799"/>
        <c:axId val="1938233591"/>
      </c:lineChart>
      <c:catAx>
        <c:axId val="164913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938233591"/>
        <c:crosses val="autoZero"/>
        <c:auto val="1"/>
        <c:lblAlgn val="ctr"/>
        <c:lblOffset val="100"/>
        <c:noMultiLvlLbl val="0"/>
      </c:catAx>
      <c:valAx>
        <c:axId val="1938233591"/>
        <c:scaling>
          <c:orientation val="minMax"/>
          <c:min val="4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4913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Charts!$B$1165</c:f>
              <c:strCache>
                <c:ptCount val="1"/>
                <c:pt idx="0">
                  <c:v>中国:价格:隔膜:陶瓷涂覆:9+3μm:国产中端（元/平方米）</c:v>
                </c:pt>
              </c:strCache>
            </c:strRef>
          </c:tx>
          <c:spPr>
            <a:ln w="28575" cap="rnd">
              <a:solidFill>
                <a:schemeClr val="accent1"/>
              </a:solidFill>
              <a:round/>
            </a:ln>
            <a:effectLst/>
          </c:spPr>
          <c:marker>
            <c:symbol val="none"/>
          </c:marker>
          <c:cat>
            <c:numRef>
              <c:f>Charts!$A$1166:$A$1638</c:f>
              <c:numCache>
                <c:formatCode>m/d/yyyy</c:formatCode>
                <c:ptCount val="473"/>
                <c:pt idx="0">
                  <c:v>44335</c:v>
                </c:pt>
                <c:pt idx="1">
                  <c:v>44336</c:v>
                </c:pt>
                <c:pt idx="2">
                  <c:v>44337</c:v>
                </c:pt>
                <c:pt idx="3">
                  <c:v>44340</c:v>
                </c:pt>
                <c:pt idx="4">
                  <c:v>44341</c:v>
                </c:pt>
                <c:pt idx="5">
                  <c:v>44342</c:v>
                </c:pt>
                <c:pt idx="6">
                  <c:v>44343</c:v>
                </c:pt>
                <c:pt idx="7">
                  <c:v>44344</c:v>
                </c:pt>
                <c:pt idx="8">
                  <c:v>44347</c:v>
                </c:pt>
                <c:pt idx="9">
                  <c:v>44348</c:v>
                </c:pt>
                <c:pt idx="10">
                  <c:v>44349</c:v>
                </c:pt>
                <c:pt idx="11">
                  <c:v>44350</c:v>
                </c:pt>
                <c:pt idx="12">
                  <c:v>44351</c:v>
                </c:pt>
                <c:pt idx="13">
                  <c:v>44354</c:v>
                </c:pt>
                <c:pt idx="14">
                  <c:v>44355</c:v>
                </c:pt>
                <c:pt idx="15">
                  <c:v>44356</c:v>
                </c:pt>
                <c:pt idx="16">
                  <c:v>44357</c:v>
                </c:pt>
                <c:pt idx="17">
                  <c:v>44358</c:v>
                </c:pt>
                <c:pt idx="18">
                  <c:v>44361</c:v>
                </c:pt>
                <c:pt idx="19">
                  <c:v>44362</c:v>
                </c:pt>
                <c:pt idx="20">
                  <c:v>44363</c:v>
                </c:pt>
                <c:pt idx="21">
                  <c:v>44364</c:v>
                </c:pt>
                <c:pt idx="22">
                  <c:v>44365</c:v>
                </c:pt>
                <c:pt idx="23">
                  <c:v>44368</c:v>
                </c:pt>
                <c:pt idx="24">
                  <c:v>44369</c:v>
                </c:pt>
                <c:pt idx="25">
                  <c:v>44370</c:v>
                </c:pt>
                <c:pt idx="26">
                  <c:v>44371</c:v>
                </c:pt>
                <c:pt idx="27">
                  <c:v>44372</c:v>
                </c:pt>
                <c:pt idx="28">
                  <c:v>44375</c:v>
                </c:pt>
                <c:pt idx="29">
                  <c:v>44376</c:v>
                </c:pt>
                <c:pt idx="30">
                  <c:v>44377</c:v>
                </c:pt>
                <c:pt idx="31">
                  <c:v>44378</c:v>
                </c:pt>
                <c:pt idx="32">
                  <c:v>44379</c:v>
                </c:pt>
                <c:pt idx="33">
                  <c:v>44382</c:v>
                </c:pt>
                <c:pt idx="34">
                  <c:v>44383</c:v>
                </c:pt>
                <c:pt idx="35">
                  <c:v>44384</c:v>
                </c:pt>
                <c:pt idx="36">
                  <c:v>44385</c:v>
                </c:pt>
                <c:pt idx="37">
                  <c:v>44386</c:v>
                </c:pt>
                <c:pt idx="38">
                  <c:v>44389</c:v>
                </c:pt>
                <c:pt idx="39">
                  <c:v>44390</c:v>
                </c:pt>
                <c:pt idx="40">
                  <c:v>44391</c:v>
                </c:pt>
                <c:pt idx="41">
                  <c:v>44392</c:v>
                </c:pt>
                <c:pt idx="42">
                  <c:v>44393</c:v>
                </c:pt>
                <c:pt idx="43">
                  <c:v>44396</c:v>
                </c:pt>
                <c:pt idx="44">
                  <c:v>44397</c:v>
                </c:pt>
                <c:pt idx="45">
                  <c:v>44398</c:v>
                </c:pt>
                <c:pt idx="46">
                  <c:v>44399</c:v>
                </c:pt>
                <c:pt idx="47">
                  <c:v>44400</c:v>
                </c:pt>
                <c:pt idx="48">
                  <c:v>44403</c:v>
                </c:pt>
                <c:pt idx="49">
                  <c:v>44404</c:v>
                </c:pt>
                <c:pt idx="50">
                  <c:v>44405</c:v>
                </c:pt>
                <c:pt idx="51">
                  <c:v>44406</c:v>
                </c:pt>
                <c:pt idx="52">
                  <c:v>44407</c:v>
                </c:pt>
                <c:pt idx="53">
                  <c:v>44410</c:v>
                </c:pt>
                <c:pt idx="54">
                  <c:v>44411</c:v>
                </c:pt>
                <c:pt idx="55">
                  <c:v>44412</c:v>
                </c:pt>
                <c:pt idx="56">
                  <c:v>44413</c:v>
                </c:pt>
                <c:pt idx="57">
                  <c:v>44414</c:v>
                </c:pt>
                <c:pt idx="58">
                  <c:v>44417</c:v>
                </c:pt>
                <c:pt idx="59">
                  <c:v>44418</c:v>
                </c:pt>
                <c:pt idx="60">
                  <c:v>44419</c:v>
                </c:pt>
                <c:pt idx="61">
                  <c:v>44420</c:v>
                </c:pt>
                <c:pt idx="62">
                  <c:v>44421</c:v>
                </c:pt>
                <c:pt idx="63">
                  <c:v>44424</c:v>
                </c:pt>
                <c:pt idx="64">
                  <c:v>44425</c:v>
                </c:pt>
                <c:pt idx="65">
                  <c:v>44426</c:v>
                </c:pt>
                <c:pt idx="66">
                  <c:v>44427</c:v>
                </c:pt>
                <c:pt idx="67">
                  <c:v>44428</c:v>
                </c:pt>
                <c:pt idx="68">
                  <c:v>44431</c:v>
                </c:pt>
                <c:pt idx="69">
                  <c:v>44432</c:v>
                </c:pt>
                <c:pt idx="70">
                  <c:v>44433</c:v>
                </c:pt>
                <c:pt idx="71">
                  <c:v>44434</c:v>
                </c:pt>
                <c:pt idx="72">
                  <c:v>44435</c:v>
                </c:pt>
                <c:pt idx="73">
                  <c:v>44438</c:v>
                </c:pt>
                <c:pt idx="74">
                  <c:v>44439</c:v>
                </c:pt>
                <c:pt idx="75">
                  <c:v>44440</c:v>
                </c:pt>
                <c:pt idx="76">
                  <c:v>44441</c:v>
                </c:pt>
                <c:pt idx="77">
                  <c:v>44442</c:v>
                </c:pt>
                <c:pt idx="78">
                  <c:v>44445</c:v>
                </c:pt>
                <c:pt idx="79">
                  <c:v>44446</c:v>
                </c:pt>
                <c:pt idx="80">
                  <c:v>44447</c:v>
                </c:pt>
                <c:pt idx="81">
                  <c:v>44448</c:v>
                </c:pt>
                <c:pt idx="82">
                  <c:v>44449</c:v>
                </c:pt>
                <c:pt idx="83">
                  <c:v>44452</c:v>
                </c:pt>
                <c:pt idx="84">
                  <c:v>44453</c:v>
                </c:pt>
                <c:pt idx="85">
                  <c:v>44454</c:v>
                </c:pt>
                <c:pt idx="86">
                  <c:v>44455</c:v>
                </c:pt>
                <c:pt idx="87">
                  <c:v>44456</c:v>
                </c:pt>
                <c:pt idx="88">
                  <c:v>44459</c:v>
                </c:pt>
                <c:pt idx="89">
                  <c:v>44460</c:v>
                </c:pt>
                <c:pt idx="90">
                  <c:v>44461</c:v>
                </c:pt>
                <c:pt idx="91">
                  <c:v>44462</c:v>
                </c:pt>
                <c:pt idx="92">
                  <c:v>44463</c:v>
                </c:pt>
                <c:pt idx="93">
                  <c:v>44466</c:v>
                </c:pt>
                <c:pt idx="94">
                  <c:v>44467</c:v>
                </c:pt>
                <c:pt idx="95">
                  <c:v>44468</c:v>
                </c:pt>
                <c:pt idx="96">
                  <c:v>44469</c:v>
                </c:pt>
                <c:pt idx="97">
                  <c:v>44477</c:v>
                </c:pt>
                <c:pt idx="98">
                  <c:v>44480</c:v>
                </c:pt>
                <c:pt idx="99">
                  <c:v>44481</c:v>
                </c:pt>
                <c:pt idx="100">
                  <c:v>44482</c:v>
                </c:pt>
                <c:pt idx="101">
                  <c:v>44483</c:v>
                </c:pt>
                <c:pt idx="102">
                  <c:v>44484</c:v>
                </c:pt>
                <c:pt idx="103">
                  <c:v>44487</c:v>
                </c:pt>
                <c:pt idx="104">
                  <c:v>44488</c:v>
                </c:pt>
                <c:pt idx="105">
                  <c:v>44489</c:v>
                </c:pt>
                <c:pt idx="106">
                  <c:v>44490</c:v>
                </c:pt>
                <c:pt idx="107">
                  <c:v>44491</c:v>
                </c:pt>
                <c:pt idx="108">
                  <c:v>44494</c:v>
                </c:pt>
                <c:pt idx="109">
                  <c:v>44495</c:v>
                </c:pt>
                <c:pt idx="110">
                  <c:v>44496</c:v>
                </c:pt>
                <c:pt idx="111">
                  <c:v>44497</c:v>
                </c:pt>
                <c:pt idx="112">
                  <c:v>44498</c:v>
                </c:pt>
                <c:pt idx="113">
                  <c:v>44501</c:v>
                </c:pt>
                <c:pt idx="114">
                  <c:v>44502</c:v>
                </c:pt>
                <c:pt idx="115">
                  <c:v>44503</c:v>
                </c:pt>
                <c:pt idx="116">
                  <c:v>44504</c:v>
                </c:pt>
                <c:pt idx="117">
                  <c:v>44505</c:v>
                </c:pt>
                <c:pt idx="118">
                  <c:v>44508</c:v>
                </c:pt>
                <c:pt idx="119">
                  <c:v>44509</c:v>
                </c:pt>
                <c:pt idx="120">
                  <c:v>44510</c:v>
                </c:pt>
                <c:pt idx="121">
                  <c:v>44511</c:v>
                </c:pt>
                <c:pt idx="122">
                  <c:v>44512</c:v>
                </c:pt>
                <c:pt idx="123">
                  <c:v>44515</c:v>
                </c:pt>
                <c:pt idx="124">
                  <c:v>44516</c:v>
                </c:pt>
                <c:pt idx="125">
                  <c:v>44517</c:v>
                </c:pt>
                <c:pt idx="126">
                  <c:v>44518</c:v>
                </c:pt>
                <c:pt idx="127">
                  <c:v>44519</c:v>
                </c:pt>
                <c:pt idx="128">
                  <c:v>44522</c:v>
                </c:pt>
                <c:pt idx="129">
                  <c:v>44523</c:v>
                </c:pt>
                <c:pt idx="130">
                  <c:v>44524</c:v>
                </c:pt>
                <c:pt idx="131">
                  <c:v>44525</c:v>
                </c:pt>
                <c:pt idx="132">
                  <c:v>44526</c:v>
                </c:pt>
                <c:pt idx="133">
                  <c:v>44529</c:v>
                </c:pt>
                <c:pt idx="134">
                  <c:v>44530</c:v>
                </c:pt>
                <c:pt idx="135">
                  <c:v>44531</c:v>
                </c:pt>
                <c:pt idx="136">
                  <c:v>44532</c:v>
                </c:pt>
                <c:pt idx="137">
                  <c:v>44533</c:v>
                </c:pt>
                <c:pt idx="138">
                  <c:v>44536</c:v>
                </c:pt>
                <c:pt idx="139">
                  <c:v>44537</c:v>
                </c:pt>
                <c:pt idx="140">
                  <c:v>44538</c:v>
                </c:pt>
                <c:pt idx="141">
                  <c:v>44539</c:v>
                </c:pt>
                <c:pt idx="142">
                  <c:v>44540</c:v>
                </c:pt>
                <c:pt idx="143">
                  <c:v>44543</c:v>
                </c:pt>
                <c:pt idx="144">
                  <c:v>44544</c:v>
                </c:pt>
                <c:pt idx="145">
                  <c:v>44545</c:v>
                </c:pt>
                <c:pt idx="146">
                  <c:v>44546</c:v>
                </c:pt>
                <c:pt idx="147">
                  <c:v>44547</c:v>
                </c:pt>
                <c:pt idx="148">
                  <c:v>44550</c:v>
                </c:pt>
                <c:pt idx="149">
                  <c:v>44551</c:v>
                </c:pt>
                <c:pt idx="150">
                  <c:v>44552</c:v>
                </c:pt>
                <c:pt idx="151">
                  <c:v>44553</c:v>
                </c:pt>
                <c:pt idx="152">
                  <c:v>44554</c:v>
                </c:pt>
                <c:pt idx="153">
                  <c:v>44557</c:v>
                </c:pt>
                <c:pt idx="154">
                  <c:v>44558</c:v>
                </c:pt>
                <c:pt idx="155">
                  <c:v>44559</c:v>
                </c:pt>
                <c:pt idx="156">
                  <c:v>44560</c:v>
                </c:pt>
                <c:pt idx="157">
                  <c:v>44561</c:v>
                </c:pt>
                <c:pt idx="158">
                  <c:v>44565</c:v>
                </c:pt>
                <c:pt idx="159">
                  <c:v>44566</c:v>
                </c:pt>
                <c:pt idx="160">
                  <c:v>44567</c:v>
                </c:pt>
                <c:pt idx="161">
                  <c:v>44568</c:v>
                </c:pt>
                <c:pt idx="162">
                  <c:v>44571</c:v>
                </c:pt>
                <c:pt idx="163">
                  <c:v>44572</c:v>
                </c:pt>
                <c:pt idx="164">
                  <c:v>44573</c:v>
                </c:pt>
                <c:pt idx="165">
                  <c:v>44574</c:v>
                </c:pt>
                <c:pt idx="166">
                  <c:v>44575</c:v>
                </c:pt>
                <c:pt idx="167">
                  <c:v>44578</c:v>
                </c:pt>
                <c:pt idx="168">
                  <c:v>44579</c:v>
                </c:pt>
                <c:pt idx="169">
                  <c:v>44580</c:v>
                </c:pt>
                <c:pt idx="170">
                  <c:v>44581</c:v>
                </c:pt>
                <c:pt idx="171">
                  <c:v>44582</c:v>
                </c:pt>
                <c:pt idx="172">
                  <c:v>44585</c:v>
                </c:pt>
                <c:pt idx="173">
                  <c:v>44586</c:v>
                </c:pt>
                <c:pt idx="174">
                  <c:v>44587</c:v>
                </c:pt>
                <c:pt idx="175">
                  <c:v>44588</c:v>
                </c:pt>
                <c:pt idx="176">
                  <c:v>44589</c:v>
                </c:pt>
                <c:pt idx="177">
                  <c:v>44599</c:v>
                </c:pt>
                <c:pt idx="178">
                  <c:v>44600</c:v>
                </c:pt>
                <c:pt idx="179">
                  <c:v>44601</c:v>
                </c:pt>
                <c:pt idx="180">
                  <c:v>44602</c:v>
                </c:pt>
                <c:pt idx="181">
                  <c:v>44603</c:v>
                </c:pt>
                <c:pt idx="182">
                  <c:v>44606</c:v>
                </c:pt>
                <c:pt idx="183">
                  <c:v>44607</c:v>
                </c:pt>
                <c:pt idx="184">
                  <c:v>44608</c:v>
                </c:pt>
                <c:pt idx="185">
                  <c:v>44609</c:v>
                </c:pt>
                <c:pt idx="186">
                  <c:v>44610</c:v>
                </c:pt>
                <c:pt idx="187">
                  <c:v>44613</c:v>
                </c:pt>
                <c:pt idx="188">
                  <c:v>44614</c:v>
                </c:pt>
                <c:pt idx="189">
                  <c:v>44615</c:v>
                </c:pt>
                <c:pt idx="190">
                  <c:v>44616</c:v>
                </c:pt>
                <c:pt idx="191">
                  <c:v>44617</c:v>
                </c:pt>
                <c:pt idx="192">
                  <c:v>44620</c:v>
                </c:pt>
                <c:pt idx="193">
                  <c:v>44621</c:v>
                </c:pt>
                <c:pt idx="194">
                  <c:v>44622</c:v>
                </c:pt>
                <c:pt idx="195">
                  <c:v>44623</c:v>
                </c:pt>
                <c:pt idx="196">
                  <c:v>44624</c:v>
                </c:pt>
                <c:pt idx="197">
                  <c:v>44627</c:v>
                </c:pt>
                <c:pt idx="198">
                  <c:v>44628</c:v>
                </c:pt>
                <c:pt idx="199">
                  <c:v>44629</c:v>
                </c:pt>
                <c:pt idx="200">
                  <c:v>44630</c:v>
                </c:pt>
                <c:pt idx="201">
                  <c:v>44631</c:v>
                </c:pt>
                <c:pt idx="202">
                  <c:v>44634</c:v>
                </c:pt>
                <c:pt idx="203">
                  <c:v>44635</c:v>
                </c:pt>
                <c:pt idx="204">
                  <c:v>44636</c:v>
                </c:pt>
                <c:pt idx="205">
                  <c:v>44637</c:v>
                </c:pt>
                <c:pt idx="206">
                  <c:v>44638</c:v>
                </c:pt>
                <c:pt idx="207">
                  <c:v>44641</c:v>
                </c:pt>
                <c:pt idx="208">
                  <c:v>44642</c:v>
                </c:pt>
                <c:pt idx="209">
                  <c:v>44643</c:v>
                </c:pt>
                <c:pt idx="210">
                  <c:v>44644</c:v>
                </c:pt>
                <c:pt idx="211">
                  <c:v>44645</c:v>
                </c:pt>
                <c:pt idx="212">
                  <c:v>44648</c:v>
                </c:pt>
                <c:pt idx="213">
                  <c:v>44649</c:v>
                </c:pt>
                <c:pt idx="214">
                  <c:v>44650</c:v>
                </c:pt>
                <c:pt idx="215">
                  <c:v>44651</c:v>
                </c:pt>
                <c:pt idx="216">
                  <c:v>44652</c:v>
                </c:pt>
                <c:pt idx="217">
                  <c:v>44655</c:v>
                </c:pt>
                <c:pt idx="218">
                  <c:v>44656</c:v>
                </c:pt>
                <c:pt idx="219">
                  <c:v>44657</c:v>
                </c:pt>
                <c:pt idx="220">
                  <c:v>44658</c:v>
                </c:pt>
                <c:pt idx="221">
                  <c:v>44659</c:v>
                </c:pt>
                <c:pt idx="222">
                  <c:v>44662</c:v>
                </c:pt>
                <c:pt idx="223">
                  <c:v>44663</c:v>
                </c:pt>
                <c:pt idx="224">
                  <c:v>44664</c:v>
                </c:pt>
                <c:pt idx="225">
                  <c:v>44665</c:v>
                </c:pt>
                <c:pt idx="226">
                  <c:v>44666</c:v>
                </c:pt>
                <c:pt idx="227">
                  <c:v>44669</c:v>
                </c:pt>
                <c:pt idx="228">
                  <c:v>44670</c:v>
                </c:pt>
                <c:pt idx="229">
                  <c:v>44671</c:v>
                </c:pt>
                <c:pt idx="230">
                  <c:v>44672</c:v>
                </c:pt>
                <c:pt idx="231">
                  <c:v>44673</c:v>
                </c:pt>
                <c:pt idx="232">
                  <c:v>44675</c:v>
                </c:pt>
                <c:pt idx="233">
                  <c:v>44676</c:v>
                </c:pt>
                <c:pt idx="234">
                  <c:v>44677</c:v>
                </c:pt>
                <c:pt idx="235">
                  <c:v>44678</c:v>
                </c:pt>
                <c:pt idx="236">
                  <c:v>44679</c:v>
                </c:pt>
                <c:pt idx="237">
                  <c:v>44680</c:v>
                </c:pt>
                <c:pt idx="238">
                  <c:v>44686</c:v>
                </c:pt>
                <c:pt idx="239">
                  <c:v>44687</c:v>
                </c:pt>
                <c:pt idx="240">
                  <c:v>44688</c:v>
                </c:pt>
                <c:pt idx="241">
                  <c:v>44690</c:v>
                </c:pt>
                <c:pt idx="242">
                  <c:v>44691</c:v>
                </c:pt>
                <c:pt idx="243">
                  <c:v>44692</c:v>
                </c:pt>
                <c:pt idx="244">
                  <c:v>44693</c:v>
                </c:pt>
                <c:pt idx="245">
                  <c:v>44694</c:v>
                </c:pt>
                <c:pt idx="246">
                  <c:v>44697</c:v>
                </c:pt>
                <c:pt idx="247">
                  <c:v>44698</c:v>
                </c:pt>
                <c:pt idx="248">
                  <c:v>44699</c:v>
                </c:pt>
                <c:pt idx="249">
                  <c:v>44700</c:v>
                </c:pt>
                <c:pt idx="250">
                  <c:v>44701</c:v>
                </c:pt>
                <c:pt idx="251">
                  <c:v>44704</c:v>
                </c:pt>
                <c:pt idx="252">
                  <c:v>44705</c:v>
                </c:pt>
                <c:pt idx="253">
                  <c:v>44706</c:v>
                </c:pt>
                <c:pt idx="254">
                  <c:v>44707</c:v>
                </c:pt>
                <c:pt idx="255">
                  <c:v>44708</c:v>
                </c:pt>
                <c:pt idx="256">
                  <c:v>44711</c:v>
                </c:pt>
                <c:pt idx="257">
                  <c:v>44712</c:v>
                </c:pt>
                <c:pt idx="258">
                  <c:v>44713</c:v>
                </c:pt>
                <c:pt idx="259">
                  <c:v>44714</c:v>
                </c:pt>
                <c:pt idx="260">
                  <c:v>44715</c:v>
                </c:pt>
                <c:pt idx="261">
                  <c:v>44718</c:v>
                </c:pt>
                <c:pt idx="262">
                  <c:v>44719</c:v>
                </c:pt>
                <c:pt idx="263">
                  <c:v>44720</c:v>
                </c:pt>
                <c:pt idx="264">
                  <c:v>44721</c:v>
                </c:pt>
                <c:pt idx="265">
                  <c:v>44722</c:v>
                </c:pt>
                <c:pt idx="266">
                  <c:v>44725</c:v>
                </c:pt>
                <c:pt idx="267">
                  <c:v>44726</c:v>
                </c:pt>
                <c:pt idx="268">
                  <c:v>44727</c:v>
                </c:pt>
                <c:pt idx="269">
                  <c:v>44728</c:v>
                </c:pt>
                <c:pt idx="270">
                  <c:v>44729</c:v>
                </c:pt>
                <c:pt idx="271">
                  <c:v>44732</c:v>
                </c:pt>
                <c:pt idx="272">
                  <c:v>44733</c:v>
                </c:pt>
                <c:pt idx="273">
                  <c:v>44734</c:v>
                </c:pt>
                <c:pt idx="274">
                  <c:v>44735</c:v>
                </c:pt>
                <c:pt idx="275">
                  <c:v>44736</c:v>
                </c:pt>
                <c:pt idx="276">
                  <c:v>44739</c:v>
                </c:pt>
                <c:pt idx="277">
                  <c:v>44740</c:v>
                </c:pt>
                <c:pt idx="278">
                  <c:v>44741</c:v>
                </c:pt>
                <c:pt idx="279">
                  <c:v>44742</c:v>
                </c:pt>
                <c:pt idx="280">
                  <c:v>44743</c:v>
                </c:pt>
                <c:pt idx="281">
                  <c:v>44746</c:v>
                </c:pt>
                <c:pt idx="282">
                  <c:v>44747</c:v>
                </c:pt>
                <c:pt idx="283">
                  <c:v>44748</c:v>
                </c:pt>
                <c:pt idx="284">
                  <c:v>44749</c:v>
                </c:pt>
                <c:pt idx="285">
                  <c:v>44750</c:v>
                </c:pt>
                <c:pt idx="286">
                  <c:v>44753</c:v>
                </c:pt>
                <c:pt idx="287">
                  <c:v>44754</c:v>
                </c:pt>
                <c:pt idx="288">
                  <c:v>44755</c:v>
                </c:pt>
                <c:pt idx="289">
                  <c:v>44756</c:v>
                </c:pt>
                <c:pt idx="290">
                  <c:v>44757</c:v>
                </c:pt>
                <c:pt idx="291">
                  <c:v>44760</c:v>
                </c:pt>
                <c:pt idx="292">
                  <c:v>44761</c:v>
                </c:pt>
                <c:pt idx="293">
                  <c:v>44762</c:v>
                </c:pt>
                <c:pt idx="294">
                  <c:v>44763</c:v>
                </c:pt>
                <c:pt idx="295">
                  <c:v>44764</c:v>
                </c:pt>
                <c:pt idx="296">
                  <c:v>44767</c:v>
                </c:pt>
                <c:pt idx="297">
                  <c:v>44768</c:v>
                </c:pt>
                <c:pt idx="298">
                  <c:v>44769</c:v>
                </c:pt>
                <c:pt idx="299">
                  <c:v>44770</c:v>
                </c:pt>
                <c:pt idx="300">
                  <c:v>44771</c:v>
                </c:pt>
                <c:pt idx="301">
                  <c:v>44774</c:v>
                </c:pt>
                <c:pt idx="302">
                  <c:v>44775</c:v>
                </c:pt>
                <c:pt idx="303">
                  <c:v>44776</c:v>
                </c:pt>
                <c:pt idx="304">
                  <c:v>44777</c:v>
                </c:pt>
                <c:pt idx="305">
                  <c:v>44778</c:v>
                </c:pt>
                <c:pt idx="306">
                  <c:v>44781</c:v>
                </c:pt>
                <c:pt idx="307">
                  <c:v>44782</c:v>
                </c:pt>
                <c:pt idx="308">
                  <c:v>44783</c:v>
                </c:pt>
                <c:pt idx="309">
                  <c:v>44784</c:v>
                </c:pt>
                <c:pt idx="310">
                  <c:v>44785</c:v>
                </c:pt>
                <c:pt idx="311">
                  <c:v>44788</c:v>
                </c:pt>
                <c:pt idx="312">
                  <c:v>44789</c:v>
                </c:pt>
                <c:pt idx="313">
                  <c:v>44790</c:v>
                </c:pt>
                <c:pt idx="314">
                  <c:v>44791</c:v>
                </c:pt>
                <c:pt idx="315">
                  <c:v>44792</c:v>
                </c:pt>
                <c:pt idx="316">
                  <c:v>44795</c:v>
                </c:pt>
                <c:pt idx="317">
                  <c:v>44796</c:v>
                </c:pt>
                <c:pt idx="318">
                  <c:v>44797</c:v>
                </c:pt>
                <c:pt idx="319">
                  <c:v>44798</c:v>
                </c:pt>
                <c:pt idx="320">
                  <c:v>44799</c:v>
                </c:pt>
                <c:pt idx="321">
                  <c:v>44802</c:v>
                </c:pt>
                <c:pt idx="322">
                  <c:v>44803</c:v>
                </c:pt>
                <c:pt idx="323">
                  <c:v>44804</c:v>
                </c:pt>
                <c:pt idx="324">
                  <c:v>44805</c:v>
                </c:pt>
                <c:pt idx="325">
                  <c:v>44806</c:v>
                </c:pt>
                <c:pt idx="326">
                  <c:v>44809</c:v>
                </c:pt>
                <c:pt idx="327">
                  <c:v>44810</c:v>
                </c:pt>
                <c:pt idx="328">
                  <c:v>44811</c:v>
                </c:pt>
                <c:pt idx="329">
                  <c:v>44812</c:v>
                </c:pt>
                <c:pt idx="330">
                  <c:v>44813</c:v>
                </c:pt>
                <c:pt idx="331">
                  <c:v>44816</c:v>
                </c:pt>
                <c:pt idx="332">
                  <c:v>44817</c:v>
                </c:pt>
                <c:pt idx="333">
                  <c:v>44818</c:v>
                </c:pt>
                <c:pt idx="334">
                  <c:v>44819</c:v>
                </c:pt>
                <c:pt idx="335">
                  <c:v>44820</c:v>
                </c:pt>
                <c:pt idx="336">
                  <c:v>44823</c:v>
                </c:pt>
                <c:pt idx="337">
                  <c:v>44824</c:v>
                </c:pt>
                <c:pt idx="338">
                  <c:v>44825</c:v>
                </c:pt>
                <c:pt idx="339">
                  <c:v>44826</c:v>
                </c:pt>
                <c:pt idx="340">
                  <c:v>44827</c:v>
                </c:pt>
                <c:pt idx="341">
                  <c:v>44830</c:v>
                </c:pt>
                <c:pt idx="342">
                  <c:v>44831</c:v>
                </c:pt>
                <c:pt idx="343">
                  <c:v>44832</c:v>
                </c:pt>
                <c:pt idx="344">
                  <c:v>44833</c:v>
                </c:pt>
                <c:pt idx="345">
                  <c:v>44834</c:v>
                </c:pt>
                <c:pt idx="346">
                  <c:v>44841</c:v>
                </c:pt>
                <c:pt idx="347">
                  <c:v>44842</c:v>
                </c:pt>
                <c:pt idx="348">
                  <c:v>44843</c:v>
                </c:pt>
                <c:pt idx="349">
                  <c:v>44844</c:v>
                </c:pt>
                <c:pt idx="350">
                  <c:v>44845</c:v>
                </c:pt>
                <c:pt idx="351">
                  <c:v>44846</c:v>
                </c:pt>
                <c:pt idx="352">
                  <c:v>44847</c:v>
                </c:pt>
                <c:pt idx="353">
                  <c:v>44848</c:v>
                </c:pt>
                <c:pt idx="354">
                  <c:v>44851</c:v>
                </c:pt>
                <c:pt idx="355">
                  <c:v>44852</c:v>
                </c:pt>
                <c:pt idx="356">
                  <c:v>44853</c:v>
                </c:pt>
                <c:pt idx="357">
                  <c:v>44854</c:v>
                </c:pt>
                <c:pt idx="358">
                  <c:v>44855</c:v>
                </c:pt>
                <c:pt idx="359">
                  <c:v>44858</c:v>
                </c:pt>
                <c:pt idx="360">
                  <c:v>44859</c:v>
                </c:pt>
                <c:pt idx="361">
                  <c:v>44860</c:v>
                </c:pt>
                <c:pt idx="362">
                  <c:v>44861</c:v>
                </c:pt>
                <c:pt idx="363">
                  <c:v>44862</c:v>
                </c:pt>
                <c:pt idx="364">
                  <c:v>44865</c:v>
                </c:pt>
                <c:pt idx="365">
                  <c:v>44866</c:v>
                </c:pt>
                <c:pt idx="366">
                  <c:v>44867</c:v>
                </c:pt>
                <c:pt idx="367">
                  <c:v>44868</c:v>
                </c:pt>
                <c:pt idx="368">
                  <c:v>44869</c:v>
                </c:pt>
                <c:pt idx="369">
                  <c:v>44872</c:v>
                </c:pt>
                <c:pt idx="370">
                  <c:v>44873</c:v>
                </c:pt>
                <c:pt idx="371">
                  <c:v>44874</c:v>
                </c:pt>
                <c:pt idx="372">
                  <c:v>44875</c:v>
                </c:pt>
                <c:pt idx="373">
                  <c:v>44876</c:v>
                </c:pt>
                <c:pt idx="374">
                  <c:v>44879</c:v>
                </c:pt>
                <c:pt idx="375">
                  <c:v>44880</c:v>
                </c:pt>
                <c:pt idx="376">
                  <c:v>44881</c:v>
                </c:pt>
                <c:pt idx="377">
                  <c:v>44882</c:v>
                </c:pt>
                <c:pt idx="378">
                  <c:v>44883</c:v>
                </c:pt>
                <c:pt idx="379">
                  <c:v>44886</c:v>
                </c:pt>
                <c:pt idx="380">
                  <c:v>44887</c:v>
                </c:pt>
                <c:pt idx="381">
                  <c:v>44888</c:v>
                </c:pt>
                <c:pt idx="382">
                  <c:v>44889</c:v>
                </c:pt>
                <c:pt idx="383">
                  <c:v>44890</c:v>
                </c:pt>
                <c:pt idx="384">
                  <c:v>44893</c:v>
                </c:pt>
                <c:pt idx="385">
                  <c:v>44894</c:v>
                </c:pt>
                <c:pt idx="386">
                  <c:v>44895</c:v>
                </c:pt>
                <c:pt idx="387">
                  <c:v>44896</c:v>
                </c:pt>
                <c:pt idx="388">
                  <c:v>44897</c:v>
                </c:pt>
                <c:pt idx="389">
                  <c:v>44900</c:v>
                </c:pt>
                <c:pt idx="390">
                  <c:v>44901</c:v>
                </c:pt>
                <c:pt idx="391">
                  <c:v>44902</c:v>
                </c:pt>
                <c:pt idx="392">
                  <c:v>44903</c:v>
                </c:pt>
                <c:pt idx="393">
                  <c:v>44904</c:v>
                </c:pt>
                <c:pt idx="394">
                  <c:v>44907</c:v>
                </c:pt>
                <c:pt idx="395">
                  <c:v>44908</c:v>
                </c:pt>
                <c:pt idx="396">
                  <c:v>44909</c:v>
                </c:pt>
                <c:pt idx="397">
                  <c:v>44910</c:v>
                </c:pt>
                <c:pt idx="398">
                  <c:v>44911</c:v>
                </c:pt>
                <c:pt idx="399">
                  <c:v>44914</c:v>
                </c:pt>
                <c:pt idx="400">
                  <c:v>44915</c:v>
                </c:pt>
                <c:pt idx="401">
                  <c:v>44916</c:v>
                </c:pt>
                <c:pt idx="402">
                  <c:v>44917</c:v>
                </c:pt>
                <c:pt idx="403">
                  <c:v>44918</c:v>
                </c:pt>
                <c:pt idx="404">
                  <c:v>44921</c:v>
                </c:pt>
                <c:pt idx="405">
                  <c:v>44922</c:v>
                </c:pt>
                <c:pt idx="406">
                  <c:v>44923</c:v>
                </c:pt>
                <c:pt idx="407">
                  <c:v>44924</c:v>
                </c:pt>
                <c:pt idx="408">
                  <c:v>44925</c:v>
                </c:pt>
                <c:pt idx="409">
                  <c:v>44928</c:v>
                </c:pt>
                <c:pt idx="410">
                  <c:v>44929</c:v>
                </c:pt>
                <c:pt idx="411">
                  <c:v>44930</c:v>
                </c:pt>
                <c:pt idx="412">
                  <c:v>44931</c:v>
                </c:pt>
                <c:pt idx="413">
                  <c:v>44932</c:v>
                </c:pt>
                <c:pt idx="414">
                  <c:v>44935</c:v>
                </c:pt>
                <c:pt idx="415">
                  <c:v>44936</c:v>
                </c:pt>
                <c:pt idx="416">
                  <c:v>44937</c:v>
                </c:pt>
                <c:pt idx="417">
                  <c:v>44938</c:v>
                </c:pt>
                <c:pt idx="418">
                  <c:v>44939</c:v>
                </c:pt>
                <c:pt idx="419">
                  <c:v>44942</c:v>
                </c:pt>
                <c:pt idx="420">
                  <c:v>44943</c:v>
                </c:pt>
                <c:pt idx="421">
                  <c:v>44944</c:v>
                </c:pt>
                <c:pt idx="422">
                  <c:v>44945</c:v>
                </c:pt>
                <c:pt idx="423">
                  <c:v>44946</c:v>
                </c:pt>
                <c:pt idx="424">
                  <c:v>44949</c:v>
                </c:pt>
                <c:pt idx="425">
                  <c:v>44950</c:v>
                </c:pt>
                <c:pt idx="426">
                  <c:v>44951</c:v>
                </c:pt>
                <c:pt idx="427">
                  <c:v>44952</c:v>
                </c:pt>
                <c:pt idx="428">
                  <c:v>44953</c:v>
                </c:pt>
                <c:pt idx="429">
                  <c:v>44954</c:v>
                </c:pt>
                <c:pt idx="430">
                  <c:v>44955</c:v>
                </c:pt>
                <c:pt idx="431">
                  <c:v>44956</c:v>
                </c:pt>
                <c:pt idx="432">
                  <c:v>44957</c:v>
                </c:pt>
                <c:pt idx="433">
                  <c:v>44958</c:v>
                </c:pt>
                <c:pt idx="434">
                  <c:v>44959</c:v>
                </c:pt>
                <c:pt idx="435">
                  <c:v>44960</c:v>
                </c:pt>
                <c:pt idx="436">
                  <c:v>44963</c:v>
                </c:pt>
                <c:pt idx="437">
                  <c:v>44964</c:v>
                </c:pt>
                <c:pt idx="438">
                  <c:v>44965</c:v>
                </c:pt>
                <c:pt idx="439">
                  <c:v>44966</c:v>
                </c:pt>
                <c:pt idx="440">
                  <c:v>44967</c:v>
                </c:pt>
                <c:pt idx="441">
                  <c:v>44970</c:v>
                </c:pt>
                <c:pt idx="442">
                  <c:v>44971</c:v>
                </c:pt>
                <c:pt idx="443">
                  <c:v>44972</c:v>
                </c:pt>
                <c:pt idx="444">
                  <c:v>44973</c:v>
                </c:pt>
                <c:pt idx="445">
                  <c:v>44974</c:v>
                </c:pt>
                <c:pt idx="446">
                  <c:v>44977</c:v>
                </c:pt>
                <c:pt idx="447">
                  <c:v>44978</c:v>
                </c:pt>
                <c:pt idx="448">
                  <c:v>44979</c:v>
                </c:pt>
                <c:pt idx="449">
                  <c:v>44980</c:v>
                </c:pt>
                <c:pt idx="450">
                  <c:v>44981</c:v>
                </c:pt>
                <c:pt idx="451">
                  <c:v>44984</c:v>
                </c:pt>
                <c:pt idx="452">
                  <c:v>44985</c:v>
                </c:pt>
                <c:pt idx="453">
                  <c:v>44986</c:v>
                </c:pt>
                <c:pt idx="454">
                  <c:v>44987</c:v>
                </c:pt>
                <c:pt idx="455">
                  <c:v>44988</c:v>
                </c:pt>
                <c:pt idx="456">
                  <c:v>44991</c:v>
                </c:pt>
                <c:pt idx="457">
                  <c:v>44992</c:v>
                </c:pt>
                <c:pt idx="458">
                  <c:v>44993</c:v>
                </c:pt>
                <c:pt idx="459">
                  <c:v>44994</c:v>
                </c:pt>
                <c:pt idx="460">
                  <c:v>44995</c:v>
                </c:pt>
                <c:pt idx="461">
                  <c:v>44998</c:v>
                </c:pt>
                <c:pt idx="462">
                  <c:v>44999</c:v>
                </c:pt>
                <c:pt idx="463">
                  <c:v>45000</c:v>
                </c:pt>
                <c:pt idx="464">
                  <c:v>45001</c:v>
                </c:pt>
                <c:pt idx="465">
                  <c:v>45002</c:v>
                </c:pt>
                <c:pt idx="466">
                  <c:v>45005</c:v>
                </c:pt>
                <c:pt idx="467">
                  <c:v>45006</c:v>
                </c:pt>
                <c:pt idx="468">
                  <c:v>45007</c:v>
                </c:pt>
                <c:pt idx="469">
                  <c:v>45008</c:v>
                </c:pt>
                <c:pt idx="470">
                  <c:v>45009</c:v>
                </c:pt>
                <c:pt idx="471">
                  <c:v>45012</c:v>
                </c:pt>
                <c:pt idx="472">
                  <c:v>45013</c:v>
                </c:pt>
              </c:numCache>
            </c:numRef>
          </c:cat>
          <c:val>
            <c:numRef>
              <c:f>Charts!$B$1166:$B$1638</c:f>
              <c:numCache>
                <c:formatCode>General</c:formatCode>
                <c:ptCount val="473"/>
                <c:pt idx="0">
                  <c:v>1.95</c:v>
                </c:pt>
                <c:pt idx="1">
                  <c:v>1.95</c:v>
                </c:pt>
                <c:pt idx="2">
                  <c:v>1.95</c:v>
                </c:pt>
                <c:pt idx="3">
                  <c:v>1.95</c:v>
                </c:pt>
                <c:pt idx="4">
                  <c:v>1.95</c:v>
                </c:pt>
                <c:pt idx="5">
                  <c:v>1.95</c:v>
                </c:pt>
                <c:pt idx="6">
                  <c:v>1.95</c:v>
                </c:pt>
                <c:pt idx="7">
                  <c:v>1.95</c:v>
                </c:pt>
                <c:pt idx="8">
                  <c:v>1.95</c:v>
                </c:pt>
                <c:pt idx="9">
                  <c:v>1.95</c:v>
                </c:pt>
                <c:pt idx="10">
                  <c:v>1.95</c:v>
                </c:pt>
                <c:pt idx="11">
                  <c:v>1.95</c:v>
                </c:pt>
                <c:pt idx="12">
                  <c:v>1.95</c:v>
                </c:pt>
                <c:pt idx="13">
                  <c:v>1.95</c:v>
                </c:pt>
                <c:pt idx="14">
                  <c:v>1.95</c:v>
                </c:pt>
                <c:pt idx="15">
                  <c:v>1.95</c:v>
                </c:pt>
                <c:pt idx="16">
                  <c:v>1.95</c:v>
                </c:pt>
                <c:pt idx="17">
                  <c:v>1.95</c:v>
                </c:pt>
                <c:pt idx="18">
                  <c:v>1.95</c:v>
                </c:pt>
                <c:pt idx="19">
                  <c:v>1.95</c:v>
                </c:pt>
                <c:pt idx="20">
                  <c:v>1.95</c:v>
                </c:pt>
                <c:pt idx="21">
                  <c:v>1.95</c:v>
                </c:pt>
                <c:pt idx="22">
                  <c:v>1.95</c:v>
                </c:pt>
                <c:pt idx="23">
                  <c:v>1.95</c:v>
                </c:pt>
                <c:pt idx="24">
                  <c:v>1.95</c:v>
                </c:pt>
                <c:pt idx="25">
                  <c:v>1.95</c:v>
                </c:pt>
                <c:pt idx="26">
                  <c:v>1.95</c:v>
                </c:pt>
                <c:pt idx="27">
                  <c:v>1.95</c:v>
                </c:pt>
                <c:pt idx="28">
                  <c:v>1.95</c:v>
                </c:pt>
                <c:pt idx="29">
                  <c:v>1.95</c:v>
                </c:pt>
                <c:pt idx="30">
                  <c:v>1.95</c:v>
                </c:pt>
                <c:pt idx="31">
                  <c:v>1.95</c:v>
                </c:pt>
                <c:pt idx="32">
                  <c:v>1.95</c:v>
                </c:pt>
                <c:pt idx="33">
                  <c:v>1.95</c:v>
                </c:pt>
                <c:pt idx="34">
                  <c:v>1.95</c:v>
                </c:pt>
                <c:pt idx="35">
                  <c:v>1.95</c:v>
                </c:pt>
                <c:pt idx="36">
                  <c:v>1.95</c:v>
                </c:pt>
                <c:pt idx="37">
                  <c:v>1.95</c:v>
                </c:pt>
                <c:pt idx="38">
                  <c:v>1.95</c:v>
                </c:pt>
                <c:pt idx="39">
                  <c:v>1.95</c:v>
                </c:pt>
                <c:pt idx="40">
                  <c:v>1.95</c:v>
                </c:pt>
                <c:pt idx="41">
                  <c:v>1.95</c:v>
                </c:pt>
                <c:pt idx="42">
                  <c:v>1.95</c:v>
                </c:pt>
                <c:pt idx="43">
                  <c:v>1.95</c:v>
                </c:pt>
                <c:pt idx="44">
                  <c:v>1.95</c:v>
                </c:pt>
                <c:pt idx="45">
                  <c:v>1.95</c:v>
                </c:pt>
                <c:pt idx="46">
                  <c:v>1.95</c:v>
                </c:pt>
                <c:pt idx="47">
                  <c:v>1.95</c:v>
                </c:pt>
                <c:pt idx="48">
                  <c:v>1.95</c:v>
                </c:pt>
                <c:pt idx="49">
                  <c:v>1.95</c:v>
                </c:pt>
                <c:pt idx="50">
                  <c:v>1.95</c:v>
                </c:pt>
                <c:pt idx="51">
                  <c:v>1.95</c:v>
                </c:pt>
                <c:pt idx="52">
                  <c:v>1.95</c:v>
                </c:pt>
                <c:pt idx="53">
                  <c:v>1.95</c:v>
                </c:pt>
                <c:pt idx="54">
                  <c:v>1.95</c:v>
                </c:pt>
                <c:pt idx="55">
                  <c:v>1.95</c:v>
                </c:pt>
                <c:pt idx="56">
                  <c:v>1.95</c:v>
                </c:pt>
                <c:pt idx="57">
                  <c:v>1.95</c:v>
                </c:pt>
                <c:pt idx="58">
                  <c:v>1.95</c:v>
                </c:pt>
                <c:pt idx="59">
                  <c:v>1.95</c:v>
                </c:pt>
                <c:pt idx="60">
                  <c:v>1.95</c:v>
                </c:pt>
                <c:pt idx="61">
                  <c:v>1.95</c:v>
                </c:pt>
                <c:pt idx="62">
                  <c:v>1.95</c:v>
                </c:pt>
                <c:pt idx="63">
                  <c:v>1.95</c:v>
                </c:pt>
                <c:pt idx="64">
                  <c:v>1.95</c:v>
                </c:pt>
                <c:pt idx="65">
                  <c:v>1.95</c:v>
                </c:pt>
                <c:pt idx="66">
                  <c:v>1.95</c:v>
                </c:pt>
                <c:pt idx="67">
                  <c:v>1.95</c:v>
                </c:pt>
                <c:pt idx="68">
                  <c:v>1.95</c:v>
                </c:pt>
                <c:pt idx="69">
                  <c:v>1.95</c:v>
                </c:pt>
                <c:pt idx="70">
                  <c:v>1.95</c:v>
                </c:pt>
                <c:pt idx="71">
                  <c:v>1.95</c:v>
                </c:pt>
                <c:pt idx="72">
                  <c:v>1.95</c:v>
                </c:pt>
                <c:pt idx="73">
                  <c:v>1.95</c:v>
                </c:pt>
                <c:pt idx="74">
                  <c:v>1.95</c:v>
                </c:pt>
                <c:pt idx="75">
                  <c:v>1.95</c:v>
                </c:pt>
                <c:pt idx="76">
                  <c:v>1.95</c:v>
                </c:pt>
                <c:pt idx="77">
                  <c:v>1.95</c:v>
                </c:pt>
                <c:pt idx="78">
                  <c:v>1.95</c:v>
                </c:pt>
                <c:pt idx="79">
                  <c:v>1.95</c:v>
                </c:pt>
                <c:pt idx="80">
                  <c:v>1.95</c:v>
                </c:pt>
                <c:pt idx="81">
                  <c:v>1.95</c:v>
                </c:pt>
                <c:pt idx="82">
                  <c:v>1.95</c:v>
                </c:pt>
                <c:pt idx="83">
                  <c:v>1.95</c:v>
                </c:pt>
                <c:pt idx="84">
                  <c:v>1.95</c:v>
                </c:pt>
                <c:pt idx="85">
                  <c:v>1.95</c:v>
                </c:pt>
                <c:pt idx="86">
                  <c:v>1.95</c:v>
                </c:pt>
                <c:pt idx="87">
                  <c:v>1.95</c:v>
                </c:pt>
                <c:pt idx="88">
                  <c:v>1.95</c:v>
                </c:pt>
                <c:pt idx="89">
                  <c:v>1.95</c:v>
                </c:pt>
                <c:pt idx="90">
                  <c:v>1.95</c:v>
                </c:pt>
                <c:pt idx="91">
                  <c:v>1.95</c:v>
                </c:pt>
                <c:pt idx="92">
                  <c:v>1.95</c:v>
                </c:pt>
                <c:pt idx="93">
                  <c:v>1.95</c:v>
                </c:pt>
                <c:pt idx="94">
                  <c:v>1.95</c:v>
                </c:pt>
                <c:pt idx="95">
                  <c:v>1.95</c:v>
                </c:pt>
                <c:pt idx="96">
                  <c:v>1.95</c:v>
                </c:pt>
                <c:pt idx="97">
                  <c:v>1.95</c:v>
                </c:pt>
                <c:pt idx="98">
                  <c:v>1.95</c:v>
                </c:pt>
                <c:pt idx="99">
                  <c:v>1.95</c:v>
                </c:pt>
                <c:pt idx="100">
                  <c:v>1.95</c:v>
                </c:pt>
                <c:pt idx="101">
                  <c:v>1.95</c:v>
                </c:pt>
                <c:pt idx="102">
                  <c:v>1.95</c:v>
                </c:pt>
                <c:pt idx="103">
                  <c:v>1.95</c:v>
                </c:pt>
                <c:pt idx="104">
                  <c:v>1.95</c:v>
                </c:pt>
                <c:pt idx="105">
                  <c:v>1.95</c:v>
                </c:pt>
                <c:pt idx="106">
                  <c:v>1.95</c:v>
                </c:pt>
                <c:pt idx="107">
                  <c:v>1.95</c:v>
                </c:pt>
                <c:pt idx="108">
                  <c:v>1.95</c:v>
                </c:pt>
                <c:pt idx="109">
                  <c:v>1.95</c:v>
                </c:pt>
                <c:pt idx="110">
                  <c:v>1.95</c:v>
                </c:pt>
                <c:pt idx="111">
                  <c:v>1.95</c:v>
                </c:pt>
                <c:pt idx="112">
                  <c:v>1.95</c:v>
                </c:pt>
                <c:pt idx="113">
                  <c:v>1.95</c:v>
                </c:pt>
                <c:pt idx="114">
                  <c:v>1.95</c:v>
                </c:pt>
                <c:pt idx="115">
                  <c:v>1.95</c:v>
                </c:pt>
                <c:pt idx="116">
                  <c:v>2.0499999999999998</c:v>
                </c:pt>
                <c:pt idx="117">
                  <c:v>2.0499999999999998</c:v>
                </c:pt>
                <c:pt idx="118">
                  <c:v>2.0499999999999998</c:v>
                </c:pt>
                <c:pt idx="119">
                  <c:v>2.0499999999999998</c:v>
                </c:pt>
                <c:pt idx="120">
                  <c:v>2.0499999999999998</c:v>
                </c:pt>
                <c:pt idx="121">
                  <c:v>2.0499999999999998</c:v>
                </c:pt>
                <c:pt idx="122">
                  <c:v>2.0499999999999998</c:v>
                </c:pt>
                <c:pt idx="123">
                  <c:v>2.0499999999999998</c:v>
                </c:pt>
                <c:pt idx="124">
                  <c:v>2.0499999999999998</c:v>
                </c:pt>
                <c:pt idx="125">
                  <c:v>2.0499999999999998</c:v>
                </c:pt>
                <c:pt idx="126">
                  <c:v>2.0499999999999998</c:v>
                </c:pt>
                <c:pt idx="127">
                  <c:v>2.0499999999999998</c:v>
                </c:pt>
                <c:pt idx="128">
                  <c:v>2.0499999999999998</c:v>
                </c:pt>
                <c:pt idx="129">
                  <c:v>2.0499999999999998</c:v>
                </c:pt>
                <c:pt idx="130">
                  <c:v>2.0499999999999998</c:v>
                </c:pt>
                <c:pt idx="131">
                  <c:v>2.0499999999999998</c:v>
                </c:pt>
                <c:pt idx="132">
                  <c:v>2.0499999999999998</c:v>
                </c:pt>
                <c:pt idx="133">
                  <c:v>2.1</c:v>
                </c:pt>
                <c:pt idx="134">
                  <c:v>2.1</c:v>
                </c:pt>
                <c:pt idx="135">
                  <c:v>2.1</c:v>
                </c:pt>
                <c:pt idx="136">
                  <c:v>2.1</c:v>
                </c:pt>
                <c:pt idx="137">
                  <c:v>2.1</c:v>
                </c:pt>
                <c:pt idx="138">
                  <c:v>2.1</c:v>
                </c:pt>
                <c:pt idx="139">
                  <c:v>2.1</c:v>
                </c:pt>
                <c:pt idx="140">
                  <c:v>2.1</c:v>
                </c:pt>
                <c:pt idx="141">
                  <c:v>2.1</c:v>
                </c:pt>
                <c:pt idx="142">
                  <c:v>2.1</c:v>
                </c:pt>
                <c:pt idx="143">
                  <c:v>2.1</c:v>
                </c:pt>
                <c:pt idx="144">
                  <c:v>2.1</c:v>
                </c:pt>
                <c:pt idx="145">
                  <c:v>2.1</c:v>
                </c:pt>
                <c:pt idx="146">
                  <c:v>2.1</c:v>
                </c:pt>
                <c:pt idx="147">
                  <c:v>2.1</c:v>
                </c:pt>
                <c:pt idx="148">
                  <c:v>2.1</c:v>
                </c:pt>
                <c:pt idx="149">
                  <c:v>2.1</c:v>
                </c:pt>
                <c:pt idx="150">
                  <c:v>2.1</c:v>
                </c:pt>
                <c:pt idx="151">
                  <c:v>2.1</c:v>
                </c:pt>
                <c:pt idx="152">
                  <c:v>2.15</c:v>
                </c:pt>
                <c:pt idx="153">
                  <c:v>2.15</c:v>
                </c:pt>
                <c:pt idx="154">
                  <c:v>2.15</c:v>
                </c:pt>
                <c:pt idx="155">
                  <c:v>2.15</c:v>
                </c:pt>
                <c:pt idx="156">
                  <c:v>2.15</c:v>
                </c:pt>
                <c:pt idx="157">
                  <c:v>2.15</c:v>
                </c:pt>
                <c:pt idx="158">
                  <c:v>2.15</c:v>
                </c:pt>
                <c:pt idx="159">
                  <c:v>2.15</c:v>
                </c:pt>
                <c:pt idx="160">
                  <c:v>2.15</c:v>
                </c:pt>
                <c:pt idx="161">
                  <c:v>2.15</c:v>
                </c:pt>
                <c:pt idx="162">
                  <c:v>2.15</c:v>
                </c:pt>
                <c:pt idx="163">
                  <c:v>2.15</c:v>
                </c:pt>
                <c:pt idx="164">
                  <c:v>2.15</c:v>
                </c:pt>
                <c:pt idx="165">
                  <c:v>2.15</c:v>
                </c:pt>
                <c:pt idx="166">
                  <c:v>2.15</c:v>
                </c:pt>
                <c:pt idx="167">
                  <c:v>2.15</c:v>
                </c:pt>
                <c:pt idx="168">
                  <c:v>2.15</c:v>
                </c:pt>
                <c:pt idx="169">
                  <c:v>2.15</c:v>
                </c:pt>
                <c:pt idx="170">
                  <c:v>2.15</c:v>
                </c:pt>
                <c:pt idx="171">
                  <c:v>2.15</c:v>
                </c:pt>
                <c:pt idx="172">
                  <c:v>2.15</c:v>
                </c:pt>
                <c:pt idx="173">
                  <c:v>2.15</c:v>
                </c:pt>
                <c:pt idx="174">
                  <c:v>2.15</c:v>
                </c:pt>
                <c:pt idx="175">
                  <c:v>2.15</c:v>
                </c:pt>
                <c:pt idx="176">
                  <c:v>2.15</c:v>
                </c:pt>
                <c:pt idx="177">
                  <c:v>2.15</c:v>
                </c:pt>
                <c:pt idx="178">
                  <c:v>2.15</c:v>
                </c:pt>
                <c:pt idx="179">
                  <c:v>2.15</c:v>
                </c:pt>
                <c:pt idx="180">
                  <c:v>2.15</c:v>
                </c:pt>
                <c:pt idx="181">
                  <c:v>2.15</c:v>
                </c:pt>
                <c:pt idx="182">
                  <c:v>2.15</c:v>
                </c:pt>
                <c:pt idx="183">
                  <c:v>2.15</c:v>
                </c:pt>
                <c:pt idx="184">
                  <c:v>2.15</c:v>
                </c:pt>
                <c:pt idx="185">
                  <c:v>2.15</c:v>
                </c:pt>
                <c:pt idx="186">
                  <c:v>2.1800000000000002</c:v>
                </c:pt>
                <c:pt idx="187">
                  <c:v>2.1800000000000002</c:v>
                </c:pt>
                <c:pt idx="188">
                  <c:v>2.1800000000000002</c:v>
                </c:pt>
                <c:pt idx="189">
                  <c:v>2.1800000000000002</c:v>
                </c:pt>
                <c:pt idx="190">
                  <c:v>2.1800000000000002</c:v>
                </c:pt>
                <c:pt idx="191">
                  <c:v>2.1800000000000002</c:v>
                </c:pt>
                <c:pt idx="192">
                  <c:v>2.1800000000000002</c:v>
                </c:pt>
                <c:pt idx="193">
                  <c:v>2.1800000000000002</c:v>
                </c:pt>
                <c:pt idx="194">
                  <c:v>2.1800000000000002</c:v>
                </c:pt>
                <c:pt idx="195">
                  <c:v>2.1800000000000002</c:v>
                </c:pt>
                <c:pt idx="196">
                  <c:v>2.1800000000000002</c:v>
                </c:pt>
                <c:pt idx="197">
                  <c:v>2.1800000000000002</c:v>
                </c:pt>
                <c:pt idx="198">
                  <c:v>2.1800000000000002</c:v>
                </c:pt>
                <c:pt idx="199">
                  <c:v>2.1800000000000002</c:v>
                </c:pt>
                <c:pt idx="200">
                  <c:v>2.1800000000000002</c:v>
                </c:pt>
                <c:pt idx="201">
                  <c:v>2.1800000000000002</c:v>
                </c:pt>
                <c:pt idx="202">
                  <c:v>2.1800000000000002</c:v>
                </c:pt>
                <c:pt idx="203">
                  <c:v>2.1800000000000002</c:v>
                </c:pt>
                <c:pt idx="204">
                  <c:v>2.1800000000000002</c:v>
                </c:pt>
                <c:pt idx="205">
                  <c:v>2.1800000000000002</c:v>
                </c:pt>
                <c:pt idx="206">
                  <c:v>2.1800000000000002</c:v>
                </c:pt>
                <c:pt idx="207">
                  <c:v>2.1800000000000002</c:v>
                </c:pt>
                <c:pt idx="208">
                  <c:v>2.1800000000000002</c:v>
                </c:pt>
                <c:pt idx="209">
                  <c:v>2.1800000000000002</c:v>
                </c:pt>
                <c:pt idx="210">
                  <c:v>2.1800000000000002</c:v>
                </c:pt>
                <c:pt idx="211">
                  <c:v>2.1800000000000002</c:v>
                </c:pt>
                <c:pt idx="212">
                  <c:v>2.1800000000000002</c:v>
                </c:pt>
                <c:pt idx="213">
                  <c:v>2.1800000000000002</c:v>
                </c:pt>
                <c:pt idx="214">
                  <c:v>2.1800000000000002</c:v>
                </c:pt>
                <c:pt idx="215">
                  <c:v>2.1800000000000002</c:v>
                </c:pt>
                <c:pt idx="216">
                  <c:v>2.1800000000000002</c:v>
                </c:pt>
                <c:pt idx="217">
                  <c:v>2.1800000000000002</c:v>
                </c:pt>
                <c:pt idx="218">
                  <c:v>2.1800000000000002</c:v>
                </c:pt>
                <c:pt idx="219">
                  <c:v>2.1800000000000002</c:v>
                </c:pt>
                <c:pt idx="220">
                  <c:v>2.1800000000000002</c:v>
                </c:pt>
                <c:pt idx="221">
                  <c:v>2.1800000000000002</c:v>
                </c:pt>
                <c:pt idx="222">
                  <c:v>2.1800000000000002</c:v>
                </c:pt>
                <c:pt idx="223">
                  <c:v>2.1800000000000002</c:v>
                </c:pt>
                <c:pt idx="224">
                  <c:v>2.1800000000000002</c:v>
                </c:pt>
                <c:pt idx="225">
                  <c:v>2.1800000000000002</c:v>
                </c:pt>
                <c:pt idx="226">
                  <c:v>2.1800000000000002</c:v>
                </c:pt>
                <c:pt idx="227">
                  <c:v>2.1800000000000002</c:v>
                </c:pt>
                <c:pt idx="228">
                  <c:v>2.1800000000000002</c:v>
                </c:pt>
                <c:pt idx="229">
                  <c:v>2.1800000000000002</c:v>
                </c:pt>
                <c:pt idx="230">
                  <c:v>2.1800000000000002</c:v>
                </c:pt>
                <c:pt idx="231">
                  <c:v>2.1800000000000002</c:v>
                </c:pt>
                <c:pt idx="232">
                  <c:v>2.1800000000000002</c:v>
                </c:pt>
                <c:pt idx="233">
                  <c:v>2.1800000000000002</c:v>
                </c:pt>
                <c:pt idx="234">
                  <c:v>2.1800000000000002</c:v>
                </c:pt>
                <c:pt idx="235">
                  <c:v>2.1800000000000002</c:v>
                </c:pt>
                <c:pt idx="236">
                  <c:v>2.1800000000000002</c:v>
                </c:pt>
                <c:pt idx="237">
                  <c:v>2.1800000000000002</c:v>
                </c:pt>
                <c:pt idx="238">
                  <c:v>2.1800000000000002</c:v>
                </c:pt>
                <c:pt idx="239">
                  <c:v>2.1800000000000002</c:v>
                </c:pt>
                <c:pt idx="240">
                  <c:v>2.1800000000000002</c:v>
                </c:pt>
                <c:pt idx="241">
                  <c:v>2.1800000000000002</c:v>
                </c:pt>
                <c:pt idx="242">
                  <c:v>2.1800000000000002</c:v>
                </c:pt>
                <c:pt idx="243">
                  <c:v>2.1800000000000002</c:v>
                </c:pt>
                <c:pt idx="244">
                  <c:v>2.1800000000000002</c:v>
                </c:pt>
                <c:pt idx="245">
                  <c:v>2.1800000000000002</c:v>
                </c:pt>
                <c:pt idx="246">
                  <c:v>2.1800000000000002</c:v>
                </c:pt>
                <c:pt idx="247">
                  <c:v>2.1800000000000002</c:v>
                </c:pt>
                <c:pt idx="248">
                  <c:v>2.1800000000000002</c:v>
                </c:pt>
                <c:pt idx="249">
                  <c:v>2.1800000000000002</c:v>
                </c:pt>
                <c:pt idx="250">
                  <c:v>2.1800000000000002</c:v>
                </c:pt>
                <c:pt idx="251">
                  <c:v>2.1800000000000002</c:v>
                </c:pt>
                <c:pt idx="252">
                  <c:v>2.1800000000000002</c:v>
                </c:pt>
                <c:pt idx="253">
                  <c:v>2.1800000000000002</c:v>
                </c:pt>
                <c:pt idx="254">
                  <c:v>2.1800000000000002</c:v>
                </c:pt>
                <c:pt idx="255">
                  <c:v>2.1800000000000002</c:v>
                </c:pt>
                <c:pt idx="256">
                  <c:v>2.1800000000000002</c:v>
                </c:pt>
                <c:pt idx="257">
                  <c:v>2.1800000000000002</c:v>
                </c:pt>
                <c:pt idx="258">
                  <c:v>2.1800000000000002</c:v>
                </c:pt>
                <c:pt idx="259">
                  <c:v>2.1800000000000002</c:v>
                </c:pt>
                <c:pt idx="260">
                  <c:v>2.1800000000000002</c:v>
                </c:pt>
                <c:pt idx="261">
                  <c:v>2.1800000000000002</c:v>
                </c:pt>
                <c:pt idx="262">
                  <c:v>2.1800000000000002</c:v>
                </c:pt>
                <c:pt idx="263">
                  <c:v>2.1800000000000002</c:v>
                </c:pt>
                <c:pt idx="264">
                  <c:v>2.1800000000000002</c:v>
                </c:pt>
                <c:pt idx="265">
                  <c:v>2.1800000000000002</c:v>
                </c:pt>
                <c:pt idx="266">
                  <c:v>2.1800000000000002</c:v>
                </c:pt>
                <c:pt idx="267">
                  <c:v>2.1800000000000002</c:v>
                </c:pt>
                <c:pt idx="268">
                  <c:v>2.1800000000000002</c:v>
                </c:pt>
                <c:pt idx="269">
                  <c:v>2.1800000000000002</c:v>
                </c:pt>
                <c:pt idx="270">
                  <c:v>2.1800000000000002</c:v>
                </c:pt>
                <c:pt idx="271">
                  <c:v>2.1800000000000002</c:v>
                </c:pt>
                <c:pt idx="272">
                  <c:v>2.1800000000000002</c:v>
                </c:pt>
                <c:pt idx="273">
                  <c:v>2.1800000000000002</c:v>
                </c:pt>
                <c:pt idx="274">
                  <c:v>2.1800000000000002</c:v>
                </c:pt>
                <c:pt idx="275">
                  <c:v>2.1800000000000002</c:v>
                </c:pt>
                <c:pt idx="276">
                  <c:v>2.1800000000000002</c:v>
                </c:pt>
                <c:pt idx="277">
                  <c:v>2.1800000000000002</c:v>
                </c:pt>
                <c:pt idx="278">
                  <c:v>2.1800000000000002</c:v>
                </c:pt>
                <c:pt idx="279">
                  <c:v>2.1800000000000002</c:v>
                </c:pt>
                <c:pt idx="280">
                  <c:v>2.1800000000000002</c:v>
                </c:pt>
                <c:pt idx="281">
                  <c:v>2.1800000000000002</c:v>
                </c:pt>
                <c:pt idx="282">
                  <c:v>2.1800000000000002</c:v>
                </c:pt>
                <c:pt idx="283">
                  <c:v>2.1800000000000002</c:v>
                </c:pt>
                <c:pt idx="284">
                  <c:v>2.1800000000000002</c:v>
                </c:pt>
                <c:pt idx="285">
                  <c:v>2.1800000000000002</c:v>
                </c:pt>
                <c:pt idx="286">
                  <c:v>2.1800000000000002</c:v>
                </c:pt>
                <c:pt idx="287">
                  <c:v>2.1800000000000002</c:v>
                </c:pt>
                <c:pt idx="288">
                  <c:v>2.1800000000000002</c:v>
                </c:pt>
                <c:pt idx="289">
                  <c:v>2.1800000000000002</c:v>
                </c:pt>
                <c:pt idx="290">
                  <c:v>2.1800000000000002</c:v>
                </c:pt>
                <c:pt idx="291">
                  <c:v>2.1800000000000002</c:v>
                </c:pt>
                <c:pt idx="292">
                  <c:v>2.1800000000000002</c:v>
                </c:pt>
                <c:pt idx="293">
                  <c:v>2.1800000000000002</c:v>
                </c:pt>
                <c:pt idx="294">
                  <c:v>2.1800000000000002</c:v>
                </c:pt>
                <c:pt idx="295">
                  <c:v>2.1800000000000002</c:v>
                </c:pt>
                <c:pt idx="296">
                  <c:v>2.1800000000000002</c:v>
                </c:pt>
                <c:pt idx="297">
                  <c:v>2.1800000000000002</c:v>
                </c:pt>
                <c:pt idx="298">
                  <c:v>2.1800000000000002</c:v>
                </c:pt>
                <c:pt idx="299">
                  <c:v>2.1800000000000002</c:v>
                </c:pt>
                <c:pt idx="300">
                  <c:v>2.1800000000000002</c:v>
                </c:pt>
                <c:pt idx="301">
                  <c:v>2.1800000000000002</c:v>
                </c:pt>
                <c:pt idx="302">
                  <c:v>2.1800000000000002</c:v>
                </c:pt>
                <c:pt idx="303">
                  <c:v>2.1800000000000002</c:v>
                </c:pt>
                <c:pt idx="304">
                  <c:v>2.1800000000000002</c:v>
                </c:pt>
                <c:pt idx="305">
                  <c:v>2.1800000000000002</c:v>
                </c:pt>
                <c:pt idx="306">
                  <c:v>2.1800000000000002</c:v>
                </c:pt>
                <c:pt idx="307">
                  <c:v>2.1800000000000002</c:v>
                </c:pt>
                <c:pt idx="308">
                  <c:v>2.1800000000000002</c:v>
                </c:pt>
                <c:pt idx="309">
                  <c:v>2.1800000000000002</c:v>
                </c:pt>
                <c:pt idx="310">
                  <c:v>2.1800000000000002</c:v>
                </c:pt>
                <c:pt idx="311">
                  <c:v>2.1800000000000002</c:v>
                </c:pt>
                <c:pt idx="312">
                  <c:v>2.1800000000000002</c:v>
                </c:pt>
                <c:pt idx="313">
                  <c:v>2.1800000000000002</c:v>
                </c:pt>
                <c:pt idx="314">
                  <c:v>2.1800000000000002</c:v>
                </c:pt>
                <c:pt idx="315">
                  <c:v>2.1800000000000002</c:v>
                </c:pt>
                <c:pt idx="316">
                  <c:v>2.1800000000000002</c:v>
                </c:pt>
                <c:pt idx="317">
                  <c:v>2.1800000000000002</c:v>
                </c:pt>
                <c:pt idx="318">
                  <c:v>2.1800000000000002</c:v>
                </c:pt>
                <c:pt idx="319">
                  <c:v>2.1800000000000002</c:v>
                </c:pt>
                <c:pt idx="320">
                  <c:v>2.1800000000000002</c:v>
                </c:pt>
                <c:pt idx="321">
                  <c:v>2.1800000000000002</c:v>
                </c:pt>
                <c:pt idx="322">
                  <c:v>2.1800000000000002</c:v>
                </c:pt>
                <c:pt idx="323">
                  <c:v>2.1800000000000002</c:v>
                </c:pt>
                <c:pt idx="324">
                  <c:v>2.1800000000000002</c:v>
                </c:pt>
                <c:pt idx="325">
                  <c:v>2.1800000000000002</c:v>
                </c:pt>
                <c:pt idx="326">
                  <c:v>2.1800000000000002</c:v>
                </c:pt>
                <c:pt idx="327">
                  <c:v>2.1800000000000002</c:v>
                </c:pt>
                <c:pt idx="328">
                  <c:v>2.15</c:v>
                </c:pt>
                <c:pt idx="329">
                  <c:v>2.15</c:v>
                </c:pt>
                <c:pt idx="330">
                  <c:v>2.15</c:v>
                </c:pt>
                <c:pt idx="331">
                  <c:v>2.15</c:v>
                </c:pt>
                <c:pt idx="332">
                  <c:v>2.15</c:v>
                </c:pt>
                <c:pt idx="333">
                  <c:v>2.15</c:v>
                </c:pt>
                <c:pt idx="334">
                  <c:v>2.15</c:v>
                </c:pt>
                <c:pt idx="335">
                  <c:v>2.15</c:v>
                </c:pt>
                <c:pt idx="336">
                  <c:v>2.15</c:v>
                </c:pt>
                <c:pt idx="337">
                  <c:v>2.15</c:v>
                </c:pt>
                <c:pt idx="338">
                  <c:v>2.15</c:v>
                </c:pt>
                <c:pt idx="339">
                  <c:v>2.15</c:v>
                </c:pt>
                <c:pt idx="340">
                  <c:v>2.15</c:v>
                </c:pt>
                <c:pt idx="341">
                  <c:v>2.15</c:v>
                </c:pt>
                <c:pt idx="342">
                  <c:v>2.15</c:v>
                </c:pt>
                <c:pt idx="343">
                  <c:v>2.15</c:v>
                </c:pt>
                <c:pt idx="344">
                  <c:v>2.15</c:v>
                </c:pt>
                <c:pt idx="345">
                  <c:v>2.15</c:v>
                </c:pt>
                <c:pt idx="346">
                  <c:v>2.15</c:v>
                </c:pt>
                <c:pt idx="347">
                  <c:v>2.15</c:v>
                </c:pt>
                <c:pt idx="348">
                  <c:v>2.15</c:v>
                </c:pt>
                <c:pt idx="349">
                  <c:v>2.15</c:v>
                </c:pt>
                <c:pt idx="350">
                  <c:v>2.15</c:v>
                </c:pt>
                <c:pt idx="351">
                  <c:v>2.15</c:v>
                </c:pt>
                <c:pt idx="352">
                  <c:v>2.15</c:v>
                </c:pt>
                <c:pt idx="353">
                  <c:v>2.15</c:v>
                </c:pt>
                <c:pt idx="354">
                  <c:v>2.15</c:v>
                </c:pt>
                <c:pt idx="355">
                  <c:v>2.15</c:v>
                </c:pt>
                <c:pt idx="356">
                  <c:v>2.15</c:v>
                </c:pt>
                <c:pt idx="357">
                  <c:v>2.15</c:v>
                </c:pt>
                <c:pt idx="358">
                  <c:v>2.15</c:v>
                </c:pt>
                <c:pt idx="359">
                  <c:v>2.15</c:v>
                </c:pt>
                <c:pt idx="360">
                  <c:v>2.15</c:v>
                </c:pt>
                <c:pt idx="361">
                  <c:v>2.15</c:v>
                </c:pt>
                <c:pt idx="362">
                  <c:v>2.15</c:v>
                </c:pt>
                <c:pt idx="363">
                  <c:v>2.15</c:v>
                </c:pt>
                <c:pt idx="364">
                  <c:v>2.15</c:v>
                </c:pt>
                <c:pt idx="365">
                  <c:v>2.15</c:v>
                </c:pt>
                <c:pt idx="366">
                  <c:v>2.15</c:v>
                </c:pt>
                <c:pt idx="367">
                  <c:v>2.15</c:v>
                </c:pt>
                <c:pt idx="368">
                  <c:v>2.15</c:v>
                </c:pt>
                <c:pt idx="369">
                  <c:v>2.15</c:v>
                </c:pt>
                <c:pt idx="370">
                  <c:v>2.15</c:v>
                </c:pt>
                <c:pt idx="371">
                  <c:v>2.15</c:v>
                </c:pt>
                <c:pt idx="372">
                  <c:v>2.15</c:v>
                </c:pt>
                <c:pt idx="373">
                  <c:v>2.15</c:v>
                </c:pt>
                <c:pt idx="374">
                  <c:v>2.15</c:v>
                </c:pt>
                <c:pt idx="375">
                  <c:v>2.15</c:v>
                </c:pt>
                <c:pt idx="376">
                  <c:v>2.15</c:v>
                </c:pt>
                <c:pt idx="377">
                  <c:v>2.15</c:v>
                </c:pt>
                <c:pt idx="378">
                  <c:v>2.15</c:v>
                </c:pt>
                <c:pt idx="379">
                  <c:v>2.15</c:v>
                </c:pt>
                <c:pt idx="380">
                  <c:v>2.15</c:v>
                </c:pt>
                <c:pt idx="381">
                  <c:v>2.15</c:v>
                </c:pt>
                <c:pt idx="382">
                  <c:v>2.15</c:v>
                </c:pt>
                <c:pt idx="383">
                  <c:v>2.15</c:v>
                </c:pt>
                <c:pt idx="384">
                  <c:v>2.15</c:v>
                </c:pt>
                <c:pt idx="385">
                  <c:v>2.15</c:v>
                </c:pt>
                <c:pt idx="386">
                  <c:v>2.15</c:v>
                </c:pt>
                <c:pt idx="387">
                  <c:v>2.15</c:v>
                </c:pt>
                <c:pt idx="388">
                  <c:v>2.15</c:v>
                </c:pt>
                <c:pt idx="389">
                  <c:v>2.15</c:v>
                </c:pt>
                <c:pt idx="390">
                  <c:v>2.15</c:v>
                </c:pt>
                <c:pt idx="391">
                  <c:v>2.15</c:v>
                </c:pt>
                <c:pt idx="392">
                  <c:v>2.15</c:v>
                </c:pt>
                <c:pt idx="393">
                  <c:v>2.15</c:v>
                </c:pt>
                <c:pt idx="394">
                  <c:v>2.15</c:v>
                </c:pt>
                <c:pt idx="395">
                  <c:v>2.15</c:v>
                </c:pt>
                <c:pt idx="396">
                  <c:v>2.15</c:v>
                </c:pt>
                <c:pt idx="397">
                  <c:v>2.15</c:v>
                </c:pt>
                <c:pt idx="398">
                  <c:v>2.15</c:v>
                </c:pt>
                <c:pt idx="399">
                  <c:v>2.15</c:v>
                </c:pt>
                <c:pt idx="400">
                  <c:v>2.15</c:v>
                </c:pt>
                <c:pt idx="401">
                  <c:v>2.15</c:v>
                </c:pt>
                <c:pt idx="402">
                  <c:v>2.15</c:v>
                </c:pt>
                <c:pt idx="403">
                  <c:v>2.15</c:v>
                </c:pt>
                <c:pt idx="404">
                  <c:v>2.15</c:v>
                </c:pt>
                <c:pt idx="405">
                  <c:v>2.15</c:v>
                </c:pt>
                <c:pt idx="406">
                  <c:v>2.15</c:v>
                </c:pt>
                <c:pt idx="407">
                  <c:v>2.15</c:v>
                </c:pt>
                <c:pt idx="408">
                  <c:v>2.15</c:v>
                </c:pt>
                <c:pt idx="409">
                  <c:v>2.15</c:v>
                </c:pt>
                <c:pt idx="410">
                  <c:v>2.15</c:v>
                </c:pt>
                <c:pt idx="411">
                  <c:v>2.15</c:v>
                </c:pt>
                <c:pt idx="412">
                  <c:v>2.15</c:v>
                </c:pt>
                <c:pt idx="413">
                  <c:v>2.15</c:v>
                </c:pt>
                <c:pt idx="414">
                  <c:v>2.15</c:v>
                </c:pt>
                <c:pt idx="415">
                  <c:v>2.15</c:v>
                </c:pt>
                <c:pt idx="416">
                  <c:v>2.15</c:v>
                </c:pt>
                <c:pt idx="417">
                  <c:v>2.15</c:v>
                </c:pt>
                <c:pt idx="418">
                  <c:v>2.15</c:v>
                </c:pt>
                <c:pt idx="419">
                  <c:v>2.15</c:v>
                </c:pt>
                <c:pt idx="420">
                  <c:v>2.15</c:v>
                </c:pt>
                <c:pt idx="421">
                  <c:v>2.15</c:v>
                </c:pt>
                <c:pt idx="422">
                  <c:v>2.15</c:v>
                </c:pt>
                <c:pt idx="423">
                  <c:v>2.15</c:v>
                </c:pt>
                <c:pt idx="424">
                  <c:v>2.15</c:v>
                </c:pt>
                <c:pt idx="425">
                  <c:v>2.15</c:v>
                </c:pt>
                <c:pt idx="426">
                  <c:v>2.15</c:v>
                </c:pt>
                <c:pt idx="427">
                  <c:v>2.15</c:v>
                </c:pt>
                <c:pt idx="428">
                  <c:v>2.15</c:v>
                </c:pt>
                <c:pt idx="429">
                  <c:v>2.15</c:v>
                </c:pt>
                <c:pt idx="430">
                  <c:v>2.15</c:v>
                </c:pt>
                <c:pt idx="431">
                  <c:v>2.15</c:v>
                </c:pt>
                <c:pt idx="432">
                  <c:v>2.15</c:v>
                </c:pt>
                <c:pt idx="433">
                  <c:v>2.15</c:v>
                </c:pt>
                <c:pt idx="434">
                  <c:v>2.15</c:v>
                </c:pt>
                <c:pt idx="435">
                  <c:v>2.15</c:v>
                </c:pt>
                <c:pt idx="436">
                  <c:v>2.15</c:v>
                </c:pt>
                <c:pt idx="437">
                  <c:v>2.15</c:v>
                </c:pt>
                <c:pt idx="438">
                  <c:v>2.15</c:v>
                </c:pt>
                <c:pt idx="439">
                  <c:v>2.15</c:v>
                </c:pt>
                <c:pt idx="440">
                  <c:v>2.15</c:v>
                </c:pt>
                <c:pt idx="441">
                  <c:v>2.15</c:v>
                </c:pt>
                <c:pt idx="442">
                  <c:v>2.15</c:v>
                </c:pt>
                <c:pt idx="443">
                  <c:v>2.15</c:v>
                </c:pt>
                <c:pt idx="444">
                  <c:v>2.15</c:v>
                </c:pt>
                <c:pt idx="445">
                  <c:v>2.15</c:v>
                </c:pt>
                <c:pt idx="446">
                  <c:v>2.15</c:v>
                </c:pt>
                <c:pt idx="447">
                  <c:v>2.15</c:v>
                </c:pt>
                <c:pt idx="448">
                  <c:v>2.15</c:v>
                </c:pt>
                <c:pt idx="449">
                  <c:v>2.0499999999999998</c:v>
                </c:pt>
                <c:pt idx="450">
                  <c:v>2.0499999999999998</c:v>
                </c:pt>
                <c:pt idx="451">
                  <c:v>2.0499999999999998</c:v>
                </c:pt>
                <c:pt idx="452">
                  <c:v>2.0499999999999998</c:v>
                </c:pt>
                <c:pt idx="453">
                  <c:v>2.0499999999999998</c:v>
                </c:pt>
                <c:pt idx="454">
                  <c:v>2.0499999999999998</c:v>
                </c:pt>
                <c:pt idx="455">
                  <c:v>2.0499999999999998</c:v>
                </c:pt>
                <c:pt idx="456">
                  <c:v>2.0499999999999998</c:v>
                </c:pt>
                <c:pt idx="457">
                  <c:v>2.0499999999999998</c:v>
                </c:pt>
                <c:pt idx="458">
                  <c:v>2.0499999999999998</c:v>
                </c:pt>
                <c:pt idx="459">
                  <c:v>2.0499999999999998</c:v>
                </c:pt>
                <c:pt idx="460">
                  <c:v>2.0499999999999998</c:v>
                </c:pt>
                <c:pt idx="461">
                  <c:v>2.0499999999999998</c:v>
                </c:pt>
                <c:pt idx="462">
                  <c:v>2.0499999999999998</c:v>
                </c:pt>
                <c:pt idx="463">
                  <c:v>2.0499999999999998</c:v>
                </c:pt>
                <c:pt idx="464">
                  <c:v>2.0499999999999998</c:v>
                </c:pt>
                <c:pt idx="465">
                  <c:v>2.0499999999999998</c:v>
                </c:pt>
                <c:pt idx="466">
                  <c:v>1.95</c:v>
                </c:pt>
                <c:pt idx="467">
                  <c:v>1.95</c:v>
                </c:pt>
                <c:pt idx="468">
                  <c:v>1.95</c:v>
                </c:pt>
                <c:pt idx="469">
                  <c:v>1.95</c:v>
                </c:pt>
                <c:pt idx="470">
                  <c:v>1.95</c:v>
                </c:pt>
                <c:pt idx="471">
                  <c:v>1.95</c:v>
                </c:pt>
                <c:pt idx="472">
                  <c:v>1.95</c:v>
                </c:pt>
              </c:numCache>
            </c:numRef>
          </c:val>
          <c:smooth val="0"/>
          <c:extLst>
            <c:ext xmlns:c16="http://schemas.microsoft.com/office/drawing/2014/chart" uri="{C3380CC4-5D6E-409C-BE32-E72D297353CC}">
              <c16:uniqueId val="{00000001-B5E6-4361-9D22-F873C8A9CE8A}"/>
            </c:ext>
          </c:extLst>
        </c:ser>
        <c:ser>
          <c:idx val="1"/>
          <c:order val="1"/>
          <c:tx>
            <c:strRef>
              <c:f>Charts!$C$1165</c:f>
              <c:strCache>
                <c:ptCount val="1"/>
                <c:pt idx="0">
                  <c:v>中国:价格:隔膜:陶瓷涂覆:7+2μm:国产中端（元/平方米）</c:v>
                </c:pt>
              </c:strCache>
            </c:strRef>
          </c:tx>
          <c:spPr>
            <a:ln w="28575" cap="rnd">
              <a:solidFill>
                <a:schemeClr val="accent2"/>
              </a:solidFill>
              <a:round/>
            </a:ln>
            <a:effectLst/>
          </c:spPr>
          <c:marker>
            <c:symbol val="none"/>
          </c:marker>
          <c:cat>
            <c:numRef>
              <c:f>Charts!$A$1166:$A$1638</c:f>
              <c:numCache>
                <c:formatCode>m/d/yyyy</c:formatCode>
                <c:ptCount val="473"/>
                <c:pt idx="0">
                  <c:v>44335</c:v>
                </c:pt>
                <c:pt idx="1">
                  <c:v>44336</c:v>
                </c:pt>
                <c:pt idx="2">
                  <c:v>44337</c:v>
                </c:pt>
                <c:pt idx="3">
                  <c:v>44340</c:v>
                </c:pt>
                <c:pt idx="4">
                  <c:v>44341</c:v>
                </c:pt>
                <c:pt idx="5">
                  <c:v>44342</c:v>
                </c:pt>
                <c:pt idx="6">
                  <c:v>44343</c:v>
                </c:pt>
                <c:pt idx="7">
                  <c:v>44344</c:v>
                </c:pt>
                <c:pt idx="8">
                  <c:v>44347</c:v>
                </c:pt>
                <c:pt idx="9">
                  <c:v>44348</c:v>
                </c:pt>
                <c:pt idx="10">
                  <c:v>44349</c:v>
                </c:pt>
                <c:pt idx="11">
                  <c:v>44350</c:v>
                </c:pt>
                <c:pt idx="12">
                  <c:v>44351</c:v>
                </c:pt>
                <c:pt idx="13">
                  <c:v>44354</c:v>
                </c:pt>
                <c:pt idx="14">
                  <c:v>44355</c:v>
                </c:pt>
                <c:pt idx="15">
                  <c:v>44356</c:v>
                </c:pt>
                <c:pt idx="16">
                  <c:v>44357</c:v>
                </c:pt>
                <c:pt idx="17">
                  <c:v>44358</c:v>
                </c:pt>
                <c:pt idx="18">
                  <c:v>44361</c:v>
                </c:pt>
                <c:pt idx="19">
                  <c:v>44362</c:v>
                </c:pt>
                <c:pt idx="20">
                  <c:v>44363</c:v>
                </c:pt>
                <c:pt idx="21">
                  <c:v>44364</c:v>
                </c:pt>
                <c:pt idx="22">
                  <c:v>44365</c:v>
                </c:pt>
                <c:pt idx="23">
                  <c:v>44368</c:v>
                </c:pt>
                <c:pt idx="24">
                  <c:v>44369</c:v>
                </c:pt>
                <c:pt idx="25">
                  <c:v>44370</c:v>
                </c:pt>
                <c:pt idx="26">
                  <c:v>44371</c:v>
                </c:pt>
                <c:pt idx="27">
                  <c:v>44372</c:v>
                </c:pt>
                <c:pt idx="28">
                  <c:v>44375</c:v>
                </c:pt>
                <c:pt idx="29">
                  <c:v>44376</c:v>
                </c:pt>
                <c:pt idx="30">
                  <c:v>44377</c:v>
                </c:pt>
                <c:pt idx="31">
                  <c:v>44378</c:v>
                </c:pt>
                <c:pt idx="32">
                  <c:v>44379</c:v>
                </c:pt>
                <c:pt idx="33">
                  <c:v>44382</c:v>
                </c:pt>
                <c:pt idx="34">
                  <c:v>44383</c:v>
                </c:pt>
                <c:pt idx="35">
                  <c:v>44384</c:v>
                </c:pt>
                <c:pt idx="36">
                  <c:v>44385</c:v>
                </c:pt>
                <c:pt idx="37">
                  <c:v>44386</c:v>
                </c:pt>
                <c:pt idx="38">
                  <c:v>44389</c:v>
                </c:pt>
                <c:pt idx="39">
                  <c:v>44390</c:v>
                </c:pt>
                <c:pt idx="40">
                  <c:v>44391</c:v>
                </c:pt>
                <c:pt idx="41">
                  <c:v>44392</c:v>
                </c:pt>
                <c:pt idx="42">
                  <c:v>44393</c:v>
                </c:pt>
                <c:pt idx="43">
                  <c:v>44396</c:v>
                </c:pt>
                <c:pt idx="44">
                  <c:v>44397</c:v>
                </c:pt>
                <c:pt idx="45">
                  <c:v>44398</c:v>
                </c:pt>
                <c:pt idx="46">
                  <c:v>44399</c:v>
                </c:pt>
                <c:pt idx="47">
                  <c:v>44400</c:v>
                </c:pt>
                <c:pt idx="48">
                  <c:v>44403</c:v>
                </c:pt>
                <c:pt idx="49">
                  <c:v>44404</c:v>
                </c:pt>
                <c:pt idx="50">
                  <c:v>44405</c:v>
                </c:pt>
                <c:pt idx="51">
                  <c:v>44406</c:v>
                </c:pt>
                <c:pt idx="52">
                  <c:v>44407</c:v>
                </c:pt>
                <c:pt idx="53">
                  <c:v>44410</c:v>
                </c:pt>
                <c:pt idx="54">
                  <c:v>44411</c:v>
                </c:pt>
                <c:pt idx="55">
                  <c:v>44412</c:v>
                </c:pt>
                <c:pt idx="56">
                  <c:v>44413</c:v>
                </c:pt>
                <c:pt idx="57">
                  <c:v>44414</c:v>
                </c:pt>
                <c:pt idx="58">
                  <c:v>44417</c:v>
                </c:pt>
                <c:pt idx="59">
                  <c:v>44418</c:v>
                </c:pt>
                <c:pt idx="60">
                  <c:v>44419</c:v>
                </c:pt>
                <c:pt idx="61">
                  <c:v>44420</c:v>
                </c:pt>
                <c:pt idx="62">
                  <c:v>44421</c:v>
                </c:pt>
                <c:pt idx="63">
                  <c:v>44424</c:v>
                </c:pt>
                <c:pt idx="64">
                  <c:v>44425</c:v>
                </c:pt>
                <c:pt idx="65">
                  <c:v>44426</c:v>
                </c:pt>
                <c:pt idx="66">
                  <c:v>44427</c:v>
                </c:pt>
                <c:pt idx="67">
                  <c:v>44428</c:v>
                </c:pt>
                <c:pt idx="68">
                  <c:v>44431</c:v>
                </c:pt>
                <c:pt idx="69">
                  <c:v>44432</c:v>
                </c:pt>
                <c:pt idx="70">
                  <c:v>44433</c:v>
                </c:pt>
                <c:pt idx="71">
                  <c:v>44434</c:v>
                </c:pt>
                <c:pt idx="72">
                  <c:v>44435</c:v>
                </c:pt>
                <c:pt idx="73">
                  <c:v>44438</c:v>
                </c:pt>
                <c:pt idx="74">
                  <c:v>44439</c:v>
                </c:pt>
                <c:pt idx="75">
                  <c:v>44440</c:v>
                </c:pt>
                <c:pt idx="76">
                  <c:v>44441</c:v>
                </c:pt>
                <c:pt idx="77">
                  <c:v>44442</c:v>
                </c:pt>
                <c:pt idx="78">
                  <c:v>44445</c:v>
                </c:pt>
                <c:pt idx="79">
                  <c:v>44446</c:v>
                </c:pt>
                <c:pt idx="80">
                  <c:v>44447</c:v>
                </c:pt>
                <c:pt idx="81">
                  <c:v>44448</c:v>
                </c:pt>
                <c:pt idx="82">
                  <c:v>44449</c:v>
                </c:pt>
                <c:pt idx="83">
                  <c:v>44452</c:v>
                </c:pt>
                <c:pt idx="84">
                  <c:v>44453</c:v>
                </c:pt>
                <c:pt idx="85">
                  <c:v>44454</c:v>
                </c:pt>
                <c:pt idx="86">
                  <c:v>44455</c:v>
                </c:pt>
                <c:pt idx="87">
                  <c:v>44456</c:v>
                </c:pt>
                <c:pt idx="88">
                  <c:v>44459</c:v>
                </c:pt>
                <c:pt idx="89">
                  <c:v>44460</c:v>
                </c:pt>
                <c:pt idx="90">
                  <c:v>44461</c:v>
                </c:pt>
                <c:pt idx="91">
                  <c:v>44462</c:v>
                </c:pt>
                <c:pt idx="92">
                  <c:v>44463</c:v>
                </c:pt>
                <c:pt idx="93">
                  <c:v>44466</c:v>
                </c:pt>
                <c:pt idx="94">
                  <c:v>44467</c:v>
                </c:pt>
                <c:pt idx="95">
                  <c:v>44468</c:v>
                </c:pt>
                <c:pt idx="96">
                  <c:v>44469</c:v>
                </c:pt>
                <c:pt idx="97">
                  <c:v>44477</c:v>
                </c:pt>
                <c:pt idx="98">
                  <c:v>44480</c:v>
                </c:pt>
                <c:pt idx="99">
                  <c:v>44481</c:v>
                </c:pt>
                <c:pt idx="100">
                  <c:v>44482</c:v>
                </c:pt>
                <c:pt idx="101">
                  <c:v>44483</c:v>
                </c:pt>
                <c:pt idx="102">
                  <c:v>44484</c:v>
                </c:pt>
                <c:pt idx="103">
                  <c:v>44487</c:v>
                </c:pt>
                <c:pt idx="104">
                  <c:v>44488</c:v>
                </c:pt>
                <c:pt idx="105">
                  <c:v>44489</c:v>
                </c:pt>
                <c:pt idx="106">
                  <c:v>44490</c:v>
                </c:pt>
                <c:pt idx="107">
                  <c:v>44491</c:v>
                </c:pt>
                <c:pt idx="108">
                  <c:v>44494</c:v>
                </c:pt>
                <c:pt idx="109">
                  <c:v>44495</c:v>
                </c:pt>
                <c:pt idx="110">
                  <c:v>44496</c:v>
                </c:pt>
                <c:pt idx="111">
                  <c:v>44497</c:v>
                </c:pt>
                <c:pt idx="112">
                  <c:v>44498</c:v>
                </c:pt>
                <c:pt idx="113">
                  <c:v>44501</c:v>
                </c:pt>
                <c:pt idx="114">
                  <c:v>44502</c:v>
                </c:pt>
                <c:pt idx="115">
                  <c:v>44503</c:v>
                </c:pt>
                <c:pt idx="116">
                  <c:v>44504</c:v>
                </c:pt>
                <c:pt idx="117">
                  <c:v>44505</c:v>
                </c:pt>
                <c:pt idx="118">
                  <c:v>44508</c:v>
                </c:pt>
                <c:pt idx="119">
                  <c:v>44509</c:v>
                </c:pt>
                <c:pt idx="120">
                  <c:v>44510</c:v>
                </c:pt>
                <c:pt idx="121">
                  <c:v>44511</c:v>
                </c:pt>
                <c:pt idx="122">
                  <c:v>44512</c:v>
                </c:pt>
                <c:pt idx="123">
                  <c:v>44515</c:v>
                </c:pt>
                <c:pt idx="124">
                  <c:v>44516</c:v>
                </c:pt>
                <c:pt idx="125">
                  <c:v>44517</c:v>
                </c:pt>
                <c:pt idx="126">
                  <c:v>44518</c:v>
                </c:pt>
                <c:pt idx="127">
                  <c:v>44519</c:v>
                </c:pt>
                <c:pt idx="128">
                  <c:v>44522</c:v>
                </c:pt>
                <c:pt idx="129">
                  <c:v>44523</c:v>
                </c:pt>
                <c:pt idx="130">
                  <c:v>44524</c:v>
                </c:pt>
                <c:pt idx="131">
                  <c:v>44525</c:v>
                </c:pt>
                <c:pt idx="132">
                  <c:v>44526</c:v>
                </c:pt>
                <c:pt idx="133">
                  <c:v>44529</c:v>
                </c:pt>
                <c:pt idx="134">
                  <c:v>44530</c:v>
                </c:pt>
                <c:pt idx="135">
                  <c:v>44531</c:v>
                </c:pt>
                <c:pt idx="136">
                  <c:v>44532</c:v>
                </c:pt>
                <c:pt idx="137">
                  <c:v>44533</c:v>
                </c:pt>
                <c:pt idx="138">
                  <c:v>44536</c:v>
                </c:pt>
                <c:pt idx="139">
                  <c:v>44537</c:v>
                </c:pt>
                <c:pt idx="140">
                  <c:v>44538</c:v>
                </c:pt>
                <c:pt idx="141">
                  <c:v>44539</c:v>
                </c:pt>
                <c:pt idx="142">
                  <c:v>44540</c:v>
                </c:pt>
                <c:pt idx="143">
                  <c:v>44543</c:v>
                </c:pt>
                <c:pt idx="144">
                  <c:v>44544</c:v>
                </c:pt>
                <c:pt idx="145">
                  <c:v>44545</c:v>
                </c:pt>
                <c:pt idx="146">
                  <c:v>44546</c:v>
                </c:pt>
                <c:pt idx="147">
                  <c:v>44547</c:v>
                </c:pt>
                <c:pt idx="148">
                  <c:v>44550</c:v>
                </c:pt>
                <c:pt idx="149">
                  <c:v>44551</c:v>
                </c:pt>
                <c:pt idx="150">
                  <c:v>44552</c:v>
                </c:pt>
                <c:pt idx="151">
                  <c:v>44553</c:v>
                </c:pt>
                <c:pt idx="152">
                  <c:v>44554</c:v>
                </c:pt>
                <c:pt idx="153">
                  <c:v>44557</c:v>
                </c:pt>
                <c:pt idx="154">
                  <c:v>44558</c:v>
                </c:pt>
                <c:pt idx="155">
                  <c:v>44559</c:v>
                </c:pt>
                <c:pt idx="156">
                  <c:v>44560</c:v>
                </c:pt>
                <c:pt idx="157">
                  <c:v>44561</c:v>
                </c:pt>
                <c:pt idx="158">
                  <c:v>44565</c:v>
                </c:pt>
                <c:pt idx="159">
                  <c:v>44566</c:v>
                </c:pt>
                <c:pt idx="160">
                  <c:v>44567</c:v>
                </c:pt>
                <c:pt idx="161">
                  <c:v>44568</c:v>
                </c:pt>
                <c:pt idx="162">
                  <c:v>44571</c:v>
                </c:pt>
                <c:pt idx="163">
                  <c:v>44572</c:v>
                </c:pt>
                <c:pt idx="164">
                  <c:v>44573</c:v>
                </c:pt>
                <c:pt idx="165">
                  <c:v>44574</c:v>
                </c:pt>
                <c:pt idx="166">
                  <c:v>44575</c:v>
                </c:pt>
                <c:pt idx="167">
                  <c:v>44578</c:v>
                </c:pt>
                <c:pt idx="168">
                  <c:v>44579</c:v>
                </c:pt>
                <c:pt idx="169">
                  <c:v>44580</c:v>
                </c:pt>
                <c:pt idx="170">
                  <c:v>44581</c:v>
                </c:pt>
                <c:pt idx="171">
                  <c:v>44582</c:v>
                </c:pt>
                <c:pt idx="172">
                  <c:v>44585</c:v>
                </c:pt>
                <c:pt idx="173">
                  <c:v>44586</c:v>
                </c:pt>
                <c:pt idx="174">
                  <c:v>44587</c:v>
                </c:pt>
                <c:pt idx="175">
                  <c:v>44588</c:v>
                </c:pt>
                <c:pt idx="176">
                  <c:v>44589</c:v>
                </c:pt>
                <c:pt idx="177">
                  <c:v>44599</c:v>
                </c:pt>
                <c:pt idx="178">
                  <c:v>44600</c:v>
                </c:pt>
                <c:pt idx="179">
                  <c:v>44601</c:v>
                </c:pt>
                <c:pt idx="180">
                  <c:v>44602</c:v>
                </c:pt>
                <c:pt idx="181">
                  <c:v>44603</c:v>
                </c:pt>
                <c:pt idx="182">
                  <c:v>44606</c:v>
                </c:pt>
                <c:pt idx="183">
                  <c:v>44607</c:v>
                </c:pt>
                <c:pt idx="184">
                  <c:v>44608</c:v>
                </c:pt>
                <c:pt idx="185">
                  <c:v>44609</c:v>
                </c:pt>
                <c:pt idx="186">
                  <c:v>44610</c:v>
                </c:pt>
                <c:pt idx="187">
                  <c:v>44613</c:v>
                </c:pt>
                <c:pt idx="188">
                  <c:v>44614</c:v>
                </c:pt>
                <c:pt idx="189">
                  <c:v>44615</c:v>
                </c:pt>
                <c:pt idx="190">
                  <c:v>44616</c:v>
                </c:pt>
                <c:pt idx="191">
                  <c:v>44617</c:v>
                </c:pt>
                <c:pt idx="192">
                  <c:v>44620</c:v>
                </c:pt>
                <c:pt idx="193">
                  <c:v>44621</c:v>
                </c:pt>
                <c:pt idx="194">
                  <c:v>44622</c:v>
                </c:pt>
                <c:pt idx="195">
                  <c:v>44623</c:v>
                </c:pt>
                <c:pt idx="196">
                  <c:v>44624</c:v>
                </c:pt>
                <c:pt idx="197">
                  <c:v>44627</c:v>
                </c:pt>
                <c:pt idx="198">
                  <c:v>44628</c:v>
                </c:pt>
                <c:pt idx="199">
                  <c:v>44629</c:v>
                </c:pt>
                <c:pt idx="200">
                  <c:v>44630</c:v>
                </c:pt>
                <c:pt idx="201">
                  <c:v>44631</c:v>
                </c:pt>
                <c:pt idx="202">
                  <c:v>44634</c:v>
                </c:pt>
                <c:pt idx="203">
                  <c:v>44635</c:v>
                </c:pt>
                <c:pt idx="204">
                  <c:v>44636</c:v>
                </c:pt>
                <c:pt idx="205">
                  <c:v>44637</c:v>
                </c:pt>
                <c:pt idx="206">
                  <c:v>44638</c:v>
                </c:pt>
                <c:pt idx="207">
                  <c:v>44641</c:v>
                </c:pt>
                <c:pt idx="208">
                  <c:v>44642</c:v>
                </c:pt>
                <c:pt idx="209">
                  <c:v>44643</c:v>
                </c:pt>
                <c:pt idx="210">
                  <c:v>44644</c:v>
                </c:pt>
                <c:pt idx="211">
                  <c:v>44645</c:v>
                </c:pt>
                <c:pt idx="212">
                  <c:v>44648</c:v>
                </c:pt>
                <c:pt idx="213">
                  <c:v>44649</c:v>
                </c:pt>
                <c:pt idx="214">
                  <c:v>44650</c:v>
                </c:pt>
                <c:pt idx="215">
                  <c:v>44651</c:v>
                </c:pt>
                <c:pt idx="216">
                  <c:v>44652</c:v>
                </c:pt>
                <c:pt idx="217">
                  <c:v>44655</c:v>
                </c:pt>
                <c:pt idx="218">
                  <c:v>44656</c:v>
                </c:pt>
                <c:pt idx="219">
                  <c:v>44657</c:v>
                </c:pt>
                <c:pt idx="220">
                  <c:v>44658</c:v>
                </c:pt>
                <c:pt idx="221">
                  <c:v>44659</c:v>
                </c:pt>
                <c:pt idx="222">
                  <c:v>44662</c:v>
                </c:pt>
                <c:pt idx="223">
                  <c:v>44663</c:v>
                </c:pt>
                <c:pt idx="224">
                  <c:v>44664</c:v>
                </c:pt>
                <c:pt idx="225">
                  <c:v>44665</c:v>
                </c:pt>
                <c:pt idx="226">
                  <c:v>44666</c:v>
                </c:pt>
                <c:pt idx="227">
                  <c:v>44669</c:v>
                </c:pt>
                <c:pt idx="228">
                  <c:v>44670</c:v>
                </c:pt>
                <c:pt idx="229">
                  <c:v>44671</c:v>
                </c:pt>
                <c:pt idx="230">
                  <c:v>44672</c:v>
                </c:pt>
                <c:pt idx="231">
                  <c:v>44673</c:v>
                </c:pt>
                <c:pt idx="232">
                  <c:v>44675</c:v>
                </c:pt>
                <c:pt idx="233">
                  <c:v>44676</c:v>
                </c:pt>
                <c:pt idx="234">
                  <c:v>44677</c:v>
                </c:pt>
                <c:pt idx="235">
                  <c:v>44678</c:v>
                </c:pt>
                <c:pt idx="236">
                  <c:v>44679</c:v>
                </c:pt>
                <c:pt idx="237">
                  <c:v>44680</c:v>
                </c:pt>
                <c:pt idx="238">
                  <c:v>44686</c:v>
                </c:pt>
                <c:pt idx="239">
                  <c:v>44687</c:v>
                </c:pt>
                <c:pt idx="240">
                  <c:v>44688</c:v>
                </c:pt>
                <c:pt idx="241">
                  <c:v>44690</c:v>
                </c:pt>
                <c:pt idx="242">
                  <c:v>44691</c:v>
                </c:pt>
                <c:pt idx="243">
                  <c:v>44692</c:v>
                </c:pt>
                <c:pt idx="244">
                  <c:v>44693</c:v>
                </c:pt>
                <c:pt idx="245">
                  <c:v>44694</c:v>
                </c:pt>
                <c:pt idx="246">
                  <c:v>44697</c:v>
                </c:pt>
                <c:pt idx="247">
                  <c:v>44698</c:v>
                </c:pt>
                <c:pt idx="248">
                  <c:v>44699</c:v>
                </c:pt>
                <c:pt idx="249">
                  <c:v>44700</c:v>
                </c:pt>
                <c:pt idx="250">
                  <c:v>44701</c:v>
                </c:pt>
                <c:pt idx="251">
                  <c:v>44704</c:v>
                </c:pt>
                <c:pt idx="252">
                  <c:v>44705</c:v>
                </c:pt>
                <c:pt idx="253">
                  <c:v>44706</c:v>
                </c:pt>
                <c:pt idx="254">
                  <c:v>44707</c:v>
                </c:pt>
                <c:pt idx="255">
                  <c:v>44708</c:v>
                </c:pt>
                <c:pt idx="256">
                  <c:v>44711</c:v>
                </c:pt>
                <c:pt idx="257">
                  <c:v>44712</c:v>
                </c:pt>
                <c:pt idx="258">
                  <c:v>44713</c:v>
                </c:pt>
                <c:pt idx="259">
                  <c:v>44714</c:v>
                </c:pt>
                <c:pt idx="260">
                  <c:v>44715</c:v>
                </c:pt>
                <c:pt idx="261">
                  <c:v>44718</c:v>
                </c:pt>
                <c:pt idx="262">
                  <c:v>44719</c:v>
                </c:pt>
                <c:pt idx="263">
                  <c:v>44720</c:v>
                </c:pt>
                <c:pt idx="264">
                  <c:v>44721</c:v>
                </c:pt>
                <c:pt idx="265">
                  <c:v>44722</c:v>
                </c:pt>
                <c:pt idx="266">
                  <c:v>44725</c:v>
                </c:pt>
                <c:pt idx="267">
                  <c:v>44726</c:v>
                </c:pt>
                <c:pt idx="268">
                  <c:v>44727</c:v>
                </c:pt>
                <c:pt idx="269">
                  <c:v>44728</c:v>
                </c:pt>
                <c:pt idx="270">
                  <c:v>44729</c:v>
                </c:pt>
                <c:pt idx="271">
                  <c:v>44732</c:v>
                </c:pt>
                <c:pt idx="272">
                  <c:v>44733</c:v>
                </c:pt>
                <c:pt idx="273">
                  <c:v>44734</c:v>
                </c:pt>
                <c:pt idx="274">
                  <c:v>44735</c:v>
                </c:pt>
                <c:pt idx="275">
                  <c:v>44736</c:v>
                </c:pt>
                <c:pt idx="276">
                  <c:v>44739</c:v>
                </c:pt>
                <c:pt idx="277">
                  <c:v>44740</c:v>
                </c:pt>
                <c:pt idx="278">
                  <c:v>44741</c:v>
                </c:pt>
                <c:pt idx="279">
                  <c:v>44742</c:v>
                </c:pt>
                <c:pt idx="280">
                  <c:v>44743</c:v>
                </c:pt>
                <c:pt idx="281">
                  <c:v>44746</c:v>
                </c:pt>
                <c:pt idx="282">
                  <c:v>44747</c:v>
                </c:pt>
                <c:pt idx="283">
                  <c:v>44748</c:v>
                </c:pt>
                <c:pt idx="284">
                  <c:v>44749</c:v>
                </c:pt>
                <c:pt idx="285">
                  <c:v>44750</c:v>
                </c:pt>
                <c:pt idx="286">
                  <c:v>44753</c:v>
                </c:pt>
                <c:pt idx="287">
                  <c:v>44754</c:v>
                </c:pt>
                <c:pt idx="288">
                  <c:v>44755</c:v>
                </c:pt>
                <c:pt idx="289">
                  <c:v>44756</c:v>
                </c:pt>
                <c:pt idx="290">
                  <c:v>44757</c:v>
                </c:pt>
                <c:pt idx="291">
                  <c:v>44760</c:v>
                </c:pt>
                <c:pt idx="292">
                  <c:v>44761</c:v>
                </c:pt>
                <c:pt idx="293">
                  <c:v>44762</c:v>
                </c:pt>
                <c:pt idx="294">
                  <c:v>44763</c:v>
                </c:pt>
                <c:pt idx="295">
                  <c:v>44764</c:v>
                </c:pt>
                <c:pt idx="296">
                  <c:v>44767</c:v>
                </c:pt>
                <c:pt idx="297">
                  <c:v>44768</c:v>
                </c:pt>
                <c:pt idx="298">
                  <c:v>44769</c:v>
                </c:pt>
                <c:pt idx="299">
                  <c:v>44770</c:v>
                </c:pt>
                <c:pt idx="300">
                  <c:v>44771</c:v>
                </c:pt>
                <c:pt idx="301">
                  <c:v>44774</c:v>
                </c:pt>
                <c:pt idx="302">
                  <c:v>44775</c:v>
                </c:pt>
                <c:pt idx="303">
                  <c:v>44776</c:v>
                </c:pt>
                <c:pt idx="304">
                  <c:v>44777</c:v>
                </c:pt>
                <c:pt idx="305">
                  <c:v>44778</c:v>
                </c:pt>
                <c:pt idx="306">
                  <c:v>44781</c:v>
                </c:pt>
                <c:pt idx="307">
                  <c:v>44782</c:v>
                </c:pt>
                <c:pt idx="308">
                  <c:v>44783</c:v>
                </c:pt>
                <c:pt idx="309">
                  <c:v>44784</c:v>
                </c:pt>
                <c:pt idx="310">
                  <c:v>44785</c:v>
                </c:pt>
                <c:pt idx="311">
                  <c:v>44788</c:v>
                </c:pt>
                <c:pt idx="312">
                  <c:v>44789</c:v>
                </c:pt>
                <c:pt idx="313">
                  <c:v>44790</c:v>
                </c:pt>
                <c:pt idx="314">
                  <c:v>44791</c:v>
                </c:pt>
                <c:pt idx="315">
                  <c:v>44792</c:v>
                </c:pt>
                <c:pt idx="316">
                  <c:v>44795</c:v>
                </c:pt>
                <c:pt idx="317">
                  <c:v>44796</c:v>
                </c:pt>
                <c:pt idx="318">
                  <c:v>44797</c:v>
                </c:pt>
                <c:pt idx="319">
                  <c:v>44798</c:v>
                </c:pt>
                <c:pt idx="320">
                  <c:v>44799</c:v>
                </c:pt>
                <c:pt idx="321">
                  <c:v>44802</c:v>
                </c:pt>
                <c:pt idx="322">
                  <c:v>44803</c:v>
                </c:pt>
                <c:pt idx="323">
                  <c:v>44804</c:v>
                </c:pt>
                <c:pt idx="324">
                  <c:v>44805</c:v>
                </c:pt>
                <c:pt idx="325">
                  <c:v>44806</c:v>
                </c:pt>
                <c:pt idx="326">
                  <c:v>44809</c:v>
                </c:pt>
                <c:pt idx="327">
                  <c:v>44810</c:v>
                </c:pt>
                <c:pt idx="328">
                  <c:v>44811</c:v>
                </c:pt>
                <c:pt idx="329">
                  <c:v>44812</c:v>
                </c:pt>
                <c:pt idx="330">
                  <c:v>44813</c:v>
                </c:pt>
                <c:pt idx="331">
                  <c:v>44816</c:v>
                </c:pt>
                <c:pt idx="332">
                  <c:v>44817</c:v>
                </c:pt>
                <c:pt idx="333">
                  <c:v>44818</c:v>
                </c:pt>
                <c:pt idx="334">
                  <c:v>44819</c:v>
                </c:pt>
                <c:pt idx="335">
                  <c:v>44820</c:v>
                </c:pt>
                <c:pt idx="336">
                  <c:v>44823</c:v>
                </c:pt>
                <c:pt idx="337">
                  <c:v>44824</c:v>
                </c:pt>
                <c:pt idx="338">
                  <c:v>44825</c:v>
                </c:pt>
                <c:pt idx="339">
                  <c:v>44826</c:v>
                </c:pt>
                <c:pt idx="340">
                  <c:v>44827</c:v>
                </c:pt>
                <c:pt idx="341">
                  <c:v>44830</c:v>
                </c:pt>
                <c:pt idx="342">
                  <c:v>44831</c:v>
                </c:pt>
                <c:pt idx="343">
                  <c:v>44832</c:v>
                </c:pt>
                <c:pt idx="344">
                  <c:v>44833</c:v>
                </c:pt>
                <c:pt idx="345">
                  <c:v>44834</c:v>
                </c:pt>
                <c:pt idx="346">
                  <c:v>44841</c:v>
                </c:pt>
                <c:pt idx="347">
                  <c:v>44842</c:v>
                </c:pt>
                <c:pt idx="348">
                  <c:v>44843</c:v>
                </c:pt>
                <c:pt idx="349">
                  <c:v>44844</c:v>
                </c:pt>
                <c:pt idx="350">
                  <c:v>44845</c:v>
                </c:pt>
                <c:pt idx="351">
                  <c:v>44846</c:v>
                </c:pt>
                <c:pt idx="352">
                  <c:v>44847</c:v>
                </c:pt>
                <c:pt idx="353">
                  <c:v>44848</c:v>
                </c:pt>
                <c:pt idx="354">
                  <c:v>44851</c:v>
                </c:pt>
                <c:pt idx="355">
                  <c:v>44852</c:v>
                </c:pt>
                <c:pt idx="356">
                  <c:v>44853</c:v>
                </c:pt>
                <c:pt idx="357">
                  <c:v>44854</c:v>
                </c:pt>
                <c:pt idx="358">
                  <c:v>44855</c:v>
                </c:pt>
                <c:pt idx="359">
                  <c:v>44858</c:v>
                </c:pt>
                <c:pt idx="360">
                  <c:v>44859</c:v>
                </c:pt>
                <c:pt idx="361">
                  <c:v>44860</c:v>
                </c:pt>
                <c:pt idx="362">
                  <c:v>44861</c:v>
                </c:pt>
                <c:pt idx="363">
                  <c:v>44862</c:v>
                </c:pt>
                <c:pt idx="364">
                  <c:v>44865</c:v>
                </c:pt>
                <c:pt idx="365">
                  <c:v>44866</c:v>
                </c:pt>
                <c:pt idx="366">
                  <c:v>44867</c:v>
                </c:pt>
                <c:pt idx="367">
                  <c:v>44868</c:v>
                </c:pt>
                <c:pt idx="368">
                  <c:v>44869</c:v>
                </c:pt>
                <c:pt idx="369">
                  <c:v>44872</c:v>
                </c:pt>
                <c:pt idx="370">
                  <c:v>44873</c:v>
                </c:pt>
                <c:pt idx="371">
                  <c:v>44874</c:v>
                </c:pt>
                <c:pt idx="372">
                  <c:v>44875</c:v>
                </c:pt>
                <c:pt idx="373">
                  <c:v>44876</c:v>
                </c:pt>
                <c:pt idx="374">
                  <c:v>44879</c:v>
                </c:pt>
                <c:pt idx="375">
                  <c:v>44880</c:v>
                </c:pt>
                <c:pt idx="376">
                  <c:v>44881</c:v>
                </c:pt>
                <c:pt idx="377">
                  <c:v>44882</c:v>
                </c:pt>
                <c:pt idx="378">
                  <c:v>44883</c:v>
                </c:pt>
                <c:pt idx="379">
                  <c:v>44886</c:v>
                </c:pt>
                <c:pt idx="380">
                  <c:v>44887</c:v>
                </c:pt>
                <c:pt idx="381">
                  <c:v>44888</c:v>
                </c:pt>
                <c:pt idx="382">
                  <c:v>44889</c:v>
                </c:pt>
                <c:pt idx="383">
                  <c:v>44890</c:v>
                </c:pt>
                <c:pt idx="384">
                  <c:v>44893</c:v>
                </c:pt>
                <c:pt idx="385">
                  <c:v>44894</c:v>
                </c:pt>
                <c:pt idx="386">
                  <c:v>44895</c:v>
                </c:pt>
                <c:pt idx="387">
                  <c:v>44896</c:v>
                </c:pt>
                <c:pt idx="388">
                  <c:v>44897</c:v>
                </c:pt>
                <c:pt idx="389">
                  <c:v>44900</c:v>
                </c:pt>
                <c:pt idx="390">
                  <c:v>44901</c:v>
                </c:pt>
                <c:pt idx="391">
                  <c:v>44902</c:v>
                </c:pt>
                <c:pt idx="392">
                  <c:v>44903</c:v>
                </c:pt>
                <c:pt idx="393">
                  <c:v>44904</c:v>
                </c:pt>
                <c:pt idx="394">
                  <c:v>44907</c:v>
                </c:pt>
                <c:pt idx="395">
                  <c:v>44908</c:v>
                </c:pt>
                <c:pt idx="396">
                  <c:v>44909</c:v>
                </c:pt>
                <c:pt idx="397">
                  <c:v>44910</c:v>
                </c:pt>
                <c:pt idx="398">
                  <c:v>44911</c:v>
                </c:pt>
                <c:pt idx="399">
                  <c:v>44914</c:v>
                </c:pt>
                <c:pt idx="400">
                  <c:v>44915</c:v>
                </c:pt>
                <c:pt idx="401">
                  <c:v>44916</c:v>
                </c:pt>
                <c:pt idx="402">
                  <c:v>44917</c:v>
                </c:pt>
                <c:pt idx="403">
                  <c:v>44918</c:v>
                </c:pt>
                <c:pt idx="404">
                  <c:v>44921</c:v>
                </c:pt>
                <c:pt idx="405">
                  <c:v>44922</c:v>
                </c:pt>
                <c:pt idx="406">
                  <c:v>44923</c:v>
                </c:pt>
                <c:pt idx="407">
                  <c:v>44924</c:v>
                </c:pt>
                <c:pt idx="408">
                  <c:v>44925</c:v>
                </c:pt>
                <c:pt idx="409">
                  <c:v>44928</c:v>
                </c:pt>
                <c:pt idx="410">
                  <c:v>44929</c:v>
                </c:pt>
                <c:pt idx="411">
                  <c:v>44930</c:v>
                </c:pt>
                <c:pt idx="412">
                  <c:v>44931</c:v>
                </c:pt>
                <c:pt idx="413">
                  <c:v>44932</c:v>
                </c:pt>
                <c:pt idx="414">
                  <c:v>44935</c:v>
                </c:pt>
                <c:pt idx="415">
                  <c:v>44936</c:v>
                </c:pt>
                <c:pt idx="416">
                  <c:v>44937</c:v>
                </c:pt>
                <c:pt idx="417">
                  <c:v>44938</c:v>
                </c:pt>
                <c:pt idx="418">
                  <c:v>44939</c:v>
                </c:pt>
                <c:pt idx="419">
                  <c:v>44942</c:v>
                </c:pt>
                <c:pt idx="420">
                  <c:v>44943</c:v>
                </c:pt>
                <c:pt idx="421">
                  <c:v>44944</c:v>
                </c:pt>
                <c:pt idx="422">
                  <c:v>44945</c:v>
                </c:pt>
                <c:pt idx="423">
                  <c:v>44946</c:v>
                </c:pt>
                <c:pt idx="424">
                  <c:v>44949</c:v>
                </c:pt>
                <c:pt idx="425">
                  <c:v>44950</c:v>
                </c:pt>
                <c:pt idx="426">
                  <c:v>44951</c:v>
                </c:pt>
                <c:pt idx="427">
                  <c:v>44952</c:v>
                </c:pt>
                <c:pt idx="428">
                  <c:v>44953</c:v>
                </c:pt>
                <c:pt idx="429">
                  <c:v>44954</c:v>
                </c:pt>
                <c:pt idx="430">
                  <c:v>44955</c:v>
                </c:pt>
                <c:pt idx="431">
                  <c:v>44956</c:v>
                </c:pt>
                <c:pt idx="432">
                  <c:v>44957</c:v>
                </c:pt>
                <c:pt idx="433">
                  <c:v>44958</c:v>
                </c:pt>
                <c:pt idx="434">
                  <c:v>44959</c:v>
                </c:pt>
                <c:pt idx="435">
                  <c:v>44960</c:v>
                </c:pt>
                <c:pt idx="436">
                  <c:v>44963</c:v>
                </c:pt>
                <c:pt idx="437">
                  <c:v>44964</c:v>
                </c:pt>
                <c:pt idx="438">
                  <c:v>44965</c:v>
                </c:pt>
                <c:pt idx="439">
                  <c:v>44966</c:v>
                </c:pt>
                <c:pt idx="440">
                  <c:v>44967</c:v>
                </c:pt>
                <c:pt idx="441">
                  <c:v>44970</c:v>
                </c:pt>
                <c:pt idx="442">
                  <c:v>44971</c:v>
                </c:pt>
                <c:pt idx="443">
                  <c:v>44972</c:v>
                </c:pt>
                <c:pt idx="444">
                  <c:v>44973</c:v>
                </c:pt>
                <c:pt idx="445">
                  <c:v>44974</c:v>
                </c:pt>
                <c:pt idx="446">
                  <c:v>44977</c:v>
                </c:pt>
                <c:pt idx="447">
                  <c:v>44978</c:v>
                </c:pt>
                <c:pt idx="448">
                  <c:v>44979</c:v>
                </c:pt>
                <c:pt idx="449">
                  <c:v>44980</c:v>
                </c:pt>
                <c:pt idx="450">
                  <c:v>44981</c:v>
                </c:pt>
                <c:pt idx="451">
                  <c:v>44984</c:v>
                </c:pt>
                <c:pt idx="452">
                  <c:v>44985</c:v>
                </c:pt>
                <c:pt idx="453">
                  <c:v>44986</c:v>
                </c:pt>
                <c:pt idx="454">
                  <c:v>44987</c:v>
                </c:pt>
                <c:pt idx="455">
                  <c:v>44988</c:v>
                </c:pt>
                <c:pt idx="456">
                  <c:v>44991</c:v>
                </c:pt>
                <c:pt idx="457">
                  <c:v>44992</c:v>
                </c:pt>
                <c:pt idx="458">
                  <c:v>44993</c:v>
                </c:pt>
                <c:pt idx="459">
                  <c:v>44994</c:v>
                </c:pt>
                <c:pt idx="460">
                  <c:v>44995</c:v>
                </c:pt>
                <c:pt idx="461">
                  <c:v>44998</c:v>
                </c:pt>
                <c:pt idx="462">
                  <c:v>44999</c:v>
                </c:pt>
                <c:pt idx="463">
                  <c:v>45000</c:v>
                </c:pt>
                <c:pt idx="464">
                  <c:v>45001</c:v>
                </c:pt>
                <c:pt idx="465">
                  <c:v>45002</c:v>
                </c:pt>
                <c:pt idx="466">
                  <c:v>45005</c:v>
                </c:pt>
                <c:pt idx="467">
                  <c:v>45006</c:v>
                </c:pt>
                <c:pt idx="468">
                  <c:v>45007</c:v>
                </c:pt>
                <c:pt idx="469">
                  <c:v>45008</c:v>
                </c:pt>
                <c:pt idx="470">
                  <c:v>45009</c:v>
                </c:pt>
                <c:pt idx="471">
                  <c:v>45012</c:v>
                </c:pt>
                <c:pt idx="472">
                  <c:v>45013</c:v>
                </c:pt>
              </c:numCache>
            </c:numRef>
          </c:cat>
          <c:val>
            <c:numRef>
              <c:f>Charts!$C$1166:$C$1638</c:f>
              <c:numCache>
                <c:formatCode>General</c:formatCode>
                <c:ptCount val="473"/>
                <c:pt idx="0">
                  <c:v>2.4</c:v>
                </c:pt>
                <c:pt idx="1">
                  <c:v>2.4</c:v>
                </c:pt>
                <c:pt idx="2">
                  <c:v>2.4</c:v>
                </c:pt>
                <c:pt idx="3">
                  <c:v>2.4</c:v>
                </c:pt>
                <c:pt idx="4">
                  <c:v>2.4</c:v>
                </c:pt>
                <c:pt idx="5">
                  <c:v>2.4</c:v>
                </c:pt>
                <c:pt idx="6">
                  <c:v>2.4</c:v>
                </c:pt>
                <c:pt idx="7">
                  <c:v>2.4</c:v>
                </c:pt>
                <c:pt idx="8">
                  <c:v>2.4</c:v>
                </c:pt>
                <c:pt idx="9">
                  <c:v>2.4</c:v>
                </c:pt>
                <c:pt idx="10">
                  <c:v>2.4</c:v>
                </c:pt>
                <c:pt idx="11">
                  <c:v>2.4</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2.4</c:v>
                </c:pt>
                <c:pt idx="53">
                  <c:v>2.4</c:v>
                </c:pt>
                <c:pt idx="54">
                  <c:v>2.4</c:v>
                </c:pt>
                <c:pt idx="55">
                  <c:v>2.4</c:v>
                </c:pt>
                <c:pt idx="56">
                  <c:v>2.4</c:v>
                </c:pt>
                <c:pt idx="57">
                  <c:v>2.4</c:v>
                </c:pt>
                <c:pt idx="58">
                  <c:v>2.4</c:v>
                </c:pt>
                <c:pt idx="59">
                  <c:v>2.4</c:v>
                </c:pt>
                <c:pt idx="60">
                  <c:v>2.4</c:v>
                </c:pt>
                <c:pt idx="61">
                  <c:v>2.4</c:v>
                </c:pt>
                <c:pt idx="62">
                  <c:v>2.4</c:v>
                </c:pt>
                <c:pt idx="63">
                  <c:v>2.4</c:v>
                </c:pt>
                <c:pt idx="64">
                  <c:v>2.4</c:v>
                </c:pt>
                <c:pt idx="65">
                  <c:v>2.4</c:v>
                </c:pt>
                <c:pt idx="66">
                  <c:v>2.4</c:v>
                </c:pt>
                <c:pt idx="67">
                  <c:v>2.4</c:v>
                </c:pt>
                <c:pt idx="68">
                  <c:v>2.4</c:v>
                </c:pt>
                <c:pt idx="69">
                  <c:v>2.4</c:v>
                </c:pt>
                <c:pt idx="70">
                  <c:v>2.4</c:v>
                </c:pt>
                <c:pt idx="71">
                  <c:v>2.4</c:v>
                </c:pt>
                <c:pt idx="72">
                  <c:v>2.4</c:v>
                </c:pt>
                <c:pt idx="73">
                  <c:v>2.4</c:v>
                </c:pt>
                <c:pt idx="74">
                  <c:v>2.4</c:v>
                </c:pt>
                <c:pt idx="75">
                  <c:v>2.4</c:v>
                </c:pt>
                <c:pt idx="76">
                  <c:v>2.4</c:v>
                </c:pt>
                <c:pt idx="77">
                  <c:v>2.4</c:v>
                </c:pt>
                <c:pt idx="78">
                  <c:v>2.4</c:v>
                </c:pt>
                <c:pt idx="79">
                  <c:v>2.4</c:v>
                </c:pt>
                <c:pt idx="80">
                  <c:v>2.4</c:v>
                </c:pt>
                <c:pt idx="81">
                  <c:v>2.4</c:v>
                </c:pt>
                <c:pt idx="82">
                  <c:v>2.4</c:v>
                </c:pt>
                <c:pt idx="83">
                  <c:v>2.4</c:v>
                </c:pt>
                <c:pt idx="84">
                  <c:v>2.4</c:v>
                </c:pt>
                <c:pt idx="85">
                  <c:v>2.4</c:v>
                </c:pt>
                <c:pt idx="86">
                  <c:v>2.4</c:v>
                </c:pt>
                <c:pt idx="87">
                  <c:v>2.4</c:v>
                </c:pt>
                <c:pt idx="88">
                  <c:v>2.4</c:v>
                </c:pt>
                <c:pt idx="89">
                  <c:v>2.4</c:v>
                </c:pt>
                <c:pt idx="90">
                  <c:v>2.4</c:v>
                </c:pt>
                <c:pt idx="91">
                  <c:v>2.4</c:v>
                </c:pt>
                <c:pt idx="92">
                  <c:v>2.4</c:v>
                </c:pt>
                <c:pt idx="93">
                  <c:v>2.4</c:v>
                </c:pt>
                <c:pt idx="94">
                  <c:v>2.4</c:v>
                </c:pt>
                <c:pt idx="95">
                  <c:v>2.4</c:v>
                </c:pt>
                <c:pt idx="96">
                  <c:v>2.4</c:v>
                </c:pt>
                <c:pt idx="97">
                  <c:v>2.4</c:v>
                </c:pt>
                <c:pt idx="98">
                  <c:v>2.4</c:v>
                </c:pt>
                <c:pt idx="99">
                  <c:v>2.4</c:v>
                </c:pt>
                <c:pt idx="100">
                  <c:v>2.4</c:v>
                </c:pt>
                <c:pt idx="101">
                  <c:v>2.4</c:v>
                </c:pt>
                <c:pt idx="102">
                  <c:v>2.4</c:v>
                </c:pt>
                <c:pt idx="103">
                  <c:v>2.4</c:v>
                </c:pt>
                <c:pt idx="104">
                  <c:v>2.4</c:v>
                </c:pt>
                <c:pt idx="105">
                  <c:v>2.4</c:v>
                </c:pt>
                <c:pt idx="106">
                  <c:v>2.4</c:v>
                </c:pt>
                <c:pt idx="107">
                  <c:v>2.4</c:v>
                </c:pt>
                <c:pt idx="108">
                  <c:v>2.4</c:v>
                </c:pt>
                <c:pt idx="109">
                  <c:v>2.4</c:v>
                </c:pt>
                <c:pt idx="110">
                  <c:v>2.4</c:v>
                </c:pt>
                <c:pt idx="111">
                  <c:v>2.4</c:v>
                </c:pt>
                <c:pt idx="112">
                  <c:v>2.4</c:v>
                </c:pt>
                <c:pt idx="113">
                  <c:v>2.4</c:v>
                </c:pt>
                <c:pt idx="114">
                  <c:v>2.4</c:v>
                </c:pt>
                <c:pt idx="115">
                  <c:v>2.4</c:v>
                </c:pt>
                <c:pt idx="116">
                  <c:v>2.5</c:v>
                </c:pt>
                <c:pt idx="117">
                  <c:v>2.5</c:v>
                </c:pt>
                <c:pt idx="118">
                  <c:v>2.5</c:v>
                </c:pt>
                <c:pt idx="119">
                  <c:v>2.5</c:v>
                </c:pt>
                <c:pt idx="120">
                  <c:v>2.5</c:v>
                </c:pt>
                <c:pt idx="121">
                  <c:v>2.5</c:v>
                </c:pt>
                <c:pt idx="122">
                  <c:v>2.5</c:v>
                </c:pt>
                <c:pt idx="123">
                  <c:v>2.5</c:v>
                </c:pt>
                <c:pt idx="124">
                  <c:v>2.5</c:v>
                </c:pt>
                <c:pt idx="125">
                  <c:v>2.5</c:v>
                </c:pt>
                <c:pt idx="126">
                  <c:v>2.5</c:v>
                </c:pt>
                <c:pt idx="127">
                  <c:v>2.5</c:v>
                </c:pt>
                <c:pt idx="128">
                  <c:v>2.5</c:v>
                </c:pt>
                <c:pt idx="129">
                  <c:v>2.5</c:v>
                </c:pt>
                <c:pt idx="130">
                  <c:v>2.5</c:v>
                </c:pt>
                <c:pt idx="131">
                  <c:v>2.5</c:v>
                </c:pt>
                <c:pt idx="132">
                  <c:v>2.5</c:v>
                </c:pt>
                <c:pt idx="133">
                  <c:v>2.6</c:v>
                </c:pt>
                <c:pt idx="134">
                  <c:v>2.6</c:v>
                </c:pt>
                <c:pt idx="135">
                  <c:v>2.6</c:v>
                </c:pt>
                <c:pt idx="136">
                  <c:v>2.6</c:v>
                </c:pt>
                <c:pt idx="137">
                  <c:v>2.6</c:v>
                </c:pt>
                <c:pt idx="138">
                  <c:v>2.6</c:v>
                </c:pt>
                <c:pt idx="139">
                  <c:v>2.6</c:v>
                </c:pt>
                <c:pt idx="140">
                  <c:v>2.6</c:v>
                </c:pt>
                <c:pt idx="141">
                  <c:v>2.6</c:v>
                </c:pt>
                <c:pt idx="142">
                  <c:v>2.6</c:v>
                </c:pt>
                <c:pt idx="143">
                  <c:v>2.6</c:v>
                </c:pt>
                <c:pt idx="144">
                  <c:v>2.6</c:v>
                </c:pt>
                <c:pt idx="145">
                  <c:v>2.6</c:v>
                </c:pt>
                <c:pt idx="146">
                  <c:v>2.6</c:v>
                </c:pt>
                <c:pt idx="147">
                  <c:v>2.6</c:v>
                </c:pt>
                <c:pt idx="148">
                  <c:v>2.6</c:v>
                </c:pt>
                <c:pt idx="149">
                  <c:v>2.6</c:v>
                </c:pt>
                <c:pt idx="150">
                  <c:v>2.6</c:v>
                </c:pt>
                <c:pt idx="151">
                  <c:v>2.6</c:v>
                </c:pt>
                <c:pt idx="152">
                  <c:v>2.6</c:v>
                </c:pt>
                <c:pt idx="153">
                  <c:v>2.6</c:v>
                </c:pt>
                <c:pt idx="154">
                  <c:v>2.6</c:v>
                </c:pt>
                <c:pt idx="155">
                  <c:v>2.6</c:v>
                </c:pt>
                <c:pt idx="156">
                  <c:v>2.6</c:v>
                </c:pt>
                <c:pt idx="157">
                  <c:v>2.6</c:v>
                </c:pt>
                <c:pt idx="158">
                  <c:v>2.6</c:v>
                </c:pt>
                <c:pt idx="159">
                  <c:v>2.6</c:v>
                </c:pt>
                <c:pt idx="160">
                  <c:v>2.6</c:v>
                </c:pt>
                <c:pt idx="161">
                  <c:v>2.6</c:v>
                </c:pt>
                <c:pt idx="162">
                  <c:v>2.6</c:v>
                </c:pt>
                <c:pt idx="163">
                  <c:v>2.6</c:v>
                </c:pt>
                <c:pt idx="164">
                  <c:v>2.6</c:v>
                </c:pt>
                <c:pt idx="165">
                  <c:v>2.6</c:v>
                </c:pt>
                <c:pt idx="166">
                  <c:v>2.6</c:v>
                </c:pt>
                <c:pt idx="167">
                  <c:v>2.6</c:v>
                </c:pt>
                <c:pt idx="168">
                  <c:v>2.6</c:v>
                </c:pt>
                <c:pt idx="169">
                  <c:v>2.6</c:v>
                </c:pt>
                <c:pt idx="170">
                  <c:v>2.6</c:v>
                </c:pt>
                <c:pt idx="171">
                  <c:v>2.6</c:v>
                </c:pt>
                <c:pt idx="172">
                  <c:v>2.6</c:v>
                </c:pt>
                <c:pt idx="173">
                  <c:v>2.6</c:v>
                </c:pt>
                <c:pt idx="174">
                  <c:v>2.6</c:v>
                </c:pt>
                <c:pt idx="175">
                  <c:v>2.6</c:v>
                </c:pt>
                <c:pt idx="176">
                  <c:v>2.6</c:v>
                </c:pt>
                <c:pt idx="177">
                  <c:v>2.6</c:v>
                </c:pt>
                <c:pt idx="178">
                  <c:v>2.6</c:v>
                </c:pt>
                <c:pt idx="179">
                  <c:v>2.6</c:v>
                </c:pt>
                <c:pt idx="180">
                  <c:v>2.6</c:v>
                </c:pt>
                <c:pt idx="181">
                  <c:v>2.6</c:v>
                </c:pt>
                <c:pt idx="182">
                  <c:v>2.6</c:v>
                </c:pt>
                <c:pt idx="183">
                  <c:v>2.6</c:v>
                </c:pt>
                <c:pt idx="184">
                  <c:v>2.6</c:v>
                </c:pt>
                <c:pt idx="185">
                  <c:v>2.6</c:v>
                </c:pt>
                <c:pt idx="186">
                  <c:v>2.6</c:v>
                </c:pt>
                <c:pt idx="187">
                  <c:v>2.6</c:v>
                </c:pt>
                <c:pt idx="188">
                  <c:v>2.6</c:v>
                </c:pt>
                <c:pt idx="189">
                  <c:v>2.6</c:v>
                </c:pt>
                <c:pt idx="190">
                  <c:v>2.6</c:v>
                </c:pt>
                <c:pt idx="191">
                  <c:v>2.6</c:v>
                </c:pt>
                <c:pt idx="192">
                  <c:v>2.6</c:v>
                </c:pt>
                <c:pt idx="193">
                  <c:v>2.6</c:v>
                </c:pt>
                <c:pt idx="194">
                  <c:v>2.6</c:v>
                </c:pt>
                <c:pt idx="195">
                  <c:v>2.6</c:v>
                </c:pt>
                <c:pt idx="196">
                  <c:v>2.6</c:v>
                </c:pt>
                <c:pt idx="197">
                  <c:v>2.6</c:v>
                </c:pt>
                <c:pt idx="198">
                  <c:v>2.6</c:v>
                </c:pt>
                <c:pt idx="199">
                  <c:v>2.6</c:v>
                </c:pt>
                <c:pt idx="200">
                  <c:v>2.6</c:v>
                </c:pt>
                <c:pt idx="201">
                  <c:v>2.6</c:v>
                </c:pt>
                <c:pt idx="202">
                  <c:v>2.6</c:v>
                </c:pt>
                <c:pt idx="203">
                  <c:v>2.6</c:v>
                </c:pt>
                <c:pt idx="204">
                  <c:v>2.6</c:v>
                </c:pt>
                <c:pt idx="205">
                  <c:v>2.6</c:v>
                </c:pt>
                <c:pt idx="206">
                  <c:v>2.6</c:v>
                </c:pt>
                <c:pt idx="207">
                  <c:v>2.6</c:v>
                </c:pt>
                <c:pt idx="208">
                  <c:v>2.6</c:v>
                </c:pt>
                <c:pt idx="209">
                  <c:v>2.6</c:v>
                </c:pt>
                <c:pt idx="210">
                  <c:v>2.6</c:v>
                </c:pt>
                <c:pt idx="211">
                  <c:v>2.6</c:v>
                </c:pt>
                <c:pt idx="212">
                  <c:v>2.6</c:v>
                </c:pt>
                <c:pt idx="213">
                  <c:v>2.6</c:v>
                </c:pt>
                <c:pt idx="214">
                  <c:v>2.6</c:v>
                </c:pt>
                <c:pt idx="215">
                  <c:v>2.6</c:v>
                </c:pt>
                <c:pt idx="216">
                  <c:v>2.6</c:v>
                </c:pt>
                <c:pt idx="217">
                  <c:v>2.6</c:v>
                </c:pt>
                <c:pt idx="218">
                  <c:v>2.6</c:v>
                </c:pt>
                <c:pt idx="219">
                  <c:v>2.6</c:v>
                </c:pt>
                <c:pt idx="220">
                  <c:v>2.6</c:v>
                </c:pt>
                <c:pt idx="221">
                  <c:v>2.6</c:v>
                </c:pt>
                <c:pt idx="222">
                  <c:v>2.6</c:v>
                </c:pt>
                <c:pt idx="223">
                  <c:v>2.6</c:v>
                </c:pt>
                <c:pt idx="224">
                  <c:v>2.6</c:v>
                </c:pt>
                <c:pt idx="225">
                  <c:v>2.6</c:v>
                </c:pt>
                <c:pt idx="226">
                  <c:v>2.6</c:v>
                </c:pt>
                <c:pt idx="227">
                  <c:v>2.6</c:v>
                </c:pt>
                <c:pt idx="228">
                  <c:v>2.6</c:v>
                </c:pt>
                <c:pt idx="229">
                  <c:v>2.6</c:v>
                </c:pt>
                <c:pt idx="230">
                  <c:v>2.6</c:v>
                </c:pt>
                <c:pt idx="231">
                  <c:v>2.6</c:v>
                </c:pt>
                <c:pt idx="232">
                  <c:v>2.6</c:v>
                </c:pt>
                <c:pt idx="233">
                  <c:v>2.6</c:v>
                </c:pt>
                <c:pt idx="234">
                  <c:v>2.6</c:v>
                </c:pt>
                <c:pt idx="235">
                  <c:v>2.6</c:v>
                </c:pt>
                <c:pt idx="236">
                  <c:v>2.6</c:v>
                </c:pt>
                <c:pt idx="237">
                  <c:v>2.6</c:v>
                </c:pt>
                <c:pt idx="238">
                  <c:v>2.6</c:v>
                </c:pt>
                <c:pt idx="239">
                  <c:v>2.6</c:v>
                </c:pt>
                <c:pt idx="240">
                  <c:v>2.6</c:v>
                </c:pt>
                <c:pt idx="241">
                  <c:v>2.6</c:v>
                </c:pt>
                <c:pt idx="242">
                  <c:v>2.6</c:v>
                </c:pt>
                <c:pt idx="243">
                  <c:v>2.6</c:v>
                </c:pt>
                <c:pt idx="244">
                  <c:v>2.6</c:v>
                </c:pt>
                <c:pt idx="245">
                  <c:v>2.6</c:v>
                </c:pt>
                <c:pt idx="246">
                  <c:v>2.6</c:v>
                </c:pt>
                <c:pt idx="247">
                  <c:v>2.6</c:v>
                </c:pt>
                <c:pt idx="248">
                  <c:v>2.6</c:v>
                </c:pt>
                <c:pt idx="249">
                  <c:v>2.6</c:v>
                </c:pt>
                <c:pt idx="250">
                  <c:v>2.6</c:v>
                </c:pt>
                <c:pt idx="251">
                  <c:v>2.6</c:v>
                </c:pt>
                <c:pt idx="252">
                  <c:v>2.6</c:v>
                </c:pt>
                <c:pt idx="253">
                  <c:v>2.6</c:v>
                </c:pt>
                <c:pt idx="254">
                  <c:v>2.6</c:v>
                </c:pt>
                <c:pt idx="255">
                  <c:v>2.6</c:v>
                </c:pt>
                <c:pt idx="256">
                  <c:v>2.6</c:v>
                </c:pt>
                <c:pt idx="257">
                  <c:v>2.6</c:v>
                </c:pt>
                <c:pt idx="258">
                  <c:v>2.6</c:v>
                </c:pt>
                <c:pt idx="259">
                  <c:v>2.6</c:v>
                </c:pt>
                <c:pt idx="260">
                  <c:v>2.6</c:v>
                </c:pt>
                <c:pt idx="261">
                  <c:v>2.6</c:v>
                </c:pt>
                <c:pt idx="262">
                  <c:v>2.6</c:v>
                </c:pt>
                <c:pt idx="263">
                  <c:v>2.6</c:v>
                </c:pt>
                <c:pt idx="264">
                  <c:v>2.6</c:v>
                </c:pt>
                <c:pt idx="265">
                  <c:v>2.6</c:v>
                </c:pt>
                <c:pt idx="266">
                  <c:v>2.6</c:v>
                </c:pt>
                <c:pt idx="267">
                  <c:v>2.6</c:v>
                </c:pt>
                <c:pt idx="268">
                  <c:v>2.6</c:v>
                </c:pt>
                <c:pt idx="269">
                  <c:v>2.6</c:v>
                </c:pt>
                <c:pt idx="270">
                  <c:v>2.6</c:v>
                </c:pt>
                <c:pt idx="271">
                  <c:v>2.6</c:v>
                </c:pt>
                <c:pt idx="272">
                  <c:v>2.6</c:v>
                </c:pt>
                <c:pt idx="273">
                  <c:v>2.6</c:v>
                </c:pt>
                <c:pt idx="274">
                  <c:v>2.6</c:v>
                </c:pt>
                <c:pt idx="275">
                  <c:v>2.6</c:v>
                </c:pt>
                <c:pt idx="276">
                  <c:v>2.6</c:v>
                </c:pt>
                <c:pt idx="277">
                  <c:v>2.6</c:v>
                </c:pt>
                <c:pt idx="278">
                  <c:v>2.6</c:v>
                </c:pt>
                <c:pt idx="279">
                  <c:v>2.6</c:v>
                </c:pt>
                <c:pt idx="280">
                  <c:v>2.6</c:v>
                </c:pt>
                <c:pt idx="281">
                  <c:v>2.6</c:v>
                </c:pt>
                <c:pt idx="282">
                  <c:v>2.6</c:v>
                </c:pt>
                <c:pt idx="283">
                  <c:v>2.6</c:v>
                </c:pt>
                <c:pt idx="284">
                  <c:v>2.6</c:v>
                </c:pt>
                <c:pt idx="285">
                  <c:v>2.6</c:v>
                </c:pt>
                <c:pt idx="286">
                  <c:v>2.6</c:v>
                </c:pt>
                <c:pt idx="287">
                  <c:v>2.6</c:v>
                </c:pt>
                <c:pt idx="288">
                  <c:v>2.6</c:v>
                </c:pt>
                <c:pt idx="289">
                  <c:v>2.6</c:v>
                </c:pt>
                <c:pt idx="290">
                  <c:v>2.6</c:v>
                </c:pt>
                <c:pt idx="291">
                  <c:v>2.6</c:v>
                </c:pt>
                <c:pt idx="292">
                  <c:v>2.6</c:v>
                </c:pt>
                <c:pt idx="293">
                  <c:v>2.6</c:v>
                </c:pt>
                <c:pt idx="294">
                  <c:v>2.6</c:v>
                </c:pt>
                <c:pt idx="295">
                  <c:v>2.6</c:v>
                </c:pt>
                <c:pt idx="296">
                  <c:v>2.6</c:v>
                </c:pt>
                <c:pt idx="297">
                  <c:v>2.6</c:v>
                </c:pt>
                <c:pt idx="298">
                  <c:v>2.6</c:v>
                </c:pt>
                <c:pt idx="299">
                  <c:v>2.6</c:v>
                </c:pt>
                <c:pt idx="300">
                  <c:v>2.6</c:v>
                </c:pt>
                <c:pt idx="301">
                  <c:v>2.6</c:v>
                </c:pt>
                <c:pt idx="302">
                  <c:v>2.6</c:v>
                </c:pt>
                <c:pt idx="303">
                  <c:v>2.6</c:v>
                </c:pt>
                <c:pt idx="304">
                  <c:v>2.6</c:v>
                </c:pt>
                <c:pt idx="305">
                  <c:v>2.6</c:v>
                </c:pt>
                <c:pt idx="306">
                  <c:v>2.6</c:v>
                </c:pt>
                <c:pt idx="307">
                  <c:v>2.6</c:v>
                </c:pt>
                <c:pt idx="308">
                  <c:v>2.6</c:v>
                </c:pt>
                <c:pt idx="309">
                  <c:v>2.6</c:v>
                </c:pt>
                <c:pt idx="310">
                  <c:v>2.6</c:v>
                </c:pt>
                <c:pt idx="311">
                  <c:v>2.6</c:v>
                </c:pt>
                <c:pt idx="312">
                  <c:v>2.6</c:v>
                </c:pt>
                <c:pt idx="313">
                  <c:v>2.6</c:v>
                </c:pt>
                <c:pt idx="314">
                  <c:v>2.6</c:v>
                </c:pt>
                <c:pt idx="315">
                  <c:v>2.6</c:v>
                </c:pt>
                <c:pt idx="316">
                  <c:v>2.6</c:v>
                </c:pt>
                <c:pt idx="317">
                  <c:v>2.6</c:v>
                </c:pt>
                <c:pt idx="318">
                  <c:v>2.6</c:v>
                </c:pt>
                <c:pt idx="319">
                  <c:v>2.6</c:v>
                </c:pt>
                <c:pt idx="320">
                  <c:v>2.6</c:v>
                </c:pt>
                <c:pt idx="321">
                  <c:v>2.6</c:v>
                </c:pt>
                <c:pt idx="322">
                  <c:v>2.6</c:v>
                </c:pt>
                <c:pt idx="323">
                  <c:v>2.6</c:v>
                </c:pt>
                <c:pt idx="324">
                  <c:v>2.6</c:v>
                </c:pt>
                <c:pt idx="325">
                  <c:v>2.6</c:v>
                </c:pt>
                <c:pt idx="326">
                  <c:v>2.6</c:v>
                </c:pt>
                <c:pt idx="327">
                  <c:v>2.6</c:v>
                </c:pt>
                <c:pt idx="328">
                  <c:v>2.4500000000000002</c:v>
                </c:pt>
                <c:pt idx="329">
                  <c:v>2.4500000000000002</c:v>
                </c:pt>
                <c:pt idx="330">
                  <c:v>2.4500000000000002</c:v>
                </c:pt>
                <c:pt idx="331">
                  <c:v>2.4500000000000002</c:v>
                </c:pt>
                <c:pt idx="332">
                  <c:v>2.4500000000000002</c:v>
                </c:pt>
                <c:pt idx="333">
                  <c:v>2.4500000000000002</c:v>
                </c:pt>
                <c:pt idx="334">
                  <c:v>2.4500000000000002</c:v>
                </c:pt>
                <c:pt idx="335">
                  <c:v>2.4500000000000002</c:v>
                </c:pt>
                <c:pt idx="336">
                  <c:v>2.4500000000000002</c:v>
                </c:pt>
                <c:pt idx="337">
                  <c:v>2.4500000000000002</c:v>
                </c:pt>
                <c:pt idx="338">
                  <c:v>2.4500000000000002</c:v>
                </c:pt>
                <c:pt idx="339">
                  <c:v>2.4500000000000002</c:v>
                </c:pt>
                <c:pt idx="340">
                  <c:v>2.4500000000000002</c:v>
                </c:pt>
                <c:pt idx="341">
                  <c:v>2.4500000000000002</c:v>
                </c:pt>
                <c:pt idx="342">
                  <c:v>2.4500000000000002</c:v>
                </c:pt>
                <c:pt idx="343">
                  <c:v>2.4500000000000002</c:v>
                </c:pt>
                <c:pt idx="344">
                  <c:v>2.4500000000000002</c:v>
                </c:pt>
                <c:pt idx="345">
                  <c:v>2.4500000000000002</c:v>
                </c:pt>
                <c:pt idx="346">
                  <c:v>2.4500000000000002</c:v>
                </c:pt>
                <c:pt idx="347">
                  <c:v>2.4500000000000002</c:v>
                </c:pt>
                <c:pt idx="348">
                  <c:v>2.4500000000000002</c:v>
                </c:pt>
                <c:pt idx="349">
                  <c:v>2.4500000000000002</c:v>
                </c:pt>
                <c:pt idx="350">
                  <c:v>2.4500000000000002</c:v>
                </c:pt>
                <c:pt idx="351">
                  <c:v>2.4500000000000002</c:v>
                </c:pt>
                <c:pt idx="352">
                  <c:v>2.4500000000000002</c:v>
                </c:pt>
                <c:pt idx="353">
                  <c:v>2.4500000000000002</c:v>
                </c:pt>
                <c:pt idx="354">
                  <c:v>2.4500000000000002</c:v>
                </c:pt>
                <c:pt idx="355">
                  <c:v>2.4500000000000002</c:v>
                </c:pt>
                <c:pt idx="356">
                  <c:v>2.4500000000000002</c:v>
                </c:pt>
                <c:pt idx="357">
                  <c:v>2.4500000000000002</c:v>
                </c:pt>
                <c:pt idx="358">
                  <c:v>2.4500000000000002</c:v>
                </c:pt>
                <c:pt idx="359">
                  <c:v>2.4500000000000002</c:v>
                </c:pt>
                <c:pt idx="360">
                  <c:v>2.4500000000000002</c:v>
                </c:pt>
                <c:pt idx="361">
                  <c:v>2.4500000000000002</c:v>
                </c:pt>
                <c:pt idx="362">
                  <c:v>2.4500000000000002</c:v>
                </c:pt>
                <c:pt idx="363">
                  <c:v>2.4500000000000002</c:v>
                </c:pt>
                <c:pt idx="364">
                  <c:v>2.4500000000000002</c:v>
                </c:pt>
                <c:pt idx="365">
                  <c:v>2.4500000000000002</c:v>
                </c:pt>
                <c:pt idx="366">
                  <c:v>2.4500000000000002</c:v>
                </c:pt>
                <c:pt idx="367">
                  <c:v>2.4500000000000002</c:v>
                </c:pt>
                <c:pt idx="368">
                  <c:v>2.4500000000000002</c:v>
                </c:pt>
                <c:pt idx="369">
                  <c:v>2.4500000000000002</c:v>
                </c:pt>
                <c:pt idx="370">
                  <c:v>2.4500000000000002</c:v>
                </c:pt>
                <c:pt idx="371">
                  <c:v>2.4500000000000002</c:v>
                </c:pt>
                <c:pt idx="372">
                  <c:v>2.4500000000000002</c:v>
                </c:pt>
                <c:pt idx="373">
                  <c:v>2.4500000000000002</c:v>
                </c:pt>
                <c:pt idx="374">
                  <c:v>2.4500000000000002</c:v>
                </c:pt>
                <c:pt idx="375">
                  <c:v>2.4500000000000002</c:v>
                </c:pt>
                <c:pt idx="376">
                  <c:v>2.4500000000000002</c:v>
                </c:pt>
                <c:pt idx="377">
                  <c:v>2.4500000000000002</c:v>
                </c:pt>
                <c:pt idx="378">
                  <c:v>2.4500000000000002</c:v>
                </c:pt>
                <c:pt idx="379">
                  <c:v>2.4500000000000002</c:v>
                </c:pt>
                <c:pt idx="380">
                  <c:v>2.4500000000000002</c:v>
                </c:pt>
                <c:pt idx="381">
                  <c:v>2.4500000000000002</c:v>
                </c:pt>
                <c:pt idx="382">
                  <c:v>2.4500000000000002</c:v>
                </c:pt>
                <c:pt idx="383">
                  <c:v>2.4500000000000002</c:v>
                </c:pt>
                <c:pt idx="384">
                  <c:v>2.4500000000000002</c:v>
                </c:pt>
                <c:pt idx="385">
                  <c:v>2.4500000000000002</c:v>
                </c:pt>
                <c:pt idx="386">
                  <c:v>2.4500000000000002</c:v>
                </c:pt>
                <c:pt idx="387">
                  <c:v>2.4500000000000002</c:v>
                </c:pt>
                <c:pt idx="388">
                  <c:v>2.4500000000000002</c:v>
                </c:pt>
                <c:pt idx="389">
                  <c:v>2.4500000000000002</c:v>
                </c:pt>
                <c:pt idx="390">
                  <c:v>2.4500000000000002</c:v>
                </c:pt>
                <c:pt idx="391">
                  <c:v>2.4500000000000002</c:v>
                </c:pt>
                <c:pt idx="392">
                  <c:v>2.4500000000000002</c:v>
                </c:pt>
                <c:pt idx="393">
                  <c:v>2.4500000000000002</c:v>
                </c:pt>
                <c:pt idx="394">
                  <c:v>2.4500000000000002</c:v>
                </c:pt>
                <c:pt idx="395">
                  <c:v>2.4500000000000002</c:v>
                </c:pt>
                <c:pt idx="396">
                  <c:v>2.4500000000000002</c:v>
                </c:pt>
                <c:pt idx="397">
                  <c:v>2.4500000000000002</c:v>
                </c:pt>
                <c:pt idx="398">
                  <c:v>2.4500000000000002</c:v>
                </c:pt>
                <c:pt idx="399">
                  <c:v>2.4500000000000002</c:v>
                </c:pt>
                <c:pt idx="400">
                  <c:v>2.4500000000000002</c:v>
                </c:pt>
                <c:pt idx="401">
                  <c:v>2.4500000000000002</c:v>
                </c:pt>
                <c:pt idx="402">
                  <c:v>2.4500000000000002</c:v>
                </c:pt>
                <c:pt idx="403">
                  <c:v>2.4500000000000002</c:v>
                </c:pt>
                <c:pt idx="404">
                  <c:v>2.4500000000000002</c:v>
                </c:pt>
                <c:pt idx="405">
                  <c:v>2.4500000000000002</c:v>
                </c:pt>
                <c:pt idx="406">
                  <c:v>2.4500000000000002</c:v>
                </c:pt>
                <c:pt idx="407">
                  <c:v>2.4500000000000002</c:v>
                </c:pt>
                <c:pt idx="408">
                  <c:v>2.4500000000000002</c:v>
                </c:pt>
                <c:pt idx="409">
                  <c:v>2.4500000000000002</c:v>
                </c:pt>
                <c:pt idx="410">
                  <c:v>2.4500000000000002</c:v>
                </c:pt>
                <c:pt idx="411">
                  <c:v>2.4500000000000002</c:v>
                </c:pt>
                <c:pt idx="412">
                  <c:v>2.4500000000000002</c:v>
                </c:pt>
                <c:pt idx="413">
                  <c:v>2.4500000000000002</c:v>
                </c:pt>
                <c:pt idx="414">
                  <c:v>2.4500000000000002</c:v>
                </c:pt>
                <c:pt idx="415">
                  <c:v>2.4500000000000002</c:v>
                </c:pt>
                <c:pt idx="416">
                  <c:v>2.4500000000000002</c:v>
                </c:pt>
                <c:pt idx="417">
                  <c:v>2.4500000000000002</c:v>
                </c:pt>
                <c:pt idx="418">
                  <c:v>2.4500000000000002</c:v>
                </c:pt>
                <c:pt idx="419">
                  <c:v>2.4500000000000002</c:v>
                </c:pt>
                <c:pt idx="420">
                  <c:v>2.4500000000000002</c:v>
                </c:pt>
                <c:pt idx="421">
                  <c:v>2.4500000000000002</c:v>
                </c:pt>
                <c:pt idx="422">
                  <c:v>2.4500000000000002</c:v>
                </c:pt>
                <c:pt idx="423">
                  <c:v>2.4500000000000002</c:v>
                </c:pt>
                <c:pt idx="424">
                  <c:v>2.4500000000000002</c:v>
                </c:pt>
                <c:pt idx="425">
                  <c:v>2.4500000000000002</c:v>
                </c:pt>
                <c:pt idx="426">
                  <c:v>2.4500000000000002</c:v>
                </c:pt>
                <c:pt idx="427">
                  <c:v>2.4500000000000002</c:v>
                </c:pt>
                <c:pt idx="428">
                  <c:v>2.4500000000000002</c:v>
                </c:pt>
                <c:pt idx="429">
                  <c:v>2.4500000000000002</c:v>
                </c:pt>
                <c:pt idx="430">
                  <c:v>2.4500000000000002</c:v>
                </c:pt>
                <c:pt idx="431">
                  <c:v>2.4500000000000002</c:v>
                </c:pt>
                <c:pt idx="432">
                  <c:v>2.4500000000000002</c:v>
                </c:pt>
                <c:pt idx="433">
                  <c:v>2.4500000000000002</c:v>
                </c:pt>
                <c:pt idx="434">
                  <c:v>2.4500000000000002</c:v>
                </c:pt>
                <c:pt idx="435">
                  <c:v>2.4500000000000002</c:v>
                </c:pt>
                <c:pt idx="436">
                  <c:v>2.4500000000000002</c:v>
                </c:pt>
                <c:pt idx="437">
                  <c:v>2.4500000000000002</c:v>
                </c:pt>
                <c:pt idx="438">
                  <c:v>2.4500000000000002</c:v>
                </c:pt>
                <c:pt idx="439">
                  <c:v>2.4500000000000002</c:v>
                </c:pt>
                <c:pt idx="440">
                  <c:v>2.4500000000000002</c:v>
                </c:pt>
                <c:pt idx="441">
                  <c:v>2.4500000000000002</c:v>
                </c:pt>
                <c:pt idx="442">
                  <c:v>2.4500000000000002</c:v>
                </c:pt>
                <c:pt idx="443">
                  <c:v>2.4500000000000002</c:v>
                </c:pt>
                <c:pt idx="444">
                  <c:v>2.4500000000000002</c:v>
                </c:pt>
                <c:pt idx="445">
                  <c:v>2.4500000000000002</c:v>
                </c:pt>
                <c:pt idx="446">
                  <c:v>2.4500000000000002</c:v>
                </c:pt>
                <c:pt idx="447">
                  <c:v>2.4500000000000002</c:v>
                </c:pt>
                <c:pt idx="448">
                  <c:v>2.4500000000000002</c:v>
                </c:pt>
                <c:pt idx="449">
                  <c:v>2.35</c:v>
                </c:pt>
                <c:pt idx="450">
                  <c:v>2.35</c:v>
                </c:pt>
                <c:pt idx="451">
                  <c:v>2.35</c:v>
                </c:pt>
                <c:pt idx="452">
                  <c:v>2.35</c:v>
                </c:pt>
                <c:pt idx="453">
                  <c:v>2.35</c:v>
                </c:pt>
                <c:pt idx="454">
                  <c:v>2.35</c:v>
                </c:pt>
                <c:pt idx="455">
                  <c:v>2.35</c:v>
                </c:pt>
                <c:pt idx="456">
                  <c:v>2.35</c:v>
                </c:pt>
                <c:pt idx="457">
                  <c:v>2.35</c:v>
                </c:pt>
                <c:pt idx="458">
                  <c:v>2.35</c:v>
                </c:pt>
                <c:pt idx="459">
                  <c:v>2.35</c:v>
                </c:pt>
                <c:pt idx="460">
                  <c:v>2.35</c:v>
                </c:pt>
                <c:pt idx="461">
                  <c:v>2.35</c:v>
                </c:pt>
                <c:pt idx="462">
                  <c:v>2.35</c:v>
                </c:pt>
                <c:pt idx="463">
                  <c:v>2.35</c:v>
                </c:pt>
                <c:pt idx="464">
                  <c:v>2.35</c:v>
                </c:pt>
                <c:pt idx="465">
                  <c:v>2.35</c:v>
                </c:pt>
                <c:pt idx="466">
                  <c:v>2.25</c:v>
                </c:pt>
                <c:pt idx="467">
                  <c:v>2.25</c:v>
                </c:pt>
                <c:pt idx="468">
                  <c:v>2.25</c:v>
                </c:pt>
                <c:pt idx="469">
                  <c:v>2.25</c:v>
                </c:pt>
                <c:pt idx="470">
                  <c:v>2.25</c:v>
                </c:pt>
                <c:pt idx="471">
                  <c:v>2.25</c:v>
                </c:pt>
                <c:pt idx="472">
                  <c:v>2.25</c:v>
                </c:pt>
              </c:numCache>
            </c:numRef>
          </c:val>
          <c:smooth val="0"/>
          <c:extLst>
            <c:ext xmlns:c16="http://schemas.microsoft.com/office/drawing/2014/chart" uri="{C3380CC4-5D6E-409C-BE32-E72D297353CC}">
              <c16:uniqueId val="{00000003-B5E6-4361-9D22-F873C8A9CE8A}"/>
            </c:ext>
          </c:extLst>
        </c:ser>
        <c:ser>
          <c:idx val="2"/>
          <c:order val="2"/>
          <c:tx>
            <c:strRef>
              <c:f>Charts!$D$1165</c:f>
              <c:strCache>
                <c:ptCount val="1"/>
                <c:pt idx="0">
                  <c:v>中国:价格:隔膜:陶瓷涂覆:12+4μm:国产中端（元/平方米）</c:v>
                </c:pt>
              </c:strCache>
            </c:strRef>
          </c:tx>
          <c:spPr>
            <a:ln w="28575" cap="rnd">
              <a:solidFill>
                <a:schemeClr val="accent3"/>
              </a:solidFill>
              <a:round/>
            </a:ln>
            <a:effectLst/>
          </c:spPr>
          <c:marker>
            <c:symbol val="none"/>
          </c:marker>
          <c:cat>
            <c:numRef>
              <c:f>Charts!$A$1166:$A$1638</c:f>
              <c:numCache>
                <c:formatCode>m/d/yyyy</c:formatCode>
                <c:ptCount val="473"/>
                <c:pt idx="0">
                  <c:v>44335</c:v>
                </c:pt>
                <c:pt idx="1">
                  <c:v>44336</c:v>
                </c:pt>
                <c:pt idx="2">
                  <c:v>44337</c:v>
                </c:pt>
                <c:pt idx="3">
                  <c:v>44340</c:v>
                </c:pt>
                <c:pt idx="4">
                  <c:v>44341</c:v>
                </c:pt>
                <c:pt idx="5">
                  <c:v>44342</c:v>
                </c:pt>
                <c:pt idx="6">
                  <c:v>44343</c:v>
                </c:pt>
                <c:pt idx="7">
                  <c:v>44344</c:v>
                </c:pt>
                <c:pt idx="8">
                  <c:v>44347</c:v>
                </c:pt>
                <c:pt idx="9">
                  <c:v>44348</c:v>
                </c:pt>
                <c:pt idx="10">
                  <c:v>44349</c:v>
                </c:pt>
                <c:pt idx="11">
                  <c:v>44350</c:v>
                </c:pt>
                <c:pt idx="12">
                  <c:v>44351</c:v>
                </c:pt>
                <c:pt idx="13">
                  <c:v>44354</c:v>
                </c:pt>
                <c:pt idx="14">
                  <c:v>44355</c:v>
                </c:pt>
                <c:pt idx="15">
                  <c:v>44356</c:v>
                </c:pt>
                <c:pt idx="16">
                  <c:v>44357</c:v>
                </c:pt>
                <c:pt idx="17">
                  <c:v>44358</c:v>
                </c:pt>
                <c:pt idx="18">
                  <c:v>44361</c:v>
                </c:pt>
                <c:pt idx="19">
                  <c:v>44362</c:v>
                </c:pt>
                <c:pt idx="20">
                  <c:v>44363</c:v>
                </c:pt>
                <c:pt idx="21">
                  <c:v>44364</c:v>
                </c:pt>
                <c:pt idx="22">
                  <c:v>44365</c:v>
                </c:pt>
                <c:pt idx="23">
                  <c:v>44368</c:v>
                </c:pt>
                <c:pt idx="24">
                  <c:v>44369</c:v>
                </c:pt>
                <c:pt idx="25">
                  <c:v>44370</c:v>
                </c:pt>
                <c:pt idx="26">
                  <c:v>44371</c:v>
                </c:pt>
                <c:pt idx="27">
                  <c:v>44372</c:v>
                </c:pt>
                <c:pt idx="28">
                  <c:v>44375</c:v>
                </c:pt>
                <c:pt idx="29">
                  <c:v>44376</c:v>
                </c:pt>
                <c:pt idx="30">
                  <c:v>44377</c:v>
                </c:pt>
                <c:pt idx="31">
                  <c:v>44378</c:v>
                </c:pt>
                <c:pt idx="32">
                  <c:v>44379</c:v>
                </c:pt>
                <c:pt idx="33">
                  <c:v>44382</c:v>
                </c:pt>
                <c:pt idx="34">
                  <c:v>44383</c:v>
                </c:pt>
                <c:pt idx="35">
                  <c:v>44384</c:v>
                </c:pt>
                <c:pt idx="36">
                  <c:v>44385</c:v>
                </c:pt>
                <c:pt idx="37">
                  <c:v>44386</c:v>
                </c:pt>
                <c:pt idx="38">
                  <c:v>44389</c:v>
                </c:pt>
                <c:pt idx="39">
                  <c:v>44390</c:v>
                </c:pt>
                <c:pt idx="40">
                  <c:v>44391</c:v>
                </c:pt>
                <c:pt idx="41">
                  <c:v>44392</c:v>
                </c:pt>
                <c:pt idx="42">
                  <c:v>44393</c:v>
                </c:pt>
                <c:pt idx="43">
                  <c:v>44396</c:v>
                </c:pt>
                <c:pt idx="44">
                  <c:v>44397</c:v>
                </c:pt>
                <c:pt idx="45">
                  <c:v>44398</c:v>
                </c:pt>
                <c:pt idx="46">
                  <c:v>44399</c:v>
                </c:pt>
                <c:pt idx="47">
                  <c:v>44400</c:v>
                </c:pt>
                <c:pt idx="48">
                  <c:v>44403</c:v>
                </c:pt>
                <c:pt idx="49">
                  <c:v>44404</c:v>
                </c:pt>
                <c:pt idx="50">
                  <c:v>44405</c:v>
                </c:pt>
                <c:pt idx="51">
                  <c:v>44406</c:v>
                </c:pt>
                <c:pt idx="52">
                  <c:v>44407</c:v>
                </c:pt>
                <c:pt idx="53">
                  <c:v>44410</c:v>
                </c:pt>
                <c:pt idx="54">
                  <c:v>44411</c:v>
                </c:pt>
                <c:pt idx="55">
                  <c:v>44412</c:v>
                </c:pt>
                <c:pt idx="56">
                  <c:v>44413</c:v>
                </c:pt>
                <c:pt idx="57">
                  <c:v>44414</c:v>
                </c:pt>
                <c:pt idx="58">
                  <c:v>44417</c:v>
                </c:pt>
                <c:pt idx="59">
                  <c:v>44418</c:v>
                </c:pt>
                <c:pt idx="60">
                  <c:v>44419</c:v>
                </c:pt>
                <c:pt idx="61">
                  <c:v>44420</c:v>
                </c:pt>
                <c:pt idx="62">
                  <c:v>44421</c:v>
                </c:pt>
                <c:pt idx="63">
                  <c:v>44424</c:v>
                </c:pt>
                <c:pt idx="64">
                  <c:v>44425</c:v>
                </c:pt>
                <c:pt idx="65">
                  <c:v>44426</c:v>
                </c:pt>
                <c:pt idx="66">
                  <c:v>44427</c:v>
                </c:pt>
                <c:pt idx="67">
                  <c:v>44428</c:v>
                </c:pt>
                <c:pt idx="68">
                  <c:v>44431</c:v>
                </c:pt>
                <c:pt idx="69">
                  <c:v>44432</c:v>
                </c:pt>
                <c:pt idx="70">
                  <c:v>44433</c:v>
                </c:pt>
                <c:pt idx="71">
                  <c:v>44434</c:v>
                </c:pt>
                <c:pt idx="72">
                  <c:v>44435</c:v>
                </c:pt>
                <c:pt idx="73">
                  <c:v>44438</c:v>
                </c:pt>
                <c:pt idx="74">
                  <c:v>44439</c:v>
                </c:pt>
                <c:pt idx="75">
                  <c:v>44440</c:v>
                </c:pt>
                <c:pt idx="76">
                  <c:v>44441</c:v>
                </c:pt>
                <c:pt idx="77">
                  <c:v>44442</c:v>
                </c:pt>
                <c:pt idx="78">
                  <c:v>44445</c:v>
                </c:pt>
                <c:pt idx="79">
                  <c:v>44446</c:v>
                </c:pt>
                <c:pt idx="80">
                  <c:v>44447</c:v>
                </c:pt>
                <c:pt idx="81">
                  <c:v>44448</c:v>
                </c:pt>
                <c:pt idx="82">
                  <c:v>44449</c:v>
                </c:pt>
                <c:pt idx="83">
                  <c:v>44452</c:v>
                </c:pt>
                <c:pt idx="84">
                  <c:v>44453</c:v>
                </c:pt>
                <c:pt idx="85">
                  <c:v>44454</c:v>
                </c:pt>
                <c:pt idx="86">
                  <c:v>44455</c:v>
                </c:pt>
                <c:pt idx="87">
                  <c:v>44456</c:v>
                </c:pt>
                <c:pt idx="88">
                  <c:v>44459</c:v>
                </c:pt>
                <c:pt idx="89">
                  <c:v>44460</c:v>
                </c:pt>
                <c:pt idx="90">
                  <c:v>44461</c:v>
                </c:pt>
                <c:pt idx="91">
                  <c:v>44462</c:v>
                </c:pt>
                <c:pt idx="92">
                  <c:v>44463</c:v>
                </c:pt>
                <c:pt idx="93">
                  <c:v>44466</c:v>
                </c:pt>
                <c:pt idx="94">
                  <c:v>44467</c:v>
                </c:pt>
                <c:pt idx="95">
                  <c:v>44468</c:v>
                </c:pt>
                <c:pt idx="96">
                  <c:v>44469</c:v>
                </c:pt>
                <c:pt idx="97">
                  <c:v>44477</c:v>
                </c:pt>
                <c:pt idx="98">
                  <c:v>44480</c:v>
                </c:pt>
                <c:pt idx="99">
                  <c:v>44481</c:v>
                </c:pt>
                <c:pt idx="100">
                  <c:v>44482</c:v>
                </c:pt>
                <c:pt idx="101">
                  <c:v>44483</c:v>
                </c:pt>
                <c:pt idx="102">
                  <c:v>44484</c:v>
                </c:pt>
                <c:pt idx="103">
                  <c:v>44487</c:v>
                </c:pt>
                <c:pt idx="104">
                  <c:v>44488</c:v>
                </c:pt>
                <c:pt idx="105">
                  <c:v>44489</c:v>
                </c:pt>
                <c:pt idx="106">
                  <c:v>44490</c:v>
                </c:pt>
                <c:pt idx="107">
                  <c:v>44491</c:v>
                </c:pt>
                <c:pt idx="108">
                  <c:v>44494</c:v>
                </c:pt>
                <c:pt idx="109">
                  <c:v>44495</c:v>
                </c:pt>
                <c:pt idx="110">
                  <c:v>44496</c:v>
                </c:pt>
                <c:pt idx="111">
                  <c:v>44497</c:v>
                </c:pt>
                <c:pt idx="112">
                  <c:v>44498</c:v>
                </c:pt>
                <c:pt idx="113">
                  <c:v>44501</c:v>
                </c:pt>
                <c:pt idx="114">
                  <c:v>44502</c:v>
                </c:pt>
                <c:pt idx="115">
                  <c:v>44503</c:v>
                </c:pt>
                <c:pt idx="116">
                  <c:v>44504</c:v>
                </c:pt>
                <c:pt idx="117">
                  <c:v>44505</c:v>
                </c:pt>
                <c:pt idx="118">
                  <c:v>44508</c:v>
                </c:pt>
                <c:pt idx="119">
                  <c:v>44509</c:v>
                </c:pt>
                <c:pt idx="120">
                  <c:v>44510</c:v>
                </c:pt>
                <c:pt idx="121">
                  <c:v>44511</c:v>
                </c:pt>
                <c:pt idx="122">
                  <c:v>44512</c:v>
                </c:pt>
                <c:pt idx="123">
                  <c:v>44515</c:v>
                </c:pt>
                <c:pt idx="124">
                  <c:v>44516</c:v>
                </c:pt>
                <c:pt idx="125">
                  <c:v>44517</c:v>
                </c:pt>
                <c:pt idx="126">
                  <c:v>44518</c:v>
                </c:pt>
                <c:pt idx="127">
                  <c:v>44519</c:v>
                </c:pt>
                <c:pt idx="128">
                  <c:v>44522</c:v>
                </c:pt>
                <c:pt idx="129">
                  <c:v>44523</c:v>
                </c:pt>
                <c:pt idx="130">
                  <c:v>44524</c:v>
                </c:pt>
                <c:pt idx="131">
                  <c:v>44525</c:v>
                </c:pt>
                <c:pt idx="132">
                  <c:v>44526</c:v>
                </c:pt>
                <c:pt idx="133">
                  <c:v>44529</c:v>
                </c:pt>
                <c:pt idx="134">
                  <c:v>44530</c:v>
                </c:pt>
                <c:pt idx="135">
                  <c:v>44531</c:v>
                </c:pt>
                <c:pt idx="136">
                  <c:v>44532</c:v>
                </c:pt>
                <c:pt idx="137">
                  <c:v>44533</c:v>
                </c:pt>
                <c:pt idx="138">
                  <c:v>44536</c:v>
                </c:pt>
                <c:pt idx="139">
                  <c:v>44537</c:v>
                </c:pt>
                <c:pt idx="140">
                  <c:v>44538</c:v>
                </c:pt>
                <c:pt idx="141">
                  <c:v>44539</c:v>
                </c:pt>
                <c:pt idx="142">
                  <c:v>44540</c:v>
                </c:pt>
                <c:pt idx="143">
                  <c:v>44543</c:v>
                </c:pt>
                <c:pt idx="144">
                  <c:v>44544</c:v>
                </c:pt>
                <c:pt idx="145">
                  <c:v>44545</c:v>
                </c:pt>
                <c:pt idx="146">
                  <c:v>44546</c:v>
                </c:pt>
                <c:pt idx="147">
                  <c:v>44547</c:v>
                </c:pt>
                <c:pt idx="148">
                  <c:v>44550</c:v>
                </c:pt>
                <c:pt idx="149">
                  <c:v>44551</c:v>
                </c:pt>
                <c:pt idx="150">
                  <c:v>44552</c:v>
                </c:pt>
                <c:pt idx="151">
                  <c:v>44553</c:v>
                </c:pt>
                <c:pt idx="152">
                  <c:v>44554</c:v>
                </c:pt>
                <c:pt idx="153">
                  <c:v>44557</c:v>
                </c:pt>
                <c:pt idx="154">
                  <c:v>44558</c:v>
                </c:pt>
                <c:pt idx="155">
                  <c:v>44559</c:v>
                </c:pt>
                <c:pt idx="156">
                  <c:v>44560</c:v>
                </c:pt>
                <c:pt idx="157">
                  <c:v>44561</c:v>
                </c:pt>
                <c:pt idx="158">
                  <c:v>44565</c:v>
                </c:pt>
                <c:pt idx="159">
                  <c:v>44566</c:v>
                </c:pt>
                <c:pt idx="160">
                  <c:v>44567</c:v>
                </c:pt>
                <c:pt idx="161">
                  <c:v>44568</c:v>
                </c:pt>
                <c:pt idx="162">
                  <c:v>44571</c:v>
                </c:pt>
                <c:pt idx="163">
                  <c:v>44572</c:v>
                </c:pt>
                <c:pt idx="164">
                  <c:v>44573</c:v>
                </c:pt>
                <c:pt idx="165">
                  <c:v>44574</c:v>
                </c:pt>
                <c:pt idx="166">
                  <c:v>44575</c:v>
                </c:pt>
                <c:pt idx="167">
                  <c:v>44578</c:v>
                </c:pt>
                <c:pt idx="168">
                  <c:v>44579</c:v>
                </c:pt>
                <c:pt idx="169">
                  <c:v>44580</c:v>
                </c:pt>
                <c:pt idx="170">
                  <c:v>44581</c:v>
                </c:pt>
                <c:pt idx="171">
                  <c:v>44582</c:v>
                </c:pt>
                <c:pt idx="172">
                  <c:v>44585</c:v>
                </c:pt>
                <c:pt idx="173">
                  <c:v>44586</c:v>
                </c:pt>
                <c:pt idx="174">
                  <c:v>44587</c:v>
                </c:pt>
                <c:pt idx="175">
                  <c:v>44588</c:v>
                </c:pt>
                <c:pt idx="176">
                  <c:v>44589</c:v>
                </c:pt>
                <c:pt idx="177">
                  <c:v>44599</c:v>
                </c:pt>
                <c:pt idx="178">
                  <c:v>44600</c:v>
                </c:pt>
                <c:pt idx="179">
                  <c:v>44601</c:v>
                </c:pt>
                <c:pt idx="180">
                  <c:v>44602</c:v>
                </c:pt>
                <c:pt idx="181">
                  <c:v>44603</c:v>
                </c:pt>
                <c:pt idx="182">
                  <c:v>44606</c:v>
                </c:pt>
                <c:pt idx="183">
                  <c:v>44607</c:v>
                </c:pt>
                <c:pt idx="184">
                  <c:v>44608</c:v>
                </c:pt>
                <c:pt idx="185">
                  <c:v>44609</c:v>
                </c:pt>
                <c:pt idx="186">
                  <c:v>44610</c:v>
                </c:pt>
                <c:pt idx="187">
                  <c:v>44613</c:v>
                </c:pt>
                <c:pt idx="188">
                  <c:v>44614</c:v>
                </c:pt>
                <c:pt idx="189">
                  <c:v>44615</c:v>
                </c:pt>
                <c:pt idx="190">
                  <c:v>44616</c:v>
                </c:pt>
                <c:pt idx="191">
                  <c:v>44617</c:v>
                </c:pt>
                <c:pt idx="192">
                  <c:v>44620</c:v>
                </c:pt>
                <c:pt idx="193">
                  <c:v>44621</c:v>
                </c:pt>
                <c:pt idx="194">
                  <c:v>44622</c:v>
                </c:pt>
                <c:pt idx="195">
                  <c:v>44623</c:v>
                </c:pt>
                <c:pt idx="196">
                  <c:v>44624</c:v>
                </c:pt>
                <c:pt idx="197">
                  <c:v>44627</c:v>
                </c:pt>
                <c:pt idx="198">
                  <c:v>44628</c:v>
                </c:pt>
                <c:pt idx="199">
                  <c:v>44629</c:v>
                </c:pt>
                <c:pt idx="200">
                  <c:v>44630</c:v>
                </c:pt>
                <c:pt idx="201">
                  <c:v>44631</c:v>
                </c:pt>
                <c:pt idx="202">
                  <c:v>44634</c:v>
                </c:pt>
                <c:pt idx="203">
                  <c:v>44635</c:v>
                </c:pt>
                <c:pt idx="204">
                  <c:v>44636</c:v>
                </c:pt>
                <c:pt idx="205">
                  <c:v>44637</c:v>
                </c:pt>
                <c:pt idx="206">
                  <c:v>44638</c:v>
                </c:pt>
                <c:pt idx="207">
                  <c:v>44641</c:v>
                </c:pt>
                <c:pt idx="208">
                  <c:v>44642</c:v>
                </c:pt>
                <c:pt idx="209">
                  <c:v>44643</c:v>
                </c:pt>
                <c:pt idx="210">
                  <c:v>44644</c:v>
                </c:pt>
                <c:pt idx="211">
                  <c:v>44645</c:v>
                </c:pt>
                <c:pt idx="212">
                  <c:v>44648</c:v>
                </c:pt>
                <c:pt idx="213">
                  <c:v>44649</c:v>
                </c:pt>
                <c:pt idx="214">
                  <c:v>44650</c:v>
                </c:pt>
                <c:pt idx="215">
                  <c:v>44651</c:v>
                </c:pt>
                <c:pt idx="216">
                  <c:v>44652</c:v>
                </c:pt>
                <c:pt idx="217">
                  <c:v>44655</c:v>
                </c:pt>
                <c:pt idx="218">
                  <c:v>44656</c:v>
                </c:pt>
                <c:pt idx="219">
                  <c:v>44657</c:v>
                </c:pt>
                <c:pt idx="220">
                  <c:v>44658</c:v>
                </c:pt>
                <c:pt idx="221">
                  <c:v>44659</c:v>
                </c:pt>
                <c:pt idx="222">
                  <c:v>44662</c:v>
                </c:pt>
                <c:pt idx="223">
                  <c:v>44663</c:v>
                </c:pt>
                <c:pt idx="224">
                  <c:v>44664</c:v>
                </c:pt>
                <c:pt idx="225">
                  <c:v>44665</c:v>
                </c:pt>
                <c:pt idx="226">
                  <c:v>44666</c:v>
                </c:pt>
                <c:pt idx="227">
                  <c:v>44669</c:v>
                </c:pt>
                <c:pt idx="228">
                  <c:v>44670</c:v>
                </c:pt>
                <c:pt idx="229">
                  <c:v>44671</c:v>
                </c:pt>
                <c:pt idx="230">
                  <c:v>44672</c:v>
                </c:pt>
                <c:pt idx="231">
                  <c:v>44673</c:v>
                </c:pt>
                <c:pt idx="232">
                  <c:v>44675</c:v>
                </c:pt>
                <c:pt idx="233">
                  <c:v>44676</c:v>
                </c:pt>
                <c:pt idx="234">
                  <c:v>44677</c:v>
                </c:pt>
                <c:pt idx="235">
                  <c:v>44678</c:v>
                </c:pt>
                <c:pt idx="236">
                  <c:v>44679</c:v>
                </c:pt>
                <c:pt idx="237">
                  <c:v>44680</c:v>
                </c:pt>
                <c:pt idx="238">
                  <c:v>44686</c:v>
                </c:pt>
                <c:pt idx="239">
                  <c:v>44687</c:v>
                </c:pt>
                <c:pt idx="240">
                  <c:v>44688</c:v>
                </c:pt>
                <c:pt idx="241">
                  <c:v>44690</c:v>
                </c:pt>
                <c:pt idx="242">
                  <c:v>44691</c:v>
                </c:pt>
                <c:pt idx="243">
                  <c:v>44692</c:v>
                </c:pt>
                <c:pt idx="244">
                  <c:v>44693</c:v>
                </c:pt>
                <c:pt idx="245">
                  <c:v>44694</c:v>
                </c:pt>
                <c:pt idx="246">
                  <c:v>44697</c:v>
                </c:pt>
                <c:pt idx="247">
                  <c:v>44698</c:v>
                </c:pt>
                <c:pt idx="248">
                  <c:v>44699</c:v>
                </c:pt>
                <c:pt idx="249">
                  <c:v>44700</c:v>
                </c:pt>
                <c:pt idx="250">
                  <c:v>44701</c:v>
                </c:pt>
                <c:pt idx="251">
                  <c:v>44704</c:v>
                </c:pt>
                <c:pt idx="252">
                  <c:v>44705</c:v>
                </c:pt>
                <c:pt idx="253">
                  <c:v>44706</c:v>
                </c:pt>
                <c:pt idx="254">
                  <c:v>44707</c:v>
                </c:pt>
                <c:pt idx="255">
                  <c:v>44708</c:v>
                </c:pt>
                <c:pt idx="256">
                  <c:v>44711</c:v>
                </c:pt>
                <c:pt idx="257">
                  <c:v>44712</c:v>
                </c:pt>
                <c:pt idx="258">
                  <c:v>44713</c:v>
                </c:pt>
                <c:pt idx="259">
                  <c:v>44714</c:v>
                </c:pt>
                <c:pt idx="260">
                  <c:v>44715</c:v>
                </c:pt>
                <c:pt idx="261">
                  <c:v>44718</c:v>
                </c:pt>
                <c:pt idx="262">
                  <c:v>44719</c:v>
                </c:pt>
                <c:pt idx="263">
                  <c:v>44720</c:v>
                </c:pt>
                <c:pt idx="264">
                  <c:v>44721</c:v>
                </c:pt>
                <c:pt idx="265">
                  <c:v>44722</c:v>
                </c:pt>
                <c:pt idx="266">
                  <c:v>44725</c:v>
                </c:pt>
                <c:pt idx="267">
                  <c:v>44726</c:v>
                </c:pt>
                <c:pt idx="268">
                  <c:v>44727</c:v>
                </c:pt>
                <c:pt idx="269">
                  <c:v>44728</c:v>
                </c:pt>
                <c:pt idx="270">
                  <c:v>44729</c:v>
                </c:pt>
                <c:pt idx="271">
                  <c:v>44732</c:v>
                </c:pt>
                <c:pt idx="272">
                  <c:v>44733</c:v>
                </c:pt>
                <c:pt idx="273">
                  <c:v>44734</c:v>
                </c:pt>
                <c:pt idx="274">
                  <c:v>44735</c:v>
                </c:pt>
                <c:pt idx="275">
                  <c:v>44736</c:v>
                </c:pt>
                <c:pt idx="276">
                  <c:v>44739</c:v>
                </c:pt>
                <c:pt idx="277">
                  <c:v>44740</c:v>
                </c:pt>
                <c:pt idx="278">
                  <c:v>44741</c:v>
                </c:pt>
                <c:pt idx="279">
                  <c:v>44742</c:v>
                </c:pt>
                <c:pt idx="280">
                  <c:v>44743</c:v>
                </c:pt>
                <c:pt idx="281">
                  <c:v>44746</c:v>
                </c:pt>
                <c:pt idx="282">
                  <c:v>44747</c:v>
                </c:pt>
                <c:pt idx="283">
                  <c:v>44748</c:v>
                </c:pt>
                <c:pt idx="284">
                  <c:v>44749</c:v>
                </c:pt>
                <c:pt idx="285">
                  <c:v>44750</c:v>
                </c:pt>
                <c:pt idx="286">
                  <c:v>44753</c:v>
                </c:pt>
                <c:pt idx="287">
                  <c:v>44754</c:v>
                </c:pt>
                <c:pt idx="288">
                  <c:v>44755</c:v>
                </c:pt>
                <c:pt idx="289">
                  <c:v>44756</c:v>
                </c:pt>
                <c:pt idx="290">
                  <c:v>44757</c:v>
                </c:pt>
                <c:pt idx="291">
                  <c:v>44760</c:v>
                </c:pt>
                <c:pt idx="292">
                  <c:v>44761</c:v>
                </c:pt>
                <c:pt idx="293">
                  <c:v>44762</c:v>
                </c:pt>
                <c:pt idx="294">
                  <c:v>44763</c:v>
                </c:pt>
                <c:pt idx="295">
                  <c:v>44764</c:v>
                </c:pt>
                <c:pt idx="296">
                  <c:v>44767</c:v>
                </c:pt>
                <c:pt idx="297">
                  <c:v>44768</c:v>
                </c:pt>
                <c:pt idx="298">
                  <c:v>44769</c:v>
                </c:pt>
                <c:pt idx="299">
                  <c:v>44770</c:v>
                </c:pt>
                <c:pt idx="300">
                  <c:v>44771</c:v>
                </c:pt>
                <c:pt idx="301">
                  <c:v>44774</c:v>
                </c:pt>
                <c:pt idx="302">
                  <c:v>44775</c:v>
                </c:pt>
                <c:pt idx="303">
                  <c:v>44776</c:v>
                </c:pt>
                <c:pt idx="304">
                  <c:v>44777</c:v>
                </c:pt>
                <c:pt idx="305">
                  <c:v>44778</c:v>
                </c:pt>
                <c:pt idx="306">
                  <c:v>44781</c:v>
                </c:pt>
                <c:pt idx="307">
                  <c:v>44782</c:v>
                </c:pt>
                <c:pt idx="308">
                  <c:v>44783</c:v>
                </c:pt>
                <c:pt idx="309">
                  <c:v>44784</c:v>
                </c:pt>
                <c:pt idx="310">
                  <c:v>44785</c:v>
                </c:pt>
                <c:pt idx="311">
                  <c:v>44788</c:v>
                </c:pt>
                <c:pt idx="312">
                  <c:v>44789</c:v>
                </c:pt>
                <c:pt idx="313">
                  <c:v>44790</c:v>
                </c:pt>
                <c:pt idx="314">
                  <c:v>44791</c:v>
                </c:pt>
                <c:pt idx="315">
                  <c:v>44792</c:v>
                </c:pt>
                <c:pt idx="316">
                  <c:v>44795</c:v>
                </c:pt>
                <c:pt idx="317">
                  <c:v>44796</c:v>
                </c:pt>
                <c:pt idx="318">
                  <c:v>44797</c:v>
                </c:pt>
                <c:pt idx="319">
                  <c:v>44798</c:v>
                </c:pt>
                <c:pt idx="320">
                  <c:v>44799</c:v>
                </c:pt>
                <c:pt idx="321">
                  <c:v>44802</c:v>
                </c:pt>
                <c:pt idx="322">
                  <c:v>44803</c:v>
                </c:pt>
                <c:pt idx="323">
                  <c:v>44804</c:v>
                </c:pt>
                <c:pt idx="324">
                  <c:v>44805</c:v>
                </c:pt>
                <c:pt idx="325">
                  <c:v>44806</c:v>
                </c:pt>
                <c:pt idx="326">
                  <c:v>44809</c:v>
                </c:pt>
                <c:pt idx="327">
                  <c:v>44810</c:v>
                </c:pt>
                <c:pt idx="328">
                  <c:v>44811</c:v>
                </c:pt>
                <c:pt idx="329">
                  <c:v>44812</c:v>
                </c:pt>
                <c:pt idx="330">
                  <c:v>44813</c:v>
                </c:pt>
                <c:pt idx="331">
                  <c:v>44816</c:v>
                </c:pt>
                <c:pt idx="332">
                  <c:v>44817</c:v>
                </c:pt>
                <c:pt idx="333">
                  <c:v>44818</c:v>
                </c:pt>
                <c:pt idx="334">
                  <c:v>44819</c:v>
                </c:pt>
                <c:pt idx="335">
                  <c:v>44820</c:v>
                </c:pt>
                <c:pt idx="336">
                  <c:v>44823</c:v>
                </c:pt>
                <c:pt idx="337">
                  <c:v>44824</c:v>
                </c:pt>
                <c:pt idx="338">
                  <c:v>44825</c:v>
                </c:pt>
                <c:pt idx="339">
                  <c:v>44826</c:v>
                </c:pt>
                <c:pt idx="340">
                  <c:v>44827</c:v>
                </c:pt>
                <c:pt idx="341">
                  <c:v>44830</c:v>
                </c:pt>
                <c:pt idx="342">
                  <c:v>44831</c:v>
                </c:pt>
                <c:pt idx="343">
                  <c:v>44832</c:v>
                </c:pt>
                <c:pt idx="344">
                  <c:v>44833</c:v>
                </c:pt>
                <c:pt idx="345">
                  <c:v>44834</c:v>
                </c:pt>
                <c:pt idx="346">
                  <c:v>44841</c:v>
                </c:pt>
                <c:pt idx="347">
                  <c:v>44842</c:v>
                </c:pt>
                <c:pt idx="348">
                  <c:v>44843</c:v>
                </c:pt>
                <c:pt idx="349">
                  <c:v>44844</c:v>
                </c:pt>
                <c:pt idx="350">
                  <c:v>44845</c:v>
                </c:pt>
                <c:pt idx="351">
                  <c:v>44846</c:v>
                </c:pt>
                <c:pt idx="352">
                  <c:v>44847</c:v>
                </c:pt>
                <c:pt idx="353">
                  <c:v>44848</c:v>
                </c:pt>
                <c:pt idx="354">
                  <c:v>44851</c:v>
                </c:pt>
                <c:pt idx="355">
                  <c:v>44852</c:v>
                </c:pt>
                <c:pt idx="356">
                  <c:v>44853</c:v>
                </c:pt>
                <c:pt idx="357">
                  <c:v>44854</c:v>
                </c:pt>
                <c:pt idx="358">
                  <c:v>44855</c:v>
                </c:pt>
                <c:pt idx="359">
                  <c:v>44858</c:v>
                </c:pt>
                <c:pt idx="360">
                  <c:v>44859</c:v>
                </c:pt>
                <c:pt idx="361">
                  <c:v>44860</c:v>
                </c:pt>
                <c:pt idx="362">
                  <c:v>44861</c:v>
                </c:pt>
                <c:pt idx="363">
                  <c:v>44862</c:v>
                </c:pt>
                <c:pt idx="364">
                  <c:v>44865</c:v>
                </c:pt>
                <c:pt idx="365">
                  <c:v>44866</c:v>
                </c:pt>
                <c:pt idx="366">
                  <c:v>44867</c:v>
                </c:pt>
                <c:pt idx="367">
                  <c:v>44868</c:v>
                </c:pt>
                <c:pt idx="368">
                  <c:v>44869</c:v>
                </c:pt>
                <c:pt idx="369">
                  <c:v>44872</c:v>
                </c:pt>
                <c:pt idx="370">
                  <c:v>44873</c:v>
                </c:pt>
                <c:pt idx="371">
                  <c:v>44874</c:v>
                </c:pt>
                <c:pt idx="372">
                  <c:v>44875</c:v>
                </c:pt>
                <c:pt idx="373">
                  <c:v>44876</c:v>
                </c:pt>
                <c:pt idx="374">
                  <c:v>44879</c:v>
                </c:pt>
                <c:pt idx="375">
                  <c:v>44880</c:v>
                </c:pt>
                <c:pt idx="376">
                  <c:v>44881</c:v>
                </c:pt>
                <c:pt idx="377">
                  <c:v>44882</c:v>
                </c:pt>
                <c:pt idx="378">
                  <c:v>44883</c:v>
                </c:pt>
                <c:pt idx="379">
                  <c:v>44886</c:v>
                </c:pt>
                <c:pt idx="380">
                  <c:v>44887</c:v>
                </c:pt>
                <c:pt idx="381">
                  <c:v>44888</c:v>
                </c:pt>
                <c:pt idx="382">
                  <c:v>44889</c:v>
                </c:pt>
                <c:pt idx="383">
                  <c:v>44890</c:v>
                </c:pt>
                <c:pt idx="384">
                  <c:v>44893</c:v>
                </c:pt>
                <c:pt idx="385">
                  <c:v>44894</c:v>
                </c:pt>
                <c:pt idx="386">
                  <c:v>44895</c:v>
                </c:pt>
                <c:pt idx="387">
                  <c:v>44896</c:v>
                </c:pt>
                <c:pt idx="388">
                  <c:v>44897</c:v>
                </c:pt>
                <c:pt idx="389">
                  <c:v>44900</c:v>
                </c:pt>
                <c:pt idx="390">
                  <c:v>44901</c:v>
                </c:pt>
                <c:pt idx="391">
                  <c:v>44902</c:v>
                </c:pt>
                <c:pt idx="392">
                  <c:v>44903</c:v>
                </c:pt>
                <c:pt idx="393">
                  <c:v>44904</c:v>
                </c:pt>
                <c:pt idx="394">
                  <c:v>44907</c:v>
                </c:pt>
                <c:pt idx="395">
                  <c:v>44908</c:v>
                </c:pt>
                <c:pt idx="396">
                  <c:v>44909</c:v>
                </c:pt>
                <c:pt idx="397">
                  <c:v>44910</c:v>
                </c:pt>
                <c:pt idx="398">
                  <c:v>44911</c:v>
                </c:pt>
                <c:pt idx="399">
                  <c:v>44914</c:v>
                </c:pt>
                <c:pt idx="400">
                  <c:v>44915</c:v>
                </c:pt>
                <c:pt idx="401">
                  <c:v>44916</c:v>
                </c:pt>
                <c:pt idx="402">
                  <c:v>44917</c:v>
                </c:pt>
                <c:pt idx="403">
                  <c:v>44918</c:v>
                </c:pt>
                <c:pt idx="404">
                  <c:v>44921</c:v>
                </c:pt>
                <c:pt idx="405">
                  <c:v>44922</c:v>
                </c:pt>
                <c:pt idx="406">
                  <c:v>44923</c:v>
                </c:pt>
                <c:pt idx="407">
                  <c:v>44924</c:v>
                </c:pt>
                <c:pt idx="408">
                  <c:v>44925</c:v>
                </c:pt>
                <c:pt idx="409">
                  <c:v>44928</c:v>
                </c:pt>
                <c:pt idx="410">
                  <c:v>44929</c:v>
                </c:pt>
                <c:pt idx="411">
                  <c:v>44930</c:v>
                </c:pt>
                <c:pt idx="412">
                  <c:v>44931</c:v>
                </c:pt>
                <c:pt idx="413">
                  <c:v>44932</c:v>
                </c:pt>
                <c:pt idx="414">
                  <c:v>44935</c:v>
                </c:pt>
                <c:pt idx="415">
                  <c:v>44936</c:v>
                </c:pt>
                <c:pt idx="416">
                  <c:v>44937</c:v>
                </c:pt>
                <c:pt idx="417">
                  <c:v>44938</c:v>
                </c:pt>
                <c:pt idx="418">
                  <c:v>44939</c:v>
                </c:pt>
                <c:pt idx="419">
                  <c:v>44942</c:v>
                </c:pt>
                <c:pt idx="420">
                  <c:v>44943</c:v>
                </c:pt>
                <c:pt idx="421">
                  <c:v>44944</c:v>
                </c:pt>
                <c:pt idx="422">
                  <c:v>44945</c:v>
                </c:pt>
                <c:pt idx="423">
                  <c:v>44946</c:v>
                </c:pt>
                <c:pt idx="424">
                  <c:v>44949</c:v>
                </c:pt>
                <c:pt idx="425">
                  <c:v>44950</c:v>
                </c:pt>
                <c:pt idx="426">
                  <c:v>44951</c:v>
                </c:pt>
                <c:pt idx="427">
                  <c:v>44952</c:v>
                </c:pt>
                <c:pt idx="428">
                  <c:v>44953</c:v>
                </c:pt>
                <c:pt idx="429">
                  <c:v>44954</c:v>
                </c:pt>
                <c:pt idx="430">
                  <c:v>44955</c:v>
                </c:pt>
                <c:pt idx="431">
                  <c:v>44956</c:v>
                </c:pt>
                <c:pt idx="432">
                  <c:v>44957</c:v>
                </c:pt>
                <c:pt idx="433">
                  <c:v>44958</c:v>
                </c:pt>
                <c:pt idx="434">
                  <c:v>44959</c:v>
                </c:pt>
                <c:pt idx="435">
                  <c:v>44960</c:v>
                </c:pt>
                <c:pt idx="436">
                  <c:v>44963</c:v>
                </c:pt>
                <c:pt idx="437">
                  <c:v>44964</c:v>
                </c:pt>
                <c:pt idx="438">
                  <c:v>44965</c:v>
                </c:pt>
                <c:pt idx="439">
                  <c:v>44966</c:v>
                </c:pt>
                <c:pt idx="440">
                  <c:v>44967</c:v>
                </c:pt>
                <c:pt idx="441">
                  <c:v>44970</c:v>
                </c:pt>
                <c:pt idx="442">
                  <c:v>44971</c:v>
                </c:pt>
                <c:pt idx="443">
                  <c:v>44972</c:v>
                </c:pt>
                <c:pt idx="444">
                  <c:v>44973</c:v>
                </c:pt>
                <c:pt idx="445">
                  <c:v>44974</c:v>
                </c:pt>
                <c:pt idx="446">
                  <c:v>44977</c:v>
                </c:pt>
                <c:pt idx="447">
                  <c:v>44978</c:v>
                </c:pt>
                <c:pt idx="448">
                  <c:v>44979</c:v>
                </c:pt>
                <c:pt idx="449">
                  <c:v>44980</c:v>
                </c:pt>
                <c:pt idx="450">
                  <c:v>44981</c:v>
                </c:pt>
                <c:pt idx="451">
                  <c:v>44984</c:v>
                </c:pt>
                <c:pt idx="452">
                  <c:v>44985</c:v>
                </c:pt>
                <c:pt idx="453">
                  <c:v>44986</c:v>
                </c:pt>
                <c:pt idx="454">
                  <c:v>44987</c:v>
                </c:pt>
                <c:pt idx="455">
                  <c:v>44988</c:v>
                </c:pt>
                <c:pt idx="456">
                  <c:v>44991</c:v>
                </c:pt>
                <c:pt idx="457">
                  <c:v>44992</c:v>
                </c:pt>
                <c:pt idx="458">
                  <c:v>44993</c:v>
                </c:pt>
                <c:pt idx="459">
                  <c:v>44994</c:v>
                </c:pt>
                <c:pt idx="460">
                  <c:v>44995</c:v>
                </c:pt>
                <c:pt idx="461">
                  <c:v>44998</c:v>
                </c:pt>
                <c:pt idx="462">
                  <c:v>44999</c:v>
                </c:pt>
                <c:pt idx="463">
                  <c:v>45000</c:v>
                </c:pt>
                <c:pt idx="464">
                  <c:v>45001</c:v>
                </c:pt>
                <c:pt idx="465">
                  <c:v>45002</c:v>
                </c:pt>
                <c:pt idx="466">
                  <c:v>45005</c:v>
                </c:pt>
                <c:pt idx="467">
                  <c:v>45006</c:v>
                </c:pt>
                <c:pt idx="468">
                  <c:v>45007</c:v>
                </c:pt>
                <c:pt idx="469">
                  <c:v>45008</c:v>
                </c:pt>
                <c:pt idx="470">
                  <c:v>45009</c:v>
                </c:pt>
                <c:pt idx="471">
                  <c:v>45012</c:v>
                </c:pt>
                <c:pt idx="472">
                  <c:v>45013</c:v>
                </c:pt>
              </c:numCache>
            </c:numRef>
          </c:cat>
          <c:val>
            <c:numRef>
              <c:f>Charts!$D$1166:$D$1638</c:f>
              <c:numCache>
                <c:formatCode>General</c:formatCode>
                <c:ptCount val="473"/>
                <c:pt idx="0">
                  <c:v>1.9</c:v>
                </c:pt>
                <c:pt idx="1">
                  <c:v>1.9</c:v>
                </c:pt>
                <c:pt idx="2">
                  <c:v>1.9</c:v>
                </c:pt>
                <c:pt idx="3">
                  <c:v>1.9</c:v>
                </c:pt>
                <c:pt idx="4">
                  <c:v>1.9</c:v>
                </c:pt>
                <c:pt idx="5">
                  <c:v>1.9</c:v>
                </c:pt>
                <c:pt idx="6">
                  <c:v>1.9</c:v>
                </c:pt>
                <c:pt idx="7">
                  <c:v>1.9</c:v>
                </c:pt>
                <c:pt idx="8">
                  <c:v>1.9</c:v>
                </c:pt>
                <c:pt idx="9">
                  <c:v>1.9</c:v>
                </c:pt>
                <c:pt idx="10">
                  <c:v>1.9</c:v>
                </c:pt>
                <c:pt idx="11">
                  <c:v>1.9</c:v>
                </c:pt>
                <c:pt idx="12">
                  <c:v>1.9</c:v>
                </c:pt>
                <c:pt idx="13">
                  <c:v>1.9</c:v>
                </c:pt>
                <c:pt idx="14">
                  <c:v>1.9</c:v>
                </c:pt>
                <c:pt idx="15">
                  <c:v>1.9</c:v>
                </c:pt>
                <c:pt idx="16">
                  <c:v>1.9</c:v>
                </c:pt>
                <c:pt idx="17">
                  <c:v>1.9</c:v>
                </c:pt>
                <c:pt idx="18">
                  <c:v>1.9</c:v>
                </c:pt>
                <c:pt idx="19">
                  <c:v>1.9</c:v>
                </c:pt>
                <c:pt idx="20">
                  <c:v>1.9</c:v>
                </c:pt>
                <c:pt idx="21">
                  <c:v>1.9</c:v>
                </c:pt>
                <c:pt idx="22">
                  <c:v>1.9</c:v>
                </c:pt>
                <c:pt idx="23">
                  <c:v>1.9</c:v>
                </c:pt>
                <c:pt idx="24">
                  <c:v>1.9</c:v>
                </c:pt>
                <c:pt idx="25">
                  <c:v>1.9</c:v>
                </c:pt>
                <c:pt idx="26">
                  <c:v>1.9</c:v>
                </c:pt>
                <c:pt idx="27">
                  <c:v>1.9</c:v>
                </c:pt>
                <c:pt idx="28">
                  <c:v>1.9</c:v>
                </c:pt>
                <c:pt idx="29">
                  <c:v>1.9</c:v>
                </c:pt>
                <c:pt idx="30">
                  <c:v>1.9</c:v>
                </c:pt>
                <c:pt idx="31">
                  <c:v>1.9</c:v>
                </c:pt>
                <c:pt idx="32">
                  <c:v>1.9</c:v>
                </c:pt>
                <c:pt idx="33">
                  <c:v>1.9</c:v>
                </c:pt>
                <c:pt idx="34">
                  <c:v>1.9</c:v>
                </c:pt>
                <c:pt idx="35">
                  <c:v>1.9</c:v>
                </c:pt>
                <c:pt idx="36">
                  <c:v>1.9</c:v>
                </c:pt>
                <c:pt idx="37">
                  <c:v>1.9</c:v>
                </c:pt>
                <c:pt idx="38">
                  <c:v>1.9</c:v>
                </c:pt>
                <c:pt idx="39">
                  <c:v>1.9</c:v>
                </c:pt>
                <c:pt idx="40">
                  <c:v>1.9</c:v>
                </c:pt>
                <c:pt idx="41">
                  <c:v>1.9</c:v>
                </c:pt>
                <c:pt idx="42">
                  <c:v>1.9</c:v>
                </c:pt>
                <c:pt idx="43">
                  <c:v>1.9</c:v>
                </c:pt>
                <c:pt idx="44">
                  <c:v>1.9</c:v>
                </c:pt>
                <c:pt idx="45">
                  <c:v>1.9</c:v>
                </c:pt>
                <c:pt idx="46">
                  <c:v>1.9</c:v>
                </c:pt>
                <c:pt idx="47">
                  <c:v>1.9</c:v>
                </c:pt>
                <c:pt idx="48">
                  <c:v>1.9</c:v>
                </c:pt>
                <c:pt idx="49">
                  <c:v>1.9</c:v>
                </c:pt>
                <c:pt idx="50">
                  <c:v>1.9</c:v>
                </c:pt>
                <c:pt idx="51">
                  <c:v>1.9</c:v>
                </c:pt>
                <c:pt idx="52">
                  <c:v>1.9</c:v>
                </c:pt>
                <c:pt idx="53">
                  <c:v>1.9</c:v>
                </c:pt>
                <c:pt idx="54">
                  <c:v>1.9</c:v>
                </c:pt>
                <c:pt idx="55">
                  <c:v>1.9</c:v>
                </c:pt>
                <c:pt idx="56">
                  <c:v>1.9</c:v>
                </c:pt>
                <c:pt idx="57">
                  <c:v>1.9</c:v>
                </c:pt>
                <c:pt idx="58">
                  <c:v>1.9</c:v>
                </c:pt>
                <c:pt idx="59">
                  <c:v>1.9</c:v>
                </c:pt>
                <c:pt idx="60">
                  <c:v>1.9</c:v>
                </c:pt>
                <c:pt idx="61">
                  <c:v>1.9</c:v>
                </c:pt>
                <c:pt idx="62">
                  <c:v>1.9</c:v>
                </c:pt>
                <c:pt idx="63">
                  <c:v>1.9</c:v>
                </c:pt>
                <c:pt idx="64">
                  <c:v>1.9</c:v>
                </c:pt>
                <c:pt idx="65">
                  <c:v>1.9</c:v>
                </c:pt>
                <c:pt idx="66">
                  <c:v>1.9</c:v>
                </c:pt>
                <c:pt idx="67">
                  <c:v>1.9</c:v>
                </c:pt>
                <c:pt idx="68">
                  <c:v>1.9</c:v>
                </c:pt>
                <c:pt idx="69">
                  <c:v>1.9</c:v>
                </c:pt>
                <c:pt idx="70">
                  <c:v>1.9</c:v>
                </c:pt>
                <c:pt idx="71">
                  <c:v>1.9</c:v>
                </c:pt>
                <c:pt idx="72">
                  <c:v>1.9</c:v>
                </c:pt>
                <c:pt idx="73">
                  <c:v>1.9</c:v>
                </c:pt>
                <c:pt idx="74">
                  <c:v>1.9</c:v>
                </c:pt>
                <c:pt idx="75">
                  <c:v>1.9</c:v>
                </c:pt>
                <c:pt idx="76">
                  <c:v>1.9</c:v>
                </c:pt>
                <c:pt idx="77">
                  <c:v>1.9</c:v>
                </c:pt>
                <c:pt idx="78">
                  <c:v>1.9</c:v>
                </c:pt>
                <c:pt idx="79">
                  <c:v>1.9</c:v>
                </c:pt>
                <c:pt idx="80">
                  <c:v>1.9</c:v>
                </c:pt>
                <c:pt idx="81">
                  <c:v>1.9</c:v>
                </c:pt>
                <c:pt idx="82">
                  <c:v>1.9</c:v>
                </c:pt>
                <c:pt idx="83">
                  <c:v>1.9</c:v>
                </c:pt>
                <c:pt idx="84">
                  <c:v>1.9</c:v>
                </c:pt>
                <c:pt idx="85">
                  <c:v>1.9</c:v>
                </c:pt>
                <c:pt idx="86">
                  <c:v>1.9</c:v>
                </c:pt>
                <c:pt idx="87">
                  <c:v>1.9</c:v>
                </c:pt>
                <c:pt idx="88">
                  <c:v>1.9</c:v>
                </c:pt>
                <c:pt idx="89">
                  <c:v>1.9</c:v>
                </c:pt>
                <c:pt idx="90">
                  <c:v>1.9</c:v>
                </c:pt>
                <c:pt idx="91">
                  <c:v>1.9</c:v>
                </c:pt>
                <c:pt idx="92">
                  <c:v>1.9</c:v>
                </c:pt>
                <c:pt idx="93">
                  <c:v>1.9</c:v>
                </c:pt>
                <c:pt idx="94">
                  <c:v>1.9</c:v>
                </c:pt>
                <c:pt idx="95">
                  <c:v>1.9</c:v>
                </c:pt>
                <c:pt idx="96">
                  <c:v>1.9</c:v>
                </c:pt>
                <c:pt idx="97">
                  <c:v>1.9</c:v>
                </c:pt>
                <c:pt idx="98">
                  <c:v>1.9</c:v>
                </c:pt>
                <c:pt idx="99">
                  <c:v>1.9</c:v>
                </c:pt>
                <c:pt idx="100">
                  <c:v>1.9</c:v>
                </c:pt>
                <c:pt idx="101">
                  <c:v>1.9</c:v>
                </c:pt>
                <c:pt idx="102">
                  <c:v>1.9</c:v>
                </c:pt>
                <c:pt idx="103">
                  <c:v>1.9</c:v>
                </c:pt>
                <c:pt idx="104">
                  <c:v>1.9</c:v>
                </c:pt>
                <c:pt idx="105">
                  <c:v>1.9</c:v>
                </c:pt>
                <c:pt idx="106">
                  <c:v>1.9</c:v>
                </c:pt>
                <c:pt idx="107">
                  <c:v>1.9</c:v>
                </c:pt>
                <c:pt idx="108">
                  <c:v>1.9</c:v>
                </c:pt>
                <c:pt idx="109">
                  <c:v>1.9</c:v>
                </c:pt>
                <c:pt idx="110">
                  <c:v>1.9</c:v>
                </c:pt>
                <c:pt idx="111">
                  <c:v>1.9</c:v>
                </c:pt>
                <c:pt idx="112">
                  <c:v>1.9</c:v>
                </c:pt>
                <c:pt idx="113">
                  <c:v>1.9</c:v>
                </c:pt>
                <c:pt idx="114">
                  <c:v>1.9</c:v>
                </c:pt>
                <c:pt idx="115">
                  <c:v>1.9</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2.0499999999999998</c:v>
                </c:pt>
                <c:pt idx="134">
                  <c:v>2.0499999999999998</c:v>
                </c:pt>
                <c:pt idx="135">
                  <c:v>2.0499999999999998</c:v>
                </c:pt>
                <c:pt idx="136">
                  <c:v>2.0499999999999998</c:v>
                </c:pt>
                <c:pt idx="137">
                  <c:v>2.0499999999999998</c:v>
                </c:pt>
                <c:pt idx="138">
                  <c:v>2.0499999999999998</c:v>
                </c:pt>
                <c:pt idx="139">
                  <c:v>2.0499999999999998</c:v>
                </c:pt>
                <c:pt idx="140">
                  <c:v>2.0499999999999998</c:v>
                </c:pt>
                <c:pt idx="141">
                  <c:v>2.0499999999999998</c:v>
                </c:pt>
                <c:pt idx="142">
                  <c:v>2.0499999999999998</c:v>
                </c:pt>
                <c:pt idx="143">
                  <c:v>2.0499999999999998</c:v>
                </c:pt>
                <c:pt idx="144">
                  <c:v>2.0499999999999998</c:v>
                </c:pt>
                <c:pt idx="145">
                  <c:v>2.0499999999999998</c:v>
                </c:pt>
                <c:pt idx="146">
                  <c:v>2.0499999999999998</c:v>
                </c:pt>
                <c:pt idx="147">
                  <c:v>2.0499999999999998</c:v>
                </c:pt>
                <c:pt idx="148">
                  <c:v>2.0499999999999998</c:v>
                </c:pt>
                <c:pt idx="149">
                  <c:v>2.0499999999999998</c:v>
                </c:pt>
                <c:pt idx="150">
                  <c:v>2.0499999999999998</c:v>
                </c:pt>
                <c:pt idx="151">
                  <c:v>2.0499999999999998</c:v>
                </c:pt>
                <c:pt idx="152">
                  <c:v>2.1</c:v>
                </c:pt>
                <c:pt idx="153">
                  <c:v>2.1</c:v>
                </c:pt>
                <c:pt idx="154">
                  <c:v>2.1</c:v>
                </c:pt>
                <c:pt idx="155">
                  <c:v>2.1</c:v>
                </c:pt>
                <c:pt idx="156">
                  <c:v>2.1</c:v>
                </c:pt>
                <c:pt idx="157">
                  <c:v>2.1</c:v>
                </c:pt>
                <c:pt idx="158">
                  <c:v>2.1</c:v>
                </c:pt>
                <c:pt idx="159">
                  <c:v>2.1</c:v>
                </c:pt>
                <c:pt idx="160">
                  <c:v>2.1</c:v>
                </c:pt>
                <c:pt idx="161">
                  <c:v>2.1</c:v>
                </c:pt>
                <c:pt idx="162">
                  <c:v>2.1</c:v>
                </c:pt>
                <c:pt idx="163">
                  <c:v>2.1</c:v>
                </c:pt>
                <c:pt idx="164">
                  <c:v>2.1</c:v>
                </c:pt>
                <c:pt idx="165">
                  <c:v>2.1</c:v>
                </c:pt>
                <c:pt idx="166">
                  <c:v>2.1</c:v>
                </c:pt>
                <c:pt idx="167">
                  <c:v>2.1</c:v>
                </c:pt>
                <c:pt idx="168">
                  <c:v>2.1</c:v>
                </c:pt>
                <c:pt idx="169">
                  <c:v>2.1</c:v>
                </c:pt>
                <c:pt idx="170">
                  <c:v>2.1</c:v>
                </c:pt>
                <c:pt idx="171">
                  <c:v>2.1</c:v>
                </c:pt>
                <c:pt idx="172">
                  <c:v>2.1</c:v>
                </c:pt>
                <c:pt idx="173">
                  <c:v>2.1</c:v>
                </c:pt>
                <c:pt idx="174">
                  <c:v>2.1</c:v>
                </c:pt>
                <c:pt idx="175">
                  <c:v>2.1</c:v>
                </c:pt>
                <c:pt idx="176">
                  <c:v>2.1</c:v>
                </c:pt>
                <c:pt idx="177">
                  <c:v>2.1</c:v>
                </c:pt>
                <c:pt idx="178">
                  <c:v>2.1</c:v>
                </c:pt>
                <c:pt idx="179">
                  <c:v>2.1</c:v>
                </c:pt>
                <c:pt idx="180">
                  <c:v>2.1</c:v>
                </c:pt>
                <c:pt idx="181">
                  <c:v>2.1</c:v>
                </c:pt>
                <c:pt idx="182">
                  <c:v>2.1</c:v>
                </c:pt>
                <c:pt idx="183">
                  <c:v>2.1</c:v>
                </c:pt>
                <c:pt idx="184">
                  <c:v>2.1</c:v>
                </c:pt>
                <c:pt idx="185">
                  <c:v>2.1</c:v>
                </c:pt>
                <c:pt idx="186">
                  <c:v>2.13</c:v>
                </c:pt>
                <c:pt idx="187">
                  <c:v>2.13</c:v>
                </c:pt>
                <c:pt idx="188">
                  <c:v>2.13</c:v>
                </c:pt>
                <c:pt idx="189">
                  <c:v>2.13</c:v>
                </c:pt>
                <c:pt idx="190">
                  <c:v>2.13</c:v>
                </c:pt>
                <c:pt idx="191">
                  <c:v>2.13</c:v>
                </c:pt>
                <c:pt idx="192">
                  <c:v>2.13</c:v>
                </c:pt>
                <c:pt idx="193">
                  <c:v>2.13</c:v>
                </c:pt>
                <c:pt idx="194">
                  <c:v>2.13</c:v>
                </c:pt>
                <c:pt idx="195">
                  <c:v>2.13</c:v>
                </c:pt>
                <c:pt idx="196">
                  <c:v>2.13</c:v>
                </c:pt>
                <c:pt idx="197">
                  <c:v>2.13</c:v>
                </c:pt>
                <c:pt idx="198">
                  <c:v>2.13</c:v>
                </c:pt>
                <c:pt idx="199">
                  <c:v>2.13</c:v>
                </c:pt>
                <c:pt idx="200">
                  <c:v>2.13</c:v>
                </c:pt>
                <c:pt idx="201">
                  <c:v>2.13</c:v>
                </c:pt>
                <c:pt idx="202">
                  <c:v>2.13</c:v>
                </c:pt>
                <c:pt idx="203">
                  <c:v>2.13</c:v>
                </c:pt>
                <c:pt idx="204">
                  <c:v>2.13</c:v>
                </c:pt>
                <c:pt idx="205">
                  <c:v>2.13</c:v>
                </c:pt>
                <c:pt idx="206">
                  <c:v>2.13</c:v>
                </c:pt>
                <c:pt idx="207">
                  <c:v>2.13</c:v>
                </c:pt>
                <c:pt idx="208">
                  <c:v>2.13</c:v>
                </c:pt>
                <c:pt idx="209">
                  <c:v>2.13</c:v>
                </c:pt>
                <c:pt idx="210">
                  <c:v>2.13</c:v>
                </c:pt>
                <c:pt idx="211">
                  <c:v>2.13</c:v>
                </c:pt>
                <c:pt idx="212">
                  <c:v>2.13</c:v>
                </c:pt>
                <c:pt idx="213">
                  <c:v>2.13</c:v>
                </c:pt>
                <c:pt idx="214">
                  <c:v>2.13</c:v>
                </c:pt>
                <c:pt idx="215">
                  <c:v>2.13</c:v>
                </c:pt>
                <c:pt idx="216">
                  <c:v>2.13</c:v>
                </c:pt>
                <c:pt idx="217">
                  <c:v>2.13</c:v>
                </c:pt>
                <c:pt idx="218">
                  <c:v>2.13</c:v>
                </c:pt>
                <c:pt idx="219">
                  <c:v>2.13</c:v>
                </c:pt>
                <c:pt idx="220">
                  <c:v>2.13</c:v>
                </c:pt>
                <c:pt idx="221">
                  <c:v>2.13</c:v>
                </c:pt>
                <c:pt idx="222">
                  <c:v>2.13</c:v>
                </c:pt>
                <c:pt idx="223">
                  <c:v>2.13</c:v>
                </c:pt>
                <c:pt idx="224">
                  <c:v>2.13</c:v>
                </c:pt>
                <c:pt idx="225">
                  <c:v>2.13</c:v>
                </c:pt>
                <c:pt idx="226">
                  <c:v>2.13</c:v>
                </c:pt>
                <c:pt idx="227">
                  <c:v>2.13</c:v>
                </c:pt>
                <c:pt idx="228">
                  <c:v>2.13</c:v>
                </c:pt>
                <c:pt idx="229">
                  <c:v>2.13</c:v>
                </c:pt>
                <c:pt idx="230">
                  <c:v>2.2000000000000002</c:v>
                </c:pt>
                <c:pt idx="231">
                  <c:v>2.2000000000000002</c:v>
                </c:pt>
                <c:pt idx="232">
                  <c:v>2.2000000000000002</c:v>
                </c:pt>
                <c:pt idx="233">
                  <c:v>2.2000000000000002</c:v>
                </c:pt>
                <c:pt idx="234">
                  <c:v>2.2000000000000002</c:v>
                </c:pt>
                <c:pt idx="235">
                  <c:v>2.2000000000000002</c:v>
                </c:pt>
                <c:pt idx="236">
                  <c:v>2.2000000000000002</c:v>
                </c:pt>
                <c:pt idx="237">
                  <c:v>2.2000000000000002</c:v>
                </c:pt>
                <c:pt idx="238">
                  <c:v>2.2000000000000002</c:v>
                </c:pt>
                <c:pt idx="239">
                  <c:v>2.2000000000000002</c:v>
                </c:pt>
                <c:pt idx="240">
                  <c:v>2.2000000000000002</c:v>
                </c:pt>
                <c:pt idx="241">
                  <c:v>2.2000000000000002</c:v>
                </c:pt>
                <c:pt idx="242">
                  <c:v>2.2000000000000002</c:v>
                </c:pt>
                <c:pt idx="243">
                  <c:v>2.2000000000000002</c:v>
                </c:pt>
                <c:pt idx="244">
                  <c:v>2.2000000000000002</c:v>
                </c:pt>
                <c:pt idx="245">
                  <c:v>2.2000000000000002</c:v>
                </c:pt>
                <c:pt idx="246">
                  <c:v>2.2000000000000002</c:v>
                </c:pt>
                <c:pt idx="247">
                  <c:v>2.2000000000000002</c:v>
                </c:pt>
                <c:pt idx="248">
                  <c:v>2.2000000000000002</c:v>
                </c:pt>
                <c:pt idx="249">
                  <c:v>2.2000000000000002</c:v>
                </c:pt>
                <c:pt idx="250">
                  <c:v>2.2000000000000002</c:v>
                </c:pt>
                <c:pt idx="251">
                  <c:v>2.2000000000000002</c:v>
                </c:pt>
                <c:pt idx="252">
                  <c:v>2.2000000000000002</c:v>
                </c:pt>
                <c:pt idx="253">
                  <c:v>2.2000000000000002</c:v>
                </c:pt>
                <c:pt idx="254">
                  <c:v>2.2000000000000002</c:v>
                </c:pt>
                <c:pt idx="255">
                  <c:v>2.2000000000000002</c:v>
                </c:pt>
                <c:pt idx="256">
                  <c:v>2.2000000000000002</c:v>
                </c:pt>
                <c:pt idx="257">
                  <c:v>2.2000000000000002</c:v>
                </c:pt>
                <c:pt idx="258">
                  <c:v>2.2000000000000002</c:v>
                </c:pt>
                <c:pt idx="259">
                  <c:v>2.2000000000000002</c:v>
                </c:pt>
                <c:pt idx="260">
                  <c:v>2.2000000000000002</c:v>
                </c:pt>
                <c:pt idx="261">
                  <c:v>2.2000000000000002</c:v>
                </c:pt>
                <c:pt idx="262">
                  <c:v>2.2000000000000002</c:v>
                </c:pt>
                <c:pt idx="263">
                  <c:v>2.2000000000000002</c:v>
                </c:pt>
                <c:pt idx="264">
                  <c:v>2.2000000000000002</c:v>
                </c:pt>
                <c:pt idx="265">
                  <c:v>2.2000000000000002</c:v>
                </c:pt>
                <c:pt idx="266">
                  <c:v>2.2000000000000002</c:v>
                </c:pt>
                <c:pt idx="267">
                  <c:v>2.2000000000000002</c:v>
                </c:pt>
                <c:pt idx="268">
                  <c:v>2.2000000000000002</c:v>
                </c:pt>
                <c:pt idx="269">
                  <c:v>2.2000000000000002</c:v>
                </c:pt>
                <c:pt idx="270">
                  <c:v>2.2000000000000002</c:v>
                </c:pt>
                <c:pt idx="271">
                  <c:v>2.2000000000000002</c:v>
                </c:pt>
                <c:pt idx="272">
                  <c:v>2.2000000000000002</c:v>
                </c:pt>
                <c:pt idx="273">
                  <c:v>2.2000000000000002</c:v>
                </c:pt>
                <c:pt idx="274">
                  <c:v>2.2000000000000002</c:v>
                </c:pt>
                <c:pt idx="275">
                  <c:v>2.2000000000000002</c:v>
                </c:pt>
                <c:pt idx="276">
                  <c:v>2.2000000000000002</c:v>
                </c:pt>
                <c:pt idx="277">
                  <c:v>2.2000000000000002</c:v>
                </c:pt>
                <c:pt idx="278">
                  <c:v>2.2000000000000002</c:v>
                </c:pt>
                <c:pt idx="279">
                  <c:v>2.2000000000000002</c:v>
                </c:pt>
                <c:pt idx="280">
                  <c:v>2.2000000000000002</c:v>
                </c:pt>
                <c:pt idx="281">
                  <c:v>2.2000000000000002</c:v>
                </c:pt>
                <c:pt idx="282">
                  <c:v>2.2000000000000002</c:v>
                </c:pt>
                <c:pt idx="283">
                  <c:v>2.2000000000000002</c:v>
                </c:pt>
                <c:pt idx="284">
                  <c:v>2.2000000000000002</c:v>
                </c:pt>
                <c:pt idx="285">
                  <c:v>2.2000000000000002</c:v>
                </c:pt>
                <c:pt idx="286">
                  <c:v>2.2000000000000002</c:v>
                </c:pt>
                <c:pt idx="287">
                  <c:v>2.2000000000000002</c:v>
                </c:pt>
                <c:pt idx="288">
                  <c:v>2.2000000000000002</c:v>
                </c:pt>
                <c:pt idx="289">
                  <c:v>2.2000000000000002</c:v>
                </c:pt>
                <c:pt idx="290">
                  <c:v>2.2000000000000002</c:v>
                </c:pt>
                <c:pt idx="291">
                  <c:v>2.2000000000000002</c:v>
                </c:pt>
                <c:pt idx="292">
                  <c:v>2.2000000000000002</c:v>
                </c:pt>
                <c:pt idx="293">
                  <c:v>2.2000000000000002</c:v>
                </c:pt>
                <c:pt idx="294">
                  <c:v>2.2000000000000002</c:v>
                </c:pt>
                <c:pt idx="295">
                  <c:v>2.2000000000000002</c:v>
                </c:pt>
                <c:pt idx="296">
                  <c:v>2.2000000000000002</c:v>
                </c:pt>
                <c:pt idx="297">
                  <c:v>2.2000000000000002</c:v>
                </c:pt>
                <c:pt idx="298">
                  <c:v>2.2000000000000002</c:v>
                </c:pt>
                <c:pt idx="299">
                  <c:v>2.2000000000000002</c:v>
                </c:pt>
                <c:pt idx="300">
                  <c:v>2.2000000000000002</c:v>
                </c:pt>
                <c:pt idx="301">
                  <c:v>2.2000000000000002</c:v>
                </c:pt>
                <c:pt idx="302">
                  <c:v>2.2000000000000002</c:v>
                </c:pt>
                <c:pt idx="303">
                  <c:v>2.2000000000000002</c:v>
                </c:pt>
                <c:pt idx="304">
                  <c:v>2.2000000000000002</c:v>
                </c:pt>
                <c:pt idx="305">
                  <c:v>2.2000000000000002</c:v>
                </c:pt>
                <c:pt idx="306">
                  <c:v>2.2000000000000002</c:v>
                </c:pt>
                <c:pt idx="307">
                  <c:v>2.2000000000000002</c:v>
                </c:pt>
                <c:pt idx="308">
                  <c:v>2.2000000000000002</c:v>
                </c:pt>
                <c:pt idx="309">
                  <c:v>2.2000000000000002</c:v>
                </c:pt>
                <c:pt idx="310">
                  <c:v>2.2000000000000002</c:v>
                </c:pt>
                <c:pt idx="311">
                  <c:v>2.2000000000000002</c:v>
                </c:pt>
                <c:pt idx="312">
                  <c:v>2.2000000000000002</c:v>
                </c:pt>
                <c:pt idx="313">
                  <c:v>2.2000000000000002</c:v>
                </c:pt>
                <c:pt idx="314">
                  <c:v>2.2000000000000002</c:v>
                </c:pt>
                <c:pt idx="315">
                  <c:v>2.2000000000000002</c:v>
                </c:pt>
                <c:pt idx="316">
                  <c:v>2.2000000000000002</c:v>
                </c:pt>
                <c:pt idx="317">
                  <c:v>2.2000000000000002</c:v>
                </c:pt>
                <c:pt idx="318">
                  <c:v>2.2000000000000002</c:v>
                </c:pt>
                <c:pt idx="319">
                  <c:v>2.2000000000000002</c:v>
                </c:pt>
                <c:pt idx="320">
                  <c:v>2.2000000000000002</c:v>
                </c:pt>
                <c:pt idx="321">
                  <c:v>2.2000000000000002</c:v>
                </c:pt>
                <c:pt idx="322">
                  <c:v>2.2000000000000002</c:v>
                </c:pt>
                <c:pt idx="323">
                  <c:v>2.2000000000000002</c:v>
                </c:pt>
                <c:pt idx="324">
                  <c:v>2.2000000000000002</c:v>
                </c:pt>
                <c:pt idx="325">
                  <c:v>2.2000000000000002</c:v>
                </c:pt>
                <c:pt idx="326">
                  <c:v>2.2000000000000002</c:v>
                </c:pt>
                <c:pt idx="327">
                  <c:v>2.2000000000000002</c:v>
                </c:pt>
                <c:pt idx="328">
                  <c:v>2.1800000000000002</c:v>
                </c:pt>
                <c:pt idx="329">
                  <c:v>2.1800000000000002</c:v>
                </c:pt>
                <c:pt idx="330">
                  <c:v>2.1800000000000002</c:v>
                </c:pt>
                <c:pt idx="331">
                  <c:v>2.1800000000000002</c:v>
                </c:pt>
                <c:pt idx="332">
                  <c:v>2.1800000000000002</c:v>
                </c:pt>
                <c:pt idx="333">
                  <c:v>2.1800000000000002</c:v>
                </c:pt>
                <c:pt idx="334">
                  <c:v>2.1800000000000002</c:v>
                </c:pt>
                <c:pt idx="335">
                  <c:v>2.1800000000000002</c:v>
                </c:pt>
                <c:pt idx="336">
                  <c:v>2.1800000000000002</c:v>
                </c:pt>
                <c:pt idx="337">
                  <c:v>2.1800000000000002</c:v>
                </c:pt>
                <c:pt idx="338">
                  <c:v>2.1800000000000002</c:v>
                </c:pt>
                <c:pt idx="339">
                  <c:v>2.1800000000000002</c:v>
                </c:pt>
                <c:pt idx="340">
                  <c:v>2.1800000000000002</c:v>
                </c:pt>
                <c:pt idx="341">
                  <c:v>2.1800000000000002</c:v>
                </c:pt>
                <c:pt idx="342">
                  <c:v>2.1800000000000002</c:v>
                </c:pt>
                <c:pt idx="343">
                  <c:v>2.1800000000000002</c:v>
                </c:pt>
                <c:pt idx="344">
                  <c:v>2.1800000000000002</c:v>
                </c:pt>
                <c:pt idx="345">
                  <c:v>2.1800000000000002</c:v>
                </c:pt>
                <c:pt idx="346">
                  <c:v>2.1800000000000002</c:v>
                </c:pt>
                <c:pt idx="347">
                  <c:v>2.1800000000000002</c:v>
                </c:pt>
                <c:pt idx="348">
                  <c:v>2.1800000000000002</c:v>
                </c:pt>
                <c:pt idx="349">
                  <c:v>2.1800000000000002</c:v>
                </c:pt>
                <c:pt idx="350">
                  <c:v>2.1800000000000002</c:v>
                </c:pt>
                <c:pt idx="351">
                  <c:v>2.1800000000000002</c:v>
                </c:pt>
                <c:pt idx="352">
                  <c:v>2.1800000000000002</c:v>
                </c:pt>
                <c:pt idx="353">
                  <c:v>2.1800000000000002</c:v>
                </c:pt>
                <c:pt idx="354">
                  <c:v>2.1800000000000002</c:v>
                </c:pt>
                <c:pt idx="355">
                  <c:v>2.1800000000000002</c:v>
                </c:pt>
                <c:pt idx="356">
                  <c:v>2.1800000000000002</c:v>
                </c:pt>
                <c:pt idx="357">
                  <c:v>2.1800000000000002</c:v>
                </c:pt>
                <c:pt idx="358">
                  <c:v>2.1800000000000002</c:v>
                </c:pt>
                <c:pt idx="359">
                  <c:v>2.1800000000000002</c:v>
                </c:pt>
                <c:pt idx="360">
                  <c:v>2.1800000000000002</c:v>
                </c:pt>
                <c:pt idx="361">
                  <c:v>2.1800000000000002</c:v>
                </c:pt>
                <c:pt idx="362">
                  <c:v>2.1800000000000002</c:v>
                </c:pt>
                <c:pt idx="363">
                  <c:v>2.1800000000000002</c:v>
                </c:pt>
                <c:pt idx="364">
                  <c:v>2.1800000000000002</c:v>
                </c:pt>
                <c:pt idx="365">
                  <c:v>2.1800000000000002</c:v>
                </c:pt>
                <c:pt idx="366">
                  <c:v>2.1800000000000002</c:v>
                </c:pt>
                <c:pt idx="367">
                  <c:v>2.1800000000000002</c:v>
                </c:pt>
                <c:pt idx="368">
                  <c:v>2.1800000000000002</c:v>
                </c:pt>
                <c:pt idx="369">
                  <c:v>2.1800000000000002</c:v>
                </c:pt>
                <c:pt idx="370">
                  <c:v>2.1800000000000002</c:v>
                </c:pt>
                <c:pt idx="371">
                  <c:v>2.1800000000000002</c:v>
                </c:pt>
                <c:pt idx="372">
                  <c:v>2.1800000000000002</c:v>
                </c:pt>
                <c:pt idx="373">
                  <c:v>2.1800000000000002</c:v>
                </c:pt>
                <c:pt idx="374">
                  <c:v>2.1800000000000002</c:v>
                </c:pt>
                <c:pt idx="375">
                  <c:v>2.1800000000000002</c:v>
                </c:pt>
                <c:pt idx="376">
                  <c:v>2.1800000000000002</c:v>
                </c:pt>
                <c:pt idx="377">
                  <c:v>2.1800000000000002</c:v>
                </c:pt>
                <c:pt idx="378">
                  <c:v>2.1800000000000002</c:v>
                </c:pt>
                <c:pt idx="379">
                  <c:v>2.1800000000000002</c:v>
                </c:pt>
                <c:pt idx="380">
                  <c:v>2.1800000000000002</c:v>
                </c:pt>
                <c:pt idx="381">
                  <c:v>2.1800000000000002</c:v>
                </c:pt>
                <c:pt idx="382">
                  <c:v>2.1800000000000002</c:v>
                </c:pt>
                <c:pt idx="383">
                  <c:v>2.1800000000000002</c:v>
                </c:pt>
                <c:pt idx="384">
                  <c:v>2.1800000000000002</c:v>
                </c:pt>
                <c:pt idx="385">
                  <c:v>2.1800000000000002</c:v>
                </c:pt>
                <c:pt idx="386">
                  <c:v>2.1800000000000002</c:v>
                </c:pt>
                <c:pt idx="387">
                  <c:v>2.1800000000000002</c:v>
                </c:pt>
                <c:pt idx="388">
                  <c:v>2.1800000000000002</c:v>
                </c:pt>
                <c:pt idx="389">
                  <c:v>2.1800000000000002</c:v>
                </c:pt>
                <c:pt idx="390">
                  <c:v>2.1800000000000002</c:v>
                </c:pt>
                <c:pt idx="391">
                  <c:v>2.1800000000000002</c:v>
                </c:pt>
                <c:pt idx="392">
                  <c:v>2.1800000000000002</c:v>
                </c:pt>
                <c:pt idx="393">
                  <c:v>2.1800000000000002</c:v>
                </c:pt>
                <c:pt idx="394">
                  <c:v>2.1800000000000002</c:v>
                </c:pt>
                <c:pt idx="395">
                  <c:v>2.1800000000000002</c:v>
                </c:pt>
                <c:pt idx="396">
                  <c:v>2.1800000000000002</c:v>
                </c:pt>
                <c:pt idx="397">
                  <c:v>2.1800000000000002</c:v>
                </c:pt>
                <c:pt idx="398">
                  <c:v>2.1800000000000002</c:v>
                </c:pt>
                <c:pt idx="399">
                  <c:v>2.1800000000000002</c:v>
                </c:pt>
                <c:pt idx="400">
                  <c:v>2.1800000000000002</c:v>
                </c:pt>
                <c:pt idx="401">
                  <c:v>2.1800000000000002</c:v>
                </c:pt>
                <c:pt idx="402">
                  <c:v>2.1800000000000002</c:v>
                </c:pt>
                <c:pt idx="403">
                  <c:v>2.1800000000000002</c:v>
                </c:pt>
                <c:pt idx="404">
                  <c:v>2.1800000000000002</c:v>
                </c:pt>
                <c:pt idx="405">
                  <c:v>2.1800000000000002</c:v>
                </c:pt>
                <c:pt idx="406">
                  <c:v>2.1800000000000002</c:v>
                </c:pt>
                <c:pt idx="407">
                  <c:v>2.1800000000000002</c:v>
                </c:pt>
                <c:pt idx="408">
                  <c:v>2.1800000000000002</c:v>
                </c:pt>
                <c:pt idx="409">
                  <c:v>2.1800000000000002</c:v>
                </c:pt>
                <c:pt idx="410">
                  <c:v>2.1800000000000002</c:v>
                </c:pt>
                <c:pt idx="411">
                  <c:v>2.1800000000000002</c:v>
                </c:pt>
                <c:pt idx="412">
                  <c:v>2.1800000000000002</c:v>
                </c:pt>
                <c:pt idx="413">
                  <c:v>2.1800000000000002</c:v>
                </c:pt>
                <c:pt idx="414">
                  <c:v>2.1800000000000002</c:v>
                </c:pt>
                <c:pt idx="415">
                  <c:v>2.1800000000000002</c:v>
                </c:pt>
                <c:pt idx="416">
                  <c:v>2.1800000000000002</c:v>
                </c:pt>
                <c:pt idx="417">
                  <c:v>2.1800000000000002</c:v>
                </c:pt>
                <c:pt idx="418">
                  <c:v>2.1800000000000002</c:v>
                </c:pt>
                <c:pt idx="419">
                  <c:v>2.1800000000000002</c:v>
                </c:pt>
                <c:pt idx="420">
                  <c:v>2.1800000000000002</c:v>
                </c:pt>
                <c:pt idx="421">
                  <c:v>2.1800000000000002</c:v>
                </c:pt>
                <c:pt idx="422">
                  <c:v>2.1800000000000002</c:v>
                </c:pt>
                <c:pt idx="423">
                  <c:v>2.1800000000000002</c:v>
                </c:pt>
                <c:pt idx="424">
                  <c:v>2.1800000000000002</c:v>
                </c:pt>
                <c:pt idx="425">
                  <c:v>2.1800000000000002</c:v>
                </c:pt>
                <c:pt idx="426">
                  <c:v>2.1800000000000002</c:v>
                </c:pt>
                <c:pt idx="427">
                  <c:v>2.1800000000000002</c:v>
                </c:pt>
                <c:pt idx="428">
                  <c:v>2.1800000000000002</c:v>
                </c:pt>
                <c:pt idx="429">
                  <c:v>2.1800000000000002</c:v>
                </c:pt>
                <c:pt idx="430">
                  <c:v>2.1800000000000002</c:v>
                </c:pt>
                <c:pt idx="431">
                  <c:v>2.1800000000000002</c:v>
                </c:pt>
                <c:pt idx="432">
                  <c:v>2.1800000000000002</c:v>
                </c:pt>
                <c:pt idx="433">
                  <c:v>2.1800000000000002</c:v>
                </c:pt>
                <c:pt idx="434">
                  <c:v>2.1800000000000002</c:v>
                </c:pt>
                <c:pt idx="435">
                  <c:v>2.1800000000000002</c:v>
                </c:pt>
                <c:pt idx="436">
                  <c:v>2.1800000000000002</c:v>
                </c:pt>
                <c:pt idx="437">
                  <c:v>2.1800000000000002</c:v>
                </c:pt>
                <c:pt idx="438">
                  <c:v>2.1800000000000002</c:v>
                </c:pt>
                <c:pt idx="439">
                  <c:v>2.1800000000000002</c:v>
                </c:pt>
                <c:pt idx="440">
                  <c:v>2.1800000000000002</c:v>
                </c:pt>
                <c:pt idx="441">
                  <c:v>2.1800000000000002</c:v>
                </c:pt>
                <c:pt idx="442">
                  <c:v>2.1800000000000002</c:v>
                </c:pt>
                <c:pt idx="443">
                  <c:v>2.1800000000000002</c:v>
                </c:pt>
                <c:pt idx="444">
                  <c:v>2.1800000000000002</c:v>
                </c:pt>
                <c:pt idx="445">
                  <c:v>2.1800000000000002</c:v>
                </c:pt>
                <c:pt idx="446">
                  <c:v>2.1800000000000002</c:v>
                </c:pt>
                <c:pt idx="447">
                  <c:v>2.1800000000000002</c:v>
                </c:pt>
                <c:pt idx="448">
                  <c:v>2.1800000000000002</c:v>
                </c:pt>
                <c:pt idx="449">
                  <c:v>2.0699999999999998</c:v>
                </c:pt>
                <c:pt idx="450">
                  <c:v>2.0699999999999998</c:v>
                </c:pt>
                <c:pt idx="451">
                  <c:v>2.0699999999999998</c:v>
                </c:pt>
                <c:pt idx="452">
                  <c:v>2.0699999999999998</c:v>
                </c:pt>
                <c:pt idx="453">
                  <c:v>2.0699999999999998</c:v>
                </c:pt>
                <c:pt idx="454">
                  <c:v>2.0699999999999998</c:v>
                </c:pt>
                <c:pt idx="455">
                  <c:v>2.0699999999999998</c:v>
                </c:pt>
                <c:pt idx="456">
                  <c:v>2.0699999999999998</c:v>
                </c:pt>
                <c:pt idx="457">
                  <c:v>2.0699999999999998</c:v>
                </c:pt>
                <c:pt idx="458">
                  <c:v>2.0699999999999998</c:v>
                </c:pt>
                <c:pt idx="459">
                  <c:v>2.0699999999999998</c:v>
                </c:pt>
                <c:pt idx="460">
                  <c:v>2.0699999999999998</c:v>
                </c:pt>
                <c:pt idx="461">
                  <c:v>2.0699999999999998</c:v>
                </c:pt>
                <c:pt idx="462">
                  <c:v>2.0699999999999998</c:v>
                </c:pt>
                <c:pt idx="463">
                  <c:v>2.0699999999999998</c:v>
                </c:pt>
                <c:pt idx="464">
                  <c:v>2.0699999999999998</c:v>
                </c:pt>
                <c:pt idx="465">
                  <c:v>2.0699999999999998</c:v>
                </c:pt>
                <c:pt idx="466">
                  <c:v>1.98</c:v>
                </c:pt>
                <c:pt idx="467">
                  <c:v>1.98</c:v>
                </c:pt>
                <c:pt idx="468">
                  <c:v>1.98</c:v>
                </c:pt>
                <c:pt idx="469">
                  <c:v>1.98</c:v>
                </c:pt>
                <c:pt idx="470">
                  <c:v>1.98</c:v>
                </c:pt>
                <c:pt idx="471">
                  <c:v>1.98</c:v>
                </c:pt>
                <c:pt idx="472">
                  <c:v>1.98</c:v>
                </c:pt>
              </c:numCache>
            </c:numRef>
          </c:val>
          <c:smooth val="0"/>
          <c:extLst>
            <c:ext xmlns:c16="http://schemas.microsoft.com/office/drawing/2014/chart" uri="{C3380CC4-5D6E-409C-BE32-E72D297353CC}">
              <c16:uniqueId val="{00000005-B5E6-4361-9D22-F873C8A9CE8A}"/>
            </c:ext>
          </c:extLst>
        </c:ser>
        <c:dLbls>
          <c:showLegendKey val="0"/>
          <c:showVal val="0"/>
          <c:showCatName val="0"/>
          <c:showSerName val="0"/>
          <c:showPercent val="0"/>
          <c:showBubbleSize val="0"/>
        </c:dLbls>
        <c:smooth val="0"/>
        <c:axId val="726966679"/>
        <c:axId val="881077624"/>
      </c:lineChart>
      <c:dateAx>
        <c:axId val="72696667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1077624"/>
        <c:crosses val="autoZero"/>
        <c:auto val="1"/>
        <c:lblOffset val="100"/>
        <c:baseTimeUnit val="days"/>
      </c:dateAx>
      <c:valAx>
        <c:axId val="881077624"/>
        <c:scaling>
          <c:orientation val="minMax"/>
          <c:min val="1.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726966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Charts!$A$1678</c:f>
              <c:strCache>
                <c:ptCount val="1"/>
                <c:pt idx="0">
                  <c:v>Fremont</c:v>
                </c:pt>
              </c:strCache>
            </c:strRef>
          </c:tx>
          <c:spPr>
            <a:ln w="28575" cap="rnd">
              <a:solidFill>
                <a:schemeClr val="accent1"/>
              </a:solidFill>
              <a:round/>
            </a:ln>
            <a:effectLst/>
          </c:spPr>
          <c:marker>
            <c:symbol val="none"/>
          </c:marker>
          <c:cat>
            <c:strRef>
              <c:f>Charts!$B$1677:$J$1677</c:f>
              <c:strCache>
                <c:ptCount val="9"/>
                <c:pt idx="0">
                  <c:v>2,016</c:v>
                </c:pt>
                <c:pt idx="1">
                  <c:v>2,017</c:v>
                </c:pt>
                <c:pt idx="2">
                  <c:v>2,018</c:v>
                </c:pt>
                <c:pt idx="3">
                  <c:v>2,019</c:v>
                </c:pt>
                <c:pt idx="4">
                  <c:v>2020</c:v>
                </c:pt>
                <c:pt idx="5">
                  <c:v>2021</c:v>
                </c:pt>
                <c:pt idx="6">
                  <c:v>2022</c:v>
                </c:pt>
                <c:pt idx="7">
                  <c:v>2023E</c:v>
                </c:pt>
                <c:pt idx="8">
                  <c:v>2024E</c:v>
                </c:pt>
              </c:strCache>
            </c:strRef>
          </c:cat>
          <c:val>
            <c:numRef>
              <c:f>Charts!$B$1678:$J$1678</c:f>
              <c:numCache>
                <c:formatCode>#,##0_);[Red]\(#,##0\)</c:formatCode>
                <c:ptCount val="9"/>
                <c:pt idx="0">
                  <c:v>76285</c:v>
                </c:pt>
                <c:pt idx="1">
                  <c:v>103181</c:v>
                </c:pt>
                <c:pt idx="2">
                  <c:v>245240</c:v>
                </c:pt>
                <c:pt idx="3">
                  <c:v>367656</c:v>
                </c:pt>
                <c:pt idx="4" formatCode="General">
                  <c:v>356554</c:v>
                </c:pt>
                <c:pt idx="5" formatCode="General">
                  <c:v>452042</c:v>
                </c:pt>
                <c:pt idx="6" formatCode="General">
                  <c:v>503568.37575569644</c:v>
                </c:pt>
                <c:pt idx="7" formatCode="General">
                  <c:v>528104.08426768088</c:v>
                </c:pt>
                <c:pt idx="8" formatCode="General">
                  <c:v>609838.03399842978</c:v>
                </c:pt>
              </c:numCache>
            </c:numRef>
          </c:val>
          <c:smooth val="0"/>
          <c:extLst>
            <c:ext xmlns:c16="http://schemas.microsoft.com/office/drawing/2014/chart" uri="{C3380CC4-5D6E-409C-BE32-E72D297353CC}">
              <c16:uniqueId val="{00000001-BE6E-48CE-80A1-5D60B19999C5}"/>
            </c:ext>
          </c:extLst>
        </c:ser>
        <c:ser>
          <c:idx val="1"/>
          <c:order val="1"/>
          <c:tx>
            <c:strRef>
              <c:f>Charts!$A$1679</c:f>
              <c:strCache>
                <c:ptCount val="1"/>
                <c:pt idx="0">
                  <c:v>Shanghai, 3</c:v>
                </c:pt>
              </c:strCache>
            </c:strRef>
          </c:tx>
          <c:spPr>
            <a:ln w="28575" cap="rnd">
              <a:solidFill>
                <a:schemeClr val="accent2"/>
              </a:solidFill>
              <a:round/>
            </a:ln>
            <a:effectLst/>
          </c:spPr>
          <c:marker>
            <c:symbol val="none"/>
          </c:marker>
          <c:cat>
            <c:strRef>
              <c:f>Charts!$B$1677:$J$1677</c:f>
              <c:strCache>
                <c:ptCount val="9"/>
                <c:pt idx="0">
                  <c:v>2,016</c:v>
                </c:pt>
                <c:pt idx="1">
                  <c:v>2,017</c:v>
                </c:pt>
                <c:pt idx="2">
                  <c:v>2,018</c:v>
                </c:pt>
                <c:pt idx="3">
                  <c:v>2,019</c:v>
                </c:pt>
                <c:pt idx="4">
                  <c:v>2020</c:v>
                </c:pt>
                <c:pt idx="5">
                  <c:v>2021</c:v>
                </c:pt>
                <c:pt idx="6">
                  <c:v>2022</c:v>
                </c:pt>
                <c:pt idx="7">
                  <c:v>2023E</c:v>
                </c:pt>
                <c:pt idx="8">
                  <c:v>2024E</c:v>
                </c:pt>
              </c:strCache>
            </c:strRef>
          </c:cat>
          <c:val>
            <c:numRef>
              <c:f>Charts!$B$1679:$J$1679</c:f>
              <c:numCache>
                <c:formatCode>#,##0_);[Red]\(#,##0\)</c:formatCode>
                <c:ptCount val="9"/>
                <c:pt idx="0">
                  <c:v>0</c:v>
                </c:pt>
                <c:pt idx="1">
                  <c:v>0</c:v>
                </c:pt>
                <c:pt idx="2">
                  <c:v>0</c:v>
                </c:pt>
                <c:pt idx="3">
                  <c:v>0</c:v>
                </c:pt>
                <c:pt idx="4" formatCode="General">
                  <c:v>146138</c:v>
                </c:pt>
                <c:pt idx="5" formatCode="General">
                  <c:v>484130</c:v>
                </c:pt>
                <c:pt idx="6" formatCode="General">
                  <c:v>653670.4877597983</c:v>
                </c:pt>
                <c:pt idx="7" formatCode="General">
                  <c:v>722193.61951135856</c:v>
                </c:pt>
                <c:pt idx="8" formatCode="General">
                  <c:v>797480.50599794672</c:v>
                </c:pt>
              </c:numCache>
            </c:numRef>
          </c:val>
          <c:smooth val="0"/>
          <c:extLst>
            <c:ext xmlns:c16="http://schemas.microsoft.com/office/drawing/2014/chart" uri="{C3380CC4-5D6E-409C-BE32-E72D297353CC}">
              <c16:uniqueId val="{00000003-BE6E-48CE-80A1-5D60B19999C5}"/>
            </c:ext>
          </c:extLst>
        </c:ser>
        <c:ser>
          <c:idx val="2"/>
          <c:order val="2"/>
          <c:tx>
            <c:strRef>
              <c:f>Charts!$A$1680</c:f>
              <c:strCache>
                <c:ptCount val="1"/>
                <c:pt idx="0">
                  <c:v>Berlin, 4</c:v>
                </c:pt>
              </c:strCache>
            </c:strRef>
          </c:tx>
          <c:spPr>
            <a:ln w="28575" cap="rnd">
              <a:solidFill>
                <a:schemeClr val="accent3"/>
              </a:solidFill>
              <a:round/>
            </a:ln>
            <a:effectLst/>
          </c:spPr>
          <c:marker>
            <c:symbol val="none"/>
          </c:marker>
          <c:cat>
            <c:strRef>
              <c:f>Charts!$B$1677:$J$1677</c:f>
              <c:strCache>
                <c:ptCount val="9"/>
                <c:pt idx="0">
                  <c:v>2,016</c:v>
                </c:pt>
                <c:pt idx="1">
                  <c:v>2,017</c:v>
                </c:pt>
                <c:pt idx="2">
                  <c:v>2,018</c:v>
                </c:pt>
                <c:pt idx="3">
                  <c:v>2,019</c:v>
                </c:pt>
                <c:pt idx="4">
                  <c:v>2020</c:v>
                </c:pt>
                <c:pt idx="5">
                  <c:v>2021</c:v>
                </c:pt>
                <c:pt idx="6">
                  <c:v>2022</c:v>
                </c:pt>
                <c:pt idx="7">
                  <c:v>2023E</c:v>
                </c:pt>
                <c:pt idx="8">
                  <c:v>2024E</c:v>
                </c:pt>
              </c:strCache>
            </c:strRef>
          </c:cat>
          <c:val>
            <c:numRef>
              <c:f>Charts!$B$1680:$J$1680</c:f>
              <c:numCache>
                <c:formatCode>General</c:formatCode>
                <c:ptCount val="9"/>
                <c:pt idx="0">
                  <c:v>0</c:v>
                </c:pt>
                <c:pt idx="1">
                  <c:v>0</c:v>
                </c:pt>
                <c:pt idx="2">
                  <c:v>0</c:v>
                </c:pt>
                <c:pt idx="3">
                  <c:v>0</c:v>
                </c:pt>
                <c:pt idx="4">
                  <c:v>0</c:v>
                </c:pt>
                <c:pt idx="5">
                  <c:v>0</c:v>
                </c:pt>
                <c:pt idx="6">
                  <c:v>67788.050582497599</c:v>
                </c:pt>
                <c:pt idx="7">
                  <c:v>168511.84455265035</c:v>
                </c:pt>
                <c:pt idx="8">
                  <c:v>316177.5653191859</c:v>
                </c:pt>
              </c:numCache>
            </c:numRef>
          </c:val>
          <c:smooth val="0"/>
          <c:extLst>
            <c:ext xmlns:c16="http://schemas.microsoft.com/office/drawing/2014/chart" uri="{C3380CC4-5D6E-409C-BE32-E72D297353CC}">
              <c16:uniqueId val="{00000005-BE6E-48CE-80A1-5D60B19999C5}"/>
            </c:ext>
          </c:extLst>
        </c:ser>
        <c:ser>
          <c:idx val="3"/>
          <c:order val="3"/>
          <c:tx>
            <c:strRef>
              <c:f>Charts!$A$1681</c:f>
              <c:strCache>
                <c:ptCount val="1"/>
                <c:pt idx="0">
                  <c:v>Austin, Texas, 5</c:v>
                </c:pt>
              </c:strCache>
            </c:strRef>
          </c:tx>
          <c:spPr>
            <a:ln w="28575" cap="rnd">
              <a:solidFill>
                <a:schemeClr val="accent4"/>
              </a:solidFill>
              <a:round/>
            </a:ln>
            <a:effectLst/>
          </c:spPr>
          <c:marker>
            <c:symbol val="none"/>
          </c:marker>
          <c:cat>
            <c:strRef>
              <c:f>Charts!$B$1677:$J$1677</c:f>
              <c:strCache>
                <c:ptCount val="9"/>
                <c:pt idx="0">
                  <c:v>2,016</c:v>
                </c:pt>
                <c:pt idx="1">
                  <c:v>2,017</c:v>
                </c:pt>
                <c:pt idx="2">
                  <c:v>2,018</c:v>
                </c:pt>
                <c:pt idx="3">
                  <c:v>2,019</c:v>
                </c:pt>
                <c:pt idx="4">
                  <c:v>2020</c:v>
                </c:pt>
                <c:pt idx="5">
                  <c:v>2021</c:v>
                </c:pt>
                <c:pt idx="6">
                  <c:v>2022</c:v>
                </c:pt>
                <c:pt idx="7">
                  <c:v>2023E</c:v>
                </c:pt>
                <c:pt idx="8">
                  <c:v>2024E</c:v>
                </c:pt>
              </c:strCache>
            </c:strRef>
          </c:cat>
          <c:val>
            <c:numRef>
              <c:f>Charts!$B$1681:$J$1681</c:f>
              <c:numCache>
                <c:formatCode>General</c:formatCode>
                <c:ptCount val="9"/>
                <c:pt idx="0">
                  <c:v>0</c:v>
                </c:pt>
                <c:pt idx="1">
                  <c:v>0</c:v>
                </c:pt>
                <c:pt idx="2">
                  <c:v>0</c:v>
                </c:pt>
                <c:pt idx="3">
                  <c:v>0</c:v>
                </c:pt>
                <c:pt idx="4">
                  <c:v>0</c:v>
                </c:pt>
                <c:pt idx="5">
                  <c:v>0</c:v>
                </c:pt>
                <c:pt idx="6">
                  <c:v>67788.050582497599</c:v>
                </c:pt>
                <c:pt idx="7">
                  <c:v>202816.04147943985</c:v>
                </c:pt>
                <c:pt idx="8">
                  <c:v>223607.2791327576</c:v>
                </c:pt>
              </c:numCache>
            </c:numRef>
          </c:val>
          <c:smooth val="0"/>
          <c:extLst>
            <c:ext xmlns:c16="http://schemas.microsoft.com/office/drawing/2014/chart" uri="{C3380CC4-5D6E-409C-BE32-E72D297353CC}">
              <c16:uniqueId val="{00000007-BE6E-48CE-80A1-5D60B19999C5}"/>
            </c:ext>
          </c:extLst>
        </c:ser>
        <c:dLbls>
          <c:showLegendKey val="0"/>
          <c:showVal val="0"/>
          <c:showCatName val="0"/>
          <c:showSerName val="0"/>
          <c:showPercent val="0"/>
          <c:showBubbleSize val="0"/>
        </c:dLbls>
        <c:smooth val="0"/>
        <c:axId val="1499835528"/>
        <c:axId val="1383369768"/>
      </c:lineChart>
      <c:catAx>
        <c:axId val="1499835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3369768"/>
        <c:crosses val="autoZero"/>
        <c:auto val="1"/>
        <c:lblAlgn val="ctr"/>
        <c:lblOffset val="100"/>
        <c:noMultiLvlLbl val="0"/>
      </c:catAx>
      <c:valAx>
        <c:axId val="1383369768"/>
        <c:scaling>
          <c:orientation val="minMax"/>
        </c:scaling>
        <c:delete val="0"/>
        <c:axPos val="l"/>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99835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Charts!$B$1704</c:f>
              <c:strCache>
                <c:ptCount val="1"/>
                <c:pt idx="0">
                  <c:v>中国:富宝价格指数:电解液</c:v>
                </c:pt>
              </c:strCache>
            </c:strRef>
          </c:tx>
          <c:spPr>
            <a:ln w="28575" cap="rnd">
              <a:solidFill>
                <a:schemeClr val="accent1"/>
              </a:solidFill>
              <a:round/>
            </a:ln>
            <a:effectLst/>
          </c:spPr>
          <c:marker>
            <c:symbol val="none"/>
          </c:marker>
          <c:cat>
            <c:strRef>
              <c:f>Charts!$A$1705:$A$2102</c:f>
              <c:strCache>
                <c:ptCount val="391"/>
                <c:pt idx="0">
                  <c:v>2021/9/1</c:v>
                </c:pt>
                <c:pt idx="1">
                  <c:v>2021/9/2</c:v>
                </c:pt>
                <c:pt idx="2">
                  <c:v>2021/9/3</c:v>
                </c:pt>
                <c:pt idx="3">
                  <c:v>2021/9/6</c:v>
                </c:pt>
                <c:pt idx="4">
                  <c:v>2021/9/7</c:v>
                </c:pt>
                <c:pt idx="5">
                  <c:v>2021/9/8</c:v>
                </c:pt>
                <c:pt idx="6">
                  <c:v>2021/9/9</c:v>
                </c:pt>
                <c:pt idx="7">
                  <c:v>2021/9/10</c:v>
                </c:pt>
                <c:pt idx="8">
                  <c:v>2021/9/13</c:v>
                </c:pt>
                <c:pt idx="9">
                  <c:v>2021/9/14</c:v>
                </c:pt>
                <c:pt idx="10">
                  <c:v>2021/9/15</c:v>
                </c:pt>
                <c:pt idx="11">
                  <c:v>2021/9/16</c:v>
                </c:pt>
                <c:pt idx="12">
                  <c:v>2021/9/17</c:v>
                </c:pt>
                <c:pt idx="13">
                  <c:v>2021/9/22</c:v>
                </c:pt>
                <c:pt idx="14">
                  <c:v>2021/9/23</c:v>
                </c:pt>
                <c:pt idx="15">
                  <c:v>2021/9/24</c:v>
                </c:pt>
                <c:pt idx="16">
                  <c:v>2021/9/27</c:v>
                </c:pt>
                <c:pt idx="17">
                  <c:v>2021/9/28</c:v>
                </c:pt>
                <c:pt idx="18">
                  <c:v>2021/9/29</c:v>
                </c:pt>
                <c:pt idx="19">
                  <c:v>2021/9/30</c:v>
                </c:pt>
                <c:pt idx="20">
                  <c:v>2021/10/8</c:v>
                </c:pt>
                <c:pt idx="21">
                  <c:v>2021/10/11</c:v>
                </c:pt>
                <c:pt idx="22">
                  <c:v>2021/10/12</c:v>
                </c:pt>
                <c:pt idx="23">
                  <c:v>2021/10/13</c:v>
                </c:pt>
                <c:pt idx="24">
                  <c:v>2021/10/14</c:v>
                </c:pt>
                <c:pt idx="25">
                  <c:v>2021/10/15</c:v>
                </c:pt>
                <c:pt idx="26">
                  <c:v>2021/10/18</c:v>
                </c:pt>
                <c:pt idx="27">
                  <c:v>2021/10/19</c:v>
                </c:pt>
                <c:pt idx="28">
                  <c:v>2021/10/20</c:v>
                </c:pt>
                <c:pt idx="29">
                  <c:v>2021/10/21</c:v>
                </c:pt>
                <c:pt idx="30">
                  <c:v>2021/10/22</c:v>
                </c:pt>
                <c:pt idx="31">
                  <c:v>2021/10/25</c:v>
                </c:pt>
                <c:pt idx="32">
                  <c:v>2021/10/26</c:v>
                </c:pt>
                <c:pt idx="33">
                  <c:v>2021/10/27</c:v>
                </c:pt>
                <c:pt idx="34">
                  <c:v>2021/10/28</c:v>
                </c:pt>
                <c:pt idx="35">
                  <c:v>2021/10/29</c:v>
                </c:pt>
                <c:pt idx="36">
                  <c:v>2021/11/1</c:v>
                </c:pt>
                <c:pt idx="37">
                  <c:v>2021/11/2</c:v>
                </c:pt>
                <c:pt idx="38">
                  <c:v>2021/11/3</c:v>
                </c:pt>
                <c:pt idx="39">
                  <c:v>2021/11/4</c:v>
                </c:pt>
                <c:pt idx="40">
                  <c:v>2021/11/5</c:v>
                </c:pt>
                <c:pt idx="41">
                  <c:v>2021/11/8</c:v>
                </c:pt>
                <c:pt idx="42">
                  <c:v>2021/11/9</c:v>
                </c:pt>
                <c:pt idx="43">
                  <c:v>2021/11/10</c:v>
                </c:pt>
                <c:pt idx="44">
                  <c:v>2021/11/11</c:v>
                </c:pt>
                <c:pt idx="45">
                  <c:v>2021/11/12</c:v>
                </c:pt>
                <c:pt idx="46">
                  <c:v>2021/11/15</c:v>
                </c:pt>
                <c:pt idx="47">
                  <c:v>2021/11/16</c:v>
                </c:pt>
                <c:pt idx="48">
                  <c:v>2021/11/17</c:v>
                </c:pt>
                <c:pt idx="49">
                  <c:v>2021/11/18</c:v>
                </c:pt>
                <c:pt idx="50">
                  <c:v>2021/11/19</c:v>
                </c:pt>
                <c:pt idx="51">
                  <c:v>2021/11/22</c:v>
                </c:pt>
                <c:pt idx="52">
                  <c:v>2021/11/23</c:v>
                </c:pt>
                <c:pt idx="53">
                  <c:v>2021/11/24</c:v>
                </c:pt>
                <c:pt idx="54">
                  <c:v>2021/11/25</c:v>
                </c:pt>
                <c:pt idx="55">
                  <c:v>2021/11/26</c:v>
                </c:pt>
                <c:pt idx="56">
                  <c:v>2021/11/29</c:v>
                </c:pt>
                <c:pt idx="57">
                  <c:v>2021/11/30</c:v>
                </c:pt>
                <c:pt idx="58">
                  <c:v>2021/12/1</c:v>
                </c:pt>
                <c:pt idx="59">
                  <c:v>2021/12/2</c:v>
                </c:pt>
                <c:pt idx="60">
                  <c:v>2021/12/3</c:v>
                </c:pt>
                <c:pt idx="61">
                  <c:v>2021/12/6</c:v>
                </c:pt>
                <c:pt idx="62">
                  <c:v>2021/12/7</c:v>
                </c:pt>
                <c:pt idx="63">
                  <c:v>2021/12/8</c:v>
                </c:pt>
                <c:pt idx="64">
                  <c:v>2021/12/9</c:v>
                </c:pt>
                <c:pt idx="65">
                  <c:v>2021/12/10</c:v>
                </c:pt>
                <c:pt idx="66">
                  <c:v>2021/12/13</c:v>
                </c:pt>
                <c:pt idx="67">
                  <c:v>2021/12/14</c:v>
                </c:pt>
                <c:pt idx="68">
                  <c:v>2021/12/15</c:v>
                </c:pt>
                <c:pt idx="69">
                  <c:v>2021/12/16</c:v>
                </c:pt>
                <c:pt idx="70">
                  <c:v>2021/12/17</c:v>
                </c:pt>
                <c:pt idx="71">
                  <c:v>2021/12/20</c:v>
                </c:pt>
                <c:pt idx="72">
                  <c:v>2021/12/21</c:v>
                </c:pt>
                <c:pt idx="73">
                  <c:v>2021/12/22</c:v>
                </c:pt>
                <c:pt idx="74">
                  <c:v>2021/12/23</c:v>
                </c:pt>
                <c:pt idx="75">
                  <c:v>2021/12/24</c:v>
                </c:pt>
                <c:pt idx="76">
                  <c:v>2021/12/27</c:v>
                </c:pt>
                <c:pt idx="77">
                  <c:v>2021/12/28</c:v>
                </c:pt>
                <c:pt idx="78">
                  <c:v>2021/12/29</c:v>
                </c:pt>
                <c:pt idx="79">
                  <c:v>2021/12/30</c:v>
                </c:pt>
                <c:pt idx="80">
                  <c:v>2021/12/31</c:v>
                </c:pt>
                <c:pt idx="81">
                  <c:v>2022/1/4</c:v>
                </c:pt>
                <c:pt idx="82">
                  <c:v>2022/1/5</c:v>
                </c:pt>
                <c:pt idx="83">
                  <c:v>2022/1/6</c:v>
                </c:pt>
                <c:pt idx="84">
                  <c:v>2022/1/7</c:v>
                </c:pt>
                <c:pt idx="85">
                  <c:v>2022/1/10</c:v>
                </c:pt>
                <c:pt idx="86">
                  <c:v>2022/1/11</c:v>
                </c:pt>
                <c:pt idx="87">
                  <c:v>2022/1/12</c:v>
                </c:pt>
                <c:pt idx="88">
                  <c:v>2022/1/13</c:v>
                </c:pt>
                <c:pt idx="89">
                  <c:v>2022/1/14</c:v>
                </c:pt>
                <c:pt idx="90">
                  <c:v>2022/1/17</c:v>
                </c:pt>
                <c:pt idx="91">
                  <c:v>2022/1/18</c:v>
                </c:pt>
                <c:pt idx="92">
                  <c:v>2022/1/19</c:v>
                </c:pt>
                <c:pt idx="93">
                  <c:v>2022/1/20</c:v>
                </c:pt>
                <c:pt idx="94">
                  <c:v>2022/1/21</c:v>
                </c:pt>
                <c:pt idx="95">
                  <c:v>2022/1/24</c:v>
                </c:pt>
                <c:pt idx="96">
                  <c:v>2022/1/25</c:v>
                </c:pt>
                <c:pt idx="97">
                  <c:v>2022/1/26</c:v>
                </c:pt>
                <c:pt idx="98">
                  <c:v>2022/1/27</c:v>
                </c:pt>
                <c:pt idx="99">
                  <c:v>2022/1/28</c:v>
                </c:pt>
                <c:pt idx="100">
                  <c:v>2022/2/7</c:v>
                </c:pt>
                <c:pt idx="101">
                  <c:v>2022/2/8</c:v>
                </c:pt>
                <c:pt idx="102">
                  <c:v>2022/2/9</c:v>
                </c:pt>
                <c:pt idx="103">
                  <c:v>2022/2/10</c:v>
                </c:pt>
                <c:pt idx="104">
                  <c:v>2022/2/11</c:v>
                </c:pt>
                <c:pt idx="105">
                  <c:v>2022/2/14</c:v>
                </c:pt>
                <c:pt idx="106">
                  <c:v>2022/2/15</c:v>
                </c:pt>
                <c:pt idx="107">
                  <c:v>2022/2/16</c:v>
                </c:pt>
                <c:pt idx="108">
                  <c:v>2022/2/17</c:v>
                </c:pt>
                <c:pt idx="109">
                  <c:v>2022/2/18</c:v>
                </c:pt>
                <c:pt idx="110">
                  <c:v>2022/2/21</c:v>
                </c:pt>
                <c:pt idx="111">
                  <c:v>2022/2/22</c:v>
                </c:pt>
                <c:pt idx="112">
                  <c:v>2022/2/23</c:v>
                </c:pt>
                <c:pt idx="113">
                  <c:v>2022/2/24</c:v>
                </c:pt>
                <c:pt idx="114">
                  <c:v>2022/2/25</c:v>
                </c:pt>
                <c:pt idx="115">
                  <c:v>2022/2/28</c:v>
                </c:pt>
                <c:pt idx="116">
                  <c:v>2022/3/1</c:v>
                </c:pt>
                <c:pt idx="117">
                  <c:v>2022/3/2</c:v>
                </c:pt>
                <c:pt idx="118">
                  <c:v>2022/3/3</c:v>
                </c:pt>
                <c:pt idx="119">
                  <c:v>2022/3/4</c:v>
                </c:pt>
                <c:pt idx="120">
                  <c:v>2022/3/7</c:v>
                </c:pt>
                <c:pt idx="121">
                  <c:v>2022/3/8</c:v>
                </c:pt>
                <c:pt idx="122">
                  <c:v>2022/3/9</c:v>
                </c:pt>
                <c:pt idx="123">
                  <c:v>2022/3/10</c:v>
                </c:pt>
                <c:pt idx="124">
                  <c:v>2022/3/11</c:v>
                </c:pt>
                <c:pt idx="125">
                  <c:v>2022/3/14</c:v>
                </c:pt>
                <c:pt idx="126">
                  <c:v>2022/3/15</c:v>
                </c:pt>
                <c:pt idx="127">
                  <c:v>2022/3/16</c:v>
                </c:pt>
                <c:pt idx="128">
                  <c:v>2022/3/17</c:v>
                </c:pt>
                <c:pt idx="129">
                  <c:v>2022/3/18</c:v>
                </c:pt>
                <c:pt idx="130">
                  <c:v>2022/3/21</c:v>
                </c:pt>
                <c:pt idx="131">
                  <c:v>2022/3/22</c:v>
                </c:pt>
                <c:pt idx="132">
                  <c:v>2022/3/23</c:v>
                </c:pt>
                <c:pt idx="133">
                  <c:v>2022/3/24</c:v>
                </c:pt>
                <c:pt idx="134">
                  <c:v>2022/3/25</c:v>
                </c:pt>
                <c:pt idx="135">
                  <c:v>2022/3/28</c:v>
                </c:pt>
                <c:pt idx="136">
                  <c:v>2022/3/29</c:v>
                </c:pt>
                <c:pt idx="137">
                  <c:v>2022/3/30</c:v>
                </c:pt>
                <c:pt idx="138">
                  <c:v>2022/3/31</c:v>
                </c:pt>
                <c:pt idx="139">
                  <c:v>2022/4/1</c:v>
                </c:pt>
                <c:pt idx="140">
                  <c:v>2022/4/6</c:v>
                </c:pt>
                <c:pt idx="141">
                  <c:v>2022/4/7</c:v>
                </c:pt>
                <c:pt idx="142">
                  <c:v>2022/4/8</c:v>
                </c:pt>
                <c:pt idx="143">
                  <c:v>2022/4/11</c:v>
                </c:pt>
                <c:pt idx="144">
                  <c:v>2022/4/12</c:v>
                </c:pt>
                <c:pt idx="145">
                  <c:v>2022/4/13</c:v>
                </c:pt>
                <c:pt idx="146">
                  <c:v>2022/4/14</c:v>
                </c:pt>
                <c:pt idx="147">
                  <c:v>2022/4/15</c:v>
                </c:pt>
                <c:pt idx="148">
                  <c:v>2022/4/18</c:v>
                </c:pt>
                <c:pt idx="149">
                  <c:v>2022/4/19</c:v>
                </c:pt>
                <c:pt idx="150">
                  <c:v>2022/4/20</c:v>
                </c:pt>
                <c:pt idx="151">
                  <c:v>2022/4/21</c:v>
                </c:pt>
                <c:pt idx="152">
                  <c:v>2022/4/22</c:v>
                </c:pt>
                <c:pt idx="153">
                  <c:v>2022/4/25</c:v>
                </c:pt>
                <c:pt idx="154">
                  <c:v>2022/4/26</c:v>
                </c:pt>
                <c:pt idx="155">
                  <c:v>2022/4/27</c:v>
                </c:pt>
                <c:pt idx="156">
                  <c:v>2022/4/28</c:v>
                </c:pt>
                <c:pt idx="157">
                  <c:v>2022/4/29</c:v>
                </c:pt>
                <c:pt idx="158">
                  <c:v>2022/5/5</c:v>
                </c:pt>
                <c:pt idx="159">
                  <c:v>2022/5/6</c:v>
                </c:pt>
                <c:pt idx="160">
                  <c:v>2022/5/9</c:v>
                </c:pt>
                <c:pt idx="161">
                  <c:v>2022/5/10</c:v>
                </c:pt>
                <c:pt idx="162">
                  <c:v>2022/5/11</c:v>
                </c:pt>
                <c:pt idx="163">
                  <c:v>2022/5/12</c:v>
                </c:pt>
                <c:pt idx="164">
                  <c:v>2022/5/13</c:v>
                </c:pt>
                <c:pt idx="165">
                  <c:v>2022/5/16</c:v>
                </c:pt>
                <c:pt idx="166">
                  <c:v>2022/5/17</c:v>
                </c:pt>
                <c:pt idx="167">
                  <c:v>2022/5/18</c:v>
                </c:pt>
                <c:pt idx="168">
                  <c:v>2022/5/19</c:v>
                </c:pt>
                <c:pt idx="169">
                  <c:v>2022/5/20</c:v>
                </c:pt>
                <c:pt idx="170">
                  <c:v>2022/5/23</c:v>
                </c:pt>
                <c:pt idx="171">
                  <c:v>2022/5/24</c:v>
                </c:pt>
                <c:pt idx="172">
                  <c:v>2022/5/25</c:v>
                </c:pt>
                <c:pt idx="173">
                  <c:v>2022/5/26</c:v>
                </c:pt>
                <c:pt idx="174">
                  <c:v>2022/5/27</c:v>
                </c:pt>
                <c:pt idx="175">
                  <c:v>2022/5/30</c:v>
                </c:pt>
                <c:pt idx="176">
                  <c:v>2022/5/31</c:v>
                </c:pt>
                <c:pt idx="177">
                  <c:v>2022/6/1</c:v>
                </c:pt>
                <c:pt idx="178">
                  <c:v>2022/6/2</c:v>
                </c:pt>
                <c:pt idx="179">
                  <c:v>2022/6/6</c:v>
                </c:pt>
                <c:pt idx="180">
                  <c:v>2022/6/7</c:v>
                </c:pt>
                <c:pt idx="181">
                  <c:v>2022/6/8</c:v>
                </c:pt>
                <c:pt idx="182">
                  <c:v>2022/6/9</c:v>
                </c:pt>
                <c:pt idx="183">
                  <c:v>2022/6/10</c:v>
                </c:pt>
                <c:pt idx="184">
                  <c:v>2022/6/13</c:v>
                </c:pt>
                <c:pt idx="185">
                  <c:v>2022/6/14</c:v>
                </c:pt>
                <c:pt idx="186">
                  <c:v>2022/6/15</c:v>
                </c:pt>
                <c:pt idx="187">
                  <c:v>2022/6/16</c:v>
                </c:pt>
                <c:pt idx="188">
                  <c:v>2022/6/17</c:v>
                </c:pt>
                <c:pt idx="189">
                  <c:v>2022/6/20</c:v>
                </c:pt>
                <c:pt idx="190">
                  <c:v>2022/6/21</c:v>
                </c:pt>
                <c:pt idx="191">
                  <c:v>2022/6/22</c:v>
                </c:pt>
                <c:pt idx="192">
                  <c:v>2022/6/23</c:v>
                </c:pt>
                <c:pt idx="193">
                  <c:v>2022/6/24</c:v>
                </c:pt>
                <c:pt idx="194">
                  <c:v>2022/6/27</c:v>
                </c:pt>
                <c:pt idx="195">
                  <c:v>2022/6/28</c:v>
                </c:pt>
                <c:pt idx="196">
                  <c:v>2022/6/29</c:v>
                </c:pt>
                <c:pt idx="197">
                  <c:v>2022/6/30</c:v>
                </c:pt>
                <c:pt idx="198">
                  <c:v>2022/7/1</c:v>
                </c:pt>
                <c:pt idx="199">
                  <c:v>2022/7/4</c:v>
                </c:pt>
                <c:pt idx="200">
                  <c:v>2022/7/5</c:v>
                </c:pt>
                <c:pt idx="201">
                  <c:v>2022/7/6</c:v>
                </c:pt>
                <c:pt idx="202">
                  <c:v>2022/7/7</c:v>
                </c:pt>
                <c:pt idx="203">
                  <c:v>2022/7/8</c:v>
                </c:pt>
                <c:pt idx="204">
                  <c:v>2022/7/11</c:v>
                </c:pt>
                <c:pt idx="205">
                  <c:v>2022/7/12</c:v>
                </c:pt>
                <c:pt idx="206">
                  <c:v>2022/7/13</c:v>
                </c:pt>
                <c:pt idx="207">
                  <c:v>2022/7/14</c:v>
                </c:pt>
                <c:pt idx="208">
                  <c:v>2022/7/15</c:v>
                </c:pt>
                <c:pt idx="209">
                  <c:v>2022/7/18</c:v>
                </c:pt>
                <c:pt idx="210">
                  <c:v>2022/7/19</c:v>
                </c:pt>
                <c:pt idx="211">
                  <c:v>2022/7/20</c:v>
                </c:pt>
                <c:pt idx="212">
                  <c:v>2022/7/21</c:v>
                </c:pt>
                <c:pt idx="213">
                  <c:v>2022/7/22</c:v>
                </c:pt>
                <c:pt idx="214">
                  <c:v>2022/7/25</c:v>
                </c:pt>
                <c:pt idx="215">
                  <c:v>2022/7/26</c:v>
                </c:pt>
                <c:pt idx="216">
                  <c:v>2022/7/27</c:v>
                </c:pt>
                <c:pt idx="217">
                  <c:v>2022/7/28</c:v>
                </c:pt>
                <c:pt idx="218">
                  <c:v>2022/7/29</c:v>
                </c:pt>
                <c:pt idx="219">
                  <c:v>2022/8/1</c:v>
                </c:pt>
                <c:pt idx="220">
                  <c:v>2022/8/2</c:v>
                </c:pt>
                <c:pt idx="221">
                  <c:v>2022/8/3</c:v>
                </c:pt>
                <c:pt idx="222">
                  <c:v>2022/8/4</c:v>
                </c:pt>
                <c:pt idx="223">
                  <c:v>2022/8/5</c:v>
                </c:pt>
                <c:pt idx="224">
                  <c:v>2022/8/8</c:v>
                </c:pt>
                <c:pt idx="225">
                  <c:v>2022/8/9</c:v>
                </c:pt>
                <c:pt idx="226">
                  <c:v>2022/8/10</c:v>
                </c:pt>
                <c:pt idx="227">
                  <c:v>2022/8/11</c:v>
                </c:pt>
                <c:pt idx="228">
                  <c:v>2022/8/12</c:v>
                </c:pt>
                <c:pt idx="229">
                  <c:v>2022/8/15</c:v>
                </c:pt>
                <c:pt idx="230">
                  <c:v>2022/8/16</c:v>
                </c:pt>
                <c:pt idx="231">
                  <c:v>2022/8/17</c:v>
                </c:pt>
                <c:pt idx="232">
                  <c:v>2022/8/18</c:v>
                </c:pt>
                <c:pt idx="233">
                  <c:v>2022/8/19</c:v>
                </c:pt>
                <c:pt idx="234">
                  <c:v>2022/8/22</c:v>
                </c:pt>
                <c:pt idx="235">
                  <c:v>2022/8/23</c:v>
                </c:pt>
                <c:pt idx="236">
                  <c:v>2022/8/24</c:v>
                </c:pt>
                <c:pt idx="237">
                  <c:v>2022/8/25</c:v>
                </c:pt>
                <c:pt idx="238">
                  <c:v>2022/8/26</c:v>
                </c:pt>
                <c:pt idx="239">
                  <c:v>2022/8/29</c:v>
                </c:pt>
                <c:pt idx="240">
                  <c:v>2022/8/30</c:v>
                </c:pt>
                <c:pt idx="241">
                  <c:v>2022/8/31</c:v>
                </c:pt>
                <c:pt idx="242">
                  <c:v>2022/9/1</c:v>
                </c:pt>
                <c:pt idx="243">
                  <c:v>2022/9/2</c:v>
                </c:pt>
                <c:pt idx="244">
                  <c:v>2022/9/5</c:v>
                </c:pt>
                <c:pt idx="245">
                  <c:v>2022/9/6</c:v>
                </c:pt>
                <c:pt idx="246">
                  <c:v>2022/9/7</c:v>
                </c:pt>
                <c:pt idx="247">
                  <c:v>2022/9/8</c:v>
                </c:pt>
                <c:pt idx="248">
                  <c:v>2022/9/9</c:v>
                </c:pt>
                <c:pt idx="249">
                  <c:v>2022/9/13</c:v>
                </c:pt>
                <c:pt idx="250">
                  <c:v>2022/9/14</c:v>
                </c:pt>
                <c:pt idx="251">
                  <c:v>2022/9/15</c:v>
                </c:pt>
                <c:pt idx="252">
                  <c:v>2022/9/16</c:v>
                </c:pt>
                <c:pt idx="253">
                  <c:v>2022/9/19</c:v>
                </c:pt>
                <c:pt idx="254">
                  <c:v>2022/9/20</c:v>
                </c:pt>
                <c:pt idx="255">
                  <c:v>2022/9/21</c:v>
                </c:pt>
                <c:pt idx="256">
                  <c:v>2022/9/22</c:v>
                </c:pt>
                <c:pt idx="257">
                  <c:v>2022/9/23</c:v>
                </c:pt>
                <c:pt idx="258">
                  <c:v>2022/9/26</c:v>
                </c:pt>
                <c:pt idx="259">
                  <c:v>2022/9/27</c:v>
                </c:pt>
                <c:pt idx="260">
                  <c:v>2022/9/28</c:v>
                </c:pt>
                <c:pt idx="261">
                  <c:v>2022/9/29</c:v>
                </c:pt>
                <c:pt idx="262">
                  <c:v>2022/9/30</c:v>
                </c:pt>
                <c:pt idx="263">
                  <c:v>2022/10/10</c:v>
                </c:pt>
                <c:pt idx="264">
                  <c:v>2022/10/11</c:v>
                </c:pt>
                <c:pt idx="265">
                  <c:v>2022/10/12</c:v>
                </c:pt>
                <c:pt idx="266">
                  <c:v>2022/10/13</c:v>
                </c:pt>
                <c:pt idx="267">
                  <c:v>2022/10/14</c:v>
                </c:pt>
                <c:pt idx="268">
                  <c:v>2022/10/17</c:v>
                </c:pt>
                <c:pt idx="269">
                  <c:v>2022/10/18</c:v>
                </c:pt>
                <c:pt idx="270">
                  <c:v>2022/10/19</c:v>
                </c:pt>
                <c:pt idx="271">
                  <c:v>2022/10/20</c:v>
                </c:pt>
                <c:pt idx="272">
                  <c:v>2022/10/21</c:v>
                </c:pt>
                <c:pt idx="273">
                  <c:v>2022/10/24</c:v>
                </c:pt>
                <c:pt idx="274">
                  <c:v>2022/10/25</c:v>
                </c:pt>
                <c:pt idx="275">
                  <c:v>2022/10/26</c:v>
                </c:pt>
                <c:pt idx="276">
                  <c:v>2022/10/27</c:v>
                </c:pt>
                <c:pt idx="277">
                  <c:v>2022/10/28</c:v>
                </c:pt>
                <c:pt idx="278">
                  <c:v>2022/10/31</c:v>
                </c:pt>
                <c:pt idx="279">
                  <c:v>2022/11/1</c:v>
                </c:pt>
                <c:pt idx="280">
                  <c:v>2022/11/2</c:v>
                </c:pt>
                <c:pt idx="281">
                  <c:v>2022/11/3</c:v>
                </c:pt>
                <c:pt idx="282">
                  <c:v>2022/11/4</c:v>
                </c:pt>
                <c:pt idx="283">
                  <c:v>2022/11/7</c:v>
                </c:pt>
                <c:pt idx="284">
                  <c:v>2022/11/8</c:v>
                </c:pt>
                <c:pt idx="285">
                  <c:v>2022/11/9</c:v>
                </c:pt>
                <c:pt idx="286">
                  <c:v>2022/11/10</c:v>
                </c:pt>
                <c:pt idx="287">
                  <c:v>2022/11/11</c:v>
                </c:pt>
                <c:pt idx="288">
                  <c:v>2022/11/14</c:v>
                </c:pt>
                <c:pt idx="289">
                  <c:v>2022/11/15</c:v>
                </c:pt>
                <c:pt idx="290">
                  <c:v>2022/11/16</c:v>
                </c:pt>
                <c:pt idx="291">
                  <c:v>2022/11/17</c:v>
                </c:pt>
                <c:pt idx="292">
                  <c:v>2022/11/18</c:v>
                </c:pt>
                <c:pt idx="293">
                  <c:v>2022/11/21</c:v>
                </c:pt>
                <c:pt idx="294">
                  <c:v>2022/11/22</c:v>
                </c:pt>
                <c:pt idx="295">
                  <c:v>2022/11/23</c:v>
                </c:pt>
                <c:pt idx="296">
                  <c:v>2022/11/24</c:v>
                </c:pt>
                <c:pt idx="297">
                  <c:v>2022/11/25</c:v>
                </c:pt>
                <c:pt idx="298">
                  <c:v>2022/11/28</c:v>
                </c:pt>
                <c:pt idx="299">
                  <c:v>2022/11/29</c:v>
                </c:pt>
                <c:pt idx="300">
                  <c:v>2022/11/30</c:v>
                </c:pt>
                <c:pt idx="301">
                  <c:v>2022/12/1</c:v>
                </c:pt>
                <c:pt idx="302">
                  <c:v>2022/12/2</c:v>
                </c:pt>
                <c:pt idx="303">
                  <c:v>2022/12/5</c:v>
                </c:pt>
                <c:pt idx="304">
                  <c:v>2022/12/6</c:v>
                </c:pt>
                <c:pt idx="305">
                  <c:v>2022/12/7</c:v>
                </c:pt>
                <c:pt idx="306">
                  <c:v>2022/12/8</c:v>
                </c:pt>
                <c:pt idx="307">
                  <c:v>2022/12/9</c:v>
                </c:pt>
                <c:pt idx="308">
                  <c:v>2022/12/12</c:v>
                </c:pt>
                <c:pt idx="309">
                  <c:v>2022/12/13</c:v>
                </c:pt>
                <c:pt idx="310">
                  <c:v>2022/12/14</c:v>
                </c:pt>
                <c:pt idx="311">
                  <c:v>2022/12/15</c:v>
                </c:pt>
                <c:pt idx="312">
                  <c:v>2022/12/16</c:v>
                </c:pt>
                <c:pt idx="313">
                  <c:v>2022/12/19</c:v>
                </c:pt>
                <c:pt idx="314">
                  <c:v>2022/12/20</c:v>
                </c:pt>
                <c:pt idx="315">
                  <c:v>2022/12/21</c:v>
                </c:pt>
                <c:pt idx="316">
                  <c:v>2022/12/22</c:v>
                </c:pt>
                <c:pt idx="317">
                  <c:v>2022/12/23</c:v>
                </c:pt>
                <c:pt idx="318">
                  <c:v>2022/12/26</c:v>
                </c:pt>
                <c:pt idx="319">
                  <c:v>2022/12/27</c:v>
                </c:pt>
                <c:pt idx="320">
                  <c:v>2022/12/28</c:v>
                </c:pt>
                <c:pt idx="321">
                  <c:v>2022/12/29</c:v>
                </c:pt>
                <c:pt idx="322">
                  <c:v>2022/12/30</c:v>
                </c:pt>
                <c:pt idx="323">
                  <c:v>2023/1/3</c:v>
                </c:pt>
                <c:pt idx="324">
                  <c:v>2023/1/4</c:v>
                </c:pt>
                <c:pt idx="325">
                  <c:v>2023/1/5</c:v>
                </c:pt>
                <c:pt idx="326">
                  <c:v>2023/1/6</c:v>
                </c:pt>
                <c:pt idx="327">
                  <c:v>2023/1/9</c:v>
                </c:pt>
                <c:pt idx="328">
                  <c:v>2023/1/10</c:v>
                </c:pt>
                <c:pt idx="329">
                  <c:v>2023/1/11</c:v>
                </c:pt>
                <c:pt idx="330">
                  <c:v>2023/1/12</c:v>
                </c:pt>
                <c:pt idx="331">
                  <c:v>2023/1/13</c:v>
                </c:pt>
                <c:pt idx="332">
                  <c:v>2023/1/16</c:v>
                </c:pt>
                <c:pt idx="333">
                  <c:v>2023/1/17</c:v>
                </c:pt>
                <c:pt idx="334">
                  <c:v>2023/1/18</c:v>
                </c:pt>
                <c:pt idx="335">
                  <c:v>2023/1/19</c:v>
                </c:pt>
                <c:pt idx="336">
                  <c:v>2023/1/20</c:v>
                </c:pt>
                <c:pt idx="337">
                  <c:v>2023/1/28</c:v>
                </c:pt>
                <c:pt idx="338">
                  <c:v>2023/1/29</c:v>
                </c:pt>
                <c:pt idx="339">
                  <c:v>2023/1/30</c:v>
                </c:pt>
                <c:pt idx="340">
                  <c:v>2023/1/31</c:v>
                </c:pt>
                <c:pt idx="341">
                  <c:v>2023/2/1</c:v>
                </c:pt>
                <c:pt idx="342">
                  <c:v>2023/2/2</c:v>
                </c:pt>
                <c:pt idx="343">
                  <c:v>2023/2/3</c:v>
                </c:pt>
                <c:pt idx="344">
                  <c:v>2023/2/6</c:v>
                </c:pt>
                <c:pt idx="345">
                  <c:v>2023/2/7</c:v>
                </c:pt>
                <c:pt idx="346">
                  <c:v>2023/2/8</c:v>
                </c:pt>
                <c:pt idx="347">
                  <c:v>2023/2/9</c:v>
                </c:pt>
                <c:pt idx="348">
                  <c:v>2023/2/10</c:v>
                </c:pt>
                <c:pt idx="349">
                  <c:v>2023/2/13</c:v>
                </c:pt>
                <c:pt idx="350">
                  <c:v>2023/2/14</c:v>
                </c:pt>
                <c:pt idx="351">
                  <c:v>2023/2/15</c:v>
                </c:pt>
                <c:pt idx="352">
                  <c:v>2023/2/16</c:v>
                </c:pt>
                <c:pt idx="353">
                  <c:v>2023/2/17</c:v>
                </c:pt>
                <c:pt idx="354">
                  <c:v>2023/2/20</c:v>
                </c:pt>
                <c:pt idx="355">
                  <c:v>2023/2/21</c:v>
                </c:pt>
                <c:pt idx="356">
                  <c:v>2023/2/22</c:v>
                </c:pt>
                <c:pt idx="357">
                  <c:v>2023/2/23</c:v>
                </c:pt>
                <c:pt idx="358">
                  <c:v>2023/2/24</c:v>
                </c:pt>
                <c:pt idx="359">
                  <c:v>2023/2/27</c:v>
                </c:pt>
                <c:pt idx="360">
                  <c:v>2023/2/28</c:v>
                </c:pt>
                <c:pt idx="361">
                  <c:v>2023/3/1</c:v>
                </c:pt>
                <c:pt idx="362">
                  <c:v>2023/3/2</c:v>
                </c:pt>
                <c:pt idx="363">
                  <c:v>2023/3/3</c:v>
                </c:pt>
                <c:pt idx="364">
                  <c:v>2023/3/6</c:v>
                </c:pt>
                <c:pt idx="365">
                  <c:v>2023/3/7</c:v>
                </c:pt>
                <c:pt idx="366">
                  <c:v>2023/3/8</c:v>
                </c:pt>
                <c:pt idx="367">
                  <c:v>2023/3/9</c:v>
                </c:pt>
                <c:pt idx="368">
                  <c:v>2023/3/10</c:v>
                </c:pt>
                <c:pt idx="369">
                  <c:v>2023/3/13</c:v>
                </c:pt>
                <c:pt idx="370">
                  <c:v>2023/3/14</c:v>
                </c:pt>
                <c:pt idx="371">
                  <c:v>2023/3/15</c:v>
                </c:pt>
                <c:pt idx="372">
                  <c:v>2023/3/16</c:v>
                </c:pt>
                <c:pt idx="373">
                  <c:v>2023/3/17</c:v>
                </c:pt>
                <c:pt idx="374">
                  <c:v>2023/3/20</c:v>
                </c:pt>
                <c:pt idx="375">
                  <c:v>2023/3/21</c:v>
                </c:pt>
                <c:pt idx="376">
                  <c:v>2023/3/22</c:v>
                </c:pt>
                <c:pt idx="377">
                  <c:v>2023/3/23</c:v>
                </c:pt>
                <c:pt idx="378">
                  <c:v>2023/3/24</c:v>
                </c:pt>
                <c:pt idx="379">
                  <c:v>2023/3/27</c:v>
                </c:pt>
                <c:pt idx="380">
                  <c:v>2023/3/28</c:v>
                </c:pt>
                <c:pt idx="382">
                  <c:v>数据来源：Wind</c:v>
                </c:pt>
                <c:pt idx="385">
                  <c:v>2020</c:v>
                </c:pt>
                <c:pt idx="386">
                  <c:v>2021</c:v>
                </c:pt>
                <c:pt idx="387">
                  <c:v>2022E</c:v>
                </c:pt>
                <c:pt idx="388">
                  <c:v>2023E</c:v>
                </c:pt>
                <c:pt idx="389">
                  <c:v>2024E</c:v>
                </c:pt>
                <c:pt idx="390">
                  <c:v>2025E</c:v>
                </c:pt>
              </c:strCache>
            </c:strRef>
          </c:cat>
          <c:val>
            <c:numRef>
              <c:f>Charts!$B$1705:$B$2102</c:f>
              <c:numCache>
                <c:formatCode>General</c:formatCode>
                <c:ptCount val="398"/>
                <c:pt idx="0">
                  <c:v>90000</c:v>
                </c:pt>
                <c:pt idx="1">
                  <c:v>90750</c:v>
                </c:pt>
                <c:pt idx="2">
                  <c:v>90750</c:v>
                </c:pt>
                <c:pt idx="3">
                  <c:v>91750</c:v>
                </c:pt>
                <c:pt idx="4">
                  <c:v>92750</c:v>
                </c:pt>
                <c:pt idx="5">
                  <c:v>93750</c:v>
                </c:pt>
                <c:pt idx="6">
                  <c:v>93750</c:v>
                </c:pt>
                <c:pt idx="7">
                  <c:v>93750</c:v>
                </c:pt>
                <c:pt idx="8">
                  <c:v>94750</c:v>
                </c:pt>
                <c:pt idx="9">
                  <c:v>96750</c:v>
                </c:pt>
                <c:pt idx="10">
                  <c:v>98750</c:v>
                </c:pt>
                <c:pt idx="11">
                  <c:v>100750</c:v>
                </c:pt>
                <c:pt idx="12">
                  <c:v>100750</c:v>
                </c:pt>
                <c:pt idx="13">
                  <c:v>101750</c:v>
                </c:pt>
                <c:pt idx="14">
                  <c:v>102500</c:v>
                </c:pt>
                <c:pt idx="15">
                  <c:v>102500</c:v>
                </c:pt>
                <c:pt idx="16">
                  <c:v>102500</c:v>
                </c:pt>
                <c:pt idx="17">
                  <c:v>102500</c:v>
                </c:pt>
                <c:pt idx="18">
                  <c:v>102500</c:v>
                </c:pt>
                <c:pt idx="19">
                  <c:v>102500</c:v>
                </c:pt>
                <c:pt idx="20">
                  <c:v>102500</c:v>
                </c:pt>
                <c:pt idx="21">
                  <c:v>103500</c:v>
                </c:pt>
                <c:pt idx="22">
                  <c:v>104500</c:v>
                </c:pt>
                <c:pt idx="23">
                  <c:v>105500</c:v>
                </c:pt>
                <c:pt idx="24">
                  <c:v>105500</c:v>
                </c:pt>
                <c:pt idx="25">
                  <c:v>105500</c:v>
                </c:pt>
                <c:pt idx="26">
                  <c:v>105500</c:v>
                </c:pt>
                <c:pt idx="27">
                  <c:v>105500</c:v>
                </c:pt>
                <c:pt idx="28">
                  <c:v>105500</c:v>
                </c:pt>
                <c:pt idx="29">
                  <c:v>105500</c:v>
                </c:pt>
                <c:pt idx="30">
                  <c:v>106500</c:v>
                </c:pt>
                <c:pt idx="31">
                  <c:v>107750</c:v>
                </c:pt>
                <c:pt idx="32">
                  <c:v>109250</c:v>
                </c:pt>
                <c:pt idx="33">
                  <c:v>109250</c:v>
                </c:pt>
                <c:pt idx="34">
                  <c:v>109250</c:v>
                </c:pt>
                <c:pt idx="35">
                  <c:v>109250</c:v>
                </c:pt>
                <c:pt idx="36">
                  <c:v>109250</c:v>
                </c:pt>
                <c:pt idx="37">
                  <c:v>109250</c:v>
                </c:pt>
                <c:pt idx="38">
                  <c:v>110750</c:v>
                </c:pt>
                <c:pt idx="39">
                  <c:v>111750</c:v>
                </c:pt>
                <c:pt idx="40">
                  <c:v>112750</c:v>
                </c:pt>
                <c:pt idx="41">
                  <c:v>112750</c:v>
                </c:pt>
                <c:pt idx="42">
                  <c:v>114750</c:v>
                </c:pt>
                <c:pt idx="43">
                  <c:v>114750</c:v>
                </c:pt>
                <c:pt idx="44">
                  <c:v>114750</c:v>
                </c:pt>
                <c:pt idx="45">
                  <c:v>116750</c:v>
                </c:pt>
                <c:pt idx="46">
                  <c:v>116750</c:v>
                </c:pt>
                <c:pt idx="47">
                  <c:v>116750</c:v>
                </c:pt>
                <c:pt idx="48">
                  <c:v>116750</c:v>
                </c:pt>
                <c:pt idx="49">
                  <c:v>116750</c:v>
                </c:pt>
                <c:pt idx="50">
                  <c:v>116750</c:v>
                </c:pt>
                <c:pt idx="51">
                  <c:v>116750</c:v>
                </c:pt>
                <c:pt idx="52">
                  <c:v>116750</c:v>
                </c:pt>
                <c:pt idx="53">
                  <c:v>116750</c:v>
                </c:pt>
                <c:pt idx="54">
                  <c:v>116750</c:v>
                </c:pt>
                <c:pt idx="55">
                  <c:v>116750</c:v>
                </c:pt>
                <c:pt idx="56">
                  <c:v>116750</c:v>
                </c:pt>
                <c:pt idx="57">
                  <c:v>116750</c:v>
                </c:pt>
                <c:pt idx="58">
                  <c:v>118250</c:v>
                </c:pt>
                <c:pt idx="59">
                  <c:v>118250</c:v>
                </c:pt>
                <c:pt idx="60">
                  <c:v>118250</c:v>
                </c:pt>
                <c:pt idx="61">
                  <c:v>118250</c:v>
                </c:pt>
                <c:pt idx="62">
                  <c:v>118250</c:v>
                </c:pt>
                <c:pt idx="63">
                  <c:v>118250</c:v>
                </c:pt>
                <c:pt idx="64">
                  <c:v>119000</c:v>
                </c:pt>
                <c:pt idx="65">
                  <c:v>119000</c:v>
                </c:pt>
                <c:pt idx="66">
                  <c:v>119000</c:v>
                </c:pt>
                <c:pt idx="67">
                  <c:v>120000</c:v>
                </c:pt>
                <c:pt idx="68">
                  <c:v>120750</c:v>
                </c:pt>
                <c:pt idx="69">
                  <c:v>121375</c:v>
                </c:pt>
                <c:pt idx="70">
                  <c:v>121375</c:v>
                </c:pt>
                <c:pt idx="71">
                  <c:v>121625</c:v>
                </c:pt>
                <c:pt idx="72">
                  <c:v>121625</c:v>
                </c:pt>
                <c:pt idx="73">
                  <c:v>121625</c:v>
                </c:pt>
                <c:pt idx="74">
                  <c:v>121625</c:v>
                </c:pt>
                <c:pt idx="75">
                  <c:v>121625</c:v>
                </c:pt>
                <c:pt idx="76">
                  <c:v>121625</c:v>
                </c:pt>
                <c:pt idx="77">
                  <c:v>121625</c:v>
                </c:pt>
                <c:pt idx="78">
                  <c:v>121625</c:v>
                </c:pt>
                <c:pt idx="79">
                  <c:v>121625</c:v>
                </c:pt>
                <c:pt idx="80">
                  <c:v>121625</c:v>
                </c:pt>
                <c:pt idx="81">
                  <c:v>121625</c:v>
                </c:pt>
                <c:pt idx="82">
                  <c:v>121625</c:v>
                </c:pt>
                <c:pt idx="83">
                  <c:v>121625</c:v>
                </c:pt>
                <c:pt idx="84">
                  <c:v>121625</c:v>
                </c:pt>
                <c:pt idx="85">
                  <c:v>121625</c:v>
                </c:pt>
                <c:pt idx="86">
                  <c:v>121625</c:v>
                </c:pt>
                <c:pt idx="87">
                  <c:v>121625</c:v>
                </c:pt>
                <c:pt idx="88">
                  <c:v>121625</c:v>
                </c:pt>
                <c:pt idx="89">
                  <c:v>121625</c:v>
                </c:pt>
                <c:pt idx="90">
                  <c:v>121625</c:v>
                </c:pt>
                <c:pt idx="91">
                  <c:v>121625</c:v>
                </c:pt>
                <c:pt idx="92">
                  <c:v>121625</c:v>
                </c:pt>
                <c:pt idx="93">
                  <c:v>121625</c:v>
                </c:pt>
                <c:pt idx="94">
                  <c:v>121625</c:v>
                </c:pt>
                <c:pt idx="95">
                  <c:v>121625</c:v>
                </c:pt>
                <c:pt idx="96">
                  <c:v>121625</c:v>
                </c:pt>
                <c:pt idx="97">
                  <c:v>121625</c:v>
                </c:pt>
                <c:pt idx="98">
                  <c:v>121625</c:v>
                </c:pt>
                <c:pt idx="99">
                  <c:v>121625</c:v>
                </c:pt>
                <c:pt idx="100">
                  <c:v>121625</c:v>
                </c:pt>
                <c:pt idx="101">
                  <c:v>121625</c:v>
                </c:pt>
                <c:pt idx="102">
                  <c:v>121625</c:v>
                </c:pt>
                <c:pt idx="103">
                  <c:v>121625</c:v>
                </c:pt>
                <c:pt idx="104">
                  <c:v>121625</c:v>
                </c:pt>
                <c:pt idx="105">
                  <c:v>121625</c:v>
                </c:pt>
                <c:pt idx="106">
                  <c:v>121625</c:v>
                </c:pt>
                <c:pt idx="107">
                  <c:v>121625</c:v>
                </c:pt>
                <c:pt idx="108">
                  <c:v>121625</c:v>
                </c:pt>
                <c:pt idx="109">
                  <c:v>121875</c:v>
                </c:pt>
                <c:pt idx="110">
                  <c:v>121875</c:v>
                </c:pt>
                <c:pt idx="111">
                  <c:v>121875</c:v>
                </c:pt>
                <c:pt idx="112">
                  <c:v>121875</c:v>
                </c:pt>
                <c:pt idx="113">
                  <c:v>121875</c:v>
                </c:pt>
                <c:pt idx="114">
                  <c:v>121875</c:v>
                </c:pt>
                <c:pt idx="115">
                  <c:v>121875</c:v>
                </c:pt>
                <c:pt idx="116">
                  <c:v>121875</c:v>
                </c:pt>
                <c:pt idx="117">
                  <c:v>121875</c:v>
                </c:pt>
                <c:pt idx="118">
                  <c:v>122625</c:v>
                </c:pt>
                <c:pt idx="119">
                  <c:v>122625</c:v>
                </c:pt>
                <c:pt idx="120">
                  <c:v>122625</c:v>
                </c:pt>
                <c:pt idx="121">
                  <c:v>122625</c:v>
                </c:pt>
                <c:pt idx="122">
                  <c:v>122625</c:v>
                </c:pt>
                <c:pt idx="123">
                  <c:v>122625</c:v>
                </c:pt>
                <c:pt idx="124">
                  <c:v>122625</c:v>
                </c:pt>
                <c:pt idx="125">
                  <c:v>122625</c:v>
                </c:pt>
                <c:pt idx="126">
                  <c:v>122625</c:v>
                </c:pt>
                <c:pt idx="127">
                  <c:v>122625</c:v>
                </c:pt>
                <c:pt idx="128">
                  <c:v>122625</c:v>
                </c:pt>
                <c:pt idx="129">
                  <c:v>122625</c:v>
                </c:pt>
                <c:pt idx="130">
                  <c:v>122625</c:v>
                </c:pt>
                <c:pt idx="131">
                  <c:v>122625</c:v>
                </c:pt>
                <c:pt idx="132">
                  <c:v>122625</c:v>
                </c:pt>
                <c:pt idx="133">
                  <c:v>122625</c:v>
                </c:pt>
                <c:pt idx="134">
                  <c:v>122625</c:v>
                </c:pt>
                <c:pt idx="135">
                  <c:v>122625</c:v>
                </c:pt>
                <c:pt idx="136">
                  <c:v>122625</c:v>
                </c:pt>
                <c:pt idx="137">
                  <c:v>122625</c:v>
                </c:pt>
                <c:pt idx="138">
                  <c:v>122625</c:v>
                </c:pt>
                <c:pt idx="139">
                  <c:v>122625</c:v>
                </c:pt>
                <c:pt idx="140">
                  <c:v>121250</c:v>
                </c:pt>
                <c:pt idx="141">
                  <c:v>119375</c:v>
                </c:pt>
                <c:pt idx="142">
                  <c:v>117125</c:v>
                </c:pt>
                <c:pt idx="143">
                  <c:v>116375</c:v>
                </c:pt>
                <c:pt idx="144">
                  <c:v>114750</c:v>
                </c:pt>
                <c:pt idx="145">
                  <c:v>112625</c:v>
                </c:pt>
                <c:pt idx="146">
                  <c:v>111500</c:v>
                </c:pt>
                <c:pt idx="147">
                  <c:v>110250</c:v>
                </c:pt>
                <c:pt idx="148">
                  <c:v>110250</c:v>
                </c:pt>
                <c:pt idx="149">
                  <c:v>110250</c:v>
                </c:pt>
                <c:pt idx="150">
                  <c:v>110250</c:v>
                </c:pt>
                <c:pt idx="151">
                  <c:v>108125</c:v>
                </c:pt>
                <c:pt idx="152">
                  <c:v>105500</c:v>
                </c:pt>
                <c:pt idx="153">
                  <c:v>102875</c:v>
                </c:pt>
                <c:pt idx="154">
                  <c:v>102875</c:v>
                </c:pt>
                <c:pt idx="155">
                  <c:v>102875</c:v>
                </c:pt>
                <c:pt idx="156">
                  <c:v>102875</c:v>
                </c:pt>
                <c:pt idx="157">
                  <c:v>102875</c:v>
                </c:pt>
                <c:pt idx="158">
                  <c:v>102875</c:v>
                </c:pt>
                <c:pt idx="159">
                  <c:v>102875</c:v>
                </c:pt>
                <c:pt idx="160">
                  <c:v>102875</c:v>
                </c:pt>
                <c:pt idx="161">
                  <c:v>100750</c:v>
                </c:pt>
                <c:pt idx="162">
                  <c:v>100750</c:v>
                </c:pt>
                <c:pt idx="163">
                  <c:v>100750</c:v>
                </c:pt>
                <c:pt idx="164">
                  <c:v>100750</c:v>
                </c:pt>
                <c:pt idx="165">
                  <c:v>100750</c:v>
                </c:pt>
                <c:pt idx="166">
                  <c:v>100750</c:v>
                </c:pt>
                <c:pt idx="167">
                  <c:v>100750</c:v>
                </c:pt>
                <c:pt idx="168">
                  <c:v>100750</c:v>
                </c:pt>
                <c:pt idx="169">
                  <c:v>100750</c:v>
                </c:pt>
                <c:pt idx="170">
                  <c:v>100750</c:v>
                </c:pt>
                <c:pt idx="171">
                  <c:v>100750</c:v>
                </c:pt>
                <c:pt idx="172">
                  <c:v>100750</c:v>
                </c:pt>
                <c:pt idx="173">
                  <c:v>100750</c:v>
                </c:pt>
                <c:pt idx="174">
                  <c:v>100750</c:v>
                </c:pt>
                <c:pt idx="175">
                  <c:v>98250</c:v>
                </c:pt>
                <c:pt idx="176">
                  <c:v>96000</c:v>
                </c:pt>
                <c:pt idx="177">
                  <c:v>95000</c:v>
                </c:pt>
                <c:pt idx="178">
                  <c:v>95000</c:v>
                </c:pt>
                <c:pt idx="179">
                  <c:v>92500</c:v>
                </c:pt>
                <c:pt idx="180">
                  <c:v>92500</c:v>
                </c:pt>
                <c:pt idx="181">
                  <c:v>90000</c:v>
                </c:pt>
                <c:pt idx="182">
                  <c:v>88000</c:v>
                </c:pt>
                <c:pt idx="183">
                  <c:v>86750</c:v>
                </c:pt>
                <c:pt idx="184">
                  <c:v>86750</c:v>
                </c:pt>
                <c:pt idx="185">
                  <c:v>86750</c:v>
                </c:pt>
                <c:pt idx="186">
                  <c:v>86750</c:v>
                </c:pt>
                <c:pt idx="187">
                  <c:v>85750</c:v>
                </c:pt>
                <c:pt idx="188">
                  <c:v>85750</c:v>
                </c:pt>
                <c:pt idx="189">
                  <c:v>85750</c:v>
                </c:pt>
                <c:pt idx="190">
                  <c:v>85750</c:v>
                </c:pt>
                <c:pt idx="191">
                  <c:v>85750</c:v>
                </c:pt>
                <c:pt idx="192">
                  <c:v>85750</c:v>
                </c:pt>
                <c:pt idx="193">
                  <c:v>85750</c:v>
                </c:pt>
                <c:pt idx="194">
                  <c:v>85750</c:v>
                </c:pt>
                <c:pt idx="195">
                  <c:v>85750</c:v>
                </c:pt>
                <c:pt idx="196">
                  <c:v>85750</c:v>
                </c:pt>
                <c:pt idx="197">
                  <c:v>85750</c:v>
                </c:pt>
                <c:pt idx="198">
                  <c:v>85750</c:v>
                </c:pt>
                <c:pt idx="199">
                  <c:v>85750</c:v>
                </c:pt>
                <c:pt idx="200">
                  <c:v>85750</c:v>
                </c:pt>
                <c:pt idx="201">
                  <c:v>85750</c:v>
                </c:pt>
                <c:pt idx="202">
                  <c:v>85750</c:v>
                </c:pt>
                <c:pt idx="203">
                  <c:v>85750</c:v>
                </c:pt>
                <c:pt idx="204">
                  <c:v>85750</c:v>
                </c:pt>
                <c:pt idx="205">
                  <c:v>85750</c:v>
                </c:pt>
                <c:pt idx="206">
                  <c:v>85750</c:v>
                </c:pt>
                <c:pt idx="207">
                  <c:v>85750</c:v>
                </c:pt>
                <c:pt idx="208">
                  <c:v>85750</c:v>
                </c:pt>
                <c:pt idx="209">
                  <c:v>85750</c:v>
                </c:pt>
                <c:pt idx="210">
                  <c:v>85750</c:v>
                </c:pt>
                <c:pt idx="211">
                  <c:v>85750</c:v>
                </c:pt>
                <c:pt idx="212">
                  <c:v>84000</c:v>
                </c:pt>
                <c:pt idx="213">
                  <c:v>84000</c:v>
                </c:pt>
                <c:pt idx="214">
                  <c:v>84000</c:v>
                </c:pt>
                <c:pt idx="215">
                  <c:v>84000</c:v>
                </c:pt>
                <c:pt idx="216">
                  <c:v>84000</c:v>
                </c:pt>
                <c:pt idx="217">
                  <c:v>84000</c:v>
                </c:pt>
                <c:pt idx="218">
                  <c:v>84000</c:v>
                </c:pt>
                <c:pt idx="219">
                  <c:v>84000</c:v>
                </c:pt>
                <c:pt idx="220">
                  <c:v>84000</c:v>
                </c:pt>
                <c:pt idx="221">
                  <c:v>84000</c:v>
                </c:pt>
                <c:pt idx="222">
                  <c:v>84000</c:v>
                </c:pt>
                <c:pt idx="223">
                  <c:v>84000</c:v>
                </c:pt>
                <c:pt idx="224">
                  <c:v>84000</c:v>
                </c:pt>
                <c:pt idx="225">
                  <c:v>84000</c:v>
                </c:pt>
                <c:pt idx="226">
                  <c:v>84000</c:v>
                </c:pt>
                <c:pt idx="227">
                  <c:v>84000</c:v>
                </c:pt>
                <c:pt idx="228">
                  <c:v>81750</c:v>
                </c:pt>
                <c:pt idx="229">
                  <c:v>81750</c:v>
                </c:pt>
                <c:pt idx="230">
                  <c:v>81750</c:v>
                </c:pt>
                <c:pt idx="231">
                  <c:v>81750</c:v>
                </c:pt>
                <c:pt idx="232">
                  <c:v>81750</c:v>
                </c:pt>
                <c:pt idx="233">
                  <c:v>81750</c:v>
                </c:pt>
                <c:pt idx="234">
                  <c:v>81750</c:v>
                </c:pt>
                <c:pt idx="235">
                  <c:v>81750</c:v>
                </c:pt>
                <c:pt idx="236">
                  <c:v>81750</c:v>
                </c:pt>
                <c:pt idx="237">
                  <c:v>81750</c:v>
                </c:pt>
                <c:pt idx="238">
                  <c:v>81750</c:v>
                </c:pt>
                <c:pt idx="239">
                  <c:v>81750</c:v>
                </c:pt>
                <c:pt idx="240">
                  <c:v>81750</c:v>
                </c:pt>
                <c:pt idx="241">
                  <c:v>81750</c:v>
                </c:pt>
                <c:pt idx="242">
                  <c:v>81750</c:v>
                </c:pt>
                <c:pt idx="243">
                  <c:v>81750</c:v>
                </c:pt>
                <c:pt idx="244">
                  <c:v>81750</c:v>
                </c:pt>
                <c:pt idx="245">
                  <c:v>81750</c:v>
                </c:pt>
                <c:pt idx="246">
                  <c:v>81750</c:v>
                </c:pt>
                <c:pt idx="247">
                  <c:v>81750</c:v>
                </c:pt>
                <c:pt idx="248">
                  <c:v>81000</c:v>
                </c:pt>
                <c:pt idx="249">
                  <c:v>81000</c:v>
                </c:pt>
                <c:pt idx="250">
                  <c:v>81000</c:v>
                </c:pt>
                <c:pt idx="251">
                  <c:v>81000</c:v>
                </c:pt>
                <c:pt idx="252">
                  <c:v>81000</c:v>
                </c:pt>
                <c:pt idx="253">
                  <c:v>81000</c:v>
                </c:pt>
                <c:pt idx="254">
                  <c:v>81000</c:v>
                </c:pt>
                <c:pt idx="255">
                  <c:v>81000</c:v>
                </c:pt>
                <c:pt idx="256">
                  <c:v>81000</c:v>
                </c:pt>
                <c:pt idx="257">
                  <c:v>81000</c:v>
                </c:pt>
                <c:pt idx="258">
                  <c:v>81000</c:v>
                </c:pt>
                <c:pt idx="259">
                  <c:v>81500</c:v>
                </c:pt>
                <c:pt idx="260">
                  <c:v>81500</c:v>
                </c:pt>
                <c:pt idx="261">
                  <c:v>81500</c:v>
                </c:pt>
                <c:pt idx="262">
                  <c:v>81500</c:v>
                </c:pt>
                <c:pt idx="263">
                  <c:v>81500</c:v>
                </c:pt>
                <c:pt idx="264">
                  <c:v>81500</c:v>
                </c:pt>
                <c:pt idx="265">
                  <c:v>82250</c:v>
                </c:pt>
                <c:pt idx="266">
                  <c:v>82250</c:v>
                </c:pt>
                <c:pt idx="267">
                  <c:v>82250</c:v>
                </c:pt>
                <c:pt idx="268">
                  <c:v>82250</c:v>
                </c:pt>
                <c:pt idx="269">
                  <c:v>82250</c:v>
                </c:pt>
                <c:pt idx="270">
                  <c:v>82250</c:v>
                </c:pt>
                <c:pt idx="271">
                  <c:v>82250</c:v>
                </c:pt>
                <c:pt idx="272">
                  <c:v>82250</c:v>
                </c:pt>
                <c:pt idx="273">
                  <c:v>82250</c:v>
                </c:pt>
                <c:pt idx="274">
                  <c:v>82250</c:v>
                </c:pt>
                <c:pt idx="275">
                  <c:v>82250</c:v>
                </c:pt>
                <c:pt idx="276">
                  <c:v>82250</c:v>
                </c:pt>
                <c:pt idx="277">
                  <c:v>82250</c:v>
                </c:pt>
                <c:pt idx="278">
                  <c:v>82250</c:v>
                </c:pt>
                <c:pt idx="279">
                  <c:v>82250</c:v>
                </c:pt>
                <c:pt idx="280">
                  <c:v>82250</c:v>
                </c:pt>
                <c:pt idx="281">
                  <c:v>82250</c:v>
                </c:pt>
                <c:pt idx="282">
                  <c:v>82250</c:v>
                </c:pt>
                <c:pt idx="283">
                  <c:v>82250</c:v>
                </c:pt>
                <c:pt idx="284">
                  <c:v>82250</c:v>
                </c:pt>
                <c:pt idx="285">
                  <c:v>82250</c:v>
                </c:pt>
                <c:pt idx="286">
                  <c:v>82250</c:v>
                </c:pt>
                <c:pt idx="287">
                  <c:v>82250</c:v>
                </c:pt>
                <c:pt idx="288">
                  <c:v>82250</c:v>
                </c:pt>
                <c:pt idx="289">
                  <c:v>82250</c:v>
                </c:pt>
                <c:pt idx="290">
                  <c:v>82250</c:v>
                </c:pt>
                <c:pt idx="291">
                  <c:v>82250</c:v>
                </c:pt>
                <c:pt idx="292">
                  <c:v>82250</c:v>
                </c:pt>
                <c:pt idx="293">
                  <c:v>82250</c:v>
                </c:pt>
                <c:pt idx="294">
                  <c:v>82250</c:v>
                </c:pt>
                <c:pt idx="295">
                  <c:v>82250</c:v>
                </c:pt>
                <c:pt idx="296">
                  <c:v>82250</c:v>
                </c:pt>
                <c:pt idx="297">
                  <c:v>82250</c:v>
                </c:pt>
                <c:pt idx="298">
                  <c:v>82250</c:v>
                </c:pt>
                <c:pt idx="299">
                  <c:v>82250</c:v>
                </c:pt>
                <c:pt idx="300">
                  <c:v>82250</c:v>
                </c:pt>
                <c:pt idx="301">
                  <c:v>82250</c:v>
                </c:pt>
                <c:pt idx="302">
                  <c:v>82250</c:v>
                </c:pt>
                <c:pt idx="303">
                  <c:v>82250</c:v>
                </c:pt>
                <c:pt idx="304">
                  <c:v>82250</c:v>
                </c:pt>
                <c:pt idx="305">
                  <c:v>82250</c:v>
                </c:pt>
                <c:pt idx="306">
                  <c:v>82250</c:v>
                </c:pt>
                <c:pt idx="307">
                  <c:v>82250</c:v>
                </c:pt>
                <c:pt idx="308">
                  <c:v>82250</c:v>
                </c:pt>
                <c:pt idx="309">
                  <c:v>82250</c:v>
                </c:pt>
                <c:pt idx="310">
                  <c:v>82250</c:v>
                </c:pt>
                <c:pt idx="311">
                  <c:v>82250</c:v>
                </c:pt>
                <c:pt idx="312">
                  <c:v>80250</c:v>
                </c:pt>
                <c:pt idx="313">
                  <c:v>78500</c:v>
                </c:pt>
                <c:pt idx="314">
                  <c:v>78500</c:v>
                </c:pt>
                <c:pt idx="315">
                  <c:v>73500</c:v>
                </c:pt>
                <c:pt idx="316">
                  <c:v>71000</c:v>
                </c:pt>
                <c:pt idx="317">
                  <c:v>71000</c:v>
                </c:pt>
                <c:pt idx="318">
                  <c:v>71000</c:v>
                </c:pt>
                <c:pt idx="319">
                  <c:v>68500</c:v>
                </c:pt>
                <c:pt idx="320">
                  <c:v>63813</c:v>
                </c:pt>
                <c:pt idx="321">
                  <c:v>62626</c:v>
                </c:pt>
                <c:pt idx="322">
                  <c:v>60626</c:v>
                </c:pt>
                <c:pt idx="323">
                  <c:v>60500</c:v>
                </c:pt>
                <c:pt idx="324">
                  <c:v>60500</c:v>
                </c:pt>
                <c:pt idx="325">
                  <c:v>60500</c:v>
                </c:pt>
                <c:pt idx="326">
                  <c:v>60500</c:v>
                </c:pt>
                <c:pt idx="327">
                  <c:v>60500</c:v>
                </c:pt>
                <c:pt idx="328">
                  <c:v>60500</c:v>
                </c:pt>
                <c:pt idx="329">
                  <c:v>60500</c:v>
                </c:pt>
                <c:pt idx="330">
                  <c:v>60500</c:v>
                </c:pt>
                <c:pt idx="331">
                  <c:v>60500</c:v>
                </c:pt>
                <c:pt idx="332">
                  <c:v>60500</c:v>
                </c:pt>
                <c:pt idx="333">
                  <c:v>60500</c:v>
                </c:pt>
                <c:pt idx="334">
                  <c:v>60500</c:v>
                </c:pt>
                <c:pt idx="335">
                  <c:v>60500</c:v>
                </c:pt>
                <c:pt idx="336">
                  <c:v>60500</c:v>
                </c:pt>
                <c:pt idx="337">
                  <c:v>60500</c:v>
                </c:pt>
                <c:pt idx="338">
                  <c:v>60500</c:v>
                </c:pt>
                <c:pt idx="339">
                  <c:v>60500</c:v>
                </c:pt>
                <c:pt idx="340">
                  <c:v>60500</c:v>
                </c:pt>
                <c:pt idx="341">
                  <c:v>60500</c:v>
                </c:pt>
                <c:pt idx="342">
                  <c:v>60500</c:v>
                </c:pt>
                <c:pt idx="343">
                  <c:v>60500</c:v>
                </c:pt>
                <c:pt idx="344">
                  <c:v>59500</c:v>
                </c:pt>
                <c:pt idx="345">
                  <c:v>58750</c:v>
                </c:pt>
                <c:pt idx="346">
                  <c:v>58750</c:v>
                </c:pt>
                <c:pt idx="347">
                  <c:v>58750</c:v>
                </c:pt>
                <c:pt idx="348">
                  <c:v>58750</c:v>
                </c:pt>
                <c:pt idx="349">
                  <c:v>58750</c:v>
                </c:pt>
                <c:pt idx="350">
                  <c:v>58750</c:v>
                </c:pt>
                <c:pt idx="351">
                  <c:v>58750</c:v>
                </c:pt>
                <c:pt idx="352">
                  <c:v>58500</c:v>
                </c:pt>
                <c:pt idx="353">
                  <c:v>58500</c:v>
                </c:pt>
                <c:pt idx="354">
                  <c:v>58500</c:v>
                </c:pt>
                <c:pt idx="355">
                  <c:v>58500</c:v>
                </c:pt>
                <c:pt idx="356">
                  <c:v>58500</c:v>
                </c:pt>
                <c:pt idx="357">
                  <c:v>58500</c:v>
                </c:pt>
                <c:pt idx="358">
                  <c:v>57875</c:v>
                </c:pt>
                <c:pt idx="359">
                  <c:v>57875</c:v>
                </c:pt>
                <c:pt idx="360">
                  <c:v>57875</c:v>
                </c:pt>
                <c:pt idx="361">
                  <c:v>57875</c:v>
                </c:pt>
                <c:pt idx="362">
                  <c:v>55250</c:v>
                </c:pt>
                <c:pt idx="363">
                  <c:v>52750</c:v>
                </c:pt>
                <c:pt idx="364">
                  <c:v>51375</c:v>
                </c:pt>
                <c:pt idx="365">
                  <c:v>50125</c:v>
                </c:pt>
                <c:pt idx="366">
                  <c:v>50125</c:v>
                </c:pt>
                <c:pt idx="367">
                  <c:v>50125</c:v>
                </c:pt>
                <c:pt idx="368">
                  <c:v>49937</c:v>
                </c:pt>
                <c:pt idx="369">
                  <c:v>49812</c:v>
                </c:pt>
                <c:pt idx="370">
                  <c:v>49812</c:v>
                </c:pt>
                <c:pt idx="371">
                  <c:v>49812</c:v>
                </c:pt>
                <c:pt idx="372">
                  <c:v>49437</c:v>
                </c:pt>
                <c:pt idx="373">
                  <c:v>49187</c:v>
                </c:pt>
                <c:pt idx="374">
                  <c:v>49050</c:v>
                </c:pt>
                <c:pt idx="375">
                  <c:v>49050</c:v>
                </c:pt>
                <c:pt idx="376">
                  <c:v>48850</c:v>
                </c:pt>
                <c:pt idx="377">
                  <c:v>48850</c:v>
                </c:pt>
                <c:pt idx="378">
                  <c:v>48850</c:v>
                </c:pt>
                <c:pt idx="379">
                  <c:v>48350</c:v>
                </c:pt>
                <c:pt idx="380">
                  <c:v>48350</c:v>
                </c:pt>
                <c:pt idx="384">
                  <c:v>0</c:v>
                </c:pt>
                <c:pt idx="385" formatCode="0.00%">
                  <c:v>0.33142760342177235</c:v>
                </c:pt>
                <c:pt idx="386" formatCode="0.00%">
                  <c:v>0.33813892876794194</c:v>
                </c:pt>
                <c:pt idx="387" formatCode="0.00%">
                  <c:v>0.3375075298617029</c:v>
                </c:pt>
                <c:pt idx="388" formatCode="0.00%">
                  <c:v>0.32437532370993621</c:v>
                </c:pt>
                <c:pt idx="389" formatCode="0.00%">
                  <c:v>0.32083669035266688</c:v>
                </c:pt>
                <c:pt idx="390" formatCode="0.00%">
                  <c:v>0.30586323235850538</c:v>
                </c:pt>
              </c:numCache>
            </c:numRef>
          </c:val>
          <c:smooth val="0"/>
          <c:extLst>
            <c:ext xmlns:c16="http://schemas.microsoft.com/office/drawing/2014/chart" uri="{C3380CC4-5D6E-409C-BE32-E72D297353CC}">
              <c16:uniqueId val="{00000001-3995-4E4C-B1FF-68F818036D58}"/>
            </c:ext>
          </c:extLst>
        </c:ser>
        <c:ser>
          <c:idx val="1"/>
          <c:order val="1"/>
          <c:tx>
            <c:strRef>
              <c:f>Charts!$C$1704</c:f>
              <c:strCache>
                <c:ptCount val="1"/>
                <c:pt idx="0">
                  <c:v>中国:富宝价格指数:负极材料</c:v>
                </c:pt>
              </c:strCache>
            </c:strRef>
          </c:tx>
          <c:spPr>
            <a:ln w="28575" cap="rnd">
              <a:solidFill>
                <a:schemeClr val="accent2"/>
              </a:solidFill>
              <a:round/>
            </a:ln>
            <a:effectLst/>
          </c:spPr>
          <c:marker>
            <c:symbol val="none"/>
          </c:marker>
          <c:cat>
            <c:strRef>
              <c:f>Charts!$A$1705:$A$2102</c:f>
              <c:strCache>
                <c:ptCount val="391"/>
                <c:pt idx="0">
                  <c:v>2021/9/1</c:v>
                </c:pt>
                <c:pt idx="1">
                  <c:v>2021/9/2</c:v>
                </c:pt>
                <c:pt idx="2">
                  <c:v>2021/9/3</c:v>
                </c:pt>
                <c:pt idx="3">
                  <c:v>2021/9/6</c:v>
                </c:pt>
                <c:pt idx="4">
                  <c:v>2021/9/7</c:v>
                </c:pt>
                <c:pt idx="5">
                  <c:v>2021/9/8</c:v>
                </c:pt>
                <c:pt idx="6">
                  <c:v>2021/9/9</c:v>
                </c:pt>
                <c:pt idx="7">
                  <c:v>2021/9/10</c:v>
                </c:pt>
                <c:pt idx="8">
                  <c:v>2021/9/13</c:v>
                </c:pt>
                <c:pt idx="9">
                  <c:v>2021/9/14</c:v>
                </c:pt>
                <c:pt idx="10">
                  <c:v>2021/9/15</c:v>
                </c:pt>
                <c:pt idx="11">
                  <c:v>2021/9/16</c:v>
                </c:pt>
                <c:pt idx="12">
                  <c:v>2021/9/17</c:v>
                </c:pt>
                <c:pt idx="13">
                  <c:v>2021/9/22</c:v>
                </c:pt>
                <c:pt idx="14">
                  <c:v>2021/9/23</c:v>
                </c:pt>
                <c:pt idx="15">
                  <c:v>2021/9/24</c:v>
                </c:pt>
                <c:pt idx="16">
                  <c:v>2021/9/27</c:v>
                </c:pt>
                <c:pt idx="17">
                  <c:v>2021/9/28</c:v>
                </c:pt>
                <c:pt idx="18">
                  <c:v>2021/9/29</c:v>
                </c:pt>
                <c:pt idx="19">
                  <c:v>2021/9/30</c:v>
                </c:pt>
                <c:pt idx="20">
                  <c:v>2021/10/8</c:v>
                </c:pt>
                <c:pt idx="21">
                  <c:v>2021/10/11</c:v>
                </c:pt>
                <c:pt idx="22">
                  <c:v>2021/10/12</c:v>
                </c:pt>
                <c:pt idx="23">
                  <c:v>2021/10/13</c:v>
                </c:pt>
                <c:pt idx="24">
                  <c:v>2021/10/14</c:v>
                </c:pt>
                <c:pt idx="25">
                  <c:v>2021/10/15</c:v>
                </c:pt>
                <c:pt idx="26">
                  <c:v>2021/10/18</c:v>
                </c:pt>
                <c:pt idx="27">
                  <c:v>2021/10/19</c:v>
                </c:pt>
                <c:pt idx="28">
                  <c:v>2021/10/20</c:v>
                </c:pt>
                <c:pt idx="29">
                  <c:v>2021/10/21</c:v>
                </c:pt>
                <c:pt idx="30">
                  <c:v>2021/10/22</c:v>
                </c:pt>
                <c:pt idx="31">
                  <c:v>2021/10/25</c:v>
                </c:pt>
                <c:pt idx="32">
                  <c:v>2021/10/26</c:v>
                </c:pt>
                <c:pt idx="33">
                  <c:v>2021/10/27</c:v>
                </c:pt>
                <c:pt idx="34">
                  <c:v>2021/10/28</c:v>
                </c:pt>
                <c:pt idx="35">
                  <c:v>2021/10/29</c:v>
                </c:pt>
                <c:pt idx="36">
                  <c:v>2021/11/1</c:v>
                </c:pt>
                <c:pt idx="37">
                  <c:v>2021/11/2</c:v>
                </c:pt>
                <c:pt idx="38">
                  <c:v>2021/11/3</c:v>
                </c:pt>
                <c:pt idx="39">
                  <c:v>2021/11/4</c:v>
                </c:pt>
                <c:pt idx="40">
                  <c:v>2021/11/5</c:v>
                </c:pt>
                <c:pt idx="41">
                  <c:v>2021/11/8</c:v>
                </c:pt>
                <c:pt idx="42">
                  <c:v>2021/11/9</c:v>
                </c:pt>
                <c:pt idx="43">
                  <c:v>2021/11/10</c:v>
                </c:pt>
                <c:pt idx="44">
                  <c:v>2021/11/11</c:v>
                </c:pt>
                <c:pt idx="45">
                  <c:v>2021/11/12</c:v>
                </c:pt>
                <c:pt idx="46">
                  <c:v>2021/11/15</c:v>
                </c:pt>
                <c:pt idx="47">
                  <c:v>2021/11/16</c:v>
                </c:pt>
                <c:pt idx="48">
                  <c:v>2021/11/17</c:v>
                </c:pt>
                <c:pt idx="49">
                  <c:v>2021/11/18</c:v>
                </c:pt>
                <c:pt idx="50">
                  <c:v>2021/11/19</c:v>
                </c:pt>
                <c:pt idx="51">
                  <c:v>2021/11/22</c:v>
                </c:pt>
                <c:pt idx="52">
                  <c:v>2021/11/23</c:v>
                </c:pt>
                <c:pt idx="53">
                  <c:v>2021/11/24</c:v>
                </c:pt>
                <c:pt idx="54">
                  <c:v>2021/11/25</c:v>
                </c:pt>
                <c:pt idx="55">
                  <c:v>2021/11/26</c:v>
                </c:pt>
                <c:pt idx="56">
                  <c:v>2021/11/29</c:v>
                </c:pt>
                <c:pt idx="57">
                  <c:v>2021/11/30</c:v>
                </c:pt>
                <c:pt idx="58">
                  <c:v>2021/12/1</c:v>
                </c:pt>
                <c:pt idx="59">
                  <c:v>2021/12/2</c:v>
                </c:pt>
                <c:pt idx="60">
                  <c:v>2021/12/3</c:v>
                </c:pt>
                <c:pt idx="61">
                  <c:v>2021/12/6</c:v>
                </c:pt>
                <c:pt idx="62">
                  <c:v>2021/12/7</c:v>
                </c:pt>
                <c:pt idx="63">
                  <c:v>2021/12/8</c:v>
                </c:pt>
                <c:pt idx="64">
                  <c:v>2021/12/9</c:v>
                </c:pt>
                <c:pt idx="65">
                  <c:v>2021/12/10</c:v>
                </c:pt>
                <c:pt idx="66">
                  <c:v>2021/12/13</c:v>
                </c:pt>
                <c:pt idx="67">
                  <c:v>2021/12/14</c:v>
                </c:pt>
                <c:pt idx="68">
                  <c:v>2021/12/15</c:v>
                </c:pt>
                <c:pt idx="69">
                  <c:v>2021/12/16</c:v>
                </c:pt>
                <c:pt idx="70">
                  <c:v>2021/12/17</c:v>
                </c:pt>
                <c:pt idx="71">
                  <c:v>2021/12/20</c:v>
                </c:pt>
                <c:pt idx="72">
                  <c:v>2021/12/21</c:v>
                </c:pt>
                <c:pt idx="73">
                  <c:v>2021/12/22</c:v>
                </c:pt>
                <c:pt idx="74">
                  <c:v>2021/12/23</c:v>
                </c:pt>
                <c:pt idx="75">
                  <c:v>2021/12/24</c:v>
                </c:pt>
                <c:pt idx="76">
                  <c:v>2021/12/27</c:v>
                </c:pt>
                <c:pt idx="77">
                  <c:v>2021/12/28</c:v>
                </c:pt>
                <c:pt idx="78">
                  <c:v>2021/12/29</c:v>
                </c:pt>
                <c:pt idx="79">
                  <c:v>2021/12/30</c:v>
                </c:pt>
                <c:pt idx="80">
                  <c:v>2021/12/31</c:v>
                </c:pt>
                <c:pt idx="81">
                  <c:v>2022/1/4</c:v>
                </c:pt>
                <c:pt idx="82">
                  <c:v>2022/1/5</c:v>
                </c:pt>
                <c:pt idx="83">
                  <c:v>2022/1/6</c:v>
                </c:pt>
                <c:pt idx="84">
                  <c:v>2022/1/7</c:v>
                </c:pt>
                <c:pt idx="85">
                  <c:v>2022/1/10</c:v>
                </c:pt>
                <c:pt idx="86">
                  <c:v>2022/1/11</c:v>
                </c:pt>
                <c:pt idx="87">
                  <c:v>2022/1/12</c:v>
                </c:pt>
                <c:pt idx="88">
                  <c:v>2022/1/13</c:v>
                </c:pt>
                <c:pt idx="89">
                  <c:v>2022/1/14</c:v>
                </c:pt>
                <c:pt idx="90">
                  <c:v>2022/1/17</c:v>
                </c:pt>
                <c:pt idx="91">
                  <c:v>2022/1/18</c:v>
                </c:pt>
                <c:pt idx="92">
                  <c:v>2022/1/19</c:v>
                </c:pt>
                <c:pt idx="93">
                  <c:v>2022/1/20</c:v>
                </c:pt>
                <c:pt idx="94">
                  <c:v>2022/1/21</c:v>
                </c:pt>
                <c:pt idx="95">
                  <c:v>2022/1/24</c:v>
                </c:pt>
                <c:pt idx="96">
                  <c:v>2022/1/25</c:v>
                </c:pt>
                <c:pt idx="97">
                  <c:v>2022/1/26</c:v>
                </c:pt>
                <c:pt idx="98">
                  <c:v>2022/1/27</c:v>
                </c:pt>
                <c:pt idx="99">
                  <c:v>2022/1/28</c:v>
                </c:pt>
                <c:pt idx="100">
                  <c:v>2022/2/7</c:v>
                </c:pt>
                <c:pt idx="101">
                  <c:v>2022/2/8</c:v>
                </c:pt>
                <c:pt idx="102">
                  <c:v>2022/2/9</c:v>
                </c:pt>
                <c:pt idx="103">
                  <c:v>2022/2/10</c:v>
                </c:pt>
                <c:pt idx="104">
                  <c:v>2022/2/11</c:v>
                </c:pt>
                <c:pt idx="105">
                  <c:v>2022/2/14</c:v>
                </c:pt>
                <c:pt idx="106">
                  <c:v>2022/2/15</c:v>
                </c:pt>
                <c:pt idx="107">
                  <c:v>2022/2/16</c:v>
                </c:pt>
                <c:pt idx="108">
                  <c:v>2022/2/17</c:v>
                </c:pt>
                <c:pt idx="109">
                  <c:v>2022/2/18</c:v>
                </c:pt>
                <c:pt idx="110">
                  <c:v>2022/2/21</c:v>
                </c:pt>
                <c:pt idx="111">
                  <c:v>2022/2/22</c:v>
                </c:pt>
                <c:pt idx="112">
                  <c:v>2022/2/23</c:v>
                </c:pt>
                <c:pt idx="113">
                  <c:v>2022/2/24</c:v>
                </c:pt>
                <c:pt idx="114">
                  <c:v>2022/2/25</c:v>
                </c:pt>
                <c:pt idx="115">
                  <c:v>2022/2/28</c:v>
                </c:pt>
                <c:pt idx="116">
                  <c:v>2022/3/1</c:v>
                </c:pt>
                <c:pt idx="117">
                  <c:v>2022/3/2</c:v>
                </c:pt>
                <c:pt idx="118">
                  <c:v>2022/3/3</c:v>
                </c:pt>
                <c:pt idx="119">
                  <c:v>2022/3/4</c:v>
                </c:pt>
                <c:pt idx="120">
                  <c:v>2022/3/7</c:v>
                </c:pt>
                <c:pt idx="121">
                  <c:v>2022/3/8</c:v>
                </c:pt>
                <c:pt idx="122">
                  <c:v>2022/3/9</c:v>
                </c:pt>
                <c:pt idx="123">
                  <c:v>2022/3/10</c:v>
                </c:pt>
                <c:pt idx="124">
                  <c:v>2022/3/11</c:v>
                </c:pt>
                <c:pt idx="125">
                  <c:v>2022/3/14</c:v>
                </c:pt>
                <c:pt idx="126">
                  <c:v>2022/3/15</c:v>
                </c:pt>
                <c:pt idx="127">
                  <c:v>2022/3/16</c:v>
                </c:pt>
                <c:pt idx="128">
                  <c:v>2022/3/17</c:v>
                </c:pt>
                <c:pt idx="129">
                  <c:v>2022/3/18</c:v>
                </c:pt>
                <c:pt idx="130">
                  <c:v>2022/3/21</c:v>
                </c:pt>
                <c:pt idx="131">
                  <c:v>2022/3/22</c:v>
                </c:pt>
                <c:pt idx="132">
                  <c:v>2022/3/23</c:v>
                </c:pt>
                <c:pt idx="133">
                  <c:v>2022/3/24</c:v>
                </c:pt>
                <c:pt idx="134">
                  <c:v>2022/3/25</c:v>
                </c:pt>
                <c:pt idx="135">
                  <c:v>2022/3/28</c:v>
                </c:pt>
                <c:pt idx="136">
                  <c:v>2022/3/29</c:v>
                </c:pt>
                <c:pt idx="137">
                  <c:v>2022/3/30</c:v>
                </c:pt>
                <c:pt idx="138">
                  <c:v>2022/3/31</c:v>
                </c:pt>
                <c:pt idx="139">
                  <c:v>2022/4/1</c:v>
                </c:pt>
                <c:pt idx="140">
                  <c:v>2022/4/6</c:v>
                </c:pt>
                <c:pt idx="141">
                  <c:v>2022/4/7</c:v>
                </c:pt>
                <c:pt idx="142">
                  <c:v>2022/4/8</c:v>
                </c:pt>
                <c:pt idx="143">
                  <c:v>2022/4/11</c:v>
                </c:pt>
                <c:pt idx="144">
                  <c:v>2022/4/12</c:v>
                </c:pt>
                <c:pt idx="145">
                  <c:v>2022/4/13</c:v>
                </c:pt>
                <c:pt idx="146">
                  <c:v>2022/4/14</c:v>
                </c:pt>
                <c:pt idx="147">
                  <c:v>2022/4/15</c:v>
                </c:pt>
                <c:pt idx="148">
                  <c:v>2022/4/18</c:v>
                </c:pt>
                <c:pt idx="149">
                  <c:v>2022/4/19</c:v>
                </c:pt>
                <c:pt idx="150">
                  <c:v>2022/4/20</c:v>
                </c:pt>
                <c:pt idx="151">
                  <c:v>2022/4/21</c:v>
                </c:pt>
                <c:pt idx="152">
                  <c:v>2022/4/22</c:v>
                </c:pt>
                <c:pt idx="153">
                  <c:v>2022/4/25</c:v>
                </c:pt>
                <c:pt idx="154">
                  <c:v>2022/4/26</c:v>
                </c:pt>
                <c:pt idx="155">
                  <c:v>2022/4/27</c:v>
                </c:pt>
                <c:pt idx="156">
                  <c:v>2022/4/28</c:v>
                </c:pt>
                <c:pt idx="157">
                  <c:v>2022/4/29</c:v>
                </c:pt>
                <c:pt idx="158">
                  <c:v>2022/5/5</c:v>
                </c:pt>
                <c:pt idx="159">
                  <c:v>2022/5/6</c:v>
                </c:pt>
                <c:pt idx="160">
                  <c:v>2022/5/9</c:v>
                </c:pt>
                <c:pt idx="161">
                  <c:v>2022/5/10</c:v>
                </c:pt>
                <c:pt idx="162">
                  <c:v>2022/5/11</c:v>
                </c:pt>
                <c:pt idx="163">
                  <c:v>2022/5/12</c:v>
                </c:pt>
                <c:pt idx="164">
                  <c:v>2022/5/13</c:v>
                </c:pt>
                <c:pt idx="165">
                  <c:v>2022/5/16</c:v>
                </c:pt>
                <c:pt idx="166">
                  <c:v>2022/5/17</c:v>
                </c:pt>
                <c:pt idx="167">
                  <c:v>2022/5/18</c:v>
                </c:pt>
                <c:pt idx="168">
                  <c:v>2022/5/19</c:v>
                </c:pt>
                <c:pt idx="169">
                  <c:v>2022/5/20</c:v>
                </c:pt>
                <c:pt idx="170">
                  <c:v>2022/5/23</c:v>
                </c:pt>
                <c:pt idx="171">
                  <c:v>2022/5/24</c:v>
                </c:pt>
                <c:pt idx="172">
                  <c:v>2022/5/25</c:v>
                </c:pt>
                <c:pt idx="173">
                  <c:v>2022/5/26</c:v>
                </c:pt>
                <c:pt idx="174">
                  <c:v>2022/5/27</c:v>
                </c:pt>
                <c:pt idx="175">
                  <c:v>2022/5/30</c:v>
                </c:pt>
                <c:pt idx="176">
                  <c:v>2022/5/31</c:v>
                </c:pt>
                <c:pt idx="177">
                  <c:v>2022/6/1</c:v>
                </c:pt>
                <c:pt idx="178">
                  <c:v>2022/6/2</c:v>
                </c:pt>
                <c:pt idx="179">
                  <c:v>2022/6/6</c:v>
                </c:pt>
                <c:pt idx="180">
                  <c:v>2022/6/7</c:v>
                </c:pt>
                <c:pt idx="181">
                  <c:v>2022/6/8</c:v>
                </c:pt>
                <c:pt idx="182">
                  <c:v>2022/6/9</c:v>
                </c:pt>
                <c:pt idx="183">
                  <c:v>2022/6/10</c:v>
                </c:pt>
                <c:pt idx="184">
                  <c:v>2022/6/13</c:v>
                </c:pt>
                <c:pt idx="185">
                  <c:v>2022/6/14</c:v>
                </c:pt>
                <c:pt idx="186">
                  <c:v>2022/6/15</c:v>
                </c:pt>
                <c:pt idx="187">
                  <c:v>2022/6/16</c:v>
                </c:pt>
                <c:pt idx="188">
                  <c:v>2022/6/17</c:v>
                </c:pt>
                <c:pt idx="189">
                  <c:v>2022/6/20</c:v>
                </c:pt>
                <c:pt idx="190">
                  <c:v>2022/6/21</c:v>
                </c:pt>
                <c:pt idx="191">
                  <c:v>2022/6/22</c:v>
                </c:pt>
                <c:pt idx="192">
                  <c:v>2022/6/23</c:v>
                </c:pt>
                <c:pt idx="193">
                  <c:v>2022/6/24</c:v>
                </c:pt>
                <c:pt idx="194">
                  <c:v>2022/6/27</c:v>
                </c:pt>
                <c:pt idx="195">
                  <c:v>2022/6/28</c:v>
                </c:pt>
                <c:pt idx="196">
                  <c:v>2022/6/29</c:v>
                </c:pt>
                <c:pt idx="197">
                  <c:v>2022/6/30</c:v>
                </c:pt>
                <c:pt idx="198">
                  <c:v>2022/7/1</c:v>
                </c:pt>
                <c:pt idx="199">
                  <c:v>2022/7/4</c:v>
                </c:pt>
                <c:pt idx="200">
                  <c:v>2022/7/5</c:v>
                </c:pt>
                <c:pt idx="201">
                  <c:v>2022/7/6</c:v>
                </c:pt>
                <c:pt idx="202">
                  <c:v>2022/7/7</c:v>
                </c:pt>
                <c:pt idx="203">
                  <c:v>2022/7/8</c:v>
                </c:pt>
                <c:pt idx="204">
                  <c:v>2022/7/11</c:v>
                </c:pt>
                <c:pt idx="205">
                  <c:v>2022/7/12</c:v>
                </c:pt>
                <c:pt idx="206">
                  <c:v>2022/7/13</c:v>
                </c:pt>
                <c:pt idx="207">
                  <c:v>2022/7/14</c:v>
                </c:pt>
                <c:pt idx="208">
                  <c:v>2022/7/15</c:v>
                </c:pt>
                <c:pt idx="209">
                  <c:v>2022/7/18</c:v>
                </c:pt>
                <c:pt idx="210">
                  <c:v>2022/7/19</c:v>
                </c:pt>
                <c:pt idx="211">
                  <c:v>2022/7/20</c:v>
                </c:pt>
                <c:pt idx="212">
                  <c:v>2022/7/21</c:v>
                </c:pt>
                <c:pt idx="213">
                  <c:v>2022/7/22</c:v>
                </c:pt>
                <c:pt idx="214">
                  <c:v>2022/7/25</c:v>
                </c:pt>
                <c:pt idx="215">
                  <c:v>2022/7/26</c:v>
                </c:pt>
                <c:pt idx="216">
                  <c:v>2022/7/27</c:v>
                </c:pt>
                <c:pt idx="217">
                  <c:v>2022/7/28</c:v>
                </c:pt>
                <c:pt idx="218">
                  <c:v>2022/7/29</c:v>
                </c:pt>
                <c:pt idx="219">
                  <c:v>2022/8/1</c:v>
                </c:pt>
                <c:pt idx="220">
                  <c:v>2022/8/2</c:v>
                </c:pt>
                <c:pt idx="221">
                  <c:v>2022/8/3</c:v>
                </c:pt>
                <c:pt idx="222">
                  <c:v>2022/8/4</c:v>
                </c:pt>
                <c:pt idx="223">
                  <c:v>2022/8/5</c:v>
                </c:pt>
                <c:pt idx="224">
                  <c:v>2022/8/8</c:v>
                </c:pt>
                <c:pt idx="225">
                  <c:v>2022/8/9</c:v>
                </c:pt>
                <c:pt idx="226">
                  <c:v>2022/8/10</c:v>
                </c:pt>
                <c:pt idx="227">
                  <c:v>2022/8/11</c:v>
                </c:pt>
                <c:pt idx="228">
                  <c:v>2022/8/12</c:v>
                </c:pt>
                <c:pt idx="229">
                  <c:v>2022/8/15</c:v>
                </c:pt>
                <c:pt idx="230">
                  <c:v>2022/8/16</c:v>
                </c:pt>
                <c:pt idx="231">
                  <c:v>2022/8/17</c:v>
                </c:pt>
                <c:pt idx="232">
                  <c:v>2022/8/18</c:v>
                </c:pt>
                <c:pt idx="233">
                  <c:v>2022/8/19</c:v>
                </c:pt>
                <c:pt idx="234">
                  <c:v>2022/8/22</c:v>
                </c:pt>
                <c:pt idx="235">
                  <c:v>2022/8/23</c:v>
                </c:pt>
                <c:pt idx="236">
                  <c:v>2022/8/24</c:v>
                </c:pt>
                <c:pt idx="237">
                  <c:v>2022/8/25</c:v>
                </c:pt>
                <c:pt idx="238">
                  <c:v>2022/8/26</c:v>
                </c:pt>
                <c:pt idx="239">
                  <c:v>2022/8/29</c:v>
                </c:pt>
                <c:pt idx="240">
                  <c:v>2022/8/30</c:v>
                </c:pt>
                <c:pt idx="241">
                  <c:v>2022/8/31</c:v>
                </c:pt>
                <c:pt idx="242">
                  <c:v>2022/9/1</c:v>
                </c:pt>
                <c:pt idx="243">
                  <c:v>2022/9/2</c:v>
                </c:pt>
                <c:pt idx="244">
                  <c:v>2022/9/5</c:v>
                </c:pt>
                <c:pt idx="245">
                  <c:v>2022/9/6</c:v>
                </c:pt>
                <c:pt idx="246">
                  <c:v>2022/9/7</c:v>
                </c:pt>
                <c:pt idx="247">
                  <c:v>2022/9/8</c:v>
                </c:pt>
                <c:pt idx="248">
                  <c:v>2022/9/9</c:v>
                </c:pt>
                <c:pt idx="249">
                  <c:v>2022/9/13</c:v>
                </c:pt>
                <c:pt idx="250">
                  <c:v>2022/9/14</c:v>
                </c:pt>
                <c:pt idx="251">
                  <c:v>2022/9/15</c:v>
                </c:pt>
                <c:pt idx="252">
                  <c:v>2022/9/16</c:v>
                </c:pt>
                <c:pt idx="253">
                  <c:v>2022/9/19</c:v>
                </c:pt>
                <c:pt idx="254">
                  <c:v>2022/9/20</c:v>
                </c:pt>
                <c:pt idx="255">
                  <c:v>2022/9/21</c:v>
                </c:pt>
                <c:pt idx="256">
                  <c:v>2022/9/22</c:v>
                </c:pt>
                <c:pt idx="257">
                  <c:v>2022/9/23</c:v>
                </c:pt>
                <c:pt idx="258">
                  <c:v>2022/9/26</c:v>
                </c:pt>
                <c:pt idx="259">
                  <c:v>2022/9/27</c:v>
                </c:pt>
                <c:pt idx="260">
                  <c:v>2022/9/28</c:v>
                </c:pt>
                <c:pt idx="261">
                  <c:v>2022/9/29</c:v>
                </c:pt>
                <c:pt idx="262">
                  <c:v>2022/9/30</c:v>
                </c:pt>
                <c:pt idx="263">
                  <c:v>2022/10/10</c:v>
                </c:pt>
                <c:pt idx="264">
                  <c:v>2022/10/11</c:v>
                </c:pt>
                <c:pt idx="265">
                  <c:v>2022/10/12</c:v>
                </c:pt>
                <c:pt idx="266">
                  <c:v>2022/10/13</c:v>
                </c:pt>
                <c:pt idx="267">
                  <c:v>2022/10/14</c:v>
                </c:pt>
                <c:pt idx="268">
                  <c:v>2022/10/17</c:v>
                </c:pt>
                <c:pt idx="269">
                  <c:v>2022/10/18</c:v>
                </c:pt>
                <c:pt idx="270">
                  <c:v>2022/10/19</c:v>
                </c:pt>
                <c:pt idx="271">
                  <c:v>2022/10/20</c:v>
                </c:pt>
                <c:pt idx="272">
                  <c:v>2022/10/21</c:v>
                </c:pt>
                <c:pt idx="273">
                  <c:v>2022/10/24</c:v>
                </c:pt>
                <c:pt idx="274">
                  <c:v>2022/10/25</c:v>
                </c:pt>
                <c:pt idx="275">
                  <c:v>2022/10/26</c:v>
                </c:pt>
                <c:pt idx="276">
                  <c:v>2022/10/27</c:v>
                </c:pt>
                <c:pt idx="277">
                  <c:v>2022/10/28</c:v>
                </c:pt>
                <c:pt idx="278">
                  <c:v>2022/10/31</c:v>
                </c:pt>
                <c:pt idx="279">
                  <c:v>2022/11/1</c:v>
                </c:pt>
                <c:pt idx="280">
                  <c:v>2022/11/2</c:v>
                </c:pt>
                <c:pt idx="281">
                  <c:v>2022/11/3</c:v>
                </c:pt>
                <c:pt idx="282">
                  <c:v>2022/11/4</c:v>
                </c:pt>
                <c:pt idx="283">
                  <c:v>2022/11/7</c:v>
                </c:pt>
                <c:pt idx="284">
                  <c:v>2022/11/8</c:v>
                </c:pt>
                <c:pt idx="285">
                  <c:v>2022/11/9</c:v>
                </c:pt>
                <c:pt idx="286">
                  <c:v>2022/11/10</c:v>
                </c:pt>
                <c:pt idx="287">
                  <c:v>2022/11/11</c:v>
                </c:pt>
                <c:pt idx="288">
                  <c:v>2022/11/14</c:v>
                </c:pt>
                <c:pt idx="289">
                  <c:v>2022/11/15</c:v>
                </c:pt>
                <c:pt idx="290">
                  <c:v>2022/11/16</c:v>
                </c:pt>
                <c:pt idx="291">
                  <c:v>2022/11/17</c:v>
                </c:pt>
                <c:pt idx="292">
                  <c:v>2022/11/18</c:v>
                </c:pt>
                <c:pt idx="293">
                  <c:v>2022/11/21</c:v>
                </c:pt>
                <c:pt idx="294">
                  <c:v>2022/11/22</c:v>
                </c:pt>
                <c:pt idx="295">
                  <c:v>2022/11/23</c:v>
                </c:pt>
                <c:pt idx="296">
                  <c:v>2022/11/24</c:v>
                </c:pt>
                <c:pt idx="297">
                  <c:v>2022/11/25</c:v>
                </c:pt>
                <c:pt idx="298">
                  <c:v>2022/11/28</c:v>
                </c:pt>
                <c:pt idx="299">
                  <c:v>2022/11/29</c:v>
                </c:pt>
                <c:pt idx="300">
                  <c:v>2022/11/30</c:v>
                </c:pt>
                <c:pt idx="301">
                  <c:v>2022/12/1</c:v>
                </c:pt>
                <c:pt idx="302">
                  <c:v>2022/12/2</c:v>
                </c:pt>
                <c:pt idx="303">
                  <c:v>2022/12/5</c:v>
                </c:pt>
                <c:pt idx="304">
                  <c:v>2022/12/6</c:v>
                </c:pt>
                <c:pt idx="305">
                  <c:v>2022/12/7</c:v>
                </c:pt>
                <c:pt idx="306">
                  <c:v>2022/12/8</c:v>
                </c:pt>
                <c:pt idx="307">
                  <c:v>2022/12/9</c:v>
                </c:pt>
                <c:pt idx="308">
                  <c:v>2022/12/12</c:v>
                </c:pt>
                <c:pt idx="309">
                  <c:v>2022/12/13</c:v>
                </c:pt>
                <c:pt idx="310">
                  <c:v>2022/12/14</c:v>
                </c:pt>
                <c:pt idx="311">
                  <c:v>2022/12/15</c:v>
                </c:pt>
                <c:pt idx="312">
                  <c:v>2022/12/16</c:v>
                </c:pt>
                <c:pt idx="313">
                  <c:v>2022/12/19</c:v>
                </c:pt>
                <c:pt idx="314">
                  <c:v>2022/12/20</c:v>
                </c:pt>
                <c:pt idx="315">
                  <c:v>2022/12/21</c:v>
                </c:pt>
                <c:pt idx="316">
                  <c:v>2022/12/22</c:v>
                </c:pt>
                <c:pt idx="317">
                  <c:v>2022/12/23</c:v>
                </c:pt>
                <c:pt idx="318">
                  <c:v>2022/12/26</c:v>
                </c:pt>
                <c:pt idx="319">
                  <c:v>2022/12/27</c:v>
                </c:pt>
                <c:pt idx="320">
                  <c:v>2022/12/28</c:v>
                </c:pt>
                <c:pt idx="321">
                  <c:v>2022/12/29</c:v>
                </c:pt>
                <c:pt idx="322">
                  <c:v>2022/12/30</c:v>
                </c:pt>
                <c:pt idx="323">
                  <c:v>2023/1/3</c:v>
                </c:pt>
                <c:pt idx="324">
                  <c:v>2023/1/4</c:v>
                </c:pt>
                <c:pt idx="325">
                  <c:v>2023/1/5</c:v>
                </c:pt>
                <c:pt idx="326">
                  <c:v>2023/1/6</c:v>
                </c:pt>
                <c:pt idx="327">
                  <c:v>2023/1/9</c:v>
                </c:pt>
                <c:pt idx="328">
                  <c:v>2023/1/10</c:v>
                </c:pt>
                <c:pt idx="329">
                  <c:v>2023/1/11</c:v>
                </c:pt>
                <c:pt idx="330">
                  <c:v>2023/1/12</c:v>
                </c:pt>
                <c:pt idx="331">
                  <c:v>2023/1/13</c:v>
                </c:pt>
                <c:pt idx="332">
                  <c:v>2023/1/16</c:v>
                </c:pt>
                <c:pt idx="333">
                  <c:v>2023/1/17</c:v>
                </c:pt>
                <c:pt idx="334">
                  <c:v>2023/1/18</c:v>
                </c:pt>
                <c:pt idx="335">
                  <c:v>2023/1/19</c:v>
                </c:pt>
                <c:pt idx="336">
                  <c:v>2023/1/20</c:v>
                </c:pt>
                <c:pt idx="337">
                  <c:v>2023/1/28</c:v>
                </c:pt>
                <c:pt idx="338">
                  <c:v>2023/1/29</c:v>
                </c:pt>
                <c:pt idx="339">
                  <c:v>2023/1/30</c:v>
                </c:pt>
                <c:pt idx="340">
                  <c:v>2023/1/31</c:v>
                </c:pt>
                <c:pt idx="341">
                  <c:v>2023/2/1</c:v>
                </c:pt>
                <c:pt idx="342">
                  <c:v>2023/2/2</c:v>
                </c:pt>
                <c:pt idx="343">
                  <c:v>2023/2/3</c:v>
                </c:pt>
                <c:pt idx="344">
                  <c:v>2023/2/6</c:v>
                </c:pt>
                <c:pt idx="345">
                  <c:v>2023/2/7</c:v>
                </c:pt>
                <c:pt idx="346">
                  <c:v>2023/2/8</c:v>
                </c:pt>
                <c:pt idx="347">
                  <c:v>2023/2/9</c:v>
                </c:pt>
                <c:pt idx="348">
                  <c:v>2023/2/10</c:v>
                </c:pt>
                <c:pt idx="349">
                  <c:v>2023/2/13</c:v>
                </c:pt>
                <c:pt idx="350">
                  <c:v>2023/2/14</c:v>
                </c:pt>
                <c:pt idx="351">
                  <c:v>2023/2/15</c:v>
                </c:pt>
                <c:pt idx="352">
                  <c:v>2023/2/16</c:v>
                </c:pt>
                <c:pt idx="353">
                  <c:v>2023/2/17</c:v>
                </c:pt>
                <c:pt idx="354">
                  <c:v>2023/2/20</c:v>
                </c:pt>
                <c:pt idx="355">
                  <c:v>2023/2/21</c:v>
                </c:pt>
                <c:pt idx="356">
                  <c:v>2023/2/22</c:v>
                </c:pt>
                <c:pt idx="357">
                  <c:v>2023/2/23</c:v>
                </c:pt>
                <c:pt idx="358">
                  <c:v>2023/2/24</c:v>
                </c:pt>
                <c:pt idx="359">
                  <c:v>2023/2/27</c:v>
                </c:pt>
                <c:pt idx="360">
                  <c:v>2023/2/28</c:v>
                </c:pt>
                <c:pt idx="361">
                  <c:v>2023/3/1</c:v>
                </c:pt>
                <c:pt idx="362">
                  <c:v>2023/3/2</c:v>
                </c:pt>
                <c:pt idx="363">
                  <c:v>2023/3/3</c:v>
                </c:pt>
                <c:pt idx="364">
                  <c:v>2023/3/6</c:v>
                </c:pt>
                <c:pt idx="365">
                  <c:v>2023/3/7</c:v>
                </c:pt>
                <c:pt idx="366">
                  <c:v>2023/3/8</c:v>
                </c:pt>
                <c:pt idx="367">
                  <c:v>2023/3/9</c:v>
                </c:pt>
                <c:pt idx="368">
                  <c:v>2023/3/10</c:v>
                </c:pt>
                <c:pt idx="369">
                  <c:v>2023/3/13</c:v>
                </c:pt>
                <c:pt idx="370">
                  <c:v>2023/3/14</c:v>
                </c:pt>
                <c:pt idx="371">
                  <c:v>2023/3/15</c:v>
                </c:pt>
                <c:pt idx="372">
                  <c:v>2023/3/16</c:v>
                </c:pt>
                <c:pt idx="373">
                  <c:v>2023/3/17</c:v>
                </c:pt>
                <c:pt idx="374">
                  <c:v>2023/3/20</c:v>
                </c:pt>
                <c:pt idx="375">
                  <c:v>2023/3/21</c:v>
                </c:pt>
                <c:pt idx="376">
                  <c:v>2023/3/22</c:v>
                </c:pt>
                <c:pt idx="377">
                  <c:v>2023/3/23</c:v>
                </c:pt>
                <c:pt idx="378">
                  <c:v>2023/3/24</c:v>
                </c:pt>
                <c:pt idx="379">
                  <c:v>2023/3/27</c:v>
                </c:pt>
                <c:pt idx="380">
                  <c:v>2023/3/28</c:v>
                </c:pt>
                <c:pt idx="382">
                  <c:v>数据来源：Wind</c:v>
                </c:pt>
                <c:pt idx="385">
                  <c:v>2020</c:v>
                </c:pt>
                <c:pt idx="386">
                  <c:v>2021</c:v>
                </c:pt>
                <c:pt idx="387">
                  <c:v>2022E</c:v>
                </c:pt>
                <c:pt idx="388">
                  <c:v>2023E</c:v>
                </c:pt>
                <c:pt idx="389">
                  <c:v>2024E</c:v>
                </c:pt>
                <c:pt idx="390">
                  <c:v>2025E</c:v>
                </c:pt>
              </c:strCache>
            </c:strRef>
          </c:cat>
          <c:val>
            <c:numRef>
              <c:f>Charts!$C$1705:$C$2102</c:f>
              <c:numCache>
                <c:formatCode>General</c:formatCode>
                <c:ptCount val="398"/>
                <c:pt idx="0">
                  <c:v>52625</c:v>
                </c:pt>
                <c:pt idx="1">
                  <c:v>52625</c:v>
                </c:pt>
                <c:pt idx="2">
                  <c:v>52625</c:v>
                </c:pt>
                <c:pt idx="3">
                  <c:v>52625</c:v>
                </c:pt>
                <c:pt idx="4">
                  <c:v>52625</c:v>
                </c:pt>
                <c:pt idx="5">
                  <c:v>52625</c:v>
                </c:pt>
                <c:pt idx="6">
                  <c:v>52625</c:v>
                </c:pt>
                <c:pt idx="7">
                  <c:v>52625</c:v>
                </c:pt>
                <c:pt idx="8">
                  <c:v>52625</c:v>
                </c:pt>
                <c:pt idx="9">
                  <c:v>52625</c:v>
                </c:pt>
                <c:pt idx="10">
                  <c:v>52625</c:v>
                </c:pt>
                <c:pt idx="11">
                  <c:v>52625</c:v>
                </c:pt>
                <c:pt idx="12">
                  <c:v>52625</c:v>
                </c:pt>
                <c:pt idx="13">
                  <c:v>52625</c:v>
                </c:pt>
                <c:pt idx="14">
                  <c:v>52625</c:v>
                </c:pt>
                <c:pt idx="15">
                  <c:v>52625</c:v>
                </c:pt>
                <c:pt idx="16">
                  <c:v>52625</c:v>
                </c:pt>
                <c:pt idx="17">
                  <c:v>52625</c:v>
                </c:pt>
                <c:pt idx="18">
                  <c:v>52625</c:v>
                </c:pt>
                <c:pt idx="19">
                  <c:v>52625</c:v>
                </c:pt>
                <c:pt idx="20">
                  <c:v>53625</c:v>
                </c:pt>
                <c:pt idx="21">
                  <c:v>53625</c:v>
                </c:pt>
                <c:pt idx="22">
                  <c:v>53625</c:v>
                </c:pt>
                <c:pt idx="23">
                  <c:v>53625</c:v>
                </c:pt>
                <c:pt idx="24">
                  <c:v>53625</c:v>
                </c:pt>
                <c:pt idx="25">
                  <c:v>53625</c:v>
                </c:pt>
                <c:pt idx="26">
                  <c:v>52500</c:v>
                </c:pt>
                <c:pt idx="27">
                  <c:v>52500</c:v>
                </c:pt>
                <c:pt idx="28">
                  <c:v>52500</c:v>
                </c:pt>
                <c:pt idx="29">
                  <c:v>52500</c:v>
                </c:pt>
                <c:pt idx="30">
                  <c:v>52500</c:v>
                </c:pt>
                <c:pt idx="31">
                  <c:v>52500</c:v>
                </c:pt>
                <c:pt idx="32">
                  <c:v>52500</c:v>
                </c:pt>
                <c:pt idx="33">
                  <c:v>52500</c:v>
                </c:pt>
                <c:pt idx="34">
                  <c:v>52500</c:v>
                </c:pt>
                <c:pt idx="35">
                  <c:v>52500</c:v>
                </c:pt>
                <c:pt idx="36">
                  <c:v>52500</c:v>
                </c:pt>
                <c:pt idx="37">
                  <c:v>52500</c:v>
                </c:pt>
                <c:pt idx="38">
                  <c:v>52500</c:v>
                </c:pt>
                <c:pt idx="39">
                  <c:v>52500</c:v>
                </c:pt>
                <c:pt idx="40">
                  <c:v>52500</c:v>
                </c:pt>
                <c:pt idx="41">
                  <c:v>52500</c:v>
                </c:pt>
                <c:pt idx="42">
                  <c:v>52500</c:v>
                </c:pt>
                <c:pt idx="43">
                  <c:v>52500</c:v>
                </c:pt>
                <c:pt idx="44">
                  <c:v>52500</c:v>
                </c:pt>
                <c:pt idx="45">
                  <c:v>52500</c:v>
                </c:pt>
                <c:pt idx="46">
                  <c:v>52500</c:v>
                </c:pt>
                <c:pt idx="47">
                  <c:v>52500</c:v>
                </c:pt>
                <c:pt idx="48">
                  <c:v>52500</c:v>
                </c:pt>
                <c:pt idx="49">
                  <c:v>52500</c:v>
                </c:pt>
                <c:pt idx="50">
                  <c:v>52500</c:v>
                </c:pt>
                <c:pt idx="51">
                  <c:v>52500</c:v>
                </c:pt>
                <c:pt idx="52">
                  <c:v>52500</c:v>
                </c:pt>
                <c:pt idx="53">
                  <c:v>52500</c:v>
                </c:pt>
                <c:pt idx="54">
                  <c:v>52500</c:v>
                </c:pt>
                <c:pt idx="55">
                  <c:v>52500</c:v>
                </c:pt>
                <c:pt idx="56">
                  <c:v>52625</c:v>
                </c:pt>
                <c:pt idx="57">
                  <c:v>52750</c:v>
                </c:pt>
                <c:pt idx="58">
                  <c:v>53000</c:v>
                </c:pt>
                <c:pt idx="59">
                  <c:v>53125</c:v>
                </c:pt>
                <c:pt idx="60">
                  <c:v>53125</c:v>
                </c:pt>
                <c:pt idx="61">
                  <c:v>53125</c:v>
                </c:pt>
                <c:pt idx="62">
                  <c:v>53375</c:v>
                </c:pt>
                <c:pt idx="63">
                  <c:v>53375</c:v>
                </c:pt>
                <c:pt idx="64">
                  <c:v>53625</c:v>
                </c:pt>
                <c:pt idx="65">
                  <c:v>53625</c:v>
                </c:pt>
                <c:pt idx="66">
                  <c:v>53625</c:v>
                </c:pt>
                <c:pt idx="67">
                  <c:v>54313</c:v>
                </c:pt>
                <c:pt idx="68">
                  <c:v>54313</c:v>
                </c:pt>
                <c:pt idx="69">
                  <c:v>54313</c:v>
                </c:pt>
                <c:pt idx="70">
                  <c:v>54313</c:v>
                </c:pt>
                <c:pt idx="71">
                  <c:v>54313</c:v>
                </c:pt>
                <c:pt idx="72">
                  <c:v>54313</c:v>
                </c:pt>
                <c:pt idx="73">
                  <c:v>54313</c:v>
                </c:pt>
                <c:pt idx="74">
                  <c:v>54313</c:v>
                </c:pt>
                <c:pt idx="75">
                  <c:v>54313</c:v>
                </c:pt>
                <c:pt idx="76">
                  <c:v>54313</c:v>
                </c:pt>
                <c:pt idx="77">
                  <c:v>54313</c:v>
                </c:pt>
                <c:pt idx="78">
                  <c:v>54750</c:v>
                </c:pt>
                <c:pt idx="79">
                  <c:v>54750</c:v>
                </c:pt>
                <c:pt idx="80">
                  <c:v>54750</c:v>
                </c:pt>
                <c:pt idx="81">
                  <c:v>54750</c:v>
                </c:pt>
                <c:pt idx="82">
                  <c:v>54750</c:v>
                </c:pt>
                <c:pt idx="83">
                  <c:v>54750</c:v>
                </c:pt>
                <c:pt idx="84">
                  <c:v>54750</c:v>
                </c:pt>
                <c:pt idx="85">
                  <c:v>54750</c:v>
                </c:pt>
                <c:pt idx="86">
                  <c:v>54750</c:v>
                </c:pt>
                <c:pt idx="87">
                  <c:v>54750</c:v>
                </c:pt>
                <c:pt idx="88">
                  <c:v>55500</c:v>
                </c:pt>
                <c:pt idx="89">
                  <c:v>55500</c:v>
                </c:pt>
                <c:pt idx="90">
                  <c:v>55500</c:v>
                </c:pt>
                <c:pt idx="91">
                  <c:v>55500</c:v>
                </c:pt>
                <c:pt idx="92">
                  <c:v>55500</c:v>
                </c:pt>
                <c:pt idx="93">
                  <c:v>55500</c:v>
                </c:pt>
                <c:pt idx="94">
                  <c:v>56000</c:v>
                </c:pt>
                <c:pt idx="95">
                  <c:v>56000</c:v>
                </c:pt>
                <c:pt idx="96">
                  <c:v>56000</c:v>
                </c:pt>
                <c:pt idx="97">
                  <c:v>56000</c:v>
                </c:pt>
                <c:pt idx="98">
                  <c:v>56000</c:v>
                </c:pt>
                <c:pt idx="99">
                  <c:v>56000</c:v>
                </c:pt>
                <c:pt idx="100">
                  <c:v>56000</c:v>
                </c:pt>
                <c:pt idx="101">
                  <c:v>56000</c:v>
                </c:pt>
                <c:pt idx="102">
                  <c:v>56000</c:v>
                </c:pt>
                <c:pt idx="103">
                  <c:v>56000</c:v>
                </c:pt>
                <c:pt idx="104">
                  <c:v>56000</c:v>
                </c:pt>
                <c:pt idx="105">
                  <c:v>56000</c:v>
                </c:pt>
                <c:pt idx="106">
                  <c:v>56000</c:v>
                </c:pt>
                <c:pt idx="107">
                  <c:v>56000</c:v>
                </c:pt>
                <c:pt idx="108">
                  <c:v>56000</c:v>
                </c:pt>
                <c:pt idx="109">
                  <c:v>56000</c:v>
                </c:pt>
                <c:pt idx="110">
                  <c:v>56000</c:v>
                </c:pt>
                <c:pt idx="111">
                  <c:v>56000</c:v>
                </c:pt>
                <c:pt idx="112">
                  <c:v>56000</c:v>
                </c:pt>
                <c:pt idx="113">
                  <c:v>56000</c:v>
                </c:pt>
                <c:pt idx="114">
                  <c:v>57250</c:v>
                </c:pt>
                <c:pt idx="115">
                  <c:v>57250</c:v>
                </c:pt>
                <c:pt idx="116">
                  <c:v>57250</c:v>
                </c:pt>
                <c:pt idx="117">
                  <c:v>57250</c:v>
                </c:pt>
                <c:pt idx="118">
                  <c:v>57250</c:v>
                </c:pt>
                <c:pt idx="119">
                  <c:v>57250</c:v>
                </c:pt>
                <c:pt idx="120">
                  <c:v>57250</c:v>
                </c:pt>
                <c:pt idx="121">
                  <c:v>57250</c:v>
                </c:pt>
                <c:pt idx="122">
                  <c:v>57250</c:v>
                </c:pt>
                <c:pt idx="123">
                  <c:v>57250</c:v>
                </c:pt>
                <c:pt idx="124">
                  <c:v>57250</c:v>
                </c:pt>
                <c:pt idx="125">
                  <c:v>57250</c:v>
                </c:pt>
                <c:pt idx="126">
                  <c:v>57250</c:v>
                </c:pt>
                <c:pt idx="127">
                  <c:v>57250</c:v>
                </c:pt>
                <c:pt idx="128">
                  <c:v>57250</c:v>
                </c:pt>
                <c:pt idx="129">
                  <c:v>57250</c:v>
                </c:pt>
                <c:pt idx="130">
                  <c:v>57250</c:v>
                </c:pt>
                <c:pt idx="131">
                  <c:v>57250</c:v>
                </c:pt>
                <c:pt idx="132">
                  <c:v>57250</c:v>
                </c:pt>
                <c:pt idx="133">
                  <c:v>57250</c:v>
                </c:pt>
                <c:pt idx="134">
                  <c:v>57250</c:v>
                </c:pt>
                <c:pt idx="135">
                  <c:v>57250</c:v>
                </c:pt>
                <c:pt idx="136">
                  <c:v>57250</c:v>
                </c:pt>
                <c:pt idx="137">
                  <c:v>58000</c:v>
                </c:pt>
                <c:pt idx="138">
                  <c:v>58000</c:v>
                </c:pt>
                <c:pt idx="139">
                  <c:v>58813</c:v>
                </c:pt>
                <c:pt idx="140">
                  <c:v>58813</c:v>
                </c:pt>
                <c:pt idx="141">
                  <c:v>58813</c:v>
                </c:pt>
                <c:pt idx="142">
                  <c:v>58813</c:v>
                </c:pt>
                <c:pt idx="143">
                  <c:v>59875</c:v>
                </c:pt>
                <c:pt idx="144">
                  <c:v>59875</c:v>
                </c:pt>
                <c:pt idx="145">
                  <c:v>59875</c:v>
                </c:pt>
                <c:pt idx="146">
                  <c:v>59875</c:v>
                </c:pt>
                <c:pt idx="147">
                  <c:v>59875</c:v>
                </c:pt>
                <c:pt idx="148">
                  <c:v>59875</c:v>
                </c:pt>
                <c:pt idx="149">
                  <c:v>59875</c:v>
                </c:pt>
                <c:pt idx="150">
                  <c:v>59875</c:v>
                </c:pt>
                <c:pt idx="151">
                  <c:v>59875</c:v>
                </c:pt>
                <c:pt idx="152">
                  <c:v>59875</c:v>
                </c:pt>
                <c:pt idx="153">
                  <c:v>59875</c:v>
                </c:pt>
                <c:pt idx="154">
                  <c:v>59875</c:v>
                </c:pt>
                <c:pt idx="155">
                  <c:v>59875</c:v>
                </c:pt>
                <c:pt idx="156">
                  <c:v>59875</c:v>
                </c:pt>
                <c:pt idx="157">
                  <c:v>60375</c:v>
                </c:pt>
                <c:pt idx="158">
                  <c:v>60375</c:v>
                </c:pt>
                <c:pt idx="159">
                  <c:v>60375</c:v>
                </c:pt>
                <c:pt idx="160">
                  <c:v>60375</c:v>
                </c:pt>
                <c:pt idx="161">
                  <c:v>60375</c:v>
                </c:pt>
                <c:pt idx="162">
                  <c:v>60375</c:v>
                </c:pt>
                <c:pt idx="163">
                  <c:v>60375</c:v>
                </c:pt>
                <c:pt idx="164">
                  <c:v>60375</c:v>
                </c:pt>
                <c:pt idx="165">
                  <c:v>60375</c:v>
                </c:pt>
                <c:pt idx="166">
                  <c:v>60375</c:v>
                </c:pt>
                <c:pt idx="167">
                  <c:v>60375</c:v>
                </c:pt>
                <c:pt idx="168">
                  <c:v>60375</c:v>
                </c:pt>
                <c:pt idx="169">
                  <c:v>60375</c:v>
                </c:pt>
                <c:pt idx="170">
                  <c:v>60375</c:v>
                </c:pt>
                <c:pt idx="171">
                  <c:v>60375</c:v>
                </c:pt>
                <c:pt idx="172">
                  <c:v>60375</c:v>
                </c:pt>
                <c:pt idx="173">
                  <c:v>60375</c:v>
                </c:pt>
                <c:pt idx="174">
                  <c:v>60375</c:v>
                </c:pt>
                <c:pt idx="175">
                  <c:v>60375</c:v>
                </c:pt>
                <c:pt idx="176">
                  <c:v>60375</c:v>
                </c:pt>
                <c:pt idx="177">
                  <c:v>60375</c:v>
                </c:pt>
                <c:pt idx="178">
                  <c:v>60375</c:v>
                </c:pt>
                <c:pt idx="179">
                  <c:v>60375</c:v>
                </c:pt>
                <c:pt idx="180">
                  <c:v>60375</c:v>
                </c:pt>
                <c:pt idx="181">
                  <c:v>60375</c:v>
                </c:pt>
                <c:pt idx="182">
                  <c:v>60375</c:v>
                </c:pt>
                <c:pt idx="183">
                  <c:v>60375</c:v>
                </c:pt>
                <c:pt idx="184">
                  <c:v>60375</c:v>
                </c:pt>
                <c:pt idx="185">
                  <c:v>60375</c:v>
                </c:pt>
                <c:pt idx="186">
                  <c:v>60375</c:v>
                </c:pt>
                <c:pt idx="187">
                  <c:v>60375</c:v>
                </c:pt>
                <c:pt idx="188">
                  <c:v>60375</c:v>
                </c:pt>
                <c:pt idx="189">
                  <c:v>60375</c:v>
                </c:pt>
                <c:pt idx="190">
                  <c:v>60375</c:v>
                </c:pt>
                <c:pt idx="191">
                  <c:v>60375</c:v>
                </c:pt>
                <c:pt idx="192">
                  <c:v>60375</c:v>
                </c:pt>
                <c:pt idx="193">
                  <c:v>60375</c:v>
                </c:pt>
                <c:pt idx="194">
                  <c:v>60375</c:v>
                </c:pt>
                <c:pt idx="195">
                  <c:v>60375</c:v>
                </c:pt>
                <c:pt idx="196">
                  <c:v>60375</c:v>
                </c:pt>
                <c:pt idx="197">
                  <c:v>60375</c:v>
                </c:pt>
                <c:pt idx="198">
                  <c:v>60375</c:v>
                </c:pt>
                <c:pt idx="199">
                  <c:v>60375</c:v>
                </c:pt>
                <c:pt idx="200">
                  <c:v>60375</c:v>
                </c:pt>
                <c:pt idx="201">
                  <c:v>60375</c:v>
                </c:pt>
                <c:pt idx="202">
                  <c:v>60375</c:v>
                </c:pt>
                <c:pt idx="203">
                  <c:v>60375</c:v>
                </c:pt>
                <c:pt idx="204">
                  <c:v>60375</c:v>
                </c:pt>
                <c:pt idx="205">
                  <c:v>60375</c:v>
                </c:pt>
                <c:pt idx="206">
                  <c:v>60375</c:v>
                </c:pt>
                <c:pt idx="207">
                  <c:v>60375</c:v>
                </c:pt>
                <c:pt idx="208">
                  <c:v>60375</c:v>
                </c:pt>
                <c:pt idx="209">
                  <c:v>60375</c:v>
                </c:pt>
                <c:pt idx="210">
                  <c:v>60375</c:v>
                </c:pt>
                <c:pt idx="211">
                  <c:v>60375</c:v>
                </c:pt>
                <c:pt idx="212">
                  <c:v>60375</c:v>
                </c:pt>
                <c:pt idx="213">
                  <c:v>60375</c:v>
                </c:pt>
                <c:pt idx="214">
                  <c:v>60375</c:v>
                </c:pt>
                <c:pt idx="215">
                  <c:v>60375</c:v>
                </c:pt>
                <c:pt idx="216">
                  <c:v>60375</c:v>
                </c:pt>
                <c:pt idx="217">
                  <c:v>60375</c:v>
                </c:pt>
                <c:pt idx="218">
                  <c:v>60375</c:v>
                </c:pt>
                <c:pt idx="219">
                  <c:v>60375</c:v>
                </c:pt>
                <c:pt idx="220">
                  <c:v>60375</c:v>
                </c:pt>
                <c:pt idx="221">
                  <c:v>60375</c:v>
                </c:pt>
                <c:pt idx="222">
                  <c:v>60375</c:v>
                </c:pt>
                <c:pt idx="223">
                  <c:v>60375</c:v>
                </c:pt>
                <c:pt idx="224">
                  <c:v>60375</c:v>
                </c:pt>
                <c:pt idx="225">
                  <c:v>60375</c:v>
                </c:pt>
                <c:pt idx="226">
                  <c:v>60375</c:v>
                </c:pt>
                <c:pt idx="227">
                  <c:v>60375</c:v>
                </c:pt>
                <c:pt idx="228">
                  <c:v>60375</c:v>
                </c:pt>
                <c:pt idx="229">
                  <c:v>60375</c:v>
                </c:pt>
                <c:pt idx="230">
                  <c:v>60375</c:v>
                </c:pt>
                <c:pt idx="231">
                  <c:v>60375</c:v>
                </c:pt>
                <c:pt idx="232">
                  <c:v>60375</c:v>
                </c:pt>
                <c:pt idx="233">
                  <c:v>60375</c:v>
                </c:pt>
                <c:pt idx="234">
                  <c:v>60375</c:v>
                </c:pt>
                <c:pt idx="235">
                  <c:v>60375</c:v>
                </c:pt>
                <c:pt idx="236">
                  <c:v>60375</c:v>
                </c:pt>
                <c:pt idx="237">
                  <c:v>60375</c:v>
                </c:pt>
                <c:pt idx="238">
                  <c:v>60375</c:v>
                </c:pt>
                <c:pt idx="239">
                  <c:v>60375</c:v>
                </c:pt>
                <c:pt idx="240">
                  <c:v>60375</c:v>
                </c:pt>
                <c:pt idx="241">
                  <c:v>60375</c:v>
                </c:pt>
                <c:pt idx="242">
                  <c:v>60375</c:v>
                </c:pt>
                <c:pt idx="243">
                  <c:v>60375</c:v>
                </c:pt>
                <c:pt idx="244">
                  <c:v>60375</c:v>
                </c:pt>
                <c:pt idx="245">
                  <c:v>60375</c:v>
                </c:pt>
                <c:pt idx="246">
                  <c:v>60375</c:v>
                </c:pt>
                <c:pt idx="247">
                  <c:v>60375</c:v>
                </c:pt>
                <c:pt idx="248">
                  <c:v>60375</c:v>
                </c:pt>
                <c:pt idx="249">
                  <c:v>60375</c:v>
                </c:pt>
                <c:pt idx="250">
                  <c:v>60375</c:v>
                </c:pt>
                <c:pt idx="251">
                  <c:v>60375</c:v>
                </c:pt>
                <c:pt idx="252">
                  <c:v>60375</c:v>
                </c:pt>
                <c:pt idx="253">
                  <c:v>60375</c:v>
                </c:pt>
                <c:pt idx="254">
                  <c:v>60375</c:v>
                </c:pt>
                <c:pt idx="255">
                  <c:v>60375</c:v>
                </c:pt>
                <c:pt idx="256">
                  <c:v>60375</c:v>
                </c:pt>
                <c:pt idx="257">
                  <c:v>60375</c:v>
                </c:pt>
                <c:pt idx="258">
                  <c:v>60375</c:v>
                </c:pt>
                <c:pt idx="259">
                  <c:v>60375</c:v>
                </c:pt>
                <c:pt idx="260">
                  <c:v>60375</c:v>
                </c:pt>
                <c:pt idx="261">
                  <c:v>60375</c:v>
                </c:pt>
                <c:pt idx="262">
                  <c:v>60375</c:v>
                </c:pt>
                <c:pt idx="263">
                  <c:v>60375</c:v>
                </c:pt>
                <c:pt idx="264">
                  <c:v>60375</c:v>
                </c:pt>
                <c:pt idx="265">
                  <c:v>60375</c:v>
                </c:pt>
                <c:pt idx="266">
                  <c:v>60375</c:v>
                </c:pt>
                <c:pt idx="267">
                  <c:v>60375</c:v>
                </c:pt>
                <c:pt idx="268">
                  <c:v>60375</c:v>
                </c:pt>
                <c:pt idx="269">
                  <c:v>60375</c:v>
                </c:pt>
                <c:pt idx="270">
                  <c:v>60375</c:v>
                </c:pt>
                <c:pt idx="271">
                  <c:v>60375</c:v>
                </c:pt>
                <c:pt idx="272">
                  <c:v>60375</c:v>
                </c:pt>
                <c:pt idx="273">
                  <c:v>60375</c:v>
                </c:pt>
                <c:pt idx="274">
                  <c:v>60375</c:v>
                </c:pt>
                <c:pt idx="275">
                  <c:v>60375</c:v>
                </c:pt>
                <c:pt idx="276">
                  <c:v>60375</c:v>
                </c:pt>
                <c:pt idx="277">
                  <c:v>60375</c:v>
                </c:pt>
                <c:pt idx="278">
                  <c:v>60375</c:v>
                </c:pt>
                <c:pt idx="279">
                  <c:v>60375</c:v>
                </c:pt>
                <c:pt idx="280">
                  <c:v>60375</c:v>
                </c:pt>
                <c:pt idx="281">
                  <c:v>60375</c:v>
                </c:pt>
                <c:pt idx="282">
                  <c:v>60375</c:v>
                </c:pt>
                <c:pt idx="283">
                  <c:v>60375</c:v>
                </c:pt>
                <c:pt idx="284">
                  <c:v>60375</c:v>
                </c:pt>
                <c:pt idx="285">
                  <c:v>60375</c:v>
                </c:pt>
                <c:pt idx="286">
                  <c:v>60375</c:v>
                </c:pt>
                <c:pt idx="287">
                  <c:v>60375</c:v>
                </c:pt>
                <c:pt idx="288">
                  <c:v>60375</c:v>
                </c:pt>
                <c:pt idx="289">
                  <c:v>60375</c:v>
                </c:pt>
                <c:pt idx="290">
                  <c:v>60375</c:v>
                </c:pt>
                <c:pt idx="291">
                  <c:v>60375</c:v>
                </c:pt>
                <c:pt idx="292">
                  <c:v>60375</c:v>
                </c:pt>
                <c:pt idx="293">
                  <c:v>60375</c:v>
                </c:pt>
                <c:pt idx="294">
                  <c:v>60375</c:v>
                </c:pt>
                <c:pt idx="295">
                  <c:v>60375</c:v>
                </c:pt>
                <c:pt idx="296">
                  <c:v>60375</c:v>
                </c:pt>
                <c:pt idx="297">
                  <c:v>60375</c:v>
                </c:pt>
                <c:pt idx="298">
                  <c:v>60375</c:v>
                </c:pt>
                <c:pt idx="299">
                  <c:v>60375</c:v>
                </c:pt>
                <c:pt idx="300">
                  <c:v>60375</c:v>
                </c:pt>
                <c:pt idx="301">
                  <c:v>60375</c:v>
                </c:pt>
                <c:pt idx="302">
                  <c:v>60375</c:v>
                </c:pt>
                <c:pt idx="303">
                  <c:v>60375</c:v>
                </c:pt>
                <c:pt idx="304">
                  <c:v>60375</c:v>
                </c:pt>
                <c:pt idx="305">
                  <c:v>60375</c:v>
                </c:pt>
                <c:pt idx="306">
                  <c:v>60375</c:v>
                </c:pt>
                <c:pt idx="307">
                  <c:v>60375</c:v>
                </c:pt>
                <c:pt idx="308">
                  <c:v>60375</c:v>
                </c:pt>
                <c:pt idx="309">
                  <c:v>60375</c:v>
                </c:pt>
                <c:pt idx="310">
                  <c:v>60375</c:v>
                </c:pt>
                <c:pt idx="311">
                  <c:v>60375</c:v>
                </c:pt>
                <c:pt idx="312">
                  <c:v>60375</c:v>
                </c:pt>
                <c:pt idx="313">
                  <c:v>60375</c:v>
                </c:pt>
                <c:pt idx="314">
                  <c:v>60375</c:v>
                </c:pt>
                <c:pt idx="315">
                  <c:v>60375</c:v>
                </c:pt>
                <c:pt idx="316">
                  <c:v>60375</c:v>
                </c:pt>
                <c:pt idx="317">
                  <c:v>60375</c:v>
                </c:pt>
                <c:pt idx="318">
                  <c:v>60375</c:v>
                </c:pt>
                <c:pt idx="319">
                  <c:v>59375</c:v>
                </c:pt>
                <c:pt idx="320">
                  <c:v>58375</c:v>
                </c:pt>
                <c:pt idx="321">
                  <c:v>58375</c:v>
                </c:pt>
                <c:pt idx="322">
                  <c:v>58375</c:v>
                </c:pt>
                <c:pt idx="323">
                  <c:v>58375</c:v>
                </c:pt>
                <c:pt idx="324">
                  <c:v>58375</c:v>
                </c:pt>
                <c:pt idx="325">
                  <c:v>58375</c:v>
                </c:pt>
                <c:pt idx="326">
                  <c:v>58375</c:v>
                </c:pt>
                <c:pt idx="327">
                  <c:v>58375</c:v>
                </c:pt>
                <c:pt idx="328">
                  <c:v>53833</c:v>
                </c:pt>
                <c:pt idx="329">
                  <c:v>53750</c:v>
                </c:pt>
                <c:pt idx="330">
                  <c:v>53666</c:v>
                </c:pt>
                <c:pt idx="331">
                  <c:v>53583</c:v>
                </c:pt>
                <c:pt idx="332">
                  <c:v>53500</c:v>
                </c:pt>
                <c:pt idx="333">
                  <c:v>53500</c:v>
                </c:pt>
                <c:pt idx="334">
                  <c:v>53417</c:v>
                </c:pt>
                <c:pt idx="335">
                  <c:v>53417</c:v>
                </c:pt>
                <c:pt idx="336">
                  <c:v>53333</c:v>
                </c:pt>
                <c:pt idx="337">
                  <c:v>53333</c:v>
                </c:pt>
                <c:pt idx="338">
                  <c:v>53333</c:v>
                </c:pt>
                <c:pt idx="339">
                  <c:v>53250</c:v>
                </c:pt>
                <c:pt idx="340">
                  <c:v>53125</c:v>
                </c:pt>
                <c:pt idx="341">
                  <c:v>53041</c:v>
                </c:pt>
                <c:pt idx="342">
                  <c:v>52916</c:v>
                </c:pt>
                <c:pt idx="343">
                  <c:v>52916</c:v>
                </c:pt>
                <c:pt idx="344">
                  <c:v>52041</c:v>
                </c:pt>
                <c:pt idx="345">
                  <c:v>50916</c:v>
                </c:pt>
                <c:pt idx="346">
                  <c:v>50875</c:v>
                </c:pt>
                <c:pt idx="347">
                  <c:v>50875</c:v>
                </c:pt>
                <c:pt idx="348">
                  <c:v>50875</c:v>
                </c:pt>
                <c:pt idx="349">
                  <c:v>50875</c:v>
                </c:pt>
                <c:pt idx="350">
                  <c:v>50875</c:v>
                </c:pt>
                <c:pt idx="351">
                  <c:v>50791</c:v>
                </c:pt>
                <c:pt idx="352">
                  <c:v>50750</c:v>
                </c:pt>
                <c:pt idx="353">
                  <c:v>50708</c:v>
                </c:pt>
                <c:pt idx="354">
                  <c:v>50667</c:v>
                </c:pt>
                <c:pt idx="355">
                  <c:v>50667</c:v>
                </c:pt>
                <c:pt idx="356">
                  <c:v>50667</c:v>
                </c:pt>
                <c:pt idx="357">
                  <c:v>50667</c:v>
                </c:pt>
                <c:pt idx="358">
                  <c:v>50583</c:v>
                </c:pt>
                <c:pt idx="359">
                  <c:v>50500</c:v>
                </c:pt>
                <c:pt idx="360">
                  <c:v>50416</c:v>
                </c:pt>
                <c:pt idx="361">
                  <c:v>50375</c:v>
                </c:pt>
                <c:pt idx="362">
                  <c:v>48925</c:v>
                </c:pt>
                <c:pt idx="363">
                  <c:v>48313</c:v>
                </c:pt>
                <c:pt idx="364">
                  <c:v>47688</c:v>
                </c:pt>
                <c:pt idx="365">
                  <c:v>47688</c:v>
                </c:pt>
                <c:pt idx="366">
                  <c:v>50500</c:v>
                </c:pt>
                <c:pt idx="367">
                  <c:v>50000</c:v>
                </c:pt>
                <c:pt idx="368">
                  <c:v>50000</c:v>
                </c:pt>
                <c:pt idx="369">
                  <c:v>50125</c:v>
                </c:pt>
                <c:pt idx="370">
                  <c:v>50125</c:v>
                </c:pt>
                <c:pt idx="371">
                  <c:v>50125</c:v>
                </c:pt>
                <c:pt idx="372">
                  <c:v>50125</c:v>
                </c:pt>
                <c:pt idx="373">
                  <c:v>50125</c:v>
                </c:pt>
                <c:pt idx="374">
                  <c:v>50125</c:v>
                </c:pt>
                <c:pt idx="375">
                  <c:v>50125</c:v>
                </c:pt>
                <c:pt idx="376">
                  <c:v>49875</c:v>
                </c:pt>
                <c:pt idx="377">
                  <c:v>49875</c:v>
                </c:pt>
                <c:pt idx="378">
                  <c:v>49875</c:v>
                </c:pt>
                <c:pt idx="379">
                  <c:v>49375</c:v>
                </c:pt>
                <c:pt idx="380">
                  <c:v>49375</c:v>
                </c:pt>
                <c:pt idx="384" formatCode="0.00%">
                  <c:v>0</c:v>
                </c:pt>
                <c:pt idx="385" formatCode="0.00%">
                  <c:v>0.12376401745386809</c:v>
                </c:pt>
                <c:pt idx="386" formatCode="0.00%">
                  <c:v>0.18000567729415132</c:v>
                </c:pt>
                <c:pt idx="387" formatCode="0.00%">
                  <c:v>0.21028449639690944</c:v>
                </c:pt>
                <c:pt idx="388" formatCode="0.00%">
                  <c:v>0.20951114875690316</c:v>
                </c:pt>
                <c:pt idx="389" formatCode="0.00%">
                  <c:v>0.20849621072969343</c:v>
                </c:pt>
                <c:pt idx="390" formatCode="0.00%">
                  <c:v>0.20619398508782452</c:v>
                </c:pt>
              </c:numCache>
            </c:numRef>
          </c:val>
          <c:smooth val="0"/>
          <c:extLst>
            <c:ext xmlns:c16="http://schemas.microsoft.com/office/drawing/2014/chart" uri="{C3380CC4-5D6E-409C-BE32-E72D297353CC}">
              <c16:uniqueId val="{00000003-3995-4E4C-B1FF-68F818036D58}"/>
            </c:ext>
          </c:extLst>
        </c:ser>
        <c:dLbls>
          <c:showLegendKey val="0"/>
          <c:showVal val="0"/>
          <c:showCatName val="0"/>
          <c:showSerName val="0"/>
          <c:showPercent val="0"/>
          <c:showBubbleSize val="0"/>
        </c:dLbls>
        <c:smooth val="0"/>
        <c:axId val="181936808"/>
        <c:axId val="1566799032"/>
      </c:lineChart>
      <c:catAx>
        <c:axId val="18193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66799032"/>
        <c:crosses val="autoZero"/>
        <c:auto val="1"/>
        <c:lblAlgn val="ctr"/>
        <c:lblOffset val="100"/>
        <c:noMultiLvlLbl val="0"/>
      </c:catAx>
      <c:valAx>
        <c:axId val="1566799032"/>
        <c:scaling>
          <c:orientation val="minMax"/>
          <c:min val="4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1936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'Production Quarterly'!$B$50:$B$51</c:f>
              <c:strCache>
                <c:ptCount val="2"/>
                <c:pt idx="0">
                  <c:v>Total Fremont</c:v>
                </c:pt>
                <c:pt idx="1">
                  <c:v>All models</c:v>
                </c:pt>
              </c:strCache>
            </c:strRef>
          </c:tx>
          <c:spPr>
            <a:solidFill>
              <a:schemeClr val="accent1"/>
            </a:solidFill>
            <a:ln>
              <a:noFill/>
            </a:ln>
            <a:effectLst/>
          </c:spPr>
          <c:invertIfNegative val="0"/>
          <c:cat>
            <c:strRef>
              <c:f>'Production Quarterly'!$A$52:$A$59</c:f>
              <c:strCache>
                <c:ptCount val="8"/>
                <c:pt idx="0">
                  <c:v>2021 Q1</c:v>
                </c:pt>
                <c:pt idx="1">
                  <c:v>2021 Q2</c:v>
                </c:pt>
                <c:pt idx="2">
                  <c:v>2021 Q3</c:v>
                </c:pt>
                <c:pt idx="3">
                  <c:v>2021 Q4</c:v>
                </c:pt>
                <c:pt idx="4">
                  <c:v>2022 Q1</c:v>
                </c:pt>
                <c:pt idx="5">
                  <c:v>2022 Q2</c:v>
                </c:pt>
                <c:pt idx="6">
                  <c:v>2022 Q3</c:v>
                </c:pt>
                <c:pt idx="7">
                  <c:v>2022 Q4</c:v>
                </c:pt>
              </c:strCache>
            </c:strRef>
          </c:cat>
          <c:val>
            <c:numRef>
              <c:f>'Production Quarterly'!$B$52:$B$59</c:f>
              <c:numCache>
                <c:formatCode>#,##0</c:formatCode>
                <c:ptCount val="8"/>
                <c:pt idx="0">
                  <c:v>101096</c:v>
                </c:pt>
                <c:pt idx="1">
                  <c:v>108170</c:v>
                </c:pt>
                <c:pt idx="2">
                  <c:v>108759</c:v>
                </c:pt>
                <c:pt idx="3">
                  <c:v>126610</c:v>
                </c:pt>
                <c:pt idx="4">
                  <c:v>126140</c:v>
                </c:pt>
                <c:pt idx="5">
                  <c:v>133906</c:v>
                </c:pt>
                <c:pt idx="6">
                  <c:v>143252</c:v>
                </c:pt>
                <c:pt idx="7">
                  <c:v>146018</c:v>
                </c:pt>
              </c:numCache>
            </c:numRef>
          </c:val>
          <c:extLst>
            <c:ext xmlns:c16="http://schemas.microsoft.com/office/drawing/2014/chart" uri="{C3380CC4-5D6E-409C-BE32-E72D297353CC}">
              <c16:uniqueId val="{00000001-896C-4030-A464-432DC29738E2}"/>
            </c:ext>
          </c:extLst>
        </c:ser>
        <c:ser>
          <c:idx val="1"/>
          <c:order val="1"/>
          <c:tx>
            <c:strRef>
              <c:f>'Production Quarterly'!$C$50:$C$51</c:f>
              <c:strCache>
                <c:ptCount val="2"/>
                <c:pt idx="0">
                  <c:v>Total Shanghai</c:v>
                </c:pt>
                <c:pt idx="1">
                  <c:v>All models</c:v>
                </c:pt>
              </c:strCache>
            </c:strRef>
          </c:tx>
          <c:spPr>
            <a:solidFill>
              <a:schemeClr val="accent2"/>
            </a:solidFill>
            <a:ln>
              <a:noFill/>
            </a:ln>
            <a:effectLst/>
          </c:spPr>
          <c:invertIfNegative val="0"/>
          <c:cat>
            <c:strRef>
              <c:f>'Production Quarterly'!$A$52:$A$59</c:f>
              <c:strCache>
                <c:ptCount val="8"/>
                <c:pt idx="0">
                  <c:v>2021 Q1</c:v>
                </c:pt>
                <c:pt idx="1">
                  <c:v>2021 Q2</c:v>
                </c:pt>
                <c:pt idx="2">
                  <c:v>2021 Q3</c:v>
                </c:pt>
                <c:pt idx="3">
                  <c:v>2021 Q4</c:v>
                </c:pt>
                <c:pt idx="4">
                  <c:v>2022 Q1</c:v>
                </c:pt>
                <c:pt idx="5">
                  <c:v>2022 Q2</c:v>
                </c:pt>
                <c:pt idx="6">
                  <c:v>2022 Q3</c:v>
                </c:pt>
                <c:pt idx="7">
                  <c:v>2022 Q4</c:v>
                </c:pt>
              </c:strCache>
            </c:strRef>
          </c:cat>
          <c:val>
            <c:numRef>
              <c:f>'Production Quarterly'!$C$52:$C$59</c:f>
              <c:numCache>
                <c:formatCode>#,##0</c:formatCode>
                <c:ptCount val="8"/>
                <c:pt idx="0">
                  <c:v>79242</c:v>
                </c:pt>
                <c:pt idx="1">
                  <c:v>98251</c:v>
                </c:pt>
                <c:pt idx="2">
                  <c:v>129064</c:v>
                </c:pt>
                <c:pt idx="3">
                  <c:v>179230</c:v>
                </c:pt>
                <c:pt idx="4">
                  <c:v>178887</c:v>
                </c:pt>
                <c:pt idx="5">
                  <c:v>115229</c:v>
                </c:pt>
                <c:pt idx="6">
                  <c:v>197412</c:v>
                </c:pt>
                <c:pt idx="7">
                  <c:v>233683</c:v>
                </c:pt>
              </c:numCache>
            </c:numRef>
          </c:val>
          <c:extLst>
            <c:ext xmlns:c16="http://schemas.microsoft.com/office/drawing/2014/chart" uri="{C3380CC4-5D6E-409C-BE32-E72D297353CC}">
              <c16:uniqueId val="{00000003-896C-4030-A464-432DC29738E2}"/>
            </c:ext>
          </c:extLst>
        </c:ser>
        <c:ser>
          <c:idx val="2"/>
          <c:order val="2"/>
          <c:tx>
            <c:strRef>
              <c:f>'Production Quarterly'!$D$50:$D$51</c:f>
              <c:strCache>
                <c:ptCount val="2"/>
                <c:pt idx="0">
                  <c:v>Berlin</c:v>
                </c:pt>
                <c:pt idx="1">
                  <c:v>Model Y</c:v>
                </c:pt>
              </c:strCache>
            </c:strRef>
          </c:tx>
          <c:spPr>
            <a:solidFill>
              <a:schemeClr val="accent3"/>
            </a:solidFill>
            <a:ln>
              <a:noFill/>
            </a:ln>
            <a:effectLst/>
          </c:spPr>
          <c:invertIfNegative val="0"/>
          <c:cat>
            <c:strRef>
              <c:f>'Production Quarterly'!$A$52:$A$59</c:f>
              <c:strCache>
                <c:ptCount val="8"/>
                <c:pt idx="0">
                  <c:v>2021 Q1</c:v>
                </c:pt>
                <c:pt idx="1">
                  <c:v>2021 Q2</c:v>
                </c:pt>
                <c:pt idx="2">
                  <c:v>2021 Q3</c:v>
                </c:pt>
                <c:pt idx="3">
                  <c:v>2021 Q4</c:v>
                </c:pt>
                <c:pt idx="4">
                  <c:v>2022 Q1</c:v>
                </c:pt>
                <c:pt idx="5">
                  <c:v>2022 Q2</c:v>
                </c:pt>
                <c:pt idx="6">
                  <c:v>2022 Q3</c:v>
                </c:pt>
                <c:pt idx="7">
                  <c:v>2022 Q4</c:v>
                </c:pt>
              </c:strCache>
            </c:strRef>
          </c:cat>
          <c:val>
            <c:numRef>
              <c:f>'Production Quarterly'!$D$52:$D$59</c:f>
              <c:numCache>
                <c:formatCode>General</c:formatCode>
                <c:ptCount val="8"/>
                <c:pt idx="0">
                  <c:v>0</c:v>
                </c:pt>
                <c:pt idx="1">
                  <c:v>0</c:v>
                </c:pt>
                <c:pt idx="2">
                  <c:v>0</c:v>
                </c:pt>
                <c:pt idx="3">
                  <c:v>0</c:v>
                </c:pt>
                <c:pt idx="4">
                  <c:v>350</c:v>
                </c:pt>
                <c:pt idx="5" formatCode="#,##0">
                  <c:v>7495</c:v>
                </c:pt>
                <c:pt idx="6" formatCode="#,##0">
                  <c:v>15800</c:v>
                </c:pt>
                <c:pt idx="7" formatCode="#,##0">
                  <c:v>30000</c:v>
                </c:pt>
              </c:numCache>
            </c:numRef>
          </c:val>
          <c:extLst>
            <c:ext xmlns:c16="http://schemas.microsoft.com/office/drawing/2014/chart" uri="{C3380CC4-5D6E-409C-BE32-E72D297353CC}">
              <c16:uniqueId val="{00000005-896C-4030-A464-432DC29738E2}"/>
            </c:ext>
          </c:extLst>
        </c:ser>
        <c:ser>
          <c:idx val="3"/>
          <c:order val="3"/>
          <c:tx>
            <c:strRef>
              <c:f>'Production Quarterly'!$E$50:$E$51</c:f>
              <c:strCache>
                <c:ptCount val="2"/>
                <c:pt idx="0">
                  <c:v>Texas</c:v>
                </c:pt>
                <c:pt idx="1">
                  <c:v>Model Y</c:v>
                </c:pt>
              </c:strCache>
            </c:strRef>
          </c:tx>
          <c:spPr>
            <a:solidFill>
              <a:schemeClr val="accent4"/>
            </a:solidFill>
            <a:ln>
              <a:noFill/>
            </a:ln>
            <a:effectLst/>
          </c:spPr>
          <c:invertIfNegative val="0"/>
          <c:cat>
            <c:strRef>
              <c:f>'Production Quarterly'!$A$52:$A$59</c:f>
              <c:strCache>
                <c:ptCount val="8"/>
                <c:pt idx="0">
                  <c:v>2021 Q1</c:v>
                </c:pt>
                <c:pt idx="1">
                  <c:v>2021 Q2</c:v>
                </c:pt>
                <c:pt idx="2">
                  <c:v>2021 Q3</c:v>
                </c:pt>
                <c:pt idx="3">
                  <c:v>2021 Q4</c:v>
                </c:pt>
                <c:pt idx="4">
                  <c:v>2022 Q1</c:v>
                </c:pt>
                <c:pt idx="5">
                  <c:v>2022 Q2</c:v>
                </c:pt>
                <c:pt idx="6">
                  <c:v>2022 Q3</c:v>
                </c:pt>
                <c:pt idx="7">
                  <c:v>2022 Q4</c:v>
                </c:pt>
              </c:strCache>
            </c:strRef>
          </c:cat>
          <c:val>
            <c:numRef>
              <c:f>'Production Quarterly'!$E$52:$E$59</c:f>
              <c:numCache>
                <c:formatCode>General</c:formatCode>
                <c:ptCount val="8"/>
                <c:pt idx="0">
                  <c:v>0</c:v>
                </c:pt>
                <c:pt idx="1">
                  <c:v>0</c:v>
                </c:pt>
                <c:pt idx="2">
                  <c:v>0</c:v>
                </c:pt>
                <c:pt idx="3">
                  <c:v>0</c:v>
                </c:pt>
                <c:pt idx="4">
                  <c:v>30</c:v>
                </c:pt>
                <c:pt idx="5" formatCode="#,##0">
                  <c:v>1950</c:v>
                </c:pt>
                <c:pt idx="6" formatCode="#,##0">
                  <c:v>9459</c:v>
                </c:pt>
                <c:pt idx="7" formatCode="#,##0">
                  <c:v>30000</c:v>
                </c:pt>
              </c:numCache>
            </c:numRef>
          </c:val>
          <c:extLst>
            <c:ext xmlns:c16="http://schemas.microsoft.com/office/drawing/2014/chart" uri="{C3380CC4-5D6E-409C-BE32-E72D297353CC}">
              <c16:uniqueId val="{00000007-896C-4030-A464-432DC29738E2}"/>
            </c:ext>
          </c:extLst>
        </c:ser>
        <c:dLbls>
          <c:showLegendKey val="0"/>
          <c:showVal val="0"/>
          <c:showCatName val="0"/>
          <c:showSerName val="0"/>
          <c:showPercent val="0"/>
          <c:showBubbleSize val="0"/>
        </c:dLbls>
        <c:gapWidth val="219"/>
        <c:overlap val="-27"/>
        <c:axId val="1619504616"/>
        <c:axId val="158206856"/>
      </c:barChart>
      <c:catAx>
        <c:axId val="1619504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8206856"/>
        <c:crosses val="autoZero"/>
        <c:auto val="1"/>
        <c:lblAlgn val="ctr"/>
        <c:lblOffset val="100"/>
        <c:noMultiLvlLbl val="0"/>
      </c:catAx>
      <c:valAx>
        <c:axId val="1582068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19504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 Id="rId9"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25.xml"/><Relationship Id="rId18" Type="http://schemas.openxmlformats.org/officeDocument/2006/relationships/chart" Target="../charts/chart30.xml"/><Relationship Id="rId26" Type="http://schemas.openxmlformats.org/officeDocument/2006/relationships/chart" Target="../charts/chart38.xml"/><Relationship Id="rId39" Type="http://schemas.openxmlformats.org/officeDocument/2006/relationships/chart" Target="../charts/chart51.xml"/><Relationship Id="rId21" Type="http://schemas.openxmlformats.org/officeDocument/2006/relationships/chart" Target="../charts/chart33.xml"/><Relationship Id="rId34" Type="http://schemas.openxmlformats.org/officeDocument/2006/relationships/chart" Target="../charts/chart46.xml"/><Relationship Id="rId42" Type="http://schemas.openxmlformats.org/officeDocument/2006/relationships/chart" Target="../charts/chart54.xml"/><Relationship Id="rId7" Type="http://schemas.openxmlformats.org/officeDocument/2006/relationships/chart" Target="../charts/chart19.xml"/><Relationship Id="rId2" Type="http://schemas.openxmlformats.org/officeDocument/2006/relationships/chart" Target="../charts/chart14.xml"/><Relationship Id="rId16" Type="http://schemas.openxmlformats.org/officeDocument/2006/relationships/chart" Target="../charts/chart28.xml"/><Relationship Id="rId20" Type="http://schemas.openxmlformats.org/officeDocument/2006/relationships/chart" Target="../charts/chart32.xml"/><Relationship Id="rId29" Type="http://schemas.openxmlformats.org/officeDocument/2006/relationships/chart" Target="../charts/chart41.xml"/><Relationship Id="rId41" Type="http://schemas.openxmlformats.org/officeDocument/2006/relationships/chart" Target="../charts/chart53.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24" Type="http://schemas.openxmlformats.org/officeDocument/2006/relationships/chart" Target="../charts/chart36.xml"/><Relationship Id="rId32" Type="http://schemas.openxmlformats.org/officeDocument/2006/relationships/chart" Target="../charts/chart44.xml"/><Relationship Id="rId37" Type="http://schemas.openxmlformats.org/officeDocument/2006/relationships/chart" Target="../charts/chart49.xml"/><Relationship Id="rId40" Type="http://schemas.openxmlformats.org/officeDocument/2006/relationships/chart" Target="../charts/chart52.xml"/><Relationship Id="rId5" Type="http://schemas.openxmlformats.org/officeDocument/2006/relationships/chart" Target="../charts/chart17.xml"/><Relationship Id="rId15" Type="http://schemas.openxmlformats.org/officeDocument/2006/relationships/chart" Target="../charts/chart27.xml"/><Relationship Id="rId23" Type="http://schemas.openxmlformats.org/officeDocument/2006/relationships/chart" Target="../charts/chart35.xml"/><Relationship Id="rId28" Type="http://schemas.openxmlformats.org/officeDocument/2006/relationships/chart" Target="../charts/chart40.xml"/><Relationship Id="rId36" Type="http://schemas.openxmlformats.org/officeDocument/2006/relationships/chart" Target="../charts/chart48.xml"/><Relationship Id="rId10" Type="http://schemas.openxmlformats.org/officeDocument/2006/relationships/chart" Target="../charts/chart22.xml"/><Relationship Id="rId19" Type="http://schemas.openxmlformats.org/officeDocument/2006/relationships/chart" Target="../charts/chart31.xml"/><Relationship Id="rId31" Type="http://schemas.openxmlformats.org/officeDocument/2006/relationships/chart" Target="../charts/chart43.xml"/><Relationship Id="rId44" Type="http://schemas.openxmlformats.org/officeDocument/2006/relationships/chart" Target="../charts/chart56.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 Id="rId22" Type="http://schemas.openxmlformats.org/officeDocument/2006/relationships/chart" Target="../charts/chart34.xml"/><Relationship Id="rId27" Type="http://schemas.openxmlformats.org/officeDocument/2006/relationships/chart" Target="../charts/chart39.xml"/><Relationship Id="rId30" Type="http://schemas.openxmlformats.org/officeDocument/2006/relationships/chart" Target="../charts/chart42.xml"/><Relationship Id="rId35" Type="http://schemas.openxmlformats.org/officeDocument/2006/relationships/chart" Target="../charts/chart47.xml"/><Relationship Id="rId43" Type="http://schemas.openxmlformats.org/officeDocument/2006/relationships/chart" Target="../charts/chart55.xml"/><Relationship Id="rId8" Type="http://schemas.openxmlformats.org/officeDocument/2006/relationships/chart" Target="../charts/chart20.xml"/><Relationship Id="rId3" Type="http://schemas.openxmlformats.org/officeDocument/2006/relationships/chart" Target="../charts/chart15.xml"/><Relationship Id="rId12" Type="http://schemas.openxmlformats.org/officeDocument/2006/relationships/chart" Target="../charts/chart24.xml"/><Relationship Id="rId17" Type="http://schemas.openxmlformats.org/officeDocument/2006/relationships/chart" Target="../charts/chart29.xml"/><Relationship Id="rId25" Type="http://schemas.openxmlformats.org/officeDocument/2006/relationships/chart" Target="../charts/chart37.xml"/><Relationship Id="rId33" Type="http://schemas.openxmlformats.org/officeDocument/2006/relationships/chart" Target="../charts/chart45.xml"/><Relationship Id="rId38" Type="http://schemas.openxmlformats.org/officeDocument/2006/relationships/chart" Target="../charts/chart5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9.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83</xdr:col>
      <xdr:colOff>133350</xdr:colOff>
      <xdr:row>11</xdr:row>
      <xdr:rowOff>142875</xdr:rowOff>
    </xdr:from>
    <xdr:to>
      <xdr:col>89</xdr:col>
      <xdr:colOff>409575</xdr:colOff>
      <xdr:row>26</xdr:row>
      <xdr:rowOff>28575</xdr:rowOff>
    </xdr:to>
    <xdr:pic>
      <xdr:nvPicPr>
        <xdr:cNvPr id="4" name="图片 1">
          <a:extLst>
            <a:ext uri="{FF2B5EF4-FFF2-40B4-BE49-F238E27FC236}">
              <a16:creationId xmlns:a16="http://schemas.microsoft.com/office/drawing/2014/main" id="{347FB2BC-ACEE-F3FC-0111-5BB39CD5D445}"/>
            </a:ext>
          </a:extLst>
        </xdr:cNvPr>
        <xdr:cNvPicPr>
          <a:picLocks noChangeAspect="1"/>
        </xdr:cNvPicPr>
      </xdr:nvPicPr>
      <xdr:blipFill>
        <a:blip xmlns:r="http://schemas.openxmlformats.org/officeDocument/2006/relationships" r:embed="rId1"/>
        <a:stretch>
          <a:fillRect/>
        </a:stretch>
      </xdr:blipFill>
      <xdr:spPr>
        <a:xfrm>
          <a:off x="43910250" y="2066925"/>
          <a:ext cx="4391025" cy="2847975"/>
        </a:xfrm>
        <a:prstGeom prst="rect">
          <a:avLst/>
        </a:prstGeom>
      </xdr:spPr>
    </xdr:pic>
    <xdr:clientData/>
  </xdr:twoCellAnchor>
  <xdr:twoCellAnchor editAs="oneCell">
    <xdr:from>
      <xdr:col>83</xdr:col>
      <xdr:colOff>0</xdr:colOff>
      <xdr:row>28</xdr:row>
      <xdr:rowOff>0</xdr:rowOff>
    </xdr:from>
    <xdr:to>
      <xdr:col>92</xdr:col>
      <xdr:colOff>542926</xdr:colOff>
      <xdr:row>40</xdr:row>
      <xdr:rowOff>9525</xdr:rowOff>
    </xdr:to>
    <xdr:pic>
      <xdr:nvPicPr>
        <xdr:cNvPr id="5" name="图片 4">
          <a:extLst>
            <a:ext uri="{FF2B5EF4-FFF2-40B4-BE49-F238E27FC236}">
              <a16:creationId xmlns:a16="http://schemas.microsoft.com/office/drawing/2014/main" id="{E129D273-1EEC-E561-154A-6C262B004947}"/>
            </a:ext>
            <a:ext uri="{147F2762-F138-4A5C-976F-8EAC2B608ADB}">
              <a16:predDERef xmlns:a16="http://schemas.microsoft.com/office/drawing/2014/main" pred="{347FB2BC-ACEE-F3FC-0111-5BB39CD5D445}"/>
            </a:ext>
          </a:extLst>
        </xdr:cNvPr>
        <xdr:cNvPicPr>
          <a:picLocks noChangeAspect="1"/>
        </xdr:cNvPicPr>
      </xdr:nvPicPr>
      <xdr:blipFill>
        <a:blip xmlns:r="http://schemas.openxmlformats.org/officeDocument/2006/relationships" r:embed="rId2"/>
        <a:stretch>
          <a:fillRect/>
        </a:stretch>
      </xdr:blipFill>
      <xdr:spPr>
        <a:xfrm>
          <a:off x="43738800" y="5105400"/>
          <a:ext cx="6715125" cy="2143125"/>
        </a:xfrm>
        <a:prstGeom prst="rect">
          <a:avLst/>
        </a:prstGeom>
      </xdr:spPr>
    </xdr:pic>
    <xdr:clientData/>
  </xdr:twoCellAnchor>
  <xdr:twoCellAnchor editAs="oneCell">
    <xdr:from>
      <xdr:col>83</xdr:col>
      <xdr:colOff>19050</xdr:colOff>
      <xdr:row>52</xdr:row>
      <xdr:rowOff>0</xdr:rowOff>
    </xdr:from>
    <xdr:to>
      <xdr:col>91</xdr:col>
      <xdr:colOff>0</xdr:colOff>
      <xdr:row>77</xdr:row>
      <xdr:rowOff>142875</xdr:rowOff>
    </xdr:to>
    <xdr:pic>
      <xdr:nvPicPr>
        <xdr:cNvPr id="6" name="图片 1">
          <a:extLst>
            <a:ext uri="{FF2B5EF4-FFF2-40B4-BE49-F238E27FC236}">
              <a16:creationId xmlns:a16="http://schemas.microsoft.com/office/drawing/2014/main" id="{1D46B7A7-E360-09F5-16A3-23B11C69AE8F}"/>
            </a:ext>
            <a:ext uri="{147F2762-F138-4A5C-976F-8EAC2B608ADB}">
              <a16:predDERef xmlns:a16="http://schemas.microsoft.com/office/drawing/2014/main" pred="{E129D273-1EEC-E561-154A-6C262B004947}"/>
            </a:ext>
          </a:extLst>
        </xdr:cNvPr>
        <xdr:cNvPicPr>
          <a:picLocks noChangeAspect="1"/>
        </xdr:cNvPicPr>
      </xdr:nvPicPr>
      <xdr:blipFill>
        <a:blip xmlns:r="http://schemas.openxmlformats.org/officeDocument/2006/relationships" r:embed="rId3"/>
        <a:stretch>
          <a:fillRect/>
        </a:stretch>
      </xdr:blipFill>
      <xdr:spPr>
        <a:xfrm>
          <a:off x="60359925" y="10106025"/>
          <a:ext cx="5314950" cy="4667250"/>
        </a:xfrm>
        <a:prstGeom prst="rect">
          <a:avLst/>
        </a:prstGeom>
      </xdr:spPr>
    </xdr:pic>
    <xdr:clientData/>
  </xdr:twoCellAnchor>
  <xdr:twoCellAnchor>
    <xdr:from>
      <xdr:col>90</xdr:col>
      <xdr:colOff>0</xdr:colOff>
      <xdr:row>7</xdr:row>
      <xdr:rowOff>0</xdr:rowOff>
    </xdr:from>
    <xdr:to>
      <xdr:col>96</xdr:col>
      <xdr:colOff>457200</xdr:colOff>
      <xdr:row>23</xdr:row>
      <xdr:rowOff>66675</xdr:rowOff>
    </xdr:to>
    <xdr:graphicFrame macro="">
      <xdr:nvGraphicFramePr>
        <xdr:cNvPr id="3" name="Chart 2">
          <a:extLst>
            <a:ext uri="{FF2B5EF4-FFF2-40B4-BE49-F238E27FC236}">
              <a16:creationId xmlns:a16="http://schemas.microsoft.com/office/drawing/2014/main" id="{443C30FE-91D9-4621-BC77-71B8927EA5F7}"/>
            </a:ext>
            <a:ext uri="{147F2762-F138-4A5C-976F-8EAC2B608ADB}">
              <a16:predDERef xmlns:a16="http://schemas.microsoft.com/office/drawing/2014/main" pred="{1D46B7A7-E360-09F5-16A3-23B11C69A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123825</xdr:colOff>
      <xdr:row>11</xdr:row>
      <xdr:rowOff>133350</xdr:rowOff>
    </xdr:from>
    <xdr:to>
      <xdr:col>22</xdr:col>
      <xdr:colOff>285750</xdr:colOff>
      <xdr:row>22</xdr:row>
      <xdr:rowOff>171450</xdr:rowOff>
    </xdr:to>
    <xdr:graphicFrame macro="">
      <xdr:nvGraphicFramePr>
        <xdr:cNvPr id="5" name="Chart 1">
          <a:extLst>
            <a:ext uri="{FF2B5EF4-FFF2-40B4-BE49-F238E27FC236}">
              <a16:creationId xmlns:a16="http://schemas.microsoft.com/office/drawing/2014/main" id="{319F495A-41F6-F71E-3F80-1BFA0CAD0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3132029</xdr:colOff>
      <xdr:row>161</xdr:row>
      <xdr:rowOff>28646</xdr:rowOff>
    </xdr:from>
    <xdr:to>
      <xdr:col>2</xdr:col>
      <xdr:colOff>1292612</xdr:colOff>
      <xdr:row>181</xdr:row>
      <xdr:rowOff>122729</xdr:rowOff>
    </xdr:to>
    <xdr:pic>
      <xdr:nvPicPr>
        <xdr:cNvPr id="3" name="Picture 2">
          <a:extLst>
            <a:ext uri="{FF2B5EF4-FFF2-40B4-BE49-F238E27FC236}">
              <a16:creationId xmlns:a16="http://schemas.microsoft.com/office/drawing/2014/main" id="{539E42E3-C0E9-221D-AFDE-9FF145F1A0EB}"/>
            </a:ext>
          </a:extLst>
        </xdr:cNvPr>
        <xdr:cNvPicPr>
          <a:picLocks noChangeAspect="1"/>
        </xdr:cNvPicPr>
      </xdr:nvPicPr>
      <xdr:blipFill>
        <a:blip xmlns:r="http://schemas.openxmlformats.org/officeDocument/2006/relationships" r:embed="rId1"/>
        <a:stretch>
          <a:fillRect/>
        </a:stretch>
      </xdr:blipFill>
      <xdr:spPr>
        <a:xfrm>
          <a:off x="6292706" y="30871503"/>
          <a:ext cx="1435846" cy="39136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346368</xdr:colOff>
      <xdr:row>52</xdr:row>
      <xdr:rowOff>38483</xdr:rowOff>
    </xdr:from>
    <xdr:to>
      <xdr:col>14</xdr:col>
      <xdr:colOff>529166</xdr:colOff>
      <xdr:row>78</xdr:row>
      <xdr:rowOff>182802</xdr:rowOff>
    </xdr:to>
    <xdr:graphicFrame macro="">
      <xdr:nvGraphicFramePr>
        <xdr:cNvPr id="2" name="Chart 1">
          <a:extLst>
            <a:ext uri="{FF2B5EF4-FFF2-40B4-BE49-F238E27FC236}">
              <a16:creationId xmlns:a16="http://schemas.microsoft.com/office/drawing/2014/main" id="{9D6C2438-3723-BCE6-730D-95B6C1D50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348293</xdr:colOff>
      <xdr:row>80</xdr:row>
      <xdr:rowOff>29632</xdr:rowOff>
    </xdr:from>
    <xdr:to>
      <xdr:col>14</xdr:col>
      <xdr:colOff>533401</xdr:colOff>
      <xdr:row>106</xdr:row>
      <xdr:rowOff>127000</xdr:rowOff>
    </xdr:to>
    <xdr:graphicFrame macro="">
      <xdr:nvGraphicFramePr>
        <xdr:cNvPr id="3" name="Chart 2">
          <a:extLst>
            <a:ext uri="{FF2B5EF4-FFF2-40B4-BE49-F238E27FC236}">
              <a16:creationId xmlns:a16="http://schemas.microsoft.com/office/drawing/2014/main" id="{118DF74B-7964-2982-9C51-6EDD39C06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148447</xdr:colOff>
      <xdr:row>112</xdr:row>
      <xdr:rowOff>145501</xdr:rowOff>
    </xdr:from>
    <xdr:to>
      <xdr:col>12</xdr:col>
      <xdr:colOff>120547</xdr:colOff>
      <xdr:row>136</xdr:row>
      <xdr:rowOff>170131</xdr:rowOff>
    </xdr:to>
    <xdr:graphicFrame macro="">
      <xdr:nvGraphicFramePr>
        <xdr:cNvPr id="4" name="Chart 3">
          <a:extLst>
            <a:ext uri="{FF2B5EF4-FFF2-40B4-BE49-F238E27FC236}">
              <a16:creationId xmlns:a16="http://schemas.microsoft.com/office/drawing/2014/main" id="{7A1FA50F-5BB2-45AB-1629-F73A7A41F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802644</xdr:colOff>
      <xdr:row>140</xdr:row>
      <xdr:rowOff>71120</xdr:rowOff>
    </xdr:from>
    <xdr:to>
      <xdr:col>14</xdr:col>
      <xdr:colOff>599440</xdr:colOff>
      <xdr:row>165</xdr:row>
      <xdr:rowOff>20320</xdr:rowOff>
    </xdr:to>
    <xdr:graphicFrame macro="">
      <xdr:nvGraphicFramePr>
        <xdr:cNvPr id="5" name="Chart 4">
          <a:extLst>
            <a:ext uri="{FF2B5EF4-FFF2-40B4-BE49-F238E27FC236}">
              <a16:creationId xmlns:a16="http://schemas.microsoft.com/office/drawing/2014/main" id="{AE7A9169-9E5D-0C73-8B80-11213CA01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738733</xdr:colOff>
      <xdr:row>166</xdr:row>
      <xdr:rowOff>126030</xdr:rowOff>
    </xdr:from>
    <xdr:to>
      <xdr:col>12</xdr:col>
      <xdr:colOff>504121</xdr:colOff>
      <xdr:row>190</xdr:row>
      <xdr:rowOff>29084</xdr:rowOff>
    </xdr:to>
    <xdr:graphicFrame macro="">
      <xdr:nvGraphicFramePr>
        <xdr:cNvPr id="6" name="Chart 5">
          <a:extLst>
            <a:ext uri="{FF2B5EF4-FFF2-40B4-BE49-F238E27FC236}">
              <a16:creationId xmlns:a16="http://schemas.microsoft.com/office/drawing/2014/main" id="{5D7C778D-4D66-32A8-C996-F34553129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436264</xdr:colOff>
      <xdr:row>191</xdr:row>
      <xdr:rowOff>82597</xdr:rowOff>
    </xdr:from>
    <xdr:to>
      <xdr:col>12</xdr:col>
      <xdr:colOff>222977</xdr:colOff>
      <xdr:row>208</xdr:row>
      <xdr:rowOff>126031</xdr:rowOff>
    </xdr:to>
    <xdr:graphicFrame macro="">
      <xdr:nvGraphicFramePr>
        <xdr:cNvPr id="7" name="Chart 6">
          <a:extLst>
            <a:ext uri="{FF2B5EF4-FFF2-40B4-BE49-F238E27FC236}">
              <a16:creationId xmlns:a16="http://schemas.microsoft.com/office/drawing/2014/main" id="{9AE91C13-8BAA-F734-2163-306BEECC9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198967</xdr:colOff>
      <xdr:row>214</xdr:row>
      <xdr:rowOff>21167</xdr:rowOff>
    </xdr:from>
    <xdr:to>
      <xdr:col>11</xdr:col>
      <xdr:colOff>262467</xdr:colOff>
      <xdr:row>229</xdr:row>
      <xdr:rowOff>33867</xdr:rowOff>
    </xdr:to>
    <xdr:graphicFrame macro="">
      <xdr:nvGraphicFramePr>
        <xdr:cNvPr id="12" name="Chart 11">
          <a:extLst>
            <a:ext uri="{FF2B5EF4-FFF2-40B4-BE49-F238E27FC236}">
              <a16:creationId xmlns:a16="http://schemas.microsoft.com/office/drawing/2014/main" id="{78D4A04A-1FE1-241A-53ED-3359BAD21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321737</xdr:colOff>
      <xdr:row>229</xdr:row>
      <xdr:rowOff>160866</xdr:rowOff>
    </xdr:from>
    <xdr:to>
      <xdr:col>10</xdr:col>
      <xdr:colOff>152400</xdr:colOff>
      <xdr:row>248</xdr:row>
      <xdr:rowOff>152400</xdr:rowOff>
    </xdr:to>
    <xdr:graphicFrame macro="">
      <xdr:nvGraphicFramePr>
        <xdr:cNvPr id="8" name="Chart 7">
          <a:extLst>
            <a:ext uri="{FF2B5EF4-FFF2-40B4-BE49-F238E27FC236}">
              <a16:creationId xmlns:a16="http://schemas.microsoft.com/office/drawing/2014/main" id="{2C0B72BE-6008-B107-2D85-36ECA8AF1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338667</xdr:colOff>
      <xdr:row>253</xdr:row>
      <xdr:rowOff>152400</xdr:rowOff>
    </xdr:from>
    <xdr:to>
      <xdr:col>12</xdr:col>
      <xdr:colOff>431800</xdr:colOff>
      <xdr:row>273</xdr:row>
      <xdr:rowOff>16933</xdr:rowOff>
    </xdr:to>
    <xdr:graphicFrame macro="">
      <xdr:nvGraphicFramePr>
        <xdr:cNvPr id="9" name="Chart 8">
          <a:extLst>
            <a:ext uri="{FF2B5EF4-FFF2-40B4-BE49-F238E27FC236}">
              <a16:creationId xmlns:a16="http://schemas.microsoft.com/office/drawing/2014/main" id="{70BAF754-20D8-32B7-1B5C-23ABB3D12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0.69524</cdr:x>
      <cdr:y>0.34101</cdr:y>
    </cdr:from>
    <cdr:to>
      <cdr:x>0.69524</cdr:x>
      <cdr:y>0.86116</cdr:y>
    </cdr:to>
    <cdr:cxnSp macro="">
      <cdr:nvCxnSpPr>
        <cdr:cNvPr id="3" name="Straight Connector 2">
          <a:extLst xmlns:a="http://schemas.openxmlformats.org/drawingml/2006/main">
            <a:ext uri="{FF2B5EF4-FFF2-40B4-BE49-F238E27FC236}">
              <a16:creationId xmlns:a16="http://schemas.microsoft.com/office/drawing/2014/main" id="{7056129B-C4D3-4FC7-5E69-42733743B107}"/>
            </a:ext>
          </a:extLst>
        </cdr:cNvPr>
        <cdr:cNvCxnSpPr/>
      </cdr:nvCxnSpPr>
      <cdr:spPr>
        <a:xfrm xmlns:a="http://schemas.openxmlformats.org/drawingml/2006/main" flipV="1">
          <a:off x="5157933" y="1583267"/>
          <a:ext cx="0" cy="2414924"/>
        </a:xfrm>
        <a:prstGeom xmlns:a="http://schemas.openxmlformats.org/drawingml/2006/main" prst="line">
          <a:avLst/>
        </a:prstGeom>
        <a:ln xmlns:a="http://schemas.openxmlformats.org/drawingml/2006/main" w="12700">
          <a:solidFill>
            <a:schemeClr val="bg1">
              <a:lumMod val="65000"/>
            </a:schemeClr>
          </a:solidFill>
          <a:prstDash val="dashDot"/>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0.70691</cdr:x>
      <cdr:y>0.38868</cdr:y>
    </cdr:from>
    <cdr:to>
      <cdr:x>0.91052</cdr:x>
      <cdr:y>0.60627</cdr:y>
    </cdr:to>
    <cdr:sp macro="" textlink="">
      <cdr:nvSpPr>
        <cdr:cNvPr id="5" name="TextBox 4">
          <a:extLst xmlns:a="http://schemas.openxmlformats.org/drawingml/2006/main">
            <a:ext uri="{FF2B5EF4-FFF2-40B4-BE49-F238E27FC236}">
              <a16:creationId xmlns:a16="http://schemas.microsoft.com/office/drawing/2014/main" id="{62535689-7002-A2D8-4328-51056D7846EC}"/>
            </a:ext>
          </a:extLst>
        </cdr:cNvPr>
        <cdr:cNvSpPr txBox="1"/>
      </cdr:nvSpPr>
      <cdr:spPr>
        <a:xfrm xmlns:a="http://schemas.openxmlformats.org/drawingml/2006/main">
          <a:off x="5244524" y="1804552"/>
          <a:ext cx="1510531" cy="1010228"/>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r>
            <a:rPr lang="en-US" altLang="zh-CN" sz="1000">
              <a:latin typeface="Times New Roman" panose="02020603050405020304" pitchFamily="18" charset="0"/>
              <a:cs typeface="Times New Roman" panose="02020603050405020304" pitchFamily="18" charset="0"/>
            </a:rPr>
            <a:t>2021</a:t>
          </a:r>
          <a:r>
            <a:rPr lang="zh-CN" altLang="en-US" sz="1000">
              <a:latin typeface="Times New Roman" panose="02020603050405020304" pitchFamily="18" charset="0"/>
              <a:cs typeface="Times New Roman" panose="02020603050405020304" pitchFamily="18" charset="0"/>
            </a:rPr>
            <a:t>年</a:t>
          </a:r>
          <a:r>
            <a:rPr lang="en-US" altLang="zh-CN" sz="1000">
              <a:latin typeface="Times New Roman" panose="02020603050405020304" pitchFamily="18" charset="0"/>
              <a:cs typeface="Times New Roman" panose="02020603050405020304" pitchFamily="18" charset="0"/>
            </a:rPr>
            <a:t>7</a:t>
          </a:r>
          <a:r>
            <a:rPr lang="zh-CN" altLang="en-US" sz="1000">
              <a:latin typeface="Times New Roman" panose="02020603050405020304" pitchFamily="18" charset="0"/>
              <a:cs typeface="Times New Roman" panose="02020603050405020304" pitchFamily="18" charset="0"/>
            </a:rPr>
            <a:t>月特斯拉推出</a:t>
          </a:r>
          <a:r>
            <a:rPr lang="en-US" altLang="zh-CN" sz="1000">
              <a:latin typeface="Times New Roman" panose="02020603050405020304" pitchFamily="18" charset="0"/>
              <a:cs typeface="Times New Roman" panose="02020603050405020304" pitchFamily="18" charset="0"/>
            </a:rPr>
            <a:t>FSD</a:t>
          </a:r>
          <a:r>
            <a:rPr lang="zh-CN" altLang="en-US" sz="1000">
              <a:latin typeface="Times New Roman" panose="02020603050405020304" pitchFamily="18" charset="0"/>
              <a:cs typeface="Times New Roman" panose="02020603050405020304" pitchFamily="18" charset="0"/>
            </a:rPr>
            <a:t>订阅服务，</a:t>
          </a:r>
          <a:r>
            <a:rPr lang="en-US" altLang="zh-CN" sz="1000">
              <a:latin typeface="Times New Roman" panose="02020603050405020304" pitchFamily="18" charset="0"/>
              <a:cs typeface="Times New Roman" panose="02020603050405020304" pitchFamily="18" charset="0"/>
            </a:rPr>
            <a:t>AP/EAP</a:t>
          </a:r>
          <a:r>
            <a:rPr lang="zh-CN" altLang="en-US" sz="1000" baseline="0">
              <a:latin typeface="Times New Roman" panose="02020603050405020304" pitchFamily="18" charset="0"/>
              <a:cs typeface="Times New Roman" panose="02020603050405020304" pitchFamily="18" charset="0"/>
            </a:rPr>
            <a:t>用户的订阅费用分别为每个月</a:t>
          </a:r>
          <a:r>
            <a:rPr lang="en-US" altLang="zh-CN" sz="1000" baseline="0">
              <a:latin typeface="Times New Roman" panose="02020603050405020304" pitchFamily="18" charset="0"/>
              <a:cs typeface="Times New Roman" panose="02020603050405020304" pitchFamily="18" charset="0"/>
            </a:rPr>
            <a:t>199</a:t>
          </a:r>
          <a:r>
            <a:rPr lang="zh-CN" altLang="en-US" sz="1000" baseline="0">
              <a:latin typeface="Times New Roman" panose="02020603050405020304" pitchFamily="18" charset="0"/>
              <a:cs typeface="Times New Roman" panose="02020603050405020304" pitchFamily="18" charset="0"/>
            </a:rPr>
            <a:t>美元</a:t>
          </a:r>
          <a:r>
            <a:rPr lang="en-US" altLang="zh-CN" sz="1000" baseline="0">
              <a:latin typeface="Times New Roman" panose="02020603050405020304" pitchFamily="18" charset="0"/>
              <a:cs typeface="Times New Roman" panose="02020603050405020304" pitchFamily="18" charset="0"/>
            </a:rPr>
            <a:t>/99</a:t>
          </a:r>
          <a:r>
            <a:rPr lang="zh-CN" altLang="en-US" sz="1000" baseline="0">
              <a:latin typeface="Times New Roman" panose="02020603050405020304" pitchFamily="18" charset="0"/>
              <a:cs typeface="Times New Roman" panose="02020603050405020304" pitchFamily="18" charset="0"/>
            </a:rPr>
            <a:t>美元</a:t>
          </a:r>
          <a:endParaRPr lang="en-US" altLang="zh-CN" sz="1000">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817342</xdr:colOff>
      <xdr:row>105</xdr:row>
      <xdr:rowOff>166676</xdr:rowOff>
    </xdr:from>
    <xdr:to>
      <xdr:col>9</xdr:col>
      <xdr:colOff>22154</xdr:colOff>
      <xdr:row>125</xdr:row>
      <xdr:rowOff>36061</xdr:rowOff>
    </xdr:to>
    <xdr:graphicFrame macro="">
      <xdr:nvGraphicFramePr>
        <xdr:cNvPr id="2" name="Chart 1">
          <a:extLst>
            <a:ext uri="{FF2B5EF4-FFF2-40B4-BE49-F238E27FC236}">
              <a16:creationId xmlns:a16="http://schemas.microsoft.com/office/drawing/2014/main" id="{7CCC2FAE-36FF-E6D3-7953-7114DA538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356235</xdr:colOff>
      <xdr:row>1</xdr:row>
      <xdr:rowOff>26670</xdr:rowOff>
    </xdr:from>
    <xdr:to>
      <xdr:col>16</xdr:col>
      <xdr:colOff>196215</xdr:colOff>
      <xdr:row>17</xdr:row>
      <xdr:rowOff>26670</xdr:rowOff>
    </xdr:to>
    <xdr:graphicFrame macro="">
      <xdr:nvGraphicFramePr>
        <xdr:cNvPr id="13" name="图表 1">
          <a:extLst>
            <a:ext uri="{FF2B5EF4-FFF2-40B4-BE49-F238E27FC236}">
              <a16:creationId xmlns:a16="http://schemas.microsoft.com/office/drawing/2014/main" id="{7BBB530E-D509-410D-8C1E-B1F2FCDE7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350520</xdr:colOff>
      <xdr:row>18</xdr:row>
      <xdr:rowOff>60960</xdr:rowOff>
    </xdr:from>
    <xdr:to>
      <xdr:col>16</xdr:col>
      <xdr:colOff>205740</xdr:colOff>
      <xdr:row>33</xdr:row>
      <xdr:rowOff>68580</xdr:rowOff>
    </xdr:to>
    <xdr:graphicFrame macro="">
      <xdr:nvGraphicFramePr>
        <xdr:cNvPr id="14" name="图表 3">
          <a:extLst>
            <a:ext uri="{FF2B5EF4-FFF2-40B4-BE49-F238E27FC236}">
              <a16:creationId xmlns:a16="http://schemas.microsoft.com/office/drawing/2014/main" id="{B87DD3A7-4FBF-4889-85E2-F40BA73CEE8A}"/>
            </a:ext>
            <a:ext uri="{147F2762-F138-4A5C-976F-8EAC2B608ADB}">
              <a16:predDERef xmlns:a16="http://schemas.microsoft.com/office/drawing/2014/main" pred="{7BBB530E-D509-410D-8C1E-B1F2FCDE7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99060</xdr:colOff>
      <xdr:row>1</xdr:row>
      <xdr:rowOff>91440</xdr:rowOff>
    </xdr:from>
    <xdr:to>
      <xdr:col>24</xdr:col>
      <xdr:colOff>487680</xdr:colOff>
      <xdr:row>17</xdr:row>
      <xdr:rowOff>7620</xdr:rowOff>
    </xdr:to>
    <xdr:graphicFrame macro="">
      <xdr:nvGraphicFramePr>
        <xdr:cNvPr id="15" name="图表 5">
          <a:extLst>
            <a:ext uri="{FF2B5EF4-FFF2-40B4-BE49-F238E27FC236}">
              <a16:creationId xmlns:a16="http://schemas.microsoft.com/office/drawing/2014/main" id="{70B68AA3-13F8-4B43-BCF6-8402D2F3C984}"/>
            </a:ext>
            <a:ext uri="{147F2762-F138-4A5C-976F-8EAC2B608ADB}">
              <a16:predDERef xmlns:a16="http://schemas.microsoft.com/office/drawing/2014/main" pred="{B87DD3A7-4FBF-4889-85E2-F40BA73CE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106680</xdr:colOff>
      <xdr:row>18</xdr:row>
      <xdr:rowOff>106680</xdr:rowOff>
    </xdr:from>
    <xdr:to>
      <xdr:col>24</xdr:col>
      <xdr:colOff>411480</xdr:colOff>
      <xdr:row>34</xdr:row>
      <xdr:rowOff>45720</xdr:rowOff>
    </xdr:to>
    <xdr:graphicFrame macro="">
      <xdr:nvGraphicFramePr>
        <xdr:cNvPr id="16" name="图表 6">
          <a:extLst>
            <a:ext uri="{FF2B5EF4-FFF2-40B4-BE49-F238E27FC236}">
              <a16:creationId xmlns:a16="http://schemas.microsoft.com/office/drawing/2014/main" id="{333C677F-A472-4E69-8D23-B25242830FD2}"/>
            </a:ext>
            <a:ext uri="{147F2762-F138-4A5C-976F-8EAC2B608ADB}">
              <a16:predDERef xmlns:a16="http://schemas.microsoft.com/office/drawing/2014/main" pred="{70B68AA3-13F8-4B43-BCF6-8402D2F3C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129540</xdr:colOff>
      <xdr:row>35</xdr:row>
      <xdr:rowOff>137160</xdr:rowOff>
    </xdr:from>
    <xdr:to>
      <xdr:col>16</xdr:col>
      <xdr:colOff>434340</xdr:colOff>
      <xdr:row>51</xdr:row>
      <xdr:rowOff>76200</xdr:rowOff>
    </xdr:to>
    <xdr:graphicFrame macro="">
      <xdr:nvGraphicFramePr>
        <xdr:cNvPr id="27" name="图表 7">
          <a:extLst>
            <a:ext uri="{FF2B5EF4-FFF2-40B4-BE49-F238E27FC236}">
              <a16:creationId xmlns:a16="http://schemas.microsoft.com/office/drawing/2014/main" id="{5C004FEB-1357-4BA8-8F37-414728B1415B}"/>
            </a:ext>
            <a:ext uri="{147F2762-F138-4A5C-976F-8EAC2B608ADB}">
              <a16:predDERef xmlns:a16="http://schemas.microsoft.com/office/drawing/2014/main" pred="{333C677F-A472-4E69-8D23-B25242830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167640</xdr:colOff>
      <xdr:row>35</xdr:row>
      <xdr:rowOff>137160</xdr:rowOff>
    </xdr:from>
    <xdr:to>
      <xdr:col>24</xdr:col>
      <xdr:colOff>472440</xdr:colOff>
      <xdr:row>51</xdr:row>
      <xdr:rowOff>76200</xdr:rowOff>
    </xdr:to>
    <xdr:graphicFrame macro="">
      <xdr:nvGraphicFramePr>
        <xdr:cNvPr id="28" name="图表 8">
          <a:extLst>
            <a:ext uri="{FF2B5EF4-FFF2-40B4-BE49-F238E27FC236}">
              <a16:creationId xmlns:a16="http://schemas.microsoft.com/office/drawing/2014/main" id="{2B1D3B6A-5E16-4C9B-8482-F3E20135CEA0}"/>
            </a:ext>
            <a:ext uri="{147F2762-F138-4A5C-976F-8EAC2B608ADB}">
              <a16:predDERef xmlns:a16="http://schemas.microsoft.com/office/drawing/2014/main" pred="{5C004FEB-1357-4BA8-8F37-414728B14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54</xdr:row>
      <xdr:rowOff>0</xdr:rowOff>
    </xdr:from>
    <xdr:to>
      <xdr:col>17</xdr:col>
      <xdr:colOff>304800</xdr:colOff>
      <xdr:row>69</xdr:row>
      <xdr:rowOff>114300</xdr:rowOff>
    </xdr:to>
    <xdr:graphicFrame macro="">
      <xdr:nvGraphicFramePr>
        <xdr:cNvPr id="29" name="图表 9">
          <a:extLst>
            <a:ext uri="{FF2B5EF4-FFF2-40B4-BE49-F238E27FC236}">
              <a16:creationId xmlns:a16="http://schemas.microsoft.com/office/drawing/2014/main" id="{81C6555F-E751-4F62-B26F-E150FDFFF62A}"/>
            </a:ext>
            <a:ext uri="{147F2762-F138-4A5C-976F-8EAC2B608ADB}">
              <a16:predDERef xmlns:a16="http://schemas.microsoft.com/office/drawing/2014/main" pred="{2B1D3B6A-5E16-4C9B-8482-F3E20135C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502920</xdr:colOff>
      <xdr:row>53</xdr:row>
      <xdr:rowOff>38100</xdr:rowOff>
    </xdr:from>
    <xdr:to>
      <xdr:col>25</xdr:col>
      <xdr:colOff>198120</xdr:colOff>
      <xdr:row>68</xdr:row>
      <xdr:rowOff>152400</xdr:rowOff>
    </xdr:to>
    <xdr:graphicFrame macro="">
      <xdr:nvGraphicFramePr>
        <xdr:cNvPr id="30" name="图表 2">
          <a:extLst>
            <a:ext uri="{FF2B5EF4-FFF2-40B4-BE49-F238E27FC236}">
              <a16:creationId xmlns:a16="http://schemas.microsoft.com/office/drawing/2014/main" id="{152B0E4B-C930-4771-B6B4-876CDFC9EBFC}"/>
            </a:ext>
            <a:ext uri="{147F2762-F138-4A5C-976F-8EAC2B608ADB}">
              <a16:predDERef xmlns:a16="http://schemas.microsoft.com/office/drawing/2014/main" pred="{81C6555F-E751-4F62-B26F-E150FDFFF6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7620</xdr:colOff>
      <xdr:row>71</xdr:row>
      <xdr:rowOff>38100</xdr:rowOff>
    </xdr:from>
    <xdr:to>
      <xdr:col>17</xdr:col>
      <xdr:colOff>312420</xdr:colOff>
      <xdr:row>86</xdr:row>
      <xdr:rowOff>152400</xdr:rowOff>
    </xdr:to>
    <xdr:graphicFrame macro="">
      <xdr:nvGraphicFramePr>
        <xdr:cNvPr id="31" name="图表 4">
          <a:extLst>
            <a:ext uri="{FF2B5EF4-FFF2-40B4-BE49-F238E27FC236}">
              <a16:creationId xmlns:a16="http://schemas.microsoft.com/office/drawing/2014/main" id="{487E85BB-D369-4B3F-A576-BC8E73595F20}"/>
            </a:ext>
            <a:ext uri="{147F2762-F138-4A5C-976F-8EAC2B608ADB}">
              <a16:predDERef xmlns:a16="http://schemas.microsoft.com/office/drawing/2014/main" pred="{152B0E4B-C930-4771-B6B4-876CDFC9E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483870</xdr:colOff>
      <xdr:row>71</xdr:row>
      <xdr:rowOff>22860</xdr:rowOff>
    </xdr:from>
    <xdr:to>
      <xdr:col>25</xdr:col>
      <xdr:colOff>179070</xdr:colOff>
      <xdr:row>86</xdr:row>
      <xdr:rowOff>137160</xdr:rowOff>
    </xdr:to>
    <xdr:graphicFrame macro="">
      <xdr:nvGraphicFramePr>
        <xdr:cNvPr id="32" name="图表 11">
          <a:extLst>
            <a:ext uri="{FF2B5EF4-FFF2-40B4-BE49-F238E27FC236}">
              <a16:creationId xmlns:a16="http://schemas.microsoft.com/office/drawing/2014/main" id="{445B2C26-9A05-481C-8875-29E41EF5194E}"/>
            </a:ext>
            <a:ext uri="{147F2762-F138-4A5C-976F-8EAC2B608ADB}">
              <a16:predDERef xmlns:a16="http://schemas.microsoft.com/office/drawing/2014/main" pred="{487E85BB-D369-4B3F-A576-BC8E73595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60960</xdr:colOff>
      <xdr:row>1</xdr:row>
      <xdr:rowOff>38100</xdr:rowOff>
    </xdr:from>
    <xdr:to>
      <xdr:col>33</xdr:col>
      <xdr:colOff>365760</xdr:colOff>
      <xdr:row>16</xdr:row>
      <xdr:rowOff>152400</xdr:rowOff>
    </xdr:to>
    <xdr:graphicFrame macro="">
      <xdr:nvGraphicFramePr>
        <xdr:cNvPr id="33" name="图表 17">
          <a:extLst>
            <a:ext uri="{FF2B5EF4-FFF2-40B4-BE49-F238E27FC236}">
              <a16:creationId xmlns:a16="http://schemas.microsoft.com/office/drawing/2014/main" id="{9A61A17F-F731-47A6-B24A-C4F07F5BEBB2}"/>
            </a:ext>
            <a:ext uri="{147F2762-F138-4A5C-976F-8EAC2B608ADB}">
              <a16:predDERef xmlns:a16="http://schemas.microsoft.com/office/drawing/2014/main" pred="{445B2C26-9A05-481C-8875-29E41EF51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88</xdr:row>
      <xdr:rowOff>0</xdr:rowOff>
    </xdr:from>
    <xdr:to>
      <xdr:col>17</xdr:col>
      <xdr:colOff>304800</xdr:colOff>
      <xdr:row>103</xdr:row>
      <xdr:rowOff>114300</xdr:rowOff>
    </xdr:to>
    <xdr:graphicFrame macro="">
      <xdr:nvGraphicFramePr>
        <xdr:cNvPr id="34" name="图表 19">
          <a:extLst>
            <a:ext uri="{FF2B5EF4-FFF2-40B4-BE49-F238E27FC236}">
              <a16:creationId xmlns:a16="http://schemas.microsoft.com/office/drawing/2014/main" id="{05C09EF6-D0FC-4776-AA76-3E8A918E584A}"/>
            </a:ext>
            <a:ext uri="{147F2762-F138-4A5C-976F-8EAC2B608ADB}">
              <a16:predDERef xmlns:a16="http://schemas.microsoft.com/office/drawing/2014/main" pred="{9A61A17F-F731-47A6-B24A-C4F07F5BE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487680</xdr:colOff>
      <xdr:row>88</xdr:row>
      <xdr:rowOff>0</xdr:rowOff>
    </xdr:from>
    <xdr:to>
      <xdr:col>25</xdr:col>
      <xdr:colOff>182880</xdr:colOff>
      <xdr:row>103</xdr:row>
      <xdr:rowOff>114300</xdr:rowOff>
    </xdr:to>
    <xdr:graphicFrame macro="">
      <xdr:nvGraphicFramePr>
        <xdr:cNvPr id="35" name="图表 20">
          <a:extLst>
            <a:ext uri="{FF2B5EF4-FFF2-40B4-BE49-F238E27FC236}">
              <a16:creationId xmlns:a16="http://schemas.microsoft.com/office/drawing/2014/main" id="{4FA965B1-EAA7-4FFC-AD61-BC0655AAE704}"/>
            </a:ext>
            <a:ext uri="{147F2762-F138-4A5C-976F-8EAC2B608ADB}">
              <a16:predDERef xmlns:a16="http://schemas.microsoft.com/office/drawing/2014/main" pred="{05C09EF6-D0FC-4776-AA76-3E8A918E5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105</xdr:row>
      <xdr:rowOff>0</xdr:rowOff>
    </xdr:from>
    <xdr:to>
      <xdr:col>16</xdr:col>
      <xdr:colOff>464820</xdr:colOff>
      <xdr:row>120</xdr:row>
      <xdr:rowOff>7620</xdr:rowOff>
    </xdr:to>
    <xdr:graphicFrame macro="">
      <xdr:nvGraphicFramePr>
        <xdr:cNvPr id="36" name="图表 21">
          <a:extLst>
            <a:ext uri="{FF2B5EF4-FFF2-40B4-BE49-F238E27FC236}">
              <a16:creationId xmlns:a16="http://schemas.microsoft.com/office/drawing/2014/main" id="{F6FFB2B1-9FFD-4CDB-943D-C31CAA04E7F4}"/>
            </a:ext>
            <a:ext uri="{147F2762-F138-4A5C-976F-8EAC2B608ADB}">
              <a16:predDERef xmlns:a16="http://schemas.microsoft.com/office/drawing/2014/main" pred="{4FA965B1-EAA7-4FFC-AD61-BC0655AAE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411480</xdr:colOff>
      <xdr:row>105</xdr:row>
      <xdr:rowOff>7620</xdr:rowOff>
    </xdr:from>
    <xdr:to>
      <xdr:col>25</xdr:col>
      <xdr:colOff>190500</xdr:colOff>
      <xdr:row>120</xdr:row>
      <xdr:rowOff>99060</xdr:rowOff>
    </xdr:to>
    <xdr:graphicFrame macro="">
      <xdr:nvGraphicFramePr>
        <xdr:cNvPr id="37" name="图表 22">
          <a:extLst>
            <a:ext uri="{FF2B5EF4-FFF2-40B4-BE49-F238E27FC236}">
              <a16:creationId xmlns:a16="http://schemas.microsoft.com/office/drawing/2014/main" id="{597F3A16-97F5-43B1-A89F-B2B5E6C7D6A2}"/>
            </a:ext>
            <a:ext uri="{147F2762-F138-4A5C-976F-8EAC2B608ADB}">
              <a16:predDERef xmlns:a16="http://schemas.microsoft.com/office/drawing/2014/main" pred="{F6FFB2B1-9FFD-4CDB-943D-C31CAA04E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0</xdr:colOff>
      <xdr:row>122</xdr:row>
      <xdr:rowOff>0</xdr:rowOff>
    </xdr:from>
    <xdr:to>
      <xdr:col>16</xdr:col>
      <xdr:colOff>464820</xdr:colOff>
      <xdr:row>137</xdr:row>
      <xdr:rowOff>7620</xdr:rowOff>
    </xdr:to>
    <xdr:graphicFrame macro="">
      <xdr:nvGraphicFramePr>
        <xdr:cNvPr id="38" name="图表 16">
          <a:extLst>
            <a:ext uri="{FF2B5EF4-FFF2-40B4-BE49-F238E27FC236}">
              <a16:creationId xmlns:a16="http://schemas.microsoft.com/office/drawing/2014/main" id="{98D977A2-E53E-4BD0-BFFE-CACDA07BEA58}"/>
            </a:ext>
            <a:ext uri="{147F2762-F138-4A5C-976F-8EAC2B608ADB}">
              <a16:predDERef xmlns:a16="http://schemas.microsoft.com/office/drawing/2014/main" pred="{597F3A16-97F5-43B1-A89F-B2B5E6C7D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320040</xdr:colOff>
      <xdr:row>121</xdr:row>
      <xdr:rowOff>167640</xdr:rowOff>
    </xdr:from>
    <xdr:to>
      <xdr:col>25</xdr:col>
      <xdr:colOff>99060</xdr:colOff>
      <xdr:row>137</xdr:row>
      <xdr:rowOff>83820</xdr:rowOff>
    </xdr:to>
    <xdr:graphicFrame macro="">
      <xdr:nvGraphicFramePr>
        <xdr:cNvPr id="39" name="图表 18">
          <a:extLst>
            <a:ext uri="{FF2B5EF4-FFF2-40B4-BE49-F238E27FC236}">
              <a16:creationId xmlns:a16="http://schemas.microsoft.com/office/drawing/2014/main" id="{F9F4F8CA-C9F1-4E24-A22B-6F579EE18BA5}"/>
            </a:ext>
            <a:ext uri="{147F2762-F138-4A5C-976F-8EAC2B608ADB}">
              <a16:predDERef xmlns:a16="http://schemas.microsoft.com/office/drawing/2014/main" pred="{98D977A2-E53E-4BD0-BFFE-CACDA07BE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579120</xdr:colOff>
      <xdr:row>138</xdr:row>
      <xdr:rowOff>45720</xdr:rowOff>
    </xdr:from>
    <xdr:to>
      <xdr:col>17</xdr:col>
      <xdr:colOff>38100</xdr:colOff>
      <xdr:row>153</xdr:row>
      <xdr:rowOff>106680</xdr:rowOff>
    </xdr:to>
    <xdr:graphicFrame macro="">
      <xdr:nvGraphicFramePr>
        <xdr:cNvPr id="40" name="图表 23">
          <a:extLst>
            <a:ext uri="{FF2B5EF4-FFF2-40B4-BE49-F238E27FC236}">
              <a16:creationId xmlns:a16="http://schemas.microsoft.com/office/drawing/2014/main" id="{945A3AC2-79BF-4B01-8B29-0B070C862586}"/>
            </a:ext>
            <a:ext uri="{147F2762-F138-4A5C-976F-8EAC2B608ADB}">
              <a16:predDERef xmlns:a16="http://schemas.microsoft.com/office/drawing/2014/main" pred="{F9F4F8CA-C9F1-4E24-A22B-6F579EE18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297180</xdr:colOff>
      <xdr:row>138</xdr:row>
      <xdr:rowOff>114300</xdr:rowOff>
    </xdr:from>
    <xdr:to>
      <xdr:col>24</xdr:col>
      <xdr:colOff>601980</xdr:colOff>
      <xdr:row>154</xdr:row>
      <xdr:rowOff>53340</xdr:rowOff>
    </xdr:to>
    <xdr:graphicFrame macro="">
      <xdr:nvGraphicFramePr>
        <xdr:cNvPr id="41" name="图表 24">
          <a:extLst>
            <a:ext uri="{FF2B5EF4-FFF2-40B4-BE49-F238E27FC236}">
              <a16:creationId xmlns:a16="http://schemas.microsoft.com/office/drawing/2014/main" id="{CB1398FB-D0D2-43BE-A994-F0B122F38FC9}"/>
            </a:ext>
            <a:ext uri="{147F2762-F138-4A5C-976F-8EAC2B608ADB}">
              <a16:predDERef xmlns:a16="http://schemas.microsoft.com/office/drawing/2014/main" pred="{945A3AC2-79BF-4B01-8B29-0B070C862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xdr:col>
      <xdr:colOff>0</xdr:colOff>
      <xdr:row>156</xdr:row>
      <xdr:rowOff>0</xdr:rowOff>
    </xdr:from>
    <xdr:to>
      <xdr:col>17</xdr:col>
      <xdr:colOff>297180</xdr:colOff>
      <xdr:row>171</xdr:row>
      <xdr:rowOff>80010</xdr:rowOff>
    </xdr:to>
    <xdr:graphicFrame macro="">
      <xdr:nvGraphicFramePr>
        <xdr:cNvPr id="42" name="Chart 25">
          <a:extLst>
            <a:ext uri="{FF2B5EF4-FFF2-40B4-BE49-F238E27FC236}">
              <a16:creationId xmlns:a16="http://schemas.microsoft.com/office/drawing/2014/main" id="{48206BFA-1DC5-4F3A-9EED-11AA6CBC4613}"/>
            </a:ext>
            <a:ext uri="{147F2762-F138-4A5C-976F-8EAC2B608ADB}">
              <a16:predDERef xmlns:a16="http://schemas.microsoft.com/office/drawing/2014/main" pred="{CB1398FB-D0D2-43BE-A994-F0B122F38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247650</xdr:colOff>
      <xdr:row>193</xdr:row>
      <xdr:rowOff>104775</xdr:rowOff>
    </xdr:from>
    <xdr:to>
      <xdr:col>17</xdr:col>
      <xdr:colOff>19050</xdr:colOff>
      <xdr:row>208</xdr:row>
      <xdr:rowOff>19050</xdr:rowOff>
    </xdr:to>
    <xdr:graphicFrame macro="">
      <xdr:nvGraphicFramePr>
        <xdr:cNvPr id="2" name="Chart 1">
          <a:extLst>
            <a:ext uri="{FF2B5EF4-FFF2-40B4-BE49-F238E27FC236}">
              <a16:creationId xmlns:a16="http://schemas.microsoft.com/office/drawing/2014/main" id="{B6C6FB7D-1941-2A82-9199-7A95341BE06B}"/>
            </a:ext>
            <a:ext uri="{147F2762-F138-4A5C-976F-8EAC2B608ADB}">
              <a16:predDERef xmlns:a16="http://schemas.microsoft.com/office/drawing/2014/main" pred="{48206BFA-1DC5-4F3A-9EED-11AA6CBC4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542925</xdr:colOff>
      <xdr:row>217</xdr:row>
      <xdr:rowOff>123825</xdr:rowOff>
    </xdr:from>
    <xdr:to>
      <xdr:col>22</xdr:col>
      <xdr:colOff>180975</xdr:colOff>
      <xdr:row>235</xdr:row>
      <xdr:rowOff>114300</xdr:rowOff>
    </xdr:to>
    <xdr:graphicFrame macro="">
      <xdr:nvGraphicFramePr>
        <xdr:cNvPr id="3" name="Chart 2">
          <a:extLst>
            <a:ext uri="{FF2B5EF4-FFF2-40B4-BE49-F238E27FC236}">
              <a16:creationId xmlns:a16="http://schemas.microsoft.com/office/drawing/2014/main" id="{16555683-FD1A-1669-E14B-01E9D130DE77}"/>
            </a:ext>
            <a:ext uri="{147F2762-F138-4A5C-976F-8EAC2B608ADB}">
              <a16:predDERef xmlns:a16="http://schemas.microsoft.com/office/drawing/2014/main" pred="{B6C6FB7D-1941-2A82-9199-7A95341BE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13</xdr:col>
      <xdr:colOff>209550</xdr:colOff>
      <xdr:row>236</xdr:row>
      <xdr:rowOff>47625</xdr:rowOff>
    </xdr:from>
    <xdr:to>
      <xdr:col>21</xdr:col>
      <xdr:colOff>447675</xdr:colOff>
      <xdr:row>253</xdr:row>
      <xdr:rowOff>47625</xdr:rowOff>
    </xdr:to>
    <xdr:graphicFrame macro="">
      <xdr:nvGraphicFramePr>
        <xdr:cNvPr id="5" name="Chart 4">
          <a:extLst>
            <a:ext uri="{FF2B5EF4-FFF2-40B4-BE49-F238E27FC236}">
              <a16:creationId xmlns:a16="http://schemas.microsoft.com/office/drawing/2014/main" id="{FAA8F8B0-ADA6-7EB0-6445-1306D390773E}"/>
            </a:ext>
            <a:ext uri="{147F2762-F138-4A5C-976F-8EAC2B608ADB}">
              <a16:predDERef xmlns:a16="http://schemas.microsoft.com/office/drawing/2014/main" pred="{16555683-FD1A-1669-E14B-01E9D130D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657225</xdr:colOff>
      <xdr:row>253</xdr:row>
      <xdr:rowOff>95250</xdr:rowOff>
    </xdr:from>
    <xdr:to>
      <xdr:col>21</xdr:col>
      <xdr:colOff>85725</xdr:colOff>
      <xdr:row>269</xdr:row>
      <xdr:rowOff>104775</xdr:rowOff>
    </xdr:to>
    <xdr:graphicFrame macro="">
      <xdr:nvGraphicFramePr>
        <xdr:cNvPr id="4" name="Chart 3">
          <a:extLst>
            <a:ext uri="{FF2B5EF4-FFF2-40B4-BE49-F238E27FC236}">
              <a16:creationId xmlns:a16="http://schemas.microsoft.com/office/drawing/2014/main" id="{545FD7EF-FC7B-23E1-C9B4-6B16512A5339}"/>
            </a:ext>
            <a:ext uri="{147F2762-F138-4A5C-976F-8EAC2B608ADB}">
              <a16:predDERef xmlns:a16="http://schemas.microsoft.com/office/drawing/2014/main" pred="{FAA8F8B0-ADA6-7EB0-6445-1306D39077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304800</xdr:colOff>
      <xdr:row>273</xdr:row>
      <xdr:rowOff>85725</xdr:rowOff>
    </xdr:from>
    <xdr:to>
      <xdr:col>8</xdr:col>
      <xdr:colOff>885825</xdr:colOff>
      <xdr:row>288</xdr:row>
      <xdr:rowOff>0</xdr:rowOff>
    </xdr:to>
    <xdr:graphicFrame macro="">
      <xdr:nvGraphicFramePr>
        <xdr:cNvPr id="7" name="图表 5">
          <a:extLst>
            <a:ext uri="{FF2B5EF4-FFF2-40B4-BE49-F238E27FC236}">
              <a16:creationId xmlns:a16="http://schemas.microsoft.com/office/drawing/2014/main" id="{82D9ABDA-EF46-C9E5-72B9-495A2E0C307C}"/>
            </a:ext>
            <a:ext uri="{147F2762-F138-4A5C-976F-8EAC2B608ADB}">
              <a16:predDERef xmlns:a16="http://schemas.microsoft.com/office/drawing/2014/main" pred="{545FD7EF-FC7B-23E1-C9B4-6B16512A53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209550</xdr:colOff>
      <xdr:row>288</xdr:row>
      <xdr:rowOff>142875</xdr:rowOff>
    </xdr:from>
    <xdr:to>
      <xdr:col>14</xdr:col>
      <xdr:colOff>400050</xdr:colOff>
      <xdr:row>303</xdr:row>
      <xdr:rowOff>47625</xdr:rowOff>
    </xdr:to>
    <xdr:graphicFrame macro="">
      <xdr:nvGraphicFramePr>
        <xdr:cNvPr id="24" name="图表 6">
          <a:extLst>
            <a:ext uri="{FF2B5EF4-FFF2-40B4-BE49-F238E27FC236}">
              <a16:creationId xmlns:a16="http://schemas.microsoft.com/office/drawing/2014/main" id="{543B77CE-CCCF-1DC9-4B94-2A68E9D8A0D7}"/>
            </a:ext>
            <a:ext uri="{147F2762-F138-4A5C-976F-8EAC2B608ADB}">
              <a16:predDERef xmlns:a16="http://schemas.microsoft.com/office/drawing/2014/main" pred="{82D9ABDA-EF46-C9E5-72B9-495A2E0C3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371475</xdr:colOff>
      <xdr:row>298</xdr:row>
      <xdr:rowOff>180975</xdr:rowOff>
    </xdr:from>
    <xdr:to>
      <xdr:col>5</xdr:col>
      <xdr:colOff>752475</xdr:colOff>
      <xdr:row>313</xdr:row>
      <xdr:rowOff>66675</xdr:rowOff>
    </xdr:to>
    <xdr:graphicFrame macro="">
      <xdr:nvGraphicFramePr>
        <xdr:cNvPr id="49" name="图表 7">
          <a:extLst>
            <a:ext uri="{FF2B5EF4-FFF2-40B4-BE49-F238E27FC236}">
              <a16:creationId xmlns:a16="http://schemas.microsoft.com/office/drawing/2014/main" id="{0A482E52-E6A3-015B-4EE7-603A5394AB83}"/>
            </a:ext>
            <a:ext uri="{147F2762-F138-4A5C-976F-8EAC2B608ADB}">
              <a16:predDERef xmlns:a16="http://schemas.microsoft.com/office/drawing/2014/main" pred="{543B77CE-CCCF-1DC9-4B94-2A68E9D8A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838200</xdr:colOff>
      <xdr:row>317</xdr:row>
      <xdr:rowOff>180975</xdr:rowOff>
    </xdr:from>
    <xdr:to>
      <xdr:col>10</xdr:col>
      <xdr:colOff>857250</xdr:colOff>
      <xdr:row>334</xdr:row>
      <xdr:rowOff>114300</xdr:rowOff>
    </xdr:to>
    <xdr:graphicFrame macro="">
      <xdr:nvGraphicFramePr>
        <xdr:cNvPr id="6" name="图表 5">
          <a:extLst>
            <a:ext uri="{FF2B5EF4-FFF2-40B4-BE49-F238E27FC236}">
              <a16:creationId xmlns:a16="http://schemas.microsoft.com/office/drawing/2014/main" id="{C3047F07-12ED-8CF5-5637-185E9FDF1E73}"/>
            </a:ext>
            <a:ext uri="{147F2762-F138-4A5C-976F-8EAC2B608ADB}">
              <a16:predDERef xmlns:a16="http://schemas.microsoft.com/office/drawing/2014/main" pred="{0A482E52-E6A3-015B-4EE7-603A5394A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xdr:col>
      <xdr:colOff>676275</xdr:colOff>
      <xdr:row>338</xdr:row>
      <xdr:rowOff>142875</xdr:rowOff>
    </xdr:from>
    <xdr:to>
      <xdr:col>10</xdr:col>
      <xdr:colOff>323850</xdr:colOff>
      <xdr:row>353</xdr:row>
      <xdr:rowOff>104775</xdr:rowOff>
    </xdr:to>
    <xdr:graphicFrame macro="">
      <xdr:nvGraphicFramePr>
        <xdr:cNvPr id="8" name="图表 7">
          <a:extLst>
            <a:ext uri="{FF2B5EF4-FFF2-40B4-BE49-F238E27FC236}">
              <a16:creationId xmlns:a16="http://schemas.microsoft.com/office/drawing/2014/main" id="{7A7B3CA2-9320-BC55-DCCC-063A1034110C}"/>
            </a:ext>
            <a:ext uri="{147F2762-F138-4A5C-976F-8EAC2B608ADB}">
              <a16:predDERef xmlns:a16="http://schemas.microsoft.com/office/drawing/2014/main" pred="{C3047F07-12ED-8CF5-5637-185E9FDF1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xdr:col>
      <xdr:colOff>19050</xdr:colOff>
      <xdr:row>359</xdr:row>
      <xdr:rowOff>0</xdr:rowOff>
    </xdr:from>
    <xdr:to>
      <xdr:col>8</xdr:col>
      <xdr:colOff>847725</xdr:colOff>
      <xdr:row>374</xdr:row>
      <xdr:rowOff>9525</xdr:rowOff>
    </xdr:to>
    <xdr:graphicFrame macro="">
      <xdr:nvGraphicFramePr>
        <xdr:cNvPr id="9" name="图表 8">
          <a:extLst>
            <a:ext uri="{FF2B5EF4-FFF2-40B4-BE49-F238E27FC236}">
              <a16:creationId xmlns:a16="http://schemas.microsoft.com/office/drawing/2014/main" id="{64A4C9FB-57D8-E6AB-D94E-6C288D7B71B3}"/>
            </a:ext>
            <a:ext uri="{147F2762-F138-4A5C-976F-8EAC2B608ADB}">
              <a16:predDERef xmlns:a16="http://schemas.microsoft.com/office/drawing/2014/main" pred="{7A7B3CA2-9320-BC55-DCCC-063A10341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xdr:col>
      <xdr:colOff>619125</xdr:colOff>
      <xdr:row>378</xdr:row>
      <xdr:rowOff>28575</xdr:rowOff>
    </xdr:from>
    <xdr:to>
      <xdr:col>10</xdr:col>
      <xdr:colOff>133350</xdr:colOff>
      <xdr:row>397</xdr:row>
      <xdr:rowOff>57150</xdr:rowOff>
    </xdr:to>
    <xdr:graphicFrame macro="">
      <xdr:nvGraphicFramePr>
        <xdr:cNvPr id="22" name="图表 9">
          <a:extLst>
            <a:ext uri="{FF2B5EF4-FFF2-40B4-BE49-F238E27FC236}">
              <a16:creationId xmlns:a16="http://schemas.microsoft.com/office/drawing/2014/main" id="{657BEE2F-C984-10D1-D8F8-9CC2201F6560}"/>
            </a:ext>
            <a:ext uri="{147F2762-F138-4A5C-976F-8EAC2B608ADB}">
              <a16:predDERef xmlns:a16="http://schemas.microsoft.com/office/drawing/2014/main" pred="{64A4C9FB-57D8-E6AB-D94E-6C288D7B7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xdr:col>
      <xdr:colOff>809625</xdr:colOff>
      <xdr:row>731</xdr:row>
      <xdr:rowOff>133350</xdr:rowOff>
    </xdr:from>
    <xdr:to>
      <xdr:col>8</xdr:col>
      <xdr:colOff>28575</xdr:colOff>
      <xdr:row>746</xdr:row>
      <xdr:rowOff>152400</xdr:rowOff>
    </xdr:to>
    <xdr:graphicFrame macro="">
      <xdr:nvGraphicFramePr>
        <xdr:cNvPr id="17" name="图表 16">
          <a:extLst>
            <a:ext uri="{FF2B5EF4-FFF2-40B4-BE49-F238E27FC236}">
              <a16:creationId xmlns:a16="http://schemas.microsoft.com/office/drawing/2014/main" id="{72B511EF-B579-B265-15A5-5F11C6B20E94}"/>
            </a:ext>
            <a:ext uri="{147F2762-F138-4A5C-976F-8EAC2B608ADB}">
              <a16:predDERef xmlns:a16="http://schemas.microsoft.com/office/drawing/2014/main" pred="{657BEE2F-C984-10D1-D8F8-9CC2201F6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8</xdr:col>
      <xdr:colOff>647700</xdr:colOff>
      <xdr:row>731</xdr:row>
      <xdr:rowOff>19050</xdr:rowOff>
    </xdr:from>
    <xdr:to>
      <xdr:col>15</xdr:col>
      <xdr:colOff>142875</xdr:colOff>
      <xdr:row>745</xdr:row>
      <xdr:rowOff>95250</xdr:rowOff>
    </xdr:to>
    <xdr:graphicFrame macro="">
      <xdr:nvGraphicFramePr>
        <xdr:cNvPr id="19" name="图表 18">
          <a:extLst>
            <a:ext uri="{FF2B5EF4-FFF2-40B4-BE49-F238E27FC236}">
              <a16:creationId xmlns:a16="http://schemas.microsoft.com/office/drawing/2014/main" id="{827AB587-BD87-189C-E022-51D4789614DF}"/>
            </a:ext>
            <a:ext uri="{147F2762-F138-4A5C-976F-8EAC2B608ADB}">
              <a16:predDERef xmlns:a16="http://schemas.microsoft.com/office/drawing/2014/main" pred="{72B511EF-B579-B265-15A5-5F11C6B20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371475</xdr:colOff>
      <xdr:row>1129</xdr:row>
      <xdr:rowOff>161925</xdr:rowOff>
    </xdr:from>
    <xdr:to>
      <xdr:col>7</xdr:col>
      <xdr:colOff>942975</xdr:colOff>
      <xdr:row>1153</xdr:row>
      <xdr:rowOff>66675</xdr:rowOff>
    </xdr:to>
    <xdr:graphicFrame macro="">
      <xdr:nvGraphicFramePr>
        <xdr:cNvPr id="10" name="图表 9">
          <a:extLst>
            <a:ext uri="{FF2B5EF4-FFF2-40B4-BE49-F238E27FC236}">
              <a16:creationId xmlns:a16="http://schemas.microsoft.com/office/drawing/2014/main" id="{8DE47D45-4DF9-1E6C-8547-FB78A7476EE2}"/>
            </a:ext>
            <a:ext uri="{147F2762-F138-4A5C-976F-8EAC2B608ADB}">
              <a16:predDERef xmlns:a16="http://schemas.microsoft.com/office/drawing/2014/main" pred="{827AB587-BD87-189C-E022-51D478961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xdr:col>
      <xdr:colOff>723900</xdr:colOff>
      <xdr:row>785</xdr:row>
      <xdr:rowOff>180975</xdr:rowOff>
    </xdr:from>
    <xdr:to>
      <xdr:col>7</xdr:col>
      <xdr:colOff>428625</xdr:colOff>
      <xdr:row>805</xdr:row>
      <xdr:rowOff>9525</xdr:rowOff>
    </xdr:to>
    <xdr:graphicFrame macro="">
      <xdr:nvGraphicFramePr>
        <xdr:cNvPr id="12" name="图表 11">
          <a:extLst>
            <a:ext uri="{FF2B5EF4-FFF2-40B4-BE49-F238E27FC236}">
              <a16:creationId xmlns:a16="http://schemas.microsoft.com/office/drawing/2014/main" id="{C04F619E-5B1E-99C9-C016-AAC7679360AC}"/>
            </a:ext>
            <a:ext uri="{147F2762-F138-4A5C-976F-8EAC2B608ADB}">
              <a16:predDERef xmlns:a16="http://schemas.microsoft.com/office/drawing/2014/main" pred="{8DE47D45-4DF9-1E6C-8547-FB78A7476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5</xdr:col>
      <xdr:colOff>76200</xdr:colOff>
      <xdr:row>1176</xdr:row>
      <xdr:rowOff>142875</xdr:rowOff>
    </xdr:from>
    <xdr:to>
      <xdr:col>9</xdr:col>
      <xdr:colOff>857250</xdr:colOff>
      <xdr:row>1199</xdr:row>
      <xdr:rowOff>95250</xdr:rowOff>
    </xdr:to>
    <xdr:graphicFrame macro="">
      <xdr:nvGraphicFramePr>
        <xdr:cNvPr id="18" name="图表 17">
          <a:extLst>
            <a:ext uri="{FF2B5EF4-FFF2-40B4-BE49-F238E27FC236}">
              <a16:creationId xmlns:a16="http://schemas.microsoft.com/office/drawing/2014/main" id="{79C4A237-E0B0-8D6B-97CB-4AFF59CD703F}"/>
            </a:ext>
            <a:ext uri="{147F2762-F138-4A5C-976F-8EAC2B608ADB}">
              <a16:predDERef xmlns:a16="http://schemas.microsoft.com/office/drawing/2014/main" pred="{C04F619E-5B1E-99C9-C016-AAC767936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5</xdr:col>
      <xdr:colOff>495300</xdr:colOff>
      <xdr:row>1628</xdr:row>
      <xdr:rowOff>142875</xdr:rowOff>
    </xdr:from>
    <xdr:to>
      <xdr:col>10</xdr:col>
      <xdr:colOff>885825</xdr:colOff>
      <xdr:row>1650</xdr:row>
      <xdr:rowOff>95250</xdr:rowOff>
    </xdr:to>
    <xdr:graphicFrame macro="">
      <xdr:nvGraphicFramePr>
        <xdr:cNvPr id="21" name="图表 20">
          <a:extLst>
            <a:ext uri="{FF2B5EF4-FFF2-40B4-BE49-F238E27FC236}">
              <a16:creationId xmlns:a16="http://schemas.microsoft.com/office/drawing/2014/main" id="{5EF1FF1F-6998-7712-12AE-218C4361B21B}"/>
            </a:ext>
            <a:ext uri="{147F2762-F138-4A5C-976F-8EAC2B608ADB}">
              <a16:predDERef xmlns:a16="http://schemas.microsoft.com/office/drawing/2014/main" pred="{79C4A237-E0B0-8D6B-97CB-4AFF59CD7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11</xdr:col>
      <xdr:colOff>200025</xdr:colOff>
      <xdr:row>1649</xdr:row>
      <xdr:rowOff>28575</xdr:rowOff>
    </xdr:from>
    <xdr:to>
      <xdr:col>20</xdr:col>
      <xdr:colOff>19050</xdr:colOff>
      <xdr:row>1669</xdr:row>
      <xdr:rowOff>19050</xdr:rowOff>
    </xdr:to>
    <xdr:graphicFrame macro="">
      <xdr:nvGraphicFramePr>
        <xdr:cNvPr id="11" name="图表 10">
          <a:extLst>
            <a:ext uri="{FF2B5EF4-FFF2-40B4-BE49-F238E27FC236}">
              <a16:creationId xmlns:a16="http://schemas.microsoft.com/office/drawing/2014/main" id="{6DB0CBAC-174A-6B85-1971-BECFD7E212F1}"/>
            </a:ext>
            <a:ext uri="{147F2762-F138-4A5C-976F-8EAC2B608ADB}">
              <a16:predDERef xmlns:a16="http://schemas.microsoft.com/office/drawing/2014/main" pred="{5EF1FF1F-6998-7712-12AE-218C4361B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7</xdr:col>
      <xdr:colOff>266700</xdr:colOff>
      <xdr:row>755</xdr:row>
      <xdr:rowOff>142875</xdr:rowOff>
    </xdr:from>
    <xdr:to>
      <xdr:col>14</xdr:col>
      <xdr:colOff>533400</xdr:colOff>
      <xdr:row>776</xdr:row>
      <xdr:rowOff>104775</xdr:rowOff>
    </xdr:to>
    <xdr:graphicFrame macro="">
      <xdr:nvGraphicFramePr>
        <xdr:cNvPr id="25" name="图表 24">
          <a:extLst>
            <a:ext uri="{FF2B5EF4-FFF2-40B4-BE49-F238E27FC236}">
              <a16:creationId xmlns:a16="http://schemas.microsoft.com/office/drawing/2014/main" id="{4DE99F8A-7504-F1D4-43A6-A61D817FA7C2}"/>
            </a:ext>
            <a:ext uri="{147F2762-F138-4A5C-976F-8EAC2B608ADB}">
              <a16:predDERef xmlns:a16="http://schemas.microsoft.com/office/drawing/2014/main" pred="{6DB0CBAC-174A-6B85-1971-BECFD7E21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19</xdr:col>
      <xdr:colOff>161925</xdr:colOff>
      <xdr:row>757</xdr:row>
      <xdr:rowOff>123825</xdr:rowOff>
    </xdr:from>
    <xdr:to>
      <xdr:col>28</xdr:col>
      <xdr:colOff>323850</xdr:colOff>
      <xdr:row>778</xdr:row>
      <xdr:rowOff>95250</xdr:rowOff>
    </xdr:to>
    <xdr:graphicFrame macro="">
      <xdr:nvGraphicFramePr>
        <xdr:cNvPr id="26" name="图表 25">
          <a:extLst>
            <a:ext uri="{FF2B5EF4-FFF2-40B4-BE49-F238E27FC236}">
              <a16:creationId xmlns:a16="http://schemas.microsoft.com/office/drawing/2014/main" id="{78C05A49-A71E-61F7-9EA3-E4A94B51EAAB}"/>
            </a:ext>
            <a:ext uri="{147F2762-F138-4A5C-976F-8EAC2B608ADB}">
              <a16:predDERef xmlns:a16="http://schemas.microsoft.com/office/drawing/2014/main" pred="{4DE99F8A-7504-F1D4-43A6-A61D817FA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15</xdr:col>
      <xdr:colOff>552450</xdr:colOff>
      <xdr:row>780</xdr:row>
      <xdr:rowOff>47625</xdr:rowOff>
    </xdr:from>
    <xdr:to>
      <xdr:col>26</xdr:col>
      <xdr:colOff>95250</xdr:colOff>
      <xdr:row>804</xdr:row>
      <xdr:rowOff>76200</xdr:rowOff>
    </xdr:to>
    <xdr:graphicFrame macro="">
      <xdr:nvGraphicFramePr>
        <xdr:cNvPr id="43" name="图表 42">
          <a:extLst>
            <a:ext uri="{FF2B5EF4-FFF2-40B4-BE49-F238E27FC236}">
              <a16:creationId xmlns:a16="http://schemas.microsoft.com/office/drawing/2014/main" id="{8454957E-1F77-03EB-B1BA-6F0C71A91CA3}"/>
            </a:ext>
            <a:ext uri="{147F2762-F138-4A5C-976F-8EAC2B608ADB}">
              <a16:predDERef xmlns:a16="http://schemas.microsoft.com/office/drawing/2014/main" pred="{78C05A49-A71E-61F7-9EA3-E4A94B51E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4</xdr:col>
      <xdr:colOff>733425</xdr:colOff>
      <xdr:row>1594</xdr:row>
      <xdr:rowOff>142875</xdr:rowOff>
    </xdr:from>
    <xdr:to>
      <xdr:col>9</xdr:col>
      <xdr:colOff>590550</xdr:colOff>
      <xdr:row>1618</xdr:row>
      <xdr:rowOff>57150</xdr:rowOff>
    </xdr:to>
    <xdr:graphicFrame macro="">
      <xdr:nvGraphicFramePr>
        <xdr:cNvPr id="45" name="图表 44">
          <a:extLst>
            <a:ext uri="{FF2B5EF4-FFF2-40B4-BE49-F238E27FC236}">
              <a16:creationId xmlns:a16="http://schemas.microsoft.com/office/drawing/2014/main" id="{3B1F556B-A42E-9FA2-08C4-77145C108940}"/>
            </a:ext>
            <a:ext uri="{147F2762-F138-4A5C-976F-8EAC2B608ADB}">
              <a16:predDERef xmlns:a16="http://schemas.microsoft.com/office/drawing/2014/main" pred="{8454957E-1F77-03EB-B1BA-6F0C71A91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3</xdr:col>
      <xdr:colOff>371475</xdr:colOff>
      <xdr:row>1682</xdr:row>
      <xdr:rowOff>0</xdr:rowOff>
    </xdr:from>
    <xdr:to>
      <xdr:col>8</xdr:col>
      <xdr:colOff>66675</xdr:colOff>
      <xdr:row>1701</xdr:row>
      <xdr:rowOff>161925</xdr:rowOff>
    </xdr:to>
    <xdr:graphicFrame macro="">
      <xdr:nvGraphicFramePr>
        <xdr:cNvPr id="47" name="图表 46">
          <a:extLst>
            <a:ext uri="{FF2B5EF4-FFF2-40B4-BE49-F238E27FC236}">
              <a16:creationId xmlns:a16="http://schemas.microsoft.com/office/drawing/2014/main" id="{A0CE5077-3332-D54B-0935-6DF35F7791BD}"/>
            </a:ext>
            <a:ext uri="{147F2762-F138-4A5C-976F-8EAC2B608ADB}">
              <a16:predDERef xmlns:a16="http://schemas.microsoft.com/office/drawing/2014/main" pred="{3B1F556B-A42E-9FA2-08C4-77145C108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4</xdr:col>
      <xdr:colOff>323850</xdr:colOff>
      <xdr:row>1703</xdr:row>
      <xdr:rowOff>161925</xdr:rowOff>
    </xdr:from>
    <xdr:to>
      <xdr:col>8</xdr:col>
      <xdr:colOff>552450</xdr:colOff>
      <xdr:row>1723</xdr:row>
      <xdr:rowOff>133350</xdr:rowOff>
    </xdr:to>
    <xdr:graphicFrame macro="">
      <xdr:nvGraphicFramePr>
        <xdr:cNvPr id="71" name="图表 43">
          <a:extLst>
            <a:ext uri="{FF2B5EF4-FFF2-40B4-BE49-F238E27FC236}">
              <a16:creationId xmlns:a16="http://schemas.microsoft.com/office/drawing/2014/main" id="{CDA80448-EC8A-81A2-97AC-F598DD2AB0E4}"/>
            </a:ext>
            <a:ext uri="{147F2762-F138-4A5C-976F-8EAC2B608ADB}">
              <a16:predDERef xmlns:a16="http://schemas.microsoft.com/office/drawing/2014/main" pred="{A0CE5077-3332-D54B-0935-6DF35F779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419100</xdr:colOff>
      <xdr:row>46</xdr:row>
      <xdr:rowOff>85725</xdr:rowOff>
    </xdr:from>
    <xdr:to>
      <xdr:col>18</xdr:col>
      <xdr:colOff>438150</xdr:colOff>
      <xdr:row>64</xdr:row>
      <xdr:rowOff>9525</xdr:rowOff>
    </xdr:to>
    <xdr:graphicFrame macro="">
      <xdr:nvGraphicFramePr>
        <xdr:cNvPr id="3" name="Chart 2">
          <a:extLst>
            <a:ext uri="{FF2B5EF4-FFF2-40B4-BE49-F238E27FC236}">
              <a16:creationId xmlns:a16="http://schemas.microsoft.com/office/drawing/2014/main" id="{CEBDAEDC-DB7D-18EB-346A-5B9E77F15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27</xdr:col>
      <xdr:colOff>0</xdr:colOff>
      <xdr:row>94</xdr:row>
      <xdr:rowOff>171450</xdr:rowOff>
    </xdr:from>
    <xdr:to>
      <xdr:col>30</xdr:col>
      <xdr:colOff>352425</xdr:colOff>
      <xdr:row>102</xdr:row>
      <xdr:rowOff>9525</xdr:rowOff>
    </xdr:to>
    <xdr:pic>
      <xdr:nvPicPr>
        <xdr:cNvPr id="2" name="圖片 1">
          <a:extLst>
            <a:ext uri="{FF2B5EF4-FFF2-40B4-BE49-F238E27FC236}">
              <a16:creationId xmlns:a16="http://schemas.microsoft.com/office/drawing/2014/main" id="{1F5327AC-3ED4-9237-E438-31CDC36026BF}"/>
            </a:ext>
          </a:extLst>
        </xdr:cNvPr>
        <xdr:cNvPicPr>
          <a:picLocks noChangeAspect="1"/>
        </xdr:cNvPicPr>
      </xdr:nvPicPr>
      <xdr:blipFill>
        <a:blip xmlns:r="http://schemas.openxmlformats.org/officeDocument/2006/relationships" r:embed="rId1"/>
        <a:stretch>
          <a:fillRect/>
        </a:stretch>
      </xdr:blipFill>
      <xdr:spPr>
        <a:xfrm>
          <a:off x="23660100" y="18154650"/>
          <a:ext cx="2381250" cy="1285875"/>
        </a:xfrm>
        <a:prstGeom prst="rect">
          <a:avLst/>
        </a:prstGeom>
      </xdr:spPr>
    </xdr:pic>
    <xdr:clientData/>
  </xdr:twoCellAnchor>
  <xdr:twoCellAnchor editAs="oneCell">
    <xdr:from>
      <xdr:col>27</xdr:col>
      <xdr:colOff>123825</xdr:colOff>
      <xdr:row>102</xdr:row>
      <xdr:rowOff>133350</xdr:rowOff>
    </xdr:from>
    <xdr:to>
      <xdr:col>30</xdr:col>
      <xdr:colOff>95250</xdr:colOff>
      <xdr:row>109</xdr:row>
      <xdr:rowOff>28575</xdr:rowOff>
    </xdr:to>
    <xdr:pic>
      <xdr:nvPicPr>
        <xdr:cNvPr id="3" name="圖片 2">
          <a:extLst>
            <a:ext uri="{FF2B5EF4-FFF2-40B4-BE49-F238E27FC236}">
              <a16:creationId xmlns:a16="http://schemas.microsoft.com/office/drawing/2014/main" id="{0B55907E-DDB1-6BFB-6CB2-09BBF9BF97B7}"/>
            </a:ext>
            <a:ext uri="{147F2762-F138-4A5C-976F-8EAC2B608ADB}">
              <a16:predDERef xmlns:a16="http://schemas.microsoft.com/office/drawing/2014/main" pred="{1F5327AC-3ED4-9237-E438-31CDC36026BF}"/>
            </a:ext>
          </a:extLst>
        </xdr:cNvPr>
        <xdr:cNvPicPr>
          <a:picLocks noChangeAspect="1"/>
        </xdr:cNvPicPr>
      </xdr:nvPicPr>
      <xdr:blipFill>
        <a:blip xmlns:r="http://schemas.openxmlformats.org/officeDocument/2006/relationships" r:embed="rId2"/>
        <a:stretch>
          <a:fillRect/>
        </a:stretch>
      </xdr:blipFill>
      <xdr:spPr>
        <a:xfrm>
          <a:off x="23783925" y="19640550"/>
          <a:ext cx="2000250" cy="1162050"/>
        </a:xfrm>
        <a:prstGeom prst="rect">
          <a:avLst/>
        </a:prstGeom>
      </xdr:spPr>
    </xdr:pic>
    <xdr:clientData/>
  </xdr:twoCellAnchor>
  <xdr:twoCellAnchor editAs="oneCell">
    <xdr:from>
      <xdr:col>31</xdr:col>
      <xdr:colOff>19050</xdr:colOff>
      <xdr:row>94</xdr:row>
      <xdr:rowOff>180975</xdr:rowOff>
    </xdr:from>
    <xdr:to>
      <xdr:col>34</xdr:col>
      <xdr:colOff>276225</xdr:colOff>
      <xdr:row>102</xdr:row>
      <xdr:rowOff>104775</xdr:rowOff>
    </xdr:to>
    <xdr:pic>
      <xdr:nvPicPr>
        <xdr:cNvPr id="4" name="圖片 3">
          <a:extLst>
            <a:ext uri="{FF2B5EF4-FFF2-40B4-BE49-F238E27FC236}">
              <a16:creationId xmlns:a16="http://schemas.microsoft.com/office/drawing/2014/main" id="{D9D185F0-424B-ABAD-6A44-ABF6A19ECD3B}"/>
            </a:ext>
            <a:ext uri="{147F2762-F138-4A5C-976F-8EAC2B608ADB}">
              <a16:predDERef xmlns:a16="http://schemas.microsoft.com/office/drawing/2014/main" pred="{0B55907E-DDB1-6BFB-6CB2-09BBF9BF97B7}"/>
            </a:ext>
          </a:extLst>
        </xdr:cNvPr>
        <xdr:cNvPicPr>
          <a:picLocks noChangeAspect="1"/>
        </xdr:cNvPicPr>
      </xdr:nvPicPr>
      <xdr:blipFill>
        <a:blip xmlns:r="http://schemas.openxmlformats.org/officeDocument/2006/relationships" r:embed="rId3"/>
        <a:stretch>
          <a:fillRect/>
        </a:stretch>
      </xdr:blipFill>
      <xdr:spPr>
        <a:xfrm>
          <a:off x="26508075" y="18164175"/>
          <a:ext cx="2419350" cy="1371600"/>
        </a:xfrm>
        <a:prstGeom prst="rect">
          <a:avLst/>
        </a:prstGeom>
      </xdr:spPr>
    </xdr:pic>
    <xdr:clientData/>
  </xdr:twoCellAnchor>
  <xdr:twoCellAnchor editAs="oneCell">
    <xdr:from>
      <xdr:col>30</xdr:col>
      <xdr:colOff>762000</xdr:colOff>
      <xdr:row>103</xdr:row>
      <xdr:rowOff>76200</xdr:rowOff>
    </xdr:from>
    <xdr:to>
      <xdr:col>33</xdr:col>
      <xdr:colOff>552450</xdr:colOff>
      <xdr:row>110</xdr:row>
      <xdr:rowOff>9525</xdr:rowOff>
    </xdr:to>
    <xdr:pic>
      <xdr:nvPicPr>
        <xdr:cNvPr id="5" name="圖片 4">
          <a:extLst>
            <a:ext uri="{FF2B5EF4-FFF2-40B4-BE49-F238E27FC236}">
              <a16:creationId xmlns:a16="http://schemas.microsoft.com/office/drawing/2014/main" id="{0BC3D4E4-10F8-B8A8-5E4B-391E3A8ED928}"/>
            </a:ext>
            <a:ext uri="{147F2762-F138-4A5C-976F-8EAC2B608ADB}">
              <a16:predDERef xmlns:a16="http://schemas.microsoft.com/office/drawing/2014/main" pred="{D9D185F0-424B-ABAD-6A44-ABF6A19ECD3B}"/>
            </a:ext>
          </a:extLst>
        </xdr:cNvPr>
        <xdr:cNvPicPr>
          <a:picLocks noChangeAspect="1"/>
        </xdr:cNvPicPr>
      </xdr:nvPicPr>
      <xdr:blipFill>
        <a:blip xmlns:r="http://schemas.openxmlformats.org/officeDocument/2006/relationships" r:embed="rId4"/>
        <a:stretch>
          <a:fillRect/>
        </a:stretch>
      </xdr:blipFill>
      <xdr:spPr>
        <a:xfrm>
          <a:off x="26450925" y="19773900"/>
          <a:ext cx="2076450" cy="1200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7b305a5a7d184120/&#25991;&#26723;/&#24191;&#21457;/&#25968;&#25454;/New%20Energy/Rival%20Models%20Competition%20Analysis%20202212.xlsx" TargetMode="External"/><Relationship Id="rId1" Type="http://schemas.openxmlformats.org/officeDocument/2006/relationships/externalLinkPath" Target="https://d.docs.live.net/7b305a5a7d184120/&#25991;&#26723;/&#24191;&#21457;/&#25968;&#25454;/New%20Energy/Rival%20Models%20Competition%20Analysis%20202212.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docs.live.net/bc84a22373914a22/GFHK/&#26032;&#33021;&#28304;&#36710;/BYD/BYD&#19994;&#32489;&#28857;&#35780;Data%20Support.xlsx" TargetMode="External"/><Relationship Id="rId1" Type="http://schemas.openxmlformats.org/officeDocument/2006/relationships/externalLinkPath" Target="https://d.docs.live.net/bc84a22373914a22/GFHK/&#26032;&#33021;&#28304;&#36710;/BYD/BYD&#19994;&#32489;&#28857;&#35780;Data%20Sup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US Pickups"/>
      <sheetName val="Sheet6"/>
      <sheetName val="Sheet5"/>
      <sheetName val="Sheet4"/>
      <sheetName val="Sheet3"/>
      <sheetName val="CN MPV 30-40"/>
      <sheetName val="CN Sedan &lt;10"/>
      <sheetName val="CN Sedan 10-15"/>
      <sheetName val="CN Sedan 15-20"/>
      <sheetName val="CN Sedan 20-25"/>
      <sheetName val="CN Sedan 25-35 "/>
      <sheetName val="CN Sedan 40-50"/>
      <sheetName val="CN SUV 10-15"/>
      <sheetName val="CN SUV 15-20"/>
      <sheetName val="CN SUV 20-25"/>
      <sheetName val="CN SUV 25-30"/>
      <sheetName val="CN SUV 30-35"/>
      <sheetName val="CN SUV 40-50"/>
      <sheetName val="Tesla-Demand  FC detail-3M23"/>
      <sheetName val="Tesla-Demand FC sum-3M23"/>
      <sheetName val="Tesla-Demand  FC detail-22 Full"/>
      <sheetName val="Tesla-Demand FC sum-12M22 "/>
      <sheetName val="Tesla-Demand FC sum-9M22"/>
      <sheetName val="BYD-Demand FC detail-12M22 "/>
      <sheetName val="BYD-Demand FC sum-12M22"/>
      <sheetName val="BYD-Demand FC detail-1H22"/>
      <sheetName val="Li-Demand FC detail-3M23"/>
      <sheetName val="Li-Demand FC sum 3M23"/>
      <sheetName val="Li-Demand FC detail-12M22"/>
      <sheetName val="Li-Demand FC sum 12M22"/>
      <sheetName val="XPeng-Demand FC detail-12M22"/>
      <sheetName val="XPeng-Demand FC sum-12M22"/>
      <sheetName val="BYD-Demand FC detail-9M22"/>
      <sheetName val="NIO-Demand FC detail-12M22"/>
      <sheetName val="NIO-Demand FC sum-12M22"/>
      <sheetName val="Est. Record"/>
      <sheetName val="Tesla-Demand FC detail-9M22"/>
      <sheetName val="CN 22 Full"/>
      <sheetName val="BYD-Demand FC sum-9M22 "/>
      <sheetName val="XPeng-Demand FC detail-9M22"/>
      <sheetName val="XPeng-Demand FC sum-9M22"/>
      <sheetName val="Tesla-Demand FC detail-1H22"/>
      <sheetName val="Tesla-Demand FC sum-1H22"/>
      <sheetName val="NIO-Demand FC detail-9M22 "/>
      <sheetName val="NIO-Demand FC sum-9M22 "/>
      <sheetName val="Sheet1"/>
      <sheetName val="Li-Demand FC sum 9M22"/>
      <sheetName val="BYD-Demand FC sum-1H22"/>
      <sheetName val="Variable definition"/>
      <sheetName val="Attribution analysis"/>
      <sheetName val="Electrification Process"/>
      <sheetName val="Sheet2"/>
      <sheetName val="Claim"/>
      <sheetName val="CN"/>
      <sheetName val="CA"/>
    </sheetNames>
    <sheetDataSet>
      <sheetData sheetId="0"/>
      <sheetData sheetId="1"/>
      <sheetData sheetId="2"/>
      <sheetData sheetId="3"/>
      <sheetData sheetId="4"/>
      <sheetData sheetId="5"/>
      <sheetData sheetId="6"/>
      <sheetData sheetId="7"/>
      <sheetData sheetId="8"/>
      <sheetData sheetId="9">
        <row r="71">
          <cell r="E71">
            <v>192577.77130854176</v>
          </cell>
          <cell r="F71">
            <v>260863.3117625617</v>
          </cell>
          <cell r="G71">
            <v>317857.23960401071</v>
          </cell>
        </row>
      </sheetData>
      <sheetData sheetId="10"/>
      <sheetData sheetId="11"/>
      <sheetData sheetId="12"/>
      <sheetData sheetId="13"/>
      <sheetData sheetId="14"/>
      <sheetData sheetId="15">
        <row r="25">
          <cell r="E25">
            <v>499148.18263101164</v>
          </cell>
          <cell r="F25">
            <v>626297.24809285905</v>
          </cell>
          <cell r="G25">
            <v>706324.36560321751</v>
          </cell>
        </row>
      </sheetData>
      <sheetData sheetId="16">
        <row r="65">
          <cell r="E65">
            <v>125812.23989455041</v>
          </cell>
          <cell r="F65">
            <v>210674.82799327988</v>
          </cell>
        </row>
        <row r="66">
          <cell r="D66">
            <v>15482</v>
          </cell>
          <cell r="E66">
            <v>117334.94069479479</v>
          </cell>
          <cell r="F66">
            <v>199899.98935575079</v>
          </cell>
          <cell r="G66">
            <v>277802.13960369717</v>
          </cell>
        </row>
        <row r="67">
          <cell r="B67">
            <v>33457</v>
          </cell>
          <cell r="C67">
            <v>90491</v>
          </cell>
          <cell r="D67">
            <v>78791</v>
          </cell>
          <cell r="E67">
            <v>28047.914921540556</v>
          </cell>
          <cell r="F67">
            <v>0</v>
          </cell>
          <cell r="G67">
            <v>0</v>
          </cell>
        </row>
      </sheetData>
      <sheetData sheetId="17">
        <row r="41">
          <cell r="D41">
            <v>38973</v>
          </cell>
          <cell r="E41">
            <v>90865.774295692565</v>
          </cell>
          <cell r="F41">
            <v>143955.51359488393</v>
          </cell>
          <cell r="G41">
            <v>178780.27984995913</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rt1. 总营业收入与汽车业务收入"/>
      <sheetName val="Chart2. （扣非后）归母净利润"/>
      <sheetName val="Chart3. 各车型销量"/>
      <sheetName val="Chart4. 总销量和单车净利润估算"/>
      <sheetName val="Breakdown Analysis BYD"/>
      <sheetName val="Chart5. 研发费用"/>
      <sheetName val="Chart6. 磷酸铁锂价格变化程度"/>
      <sheetName val="Chart7. EPS与P E预测走势"/>
      <sheetName val="Chart8. 历史市盈率走势"/>
    </sheetNames>
    <sheetDataSet>
      <sheetData sheetId="0"/>
      <sheetData sheetId="1"/>
      <sheetData sheetId="2"/>
      <sheetData sheetId="3">
        <row r="22">
          <cell r="D22">
            <v>1.0807446593698531</v>
          </cell>
          <cell r="E22">
            <v>0.9884383051086616</v>
          </cell>
        </row>
        <row r="23">
          <cell r="D23">
            <v>0.8236071997760781</v>
          </cell>
          <cell r="E23">
            <v>0.72444890638120418</v>
          </cell>
        </row>
        <row r="24">
          <cell r="D24">
            <v>0.67001863420919594</v>
          </cell>
          <cell r="E24">
            <v>0.56691177678370996</v>
          </cell>
        </row>
        <row r="25">
          <cell r="D25">
            <v>1.0796173853701247</v>
          </cell>
          <cell r="E25">
            <v>1.0735301881204691</v>
          </cell>
        </row>
        <row r="26">
          <cell r="D26">
            <v>0.95453589806786021</v>
          </cell>
          <cell r="E26">
            <v>0.8834026050652386</v>
          </cell>
        </row>
        <row r="27">
          <cell r="D27">
            <v>0.66044196706468228</v>
          </cell>
          <cell r="E27">
            <v>0.58364948220247859</v>
          </cell>
        </row>
        <row r="28">
          <cell r="D28">
            <v>0.21944231984884519</v>
          </cell>
          <cell r="E28">
            <v>0.11660257955009797</v>
          </cell>
        </row>
      </sheetData>
      <sheetData sheetId="4">
        <row r="91">
          <cell r="B91">
            <v>16.780406427812174</v>
          </cell>
        </row>
        <row r="92">
          <cell r="B92">
            <v>17.631616245454751</v>
          </cell>
        </row>
        <row r="93">
          <cell r="B93">
            <v>17.592200819550655</v>
          </cell>
        </row>
        <row r="94">
          <cell r="B94">
            <v>18.080521570493325</v>
          </cell>
        </row>
        <row r="95">
          <cell r="B95">
            <v>17.274500643168601</v>
          </cell>
        </row>
        <row r="96">
          <cell r="B96">
            <v>16.539522323589214</v>
          </cell>
        </row>
        <row r="97">
          <cell r="B97">
            <v>16.090553024212674</v>
          </cell>
        </row>
      </sheetData>
      <sheetData sheetId="5"/>
      <sheetData sheetId="6"/>
      <sheetData sheetId="7"/>
      <sheetData sheetId="8"/>
    </sheetDataSet>
  </externalBook>
</externalLink>
</file>

<file path=xl/persons/person.xml><?xml version="1.0" encoding="utf-8"?>
<personList xmlns="http://schemas.microsoft.com/office/spreadsheetml/2018/threadedcomments" xmlns:x="http://schemas.openxmlformats.org/spreadsheetml/2006/main">
  <person displayName="來賓使用者" id="{9CEBCA20-3B70-4AB2-A9A0-1F753ECB58C9}" userId="" providerId="Windows Live"/>
  <person displayName="Zhiyuan Cao" id="{577B6962-D598-2141-B164-32405E2946E1}" userId="1a82167b969f7f57" providerId="Windows Live"/>
  <person displayName="lin Charlotte" id="{937A018C-E59E-4595-BD5A-224D2F63E4FE}" userId="3e7cc61dc3b9def5" providerId="Windows Live"/>
  <person displayName="Gou Baoyi" id="{1CA034E2-D875-4054-8F96-3C6D33763868}" userId="5fb2ee628a58dee7" providerId="Windows Live"/>
  <person displayName="晁 涌钊" id="{C727E848-119D-4F1D-BE4A-5625D5D47A92}" userId="6b0524b267cf6d77" providerId="Windows Live"/>
  <person displayName="Hung Alex" id="{6B4F847D-D45C-4B6A-AC50-0CEBBAF33754}" userId="7b305a5a7d184120" providerId="Windows Live"/>
  <person displayName="Yirong ZOU" id="{C97EA069-DCDC-4091-8E4F-613D8164612E}" userId="991889f7f2468ad9" providerId="Windows Live"/>
  <person displayName="李 越琦" id="{05B0EA6E-63B4-487D-A345-4F39B62CE93C}" userId="b1c45e268fc416cd" providerId="Windows Live"/>
  <person displayName="Karine Mao" id="{12E1DA7D-B524-D44A-BFA5-66FA906EFC63}" userId="b672ca2fd8be0517" providerId="Windows Live"/>
  <person displayName="Zhijian Xu" id="{3F497584-7056-43D5-A851-7C7AC7DBA94E}" userId="bc84a22373914a22" providerId="Windows Live"/>
  <person displayName="Isaiah Hui" id="{0E68E4AC-9D18-4CAC-83B0-BB84759380C5}" userId="faa1ca422514525c" providerId="Windows Live"/>
  <person displayName="郑 凯轩" id="{142E56A8-ECF0-4A66-9686-B2B803142863}" userId="fd21dcfb0eb8163f"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E45BCB-2238-46B2-B0FE-CC592E19E8BF}" name="表1" displayName="表1" ref="A2:J33" totalsRowShown="0">
  <autoFilter ref="A2:J33" xr:uid="{CFE45BCB-2238-46B2-B0FE-CC592E19E8BF}"/>
  <tableColumns count="10">
    <tableColumn id="1" xr3:uid="{73F4C02E-5F6F-4A10-BD4D-4A4008E8504D}" name="列1" dataDxfId="4"/>
    <tableColumn id="2" xr3:uid="{BA3A3127-D582-48FC-86DC-90474EE078A4}" name="列2"/>
    <tableColumn id="3" xr3:uid="{5E437B69-3D13-4FEB-A7FA-731EE16EF499}" name="列3"/>
    <tableColumn id="4" xr3:uid="{0C3AA472-81F4-4129-BE56-C557DA0BC82D}" name="列4"/>
    <tableColumn id="5" xr3:uid="{FADD4BFA-0477-4F78-A310-31B8DE09B887}" name="列5"/>
    <tableColumn id="6" xr3:uid="{6382E570-8174-4D09-86A6-5E565EB80D94}" name="列6"/>
    <tableColumn id="7" xr3:uid="{34262F99-0F75-4F09-95E4-6D5D9EA2F4D4}" name="列7"/>
    <tableColumn id="8" xr3:uid="{DBE97AB2-A5BA-43EC-8221-DE5132F2F035}" name="列8"/>
    <tableColumn id="9" xr3:uid="{77F3612E-A716-406B-BB8A-55E21406AC2F}" name="列9"/>
    <tableColumn id="10" xr3:uid="{41C81B40-F3D8-4A0D-96E0-D40F86E9AD8B}" name="列10"/>
  </tableColumns>
  <tableStyleInfo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H2" dT="2021-10-14T07:48:18.49" personId="{C727E848-119D-4F1D-BE4A-5625D5D47A92}" id="{322CE3EA-C8DD-4C6D-896E-F7BECA34277A}">
    <text>Source: https://www.patreon.com/posts/46283573</text>
  </threadedComment>
  <threadedComment ref="BH2" dT="2021-11-19T09:10:33.89" personId="{6B4F847D-D45C-4B6A-AC50-0CEBBAF33754}" id="{9F77481B-D86E-4E3A-B616-A1E17FC37B5F}" parentId="{322CE3EA-C8DD-4C6D-896E-F7BECA34277A}">
    <text>overwrite</text>
  </threadedComment>
  <threadedComment ref="BZ2" dT="2021-10-14T07:48:18.49" personId="{C727E848-119D-4F1D-BE4A-5625D5D47A92}" id="{D7C2B89F-0395-4BD3-969B-F23A9BA02EAD}">
    <text>Source: https://www.patreon.com/posts/46283573</text>
  </threadedComment>
  <threadedComment ref="AK3" dT="2021-11-19T08:57:38.90" personId="{6B4F847D-D45C-4B6A-AC50-0CEBBAF33754}" id="{18603DFD-6FAB-4A2C-98EC-45589B174FDE}">
    <text>from Telsa database</text>
  </threadedComment>
  <threadedComment ref="AN3" dT="2021-11-19T09:02:22.63" personId="{6B4F847D-D45C-4B6A-AC50-0CEBBAF33754}" id="{0A67128C-B214-480D-8C43-CB301BAE802B}">
    <text>q3 74.7%</text>
  </threadedComment>
  <threadedComment ref="AO3" dT="2022-07-27T07:07:34.89" personId="{6B4F847D-D45C-4B6A-AC50-0CEBBAF33754}" id="{4C4520B3-809E-4223-BD5F-25F37FE6AEF0}">
    <text>cut from 100</text>
  </threadedComment>
  <threadedComment ref="AP3" dT="2022-07-27T07:07:52.86" personId="{6B4F847D-D45C-4B6A-AC50-0CEBBAF33754}" id="{CA171ED7-3191-4893-8453-8C6E4304A9B1}">
    <text>cut from 100 to 90</text>
  </threadedComment>
  <threadedComment ref="BW3" dT="2021-11-19T09:23:48.50" personId="{6B4F847D-D45C-4B6A-AC50-0CEBBAF33754}" id="{7B6EC87B-3EA7-458F-ABF8-E219FB0874C7}">
    <text>double check</text>
  </threadedComment>
  <threadedComment ref="BW3" dT="2021-11-24T02:37:59.44" personId="{C727E848-119D-4F1D-BE4A-5625D5D47A92}" id="{904A5DA3-20FF-4D99-A105-A43896658936}" parentId="{7B6EC87B-3EA7-458F-ABF8-E219FB0874C7}">
    <text>In 2018, we delivered a total of 245,240 vehicles
Source: Tesla Q4 2018 Vehicle Production &amp; Deliveries, Also Announcing $2,000 Price Reduction in US | Tesla Investor Relations</text>
  </threadedComment>
  <threadedComment ref="J4" dT="2022-01-21T08:43:44.66" personId="{6B4F847D-D45C-4B6A-AC50-0CEBBAF33754}" id="{FAB0F017-E20F-4C6A-BCFF-FC720F299F5F}">
    <text>Tesla is upgrading the production lines of its Shanghai factory for higher capacity starting in December. The conversion work in the areas of the continuing production of the Model 3 and Model Y is expected to last until April 2022. In addition, the first Model Y Performance were delivered in China.</text>
  </threadedComment>
  <threadedComment ref="J4" dT="2022-01-21T08:45:13.65" personId="{6B4F847D-D45C-4B6A-AC50-0CEBBAF33754}" id="{450FB601-B72B-4482-8DFA-F28AFA6C5E70}" parentId="{FAB0F017-E20F-4C6A-BCFF-FC720F299F5F}">
    <text>Recently, Tesla Shanghai Gigafactory received a 1.2 billion yuan ($188.5 million) investment. This fund will go for the latest round of expansion to increase the factory’s production capacity. Tesla China intends to increase the plant’s production capacity to 1 million or 1.5 million vehicles per year. Tesla’s total vehicle deliveries this year may approach the 1 million mark, thanks in large part to the increase in the production of Model Y and Model 3 in Shanghai Gigafactory and the company’s commitment to the Fremont plant.</text>
  </threadedComment>
  <threadedComment ref="S4" dT="2022-12-15T04:27:14.14" personId="{6B4F847D-D45C-4B6A-AC50-0CEBBAF33754}" id="{27B8DAE0-E63D-48EB-8A1A-6A3FFD207BA5}">
    <text>Tesla could add a second shift of production by the beginning of Q2 2020 which would increase line capacity to approximately 3,500 vehicles per week</text>
  </threadedComment>
  <threadedComment ref="AN4" dT="2021-11-19T09:02:41.13" personId="{6B4F847D-D45C-4B6A-AC50-0CEBBAF33754}" id="{23FA5438-EDBB-45CB-B007-D1888DD1E0C5}">
    <text>q3 80.8%</text>
  </threadedComment>
  <threadedComment ref="AO4" dT="2022-12-09T04:28:15.19" personId="{6B4F847D-D45C-4B6A-AC50-0CEBBAF33754}" id="{DBB4CD6D-6E77-4262-8623-77BD69053AA0}">
    <text>up from 80 due to Nov beat of 100k</text>
  </threadedComment>
  <threadedComment ref="AP4" dT="2023-01-11T09:22:10.84" personId="{6B4F847D-D45C-4B6A-AC50-0CEBBAF33754}" id="{84F40438-3BBA-49A5-BCB2-13DE2D66B951}">
    <text>cut from 90 due to falling demand</text>
  </threadedComment>
  <threadedComment ref="AN5" dT="2021-11-19T09:03:55.00" personId="{6B4F847D-D45C-4B6A-AC50-0CEBBAF33754}" id="{CDCBAF55-6AF4-4CC5-B19C-3B4DE10C0AEE}">
    <text>Zachary Kirkhorn 
Sure. So, it remains our target in both Austin and Berlin to be able to build our first production cars before the end of the year. We've talked about this a bit. The unknown of unknowns, new factories, new vehicle designs, new technologies, new locations, new teams.
So, there is quite an execution journey ahead of us, but that remains our target. And all of our plans are oriented around that. We -- for -- we should not expect for us to deliver cars by the end of 2021 from these factories, even if we do produce some.</text>
  </threadedComment>
  <threadedComment ref="AO5" dT="2022-07-27T07:06:50.20" personId="{6B4F847D-D45C-4B6A-AC50-0CEBBAF33754}" id="{A9619467-8CE1-401C-A8E7-06696B9C6B55}">
    <text>cut, below same</text>
  </threadedComment>
  <threadedComment ref="AP5" dT="2023-01-06T08:08:59.67" personId="{6B4F847D-D45C-4B6A-AC50-0CEBBAF33754}" id="{62D4856A-C92E-4FA9-94CA-579E368D3547}">
    <text>down from 71 due to EU ressession</text>
  </threadedComment>
  <threadedComment ref="D6" dT="2021-11-19T09:51:26.73" personId="{6B4F847D-D45C-4B6A-AC50-0CEBBAF33754}" id="{02D83F05-2178-4331-93A5-8FA62C7E483A}">
    <text>https://constructionreviewonline.com/biggest-projects/giga-texas-tesla-inc-factory-in-austin/</text>
  </threadedComment>
  <threadedComment ref="U6" dT="2022-12-16T03:53:58.75" personId="{6B4F847D-D45C-4B6A-AC50-0CEBBAF33754}" id="{4FC67AE2-8C2C-43E0-8D9C-57AA6B2DEF09}">
    <text>12月15日，特斯拉在推特上分享了新的 产量 数据，特斯拉美国得克萨斯州奥斯汀新工厂的Model Y周产量已达到3000辆。</text>
  </threadedComment>
  <threadedComment ref="C8" dT="2022-06-15T01:38:52.56" personId="{142E56A8-ECF0-4A66-9686-B2B803142863}" id="{AE06BDC1-FFBC-445A-A5A4-202635BEFA65}">
    <text>2014年9月，比亚迪西安新能源汽车基地一期项目在高新区草堂科技园实现投产</text>
  </threadedComment>
  <threadedComment ref="AO8" dT="2022-08-30T07:51:07.09" personId="{6B4F847D-D45C-4B6A-AC50-0CEBBAF33754}" id="{0AFC2753-1546-4A15-908B-1C1EFC77214F}">
    <text>+15 up from +10</text>
  </threadedComment>
  <threadedComment ref="AO8" dT="2022-11-03T10:05:20.78" personId="{6B4F847D-D45C-4B6A-AC50-0CEBBAF33754}" id="{2508A4C5-EA4B-4D62-9FD8-4755B9B71844}" parentId="{0AFC2753-1546-4A15-908B-1C1EFC77214F}">
    <text>+25</text>
  </threadedComment>
  <threadedComment ref="BH8" dT="2021-11-26T09:23:54.52" personId="{6B4F847D-D45C-4B6A-AC50-0CEBBAF33754}" id="{15DE243D-2D96-4390-8B19-2C21082CF149}">
    <text>今年前3季度，我省汽车行业重点企业运行态势良好，陕汽集团生产汽车约17.45万辆，产值699.8亿元；西安比亚迪生产汽车约25.7万辆，同比增长55.9%.</text>
  </threadedComment>
  <threadedComment ref="BH8" dT="2021-11-26T09:23:58.08" personId="{6B4F847D-D45C-4B6A-AC50-0CEBBAF33754}" id="{0B7283CF-01C4-4AF4-B40D-3F0FF1FC872A}" parentId="{15DE243D-2D96-4390-8B19-2C21082CF149}">
    <text>自9月24日开始，西安工厂日产量为2030辆，已经超越设计产能，并创造比亚迪的新纪录。 这意味着2030辆／天✖️</text>
  </threadedComment>
  <threadedComment ref="BI9" dT="2022-06-15T02:30:34.96" personId="{142E56A8-ECF0-4A66-9686-B2B803142863}" id="{54ED9267-7C2A-40B9-B53D-E935A31B96B2}">
    <text>1期、2期的合计产能在60万辆，其中2期在2021年3月投产。如果按照单车均价14万计算，720亿元对应的产量应该在45-50万辆左右。实际产能为一期30万辆，二期18万辆，合计48万辆左右。如果西安工厂能够达成50万辆的产量，则意味着实际可利用的产能利用率超过100%了。</text>
  </threadedComment>
  <threadedComment ref="BI9" dT="2022-06-15T02:30:55.93" personId="{142E56A8-ECF0-4A66-9686-B2B803142863}" id="{A456757C-174E-4037-B107-557CA0DE1178}" parentId="{54ED9267-7C2A-40B9-B53D-E935A31B96B2}">
    <text>source：https://www.xchuxing.com/article/39019</text>
  </threadedComment>
  <threadedComment ref="C12" dT="2022-06-15T01:59:03.09" personId="{142E56A8-ECF0-4A66-9686-B2B803142863}" id="{D27A012D-07C0-49A1-BE91-976B6B15C99E}">
    <text>一期预计将于22年1月正式试生产，
预计3月份能够实现全面达产</text>
  </threadedComment>
  <threadedComment ref="AN12" dT="2021-11-29T07:18:19.35" personId="{6B4F847D-D45C-4B6A-AC50-0CEBBAF33754}" id="{CDED15A3-8373-45E2-8895-6AD70F9077E7}">
    <text>需跟踪是否年底前能如期投产</text>
  </threadedComment>
  <threadedComment ref="AN12" dT="2022-06-15T02:40:01.70" personId="{142E56A8-ECF0-4A66-9686-B2B803142863}" id="{407605C1-A955-4778-9283-82271DA0BC38}" parentId="{CDED15A3-8373-45E2-8895-6AD70F9077E7}">
    <text>没投产</text>
  </threadedComment>
  <threadedComment ref="BI12" dT="2022-06-15T02:45:57.01" personId="{142E56A8-ECF0-4A66-9686-B2B803142863}" id="{980A28A9-AC01-44C6-826F-2E92BF64133E}">
    <text>理想状况下，到2022年底，常州工厂可以达到月产3万辆以上的产能水平</text>
  </threadedComment>
  <threadedComment ref="C14" dT="2022-06-15T01:43:14.95" personId="{142E56A8-ECF0-4A66-9686-B2B803142863}" id="{FCA7CA45-4F74-4200-8FE2-E83D8E20235E}">
    <text>2018年1月投产</text>
  </threadedComment>
  <threadedComment ref="AO14" dT="2022-12-29T08:52:21.07" personId="{6B4F847D-D45C-4B6A-AC50-0CEBBAF33754}" id="{8097C1CD-ADD3-BE43-A8B4-1239C9B621C4}">
    <text>Added to 100</text>
  </threadedComment>
  <threadedComment ref="BG14" dT="2021-11-29T04:16:19.82" personId="{6B4F847D-D45C-4B6A-AC50-0CEBBAF33754}" id="{8B491288-B37F-4D0C-A0D5-CEF997FBEAB8}">
    <text>比亚迪汽车工业有限公司深圳工厂BYD Automobile Industry Co., Ltd., Shenzhen Plant image [中国] ... 总产量. 整车77,381 辆( 2020 年). 整车76,236 辆( 2019 年).</text>
  </threadedComment>
  <threadedComment ref="C15" dT="2022-06-15T01:46:38.83" personId="{142E56A8-ECF0-4A66-9686-B2B803142863}" id="{4C27396B-81B3-4741-9485-01F4015CEF75}">
    <text>2012年投产</text>
  </threadedComment>
  <threadedComment ref="AM15" dT="2021-11-29T04:18:13.98" personId="{6B4F847D-D45C-4B6A-AC50-0CEBBAF33754}" id="{2D2BCB2E-E9BC-451E-9738-6A36EAFAE330}">
    <text>比亚迪汽车工业有限公司长沙分公司BYD Automobile Industry Co., Ltd., Changsha Branch image ... 总产量. 整车75,380 辆( 2020 年). 整车159,062 辆( 2019 年).</text>
  </threadedComment>
  <threadedComment ref="BG15" dT="2021-11-29T04:17:09.63" personId="{6B4F847D-D45C-4B6A-AC50-0CEBBAF33754}" id="{CC3D1389-33F1-401C-B7E9-80567D836B90}">
    <text>比亚迪汽车工业有限公司长沙分公司BYD Automobile Industry Co., Ltd., Changsha Branch image ... 总产量. 整车75,380 辆( 2020 年). 整车159,062 辆( 2019 年).</text>
  </threadedComment>
  <threadedComment ref="BH15" dT="2022-06-15T02:58:48.99" personId="{142E56A8-ECF0-4A66-9686-B2B803142863}" id="{B112893F-9FAC-42F5-93CD-002AFDED9768}">
    <text>第一季度产能为6.25万，由于空气污染时间预计停产一个季度，故采用6.25*3</text>
  </threadedComment>
  <threadedComment ref="AO16" dT="2022-08-30T07:39:15.18" personId="{6B4F847D-D45C-4B6A-AC50-0CEBBAF33754}" id="{0171F43C-B44E-4E55-BCD9-38301609417C}">
    <text>up from 25%, same below</text>
  </threadedComment>
  <threadedComment ref="AO16" dT="2022-11-03T10:08:02.78" personId="{6B4F847D-D45C-4B6A-AC50-0CEBBAF33754}" id="{AB793AF7-FBAF-42D2-A4F0-363AAC0F0AB0}" parentId="{0171F43C-B44E-4E55-BCD9-38301609417C}">
    <text>up to 90</text>
  </threadedComment>
  <threadedComment ref="AO16" dT="2023-01-12T06:38:29.92" personId="{6B4F847D-D45C-4B6A-AC50-0CEBBAF33754}" id="{AE727963-EAAA-4201-B7B0-0881A178835E}" parentId="{0171F43C-B44E-4E55-BCD9-38301609417C}">
    <text>rise to 110%</text>
  </threadedComment>
  <threadedComment ref="U17" dT="2023-02-15T14:49:12.34" personId="{C97EA069-DCDC-4091-8E4F-613D8164612E}" id="{EB9A3CE2-C7CE-4416-848D-B9CFF03F0138}">
    <text>星沙工厂2022年4月投产</text>
  </threadedComment>
  <threadedComment ref="U18" dT="2022-12-29T09:00:07.20" personId="{6B4F847D-D45C-4B6A-AC50-0CEBBAF33754}" id="{B432BFFA-167C-6849-8AD6-900A3EE99B8F}">
    <text>预计9月份即可实现满产</text>
  </threadedComment>
  <threadedComment ref="AO18" dT="2022-11-03T10:08:12.31" personId="{6B4F847D-D45C-4B6A-AC50-0CEBBAF33754}" id="{C4623967-D9E9-45F7-9216-85F854A1EDAB}">
    <text>up to 90%</text>
  </threadedComment>
  <threadedComment ref="AO20" dT="2022-11-03T10:08:12.31" personId="{6B4F847D-D45C-4B6A-AC50-0CEBBAF33754}" id="{6B3AC96F-5BD4-4A88-BC35-75677CC64031}">
    <text>up to 90%</text>
  </threadedComment>
  <threadedComment ref="AO22" dT="2022-11-03T10:08:12.31" personId="{6B4F847D-D45C-4B6A-AC50-0CEBBAF33754}" id="{9AD2E63C-A305-47EF-B7B4-40432F0C099C}">
    <text>up to 90%</text>
  </threadedComment>
  <threadedComment ref="AO23" dT="2022-11-03T10:08:12.31" personId="{6B4F847D-D45C-4B6A-AC50-0CEBBAF33754}" id="{19A27291-DFE8-4AE1-A226-9246644BCC25}">
    <text>up to 90%</text>
  </threadedComment>
  <threadedComment ref="AO24" dT="2022-11-03T10:08:12.31" personId="{6B4F847D-D45C-4B6A-AC50-0CEBBAF33754}" id="{A05D5AFE-3F81-4263-82A8-D2C3383A5EF7}">
    <text>up to 90%</text>
  </threadedComment>
  <threadedComment ref="D27" dT="2021-11-08T07:25:35.40" personId="{C727E848-119D-4F1D-BE4A-5625D5D47A92}" id="{BF4A57F8-7E5D-40C5-B872-2B88E8C3827A}">
    <text xml:space="preserve">  JAC is a major state-owned automobile manufacturer in China that currently manufactures the NIO vehicles in delivery, including the ES8, ES6 and EC6, in the Hefei JAC-NIO manufacturing plant designed and constructed for NIO vehicles. Jianglai is a joint venture for operation management established by JAC and NIO where NIO holds 49% equity interests.
  Pursuant to the joint manufacturing arrangement, from May 2021 to May 2024, JAC will continue to manufacture the ES8, ES6, EC6, ET7 and potentially other NIO models in the pipeline.
Source: https://ir.nio.com/news-events/news-releases/news-release-details/nio-announces-renewal-joint-manufacturing</text>
  </threadedComment>
  <threadedComment ref="J27" dT="2021-10-13T01:23:25.97" personId="{C727E848-119D-4F1D-BE4A-5625D5D47A92}" id="{0AB2124F-C422-4713-9343-F8F9C31A2D71}">
    <text>预计将扩至240000</text>
  </threadedComment>
  <threadedComment ref="J27" dT="2021-11-01T09:55:18.40" personId="{6B4F847D-D45C-4B6A-AC50-0CEBBAF33754}" id="{107D5E1A-5EE3-4B24-ACC8-6D93150C1D1A}" parentId="{0AB2124F-C422-4713-9343-F8F9C31A2D71}">
    <text>The company said at the time that by the end of this year and early next year, its plant would be able to achieve an annual capacity of 150,000 vehicles on a single shift and 300,000 on a double shift.</text>
  </threadedComment>
  <threadedComment ref="T27" dT="2021-10-13T01:23:25.97" personId="{C727E848-119D-4F1D-BE4A-5625D5D47A92}" id="{B27DB668-D984-4C66-B9E4-CD51ABD32DEA}">
    <text>预计将扩至240000</text>
  </threadedComment>
  <threadedComment ref="T27" dT="2021-11-08T07:33:36.25" personId="{C727E848-119D-4F1D-BE4A-5625D5D47A92}" id="{03AA8785-4923-4EB7-A995-6456E174403A}" parentId="{B27DB668-D984-4C66-B9E4-CD51ABD32DEA}">
    <text>Source: https://www.autonews.com/china/nio-double-capacity-china-assembly-plant</text>
  </threadedComment>
  <threadedComment ref="T27" dT="2021-11-09T07:04:57.10" personId="{C727E848-119D-4F1D-BE4A-5625D5D47A92}" id="{077FA0BF-974F-47B8-8922-278555C60855}" parentId="{B27DB668-D984-4C66-B9E4-CD51ABD32DEA}">
    <text>BEIJING -- Electric vehicle maker Nio Inc. said it would double the capacity of its Hefei plant to 240,000 vehicles a year, up from 120,000 units.</text>
  </threadedComment>
  <threadedComment ref="AO27" dT="2022-06-16T08:26:18.73" personId="{05B0EA6E-63B4-487D-A345-4F39B62CE93C}" id="{FA360F0C-37AF-45F4-A18D-521FB83B4A1B}">
    <text>蔚来表示，从6月起销量回升，估计至今年下半年末总产能将可翻倍至每月3万辆，因蔚来推新车型和升级後的 SUV可从第三季起提供充分的市场机会，料一号工厂可以在第三季度的某个时候全速运行；二号工厂将在今年第四季度提供额外动力。</text>
  </threadedComment>
  <threadedComment ref="AO27" dT="2022-06-16T08:27:51.67" personId="{05B0EA6E-63B4-487D-A345-4F39B62CE93C}" id="{2ED25A98-17A2-42E3-BE7D-46F3C6F79B62}" parentId="{FA360F0C-37AF-45F4-A18D-521FB83B4A1B}">
    <text>参考2020年疫情冲击，估计今年的产能利用率为40%左右，故将原公式中80%修改为70%</text>
  </threadedComment>
  <threadedComment ref="BH27" dT="2021-11-29T08:10:30.60" personId="{6B4F847D-D45C-4B6A-AC50-0CEBBAF33754}" id="{83634A92-FACD-4D5F-B84C-DB29574E56BB}">
    <text>9m 66k</text>
  </threadedComment>
  <threadedComment ref="BZ27" dT="2022-06-15T02:48:56.83" personId="{05B0EA6E-63B4-487D-A345-4F39B62CE93C}" id="{AE9C89CA-96A2-43B9-8503-A4309A44ED15}">
    <text>目前只有F1工厂在生产，则交付量全部来自于F1</text>
  </threadedComment>
  <threadedComment ref="C28" dT="2021-11-01T09:53:52.85" personId="{6B4F847D-D45C-4B6A-AC50-0CEBBAF33754}" id="{A9D09DC4-D68C-4888-BBA0-03A2C3B77CFC}">
    <text>Another 300,000 units of capacity will come from the plant currently under construction in NeoPark, which is expected to be completed in the second half of 2022, the team said.
The new plant will be used to produce the ET5 sedan and another yet-to-be-announced model based on the NT2.0 platform, according to the team.</text>
  </threadedComment>
  <threadedComment ref="C28" dT="2021-11-01T10:14:58.61" personId="{6B4F847D-D45C-4B6A-AC50-0CEBBAF33754}" id="{F6DAD598-5EFC-4CF9-B738-1AB93A7AC629}" parentId="{A9D09DC4-D68C-4888-BBA0-03A2C3B77CFC}">
    <text>With an annual production capacity of 1 million vehicles and 100 GWh battery, NeoPark is expected to realize a gross yearly output of RMB 500 billion.</text>
  </threadedComment>
  <threadedComment ref="C28" dT="2022-06-15T01:42:55.24" personId="{05B0EA6E-63B4-487D-A345-4F39B62CE93C}" id="{56F97013-A365-4B95-A289-DA12B8EF464F}" parentId="{A9D09DC4-D68C-4888-BBA0-03A2C3B77CFC}">
    <text>位于合肥新桥智能电动汽车产业园区的第二生产基地进展顺利，计划第三季度正式投产。</text>
  </threadedComment>
  <threadedComment ref="C28" dT="2022-06-15T02:40:25.24" personId="{05B0EA6E-63B4-487D-A345-4F39B62CE93C}" id="{7873BE52-F54A-4994-B470-A8026A274B4E}" parentId="{A9D09DC4-D68C-4888-BBA0-03A2C3B77CFC}">
    <text>在投入与产能方面，新基地先期将投入500亿元，规划整车产能100万辆/年，电池产能100GWh/年。建成后，预计将拥有超过10000名研发人员，超过4万名技术工人，总年产值超过5000亿元。</text>
  </threadedComment>
  <threadedComment ref="K28" dT="2021-11-01T10:15:45.66" personId="{6B4F847D-D45C-4B6A-AC50-0CEBBAF33754}" id="{7B9EC1C9-C019-4F95-B656-CF3DBC2E238B}">
    <text>With an annual production capacity of 1 million vehicles and 100 GWh battery, NeoPark is expected to realize a gross yearly output of RMB 500 billion.</text>
  </threadedComment>
  <threadedComment ref="L28" dT="2021-11-01T10:15:45.66" personId="{6B4F847D-D45C-4B6A-AC50-0CEBBAF33754}" id="{89EA416D-9777-4EB3-BED1-57EC717D9ECD}">
    <text>With an annual production capacity of 1 million vehicles and 100 GWh battery, NeoPark is expected to realize a gross yearly output of RMB 500 billion.</text>
  </threadedComment>
  <threadedComment ref="M28" dT="2021-11-01T10:15:45.66" personId="{6B4F847D-D45C-4B6A-AC50-0CEBBAF33754}" id="{C4DA3A3E-EF43-493B-9D21-CA6716C0286A}">
    <text>With an annual production capacity of 1 million vehicles and 100 GWh battery, NeoPark is expected to realize a gross yearly output of RMB 500 billion.</text>
  </threadedComment>
  <threadedComment ref="N28" dT="2021-11-01T10:15:45.66" personId="{6B4F847D-D45C-4B6A-AC50-0CEBBAF33754}" id="{31575001-2B6C-4D13-99D5-07DD3C05E390}">
    <text>With an annual production capacity of 1 million vehicles and 100 GWh battery, NeoPark is expected to realize a gross yearly output of RMB 500 billion.</text>
  </threadedComment>
  <threadedComment ref="T28" dT="2021-11-01T10:17:34.24" personId="{6B4F847D-D45C-4B6A-AC50-0CEBBAF33754}" id="{FA03736C-1F78-4C81-BB8C-35FD8369CDD4}">
    <text xml:space="preserve">
Another 300,000 units of capacity will come from the plant currently under construction in NeoPark, which is expected to be completed in the second half of 2022, the team said.
The new plant will be used to produce the ET5 sedan and another yet-to-be-announced model based on the NT2.0 platform, according to the team.</text>
  </threadedComment>
  <threadedComment ref="V28" dT="2023-03-16T08:24:45.08" personId="{0E68E4AC-9D18-4CAC-83B0-BB84759380C5}" id="{0EFCDACD-E61C-4487-8825-D1940AC5A026}">
    <text>Can't find source for this</text>
  </threadedComment>
  <threadedComment ref="AR28" dT="2023-03-16T08:26:56.90" personId="{0E68E4AC-9D18-4CAC-83B0-BB84759380C5}" id="{E91CB07C-467C-4EA3-A73C-31477708633A}">
    <text>I added this</text>
  </threadedComment>
  <threadedComment ref="AT30" dT="2022-12-28T15:06:43.16" personId="{9CEBCA20-3B70-4AB2-A9A0-1F753ECB58C9}" id="{F00FB3E1-4CA9-4419-AE6C-8D17D97A0D6B}">
    <text>Capital IQ Pro doesn't show the value for 2016 &amp; 2017</text>
  </threadedComment>
  <threadedComment ref="AY30" dT="2022-12-28T15:05:22.83" personId="{9CEBCA20-3B70-4AB2-A9A0-1F753ECB58C9}" id="{E3DF0BDF-E12B-42BB-9052-15753C482BDB}">
    <text>I used the value of the latest quater instead</text>
  </threadedComment>
  <threadedComment ref="BI30" dT="2023-03-16T08:39:04.84" personId="{0E68E4AC-9D18-4CAC-83B0-BB84759380C5}" id="{F4F6122C-D41A-4824-BAE0-A44B99251A8D}">
    <text>Vehicle deliveries were 122,486 in 2022, representing an increase of 34.0% from 2021. NIO Inc. Reports Unaudited Fourth Quarter and Full Year 2022 Financial Results</text>
    <extLst>
      <x:ext xmlns:xltc2="http://schemas.microsoft.com/office/spreadsheetml/2020/threadedcomments2" uri="{F7C98A9C-CBB3-438F-8F68-D28B6AF4A901}">
        <xltc2:checksum>1128460886</xltc2:checksum>
        <xltc2:hyperlink startIndex="86" length="78" url="https://ir.nio.com/system/files-encrypted/nasdaq_kms/assets/2023/03/01/5-30-26/NIO%20Inc.%20Reports%20Unaudited%20Fourth%20Quarter%20and%20Full%20Year%202022%20Financial%20Results.pdf"/>
      </x:ext>
    </extLst>
  </threadedComment>
  <threadedComment ref="CA30" dT="2023-03-16T08:40:30.97" personId="{0E68E4AC-9D18-4CAC-83B0-BB84759380C5}" id="{DA97E8CB-3571-4C32-A14E-EA529BF79D53}">
    <text>Vehicle deliveries were 122,486 in 2022, representing an increase of 34.0% from 2021. NIO Inc. Reports Unaudited Fourth Quarter and Full Year 2022 Financial Results</text>
    <extLst>
      <x:ext xmlns:xltc2="http://schemas.microsoft.com/office/spreadsheetml/2020/threadedcomments2" uri="{F7C98A9C-CBB3-438F-8F68-D28B6AF4A901}">
        <xltc2:checksum>1128460886</xltc2:checksum>
        <xltc2:hyperlink startIndex="86" length="78" url="https://ir.nio.com/system/files-encrypted/nasdaq_kms/assets/2023/03/01/5-30-26/NIO%20Inc.%20Reports%20Unaudited%20Fourth%20Quarter%20and%20Full%20Year%202022%20Financial%20Results.pdf"/>
      </x:ext>
    </extLst>
  </threadedComment>
  <threadedComment ref="AY34" dT="2023-02-16T03:59:05.75" personId="{577B6962-D598-2141-B164-32405E2946E1}" id="{E45D0D2F-8079-46E6-B447-C909D99B6644}">
    <text>Q3</text>
  </threadedComment>
  <threadedComment ref="C39" dT="2022-06-16T07:44:24.35" personId="{142E56A8-ECF0-4A66-9686-B2B803142863}" id="{022F9898-2C8D-4396-86A4-BD27BEF7C289}">
    <text>2011年投产</text>
  </threadedComment>
  <threadedComment ref="C40" dT="2022-06-16T07:46:19.73" personId="{142E56A8-ECF0-4A66-9686-B2B803142863}" id="{8511C9B5-4E3C-450A-A6A6-0082744B41C8}">
    <text>2015年投产</text>
  </threadedComment>
  <threadedComment ref="C41" dT="2022-06-16T07:46:26.51" personId="{142E56A8-ECF0-4A66-9686-B2B803142863}" id="{5DC1B8B8-27D9-4D2A-B51A-AC850E126007}">
    <text>2016年投产</text>
  </threadedComment>
  <threadedComment ref="C41" dT="2022-06-16T08:34:09.80" personId="{142E56A8-ECF0-4A66-9686-B2B803142863}" id="{F80A2395-3CA3-4B35-AA83-E63AEB7FD2D7}" parentId="{5DC1B8B8-27D9-4D2A-B51A-AC850E126007}">
    <text>实际于2015年年底投产</text>
  </threadedComment>
  <threadedComment ref="C42" dT="2022-06-16T08:36:05.92" personId="{142E56A8-ECF0-4A66-9686-B2B803142863}" id="{4D954A4D-4201-4814-A82B-049EC3625C2E}">
    <text>2018年6月投产</text>
  </threadedComment>
  <threadedComment ref="C43" dT="2022-06-16T08:46:48.00" personId="{142E56A8-ECF0-4A66-9686-B2B803142863}" id="{5F6B28D6-5C0F-4394-BD35-3E28FC8E8A27}">
    <text>2021年3月投产</text>
  </threadedComment>
  <threadedComment ref="D43" dT="2022-06-16T08:24:51.80" personId="{142E56A8-ECF0-4A66-9686-B2B803142863}" id="{128872A0-675E-4568-BE02-461965F9E2A0}">
    <text>21年8月改为生产刀片</text>
  </threadedComment>
  <threadedComment ref="C44" dT="2022-06-16T08:42:37.84" personId="{142E56A8-ECF0-4A66-9686-B2B803142863}" id="{835AAC89-976A-4500-8BAD-866AA1A6C147}">
    <text>2020年3月投产</text>
  </threadedComment>
  <threadedComment ref="C45" dT="2022-06-16T08:44:06.70" personId="{142E56A8-ECF0-4A66-9686-B2B803142863}" id="{23DB6AD9-483E-4762-BEA7-D926797C00D0}">
    <text>2021年8月投产</text>
  </threadedComment>
  <threadedComment ref="C46" dT="2022-06-16T08:45:45.67" personId="{142E56A8-ECF0-4A66-9686-B2B803142863}" id="{163E046C-831C-4B99-B6B9-A853F2C949E3}">
    <text>预计2022年Q3 投产</text>
  </threadedComment>
  <threadedComment ref="C47" dT="2022-06-16T09:00:20.93" personId="{142E56A8-ECF0-4A66-9686-B2B803142863}" id="{FC74A432-7A66-4785-B4CA-F6C19464A1FE}">
    <text>2020年投产</text>
  </threadedComment>
  <threadedComment ref="C48" dT="2022-06-16T09:03:24.05" personId="{142E56A8-ECF0-4A66-9686-B2B803142863}" id="{AE16CB99-4B9E-4E88-85F7-A827AEFD34D7}">
    <text>2021年12月底投产</text>
  </threadedComment>
  <threadedComment ref="C49" dT="2022-06-16T09:03:41.74" personId="{142E56A8-ECF0-4A66-9686-B2B803142863}" id="{17C2332E-67F5-4A67-AA33-35FF016AE5CF}">
    <text>预计2022年Q3建成</text>
  </threadedComment>
  <threadedComment ref="C50" dT="2022-06-16T09:04:52.71" personId="{142E56A8-ECF0-4A66-9686-B2B803142863}" id="{0E9C5273-1805-4C51-8557-8CCC5786A476}">
    <text>2020年12月底投产</text>
  </threadedComment>
  <threadedComment ref="C51" dT="2022-06-16T09:05:57.76" personId="{142E56A8-ECF0-4A66-9686-B2B803142863}" id="{3AD1948D-A841-4927-81F8-BC8E09306E8B}">
    <text>预计2023年投产</text>
  </threadedComment>
  <threadedComment ref="C52" dT="2022-06-16T09:06:38.68" personId="{142E56A8-ECF0-4A66-9686-B2B803142863}" id="{07DBC770-EFC6-4B13-96C9-92DC4BBEC76D}">
    <text>2021年7月投产</text>
  </threadedComment>
  <threadedComment ref="C53" dT="2022-06-16T09:08:26.22" personId="{142E56A8-ECF0-4A66-9686-B2B803142863}" id="{9779C2E9-62D7-4B24-8225-E385B01A51EC}">
    <text>2022年1月建成</text>
  </threadedComment>
  <threadedComment ref="C54" dT="2022-06-16T09:09:02.92" personId="{142E56A8-ECF0-4A66-9686-B2B803142863}" id="{D46DDEFB-A786-48A6-B760-1A88EA803123}">
    <text>2021年6月投产</text>
  </threadedComment>
  <threadedComment ref="C55" dT="2022-06-16T09:09:58.16" personId="{142E56A8-ECF0-4A66-9686-B2B803142863}" id="{05CEEC02-0DEF-4FF9-A71D-F6F9336B7112}">
    <text>预计2022年Q2建成</text>
  </threadedComment>
  <threadedComment ref="C56" dT="2022-06-16T09:11:04.21" personId="{142E56A8-ECF0-4A66-9686-B2B803142863}" id="{B504E0F4-FE65-48CE-90CA-58E70EC549C6}">
    <text>预计22年1月建成</text>
  </threadedComment>
  <threadedComment ref="C57" dT="2022-06-16T09:11:23.19" personId="{142E56A8-ECF0-4A66-9686-B2B803142863}" id="{072EB206-E39C-4245-BDF7-33ECA38AF306}">
    <text>预计2022年4月建成</text>
  </threadedComment>
  <threadedComment ref="C58" dT="2022-06-16T09:11:33.91" personId="{142E56A8-ECF0-4A66-9686-B2B803142863}" id="{F4CD8BD8-0FB3-4709-A47A-7AE6FE98DD05}">
    <text>预计2023年Q3建成</text>
  </threadedComment>
  <threadedComment ref="C59" dT="2022-06-16T09:13:47.66" personId="{142E56A8-ECF0-4A66-9686-B2B803142863}" id="{B19E7441-F95C-4652-82DD-BA32BA87A018}">
    <text>预计22年5月建成</text>
  </threadedComment>
  <threadedComment ref="C60" dT="2022-06-16T09:14:13.32" personId="{142E56A8-ECF0-4A66-9686-B2B803142863}" id="{4D99D3D9-8DAF-41FC-ACB3-09DE8CAA04AA}">
    <text xml:space="preserve">预计2023年Q3建成
</text>
  </threadedComment>
  <threadedComment ref="C61" dT="2022-06-16T09:28:05.73" personId="{142E56A8-ECF0-4A66-9686-B2B803142863}" id="{EBC9FADD-88C6-4EC3-995C-1E1FE6AF3987}">
    <text>10GWh将于2022年Q1投产，剩余预计2023年投产</text>
  </threadedComment>
  <threadedComment ref="C62" dT="2022-06-16T09:17:44.98" personId="{142E56A8-ECF0-4A66-9686-B2B803142863}" id="{7E75B92C-19CA-49A1-8B75-7BA49E5B4642}">
    <text>预计2022年Q2建成</text>
  </threadedComment>
  <threadedComment ref="C63" dT="2022-06-16T09:17:58.89" personId="{142E56A8-ECF0-4A66-9686-B2B803142863}" id="{D810EF66-B049-4AF7-84B6-CBC242BBCD3A}">
    <text>预计2023年8月建成</text>
  </threadedComment>
  <threadedComment ref="C64" dT="2022-06-16T09:19:45.14" personId="{142E56A8-ECF0-4A66-9686-B2B803142863}" id="{5E8015DD-A10F-4BF4-87F5-59647818A38A}">
    <text>预计2022年Q3建成</text>
  </threadedComment>
  <threadedComment ref="C65" dT="2022-06-16T09:20:00.00" personId="{142E56A8-ECF0-4A66-9686-B2B803142863}" id="{B6262E8B-B798-4B92-AB6E-5E0523228B23}">
    <text>预计2023年Q3建成</text>
  </threadedComment>
  <threadedComment ref="C66" dT="2022-06-16T09:28:47.07" personId="{142E56A8-ECF0-4A66-9686-B2B803142863}" id="{90DE0A42-A661-4ADD-9D88-5ABCBB8E7DD9}">
    <text>预计2022年Q3投产</text>
  </threadedComment>
  <threadedComment ref="C67" dT="2022-06-16T09:22:14.19" personId="{142E56A8-ECF0-4A66-9686-B2B803142863}" id="{2D40057B-F955-4207-A43B-4C1B0C4F6F42}">
    <text>预计22年Q3投产</text>
  </threadedComment>
  <threadedComment ref="C68" dT="2022-06-16T09:22:26.64" personId="{142E56A8-ECF0-4A66-9686-B2B803142863}" id="{B272AC1A-28C2-4D21-A224-EDF3CB44E36F}">
    <text>预计23年投产</text>
  </threadedComment>
  <threadedComment ref="C69" dT="2022-06-16T09:25:57.90" personId="{142E56A8-ECF0-4A66-9686-B2B803142863}" id="{E7DBB488-2AC9-4F28-A2CB-78DBDFE5C364}">
    <text>预计15GWh 2022年Q3建成,5GWh待定</text>
  </threadedComment>
  <threadedComment ref="C70" dT="2022-06-16T08:22:52.61" personId="{142E56A8-ECF0-4A66-9686-B2B803142863}" id="{3F13B185-843D-4C33-9B6A-9004B695FB5B}">
    <text>洽谈中</text>
  </threadedComment>
  <threadedComment ref="C71" dT="2022-06-16T08:23:00.20" personId="{142E56A8-ECF0-4A66-9686-B2B803142863}" id="{238356E0-F66F-4B0A-B3EC-3B6A00131094}">
    <text>洽谈中</text>
  </threadedComment>
  <threadedComment ref="BQ77" dT="2023-01-12T08:54:23.21" personId="{6B4F847D-D45C-4B6A-AC50-0CEBBAF33754}" id="{948F3064-599D-497B-BD90-578BD59D18CB}">
    <text xml:space="preserve">本公司 2022 年 12 月新能源汽车动力电池及储能电池装机总量约为 11.152GWh，2022 年累计装机总量约为 89.836GWh。 </text>
  </threadedComment>
  <threadedComment ref="CA77" dT="2023-03-30T04:33:48.27" personId="{6B4F847D-D45C-4B6A-AC50-0CEBBAF33754}" id="{994FA45E-5E3D-4AD1-AA45-122BC17719D3}">
    <text>2022年比亚迪储能电池全球出货量达14GWh</text>
  </threadedComment>
  <threadedComment ref="BI78" dT="2022-06-16T11:58:25.83" personId="{142E56A8-ECF0-4A66-9686-B2B803142863}" id="{21F48951-927A-4ED6-A5A0-A521283A29FD}">
    <text>前3个月+4+5月</text>
  </threadedComment>
  <threadedComment ref="BI83" dT="2022-06-16T12:11:41.70" personId="{142E56A8-ECF0-4A66-9686-B2B803142863}" id="{9E9EC000-C0CC-48C8-BD37-1483D066FFC1}">
    <text>预计2022年全年产量</text>
  </threadedComment>
</ThreadedComments>
</file>

<file path=xl/threadedComments/threadedComment2.xml><?xml version="1.0" encoding="utf-8"?>
<ThreadedComments xmlns="http://schemas.microsoft.com/office/spreadsheetml/2018/threadedcomments" xmlns:x="http://schemas.openxmlformats.org/spreadsheetml/2006/main">
  <threadedComment ref="AC2" dT="2023-01-12T12:56:25.51" personId="{577B6962-D598-2141-B164-32405E2946E1}" id="{C82C8185-048B-5442-BD02-80939061986E}">
    <text>非vat，销售税，使用了50个州平均值</text>
  </threadedComment>
  <threadedComment ref="AJ2" dT="2023-01-16T05:14:44.98" personId="{577B6962-D598-2141-B164-32405E2946E1}" id="{FD375630-B9D3-9941-B2D5-4E6F097264E5}">
    <text>德国税率</text>
  </threadedComment>
  <threadedComment ref="C3" dT="2023-08-30T08:36:46.51" personId="{3F497584-7056-43D5-A851-7C7AC7DBA94E}" id="{ADDB92D4-3AC2-49A1-A564-C37E3F0C77D8}">
    <text>This ratio is the toned down value of the transition from dealer price to manufacturer's wholesale price.</text>
  </threadedComment>
  <threadedComment ref="M8" dT="2023-01-16T05:13:49.57" personId="{577B6962-D598-2141-B164-32405E2946E1}" id="{1A0C14A3-B77D-7E48-84D5-CF5B5F1A21F8}">
    <text>2023年
1月对US特斯拉价格下调</text>
  </threadedComment>
  <threadedComment ref="CE8" dT="2023-01-27T09:25:49.74" personId="{6B4F847D-D45C-4B6A-AC50-0CEBBAF33754}" id="{A4883DC2-404B-4FE2-A124-D2BE5C73FB68}">
    <text>Teslike S/X</text>
  </threadedComment>
  <threadedComment ref="AS11" dT="2023-01-28T04:21:08.17" personId="{6B4F847D-D45C-4B6A-AC50-0CEBBAF33754}" id="{99AA423A-A83A-4397-B618-0F6CA542F9DE}">
    <text>no subsidy above 300k</text>
  </threadedComment>
  <threadedComment ref="BJ11" dT="2023-01-03T08:47:54.22" personId="{577B6962-D598-2141-B164-32405E2946E1}" id="{7B92C81C-C2F3-394A-BF68-5DA749221C56}">
    <text>long range和基础 比重各为50%</text>
  </threadedComment>
  <threadedComment ref="BR15" dT="2023-01-28T04:10:41.63" personId="{6B4F847D-D45C-4B6A-AC50-0CEBBAF33754}" id="{0407D01F-EFF4-4A8C-8584-77D29911C010}">
    <text>The vehicle appeared on the Tesla online configurator in January, and late last week its price was cut by $2000.</text>
    <extLst>
      <x:ext xmlns:xltc2="http://schemas.microsoft.com/office/spreadsheetml/2020/threadedcomments2" uri="{F7C98A9C-CBB3-438F-8F68-D28B6AF4A901}">
        <xltc2:checksum>1332376389</xltc2:checksum>
        <xltc2:hyperlink startIndex="85" length="17" url="https://www.caranddriver.com/news/a35551375/tesla-model-3-model-y-price-drop/"/>
      </x:ext>
    </extLst>
  </threadedComment>
  <threadedComment ref="BR15" dT="2023-01-28T04:12:43.99" personId="{6B4F847D-D45C-4B6A-AC50-0CEBBAF33754}" id="{672C8709-CD77-4F6B-BE5A-145A87B94877}" parentId="{0407D01F-EFF4-4A8C-8584-77D29911C010}">
    <text>Currently, the Standard Range Model Y is available for order only over the phone or in person at Tesla showrooms.</text>
  </threadedComment>
  <threadedComment ref="BS15" dT="2023-01-28T03:53:05.24" personId="{6B4F847D-D45C-4B6A-AC50-0CEBBAF33754}" id="{46DEFECD-3046-46ED-837B-DB36C1EB5434}">
    <text>no standard on sale</text>
  </threadedComment>
  <threadedComment ref="BT15" dT="2023-01-28T03:53:05.24" personId="{6B4F847D-D45C-4B6A-AC50-0CEBBAF33754}" id="{2153790A-46CA-4298-91B9-910DED239336}">
    <text>no standard on sale</text>
  </threadedComment>
  <threadedComment ref="AS16" dT="2023-01-28T04:21:08.17" personId="{6B4F847D-D45C-4B6A-AC50-0CEBBAF33754}" id="{8B410811-221A-4921-B68F-723785243F5C}">
    <text>no subsidy above 300k</text>
  </threadedComment>
  <threadedComment ref="L18" dT="2023-01-05T03:48:37.19" personId="{6B4F847D-D45C-4B6A-AC50-0CEBBAF33754}" id="{25FDB5AD-2E00-4335-8819-C4FCAD4677F1}">
    <text>Lease deals for the Model Y Long Range edition start at $525 per month for 36 months — or around $200 less than estimated loan payments.</text>
  </threadedComment>
  <threadedComment ref="L18" dT="2023-01-05T03:55:12.70" personId="{6B4F847D-D45C-4B6A-AC50-0CEBBAF33754}" id="{2E59F4AB-8BA5-40EC-A205-F873141A1AF3}" parentId="{25FDB5AD-2E00-4335-8819-C4FCAD4677F1}">
    <text>For the two newer models (3 and Y), we will pay the minimum $4,500 down payment</text>
  </threadedComment>
  <threadedComment ref="BQ18" dT="2023-01-04T10:16:06.89" personId="{6B4F847D-D45C-4B6A-AC50-0CEBBAF33754}" id="{43FC0227-EBC0-471E-9850-9F357AD08F16}">
    <text>Revenues grew about 30% year-over-year to about $268 million in Q2’20, despite the fact that the number of leased vehicles over the quarter declined. Tesla had about 55k vehicles under lease as of Q2’20, up from 39k vehicles in the year-ago quarter.</text>
  </threadedComment>
  <threadedComment ref="F26" dT="2023-02-16T07:36:39.59" personId="{577B6962-D598-2141-B164-32405E2946E1}" id="{9905602F-8D56-4534-814E-36A1EB4C07C8}">
    <text>旗舰plus 5g版</text>
  </threadedComment>
  <threadedComment ref="CZ26" dT="2023-02-16T07:25:19.04" personId="{577B6962-D598-2141-B164-32405E2946E1}" id="{F2103368-9D37-47D3-B5BA-C610F603B3EC}">
    <text>高配版最畅销</text>
  </threadedComment>
  <threadedComment ref="F30" dT="2023-02-16T07:36:58.59" personId="{577B6962-D598-2141-B164-32405E2946E1}" id="{1F0A1F14-2670-4C8A-B135-A4848CCEEEAE}">
    <text>尊贵型</text>
  </threadedComment>
  <threadedComment ref="G30" dT="2023-08-30T09:09:03.16" personId="{3F497584-7056-43D5-A851-7C7AC7DBA94E}" id="{9313FA31-AEDB-4348-A47E-0C9356F59B5B}">
    <text>510km 尊荣型</text>
  </threadedComment>
  <threadedComment ref="F33" dT="2023-02-16T07:46:13.83" personId="{577B6962-D598-2141-B164-32405E2946E1}" id="{D87BCEEF-D068-4ECE-A5F8-42FFC7C1C2F5}">
    <text>730KM版</text>
  </threadedComment>
  <threadedComment ref="G33" dT="2023-08-30T09:07:46.58" personId="{3F497584-7056-43D5-A851-7C7AC7DBA94E}" id="{721EA58A-4712-4423-8353-F141F2C72530}">
    <text>730km 尊享型</text>
  </threadedComment>
  <threadedComment ref="F34" dT="2023-02-16T07:50:50.37" personId="{577B6962-D598-2141-B164-32405E2946E1}" id="{FEFBD012-6BED-4A1B-B650-2589223B4A0D}">
    <text>500KM 尊贵型</text>
  </threadedComment>
  <threadedComment ref="G34" dT="2023-08-30T09:06:53.01" personId="{3F497584-7056-43D5-A851-7C7AC7DBA94E}" id="{B769F0E4-7165-4CA3-91CC-0DE8D48F3581}">
    <text>冠军版 510km 领先型</text>
  </threadedComment>
  <threadedComment ref="F36" dT="2023-02-13T06:33:36.07" personId="{6B4F847D-D45C-4B6A-AC50-0CEBBAF33754}" id="{06E27B36-7D9A-4085-8FA2-8ECADB665C07}">
    <text>changed to popular  trim</text>
  </threadedComment>
  <threadedComment ref="G36" dT="2023-08-30T09:04:55.42" personId="{3F497584-7056-43D5-A851-7C7AC7DBA94E}" id="{3037883D-5A35-47AE-A6B2-879B616F8364}">
    <text>冠军版 120km 领先型</text>
  </threadedComment>
  <threadedComment ref="F40" dT="2023-02-17T08:17:36.70" personId="{577B6962-D598-2141-B164-32405E2946E1}" id="{21DEA267-52BB-4486-A1D2-9B9E3FD6E777}">
    <text>尊享型</text>
  </threadedComment>
  <threadedComment ref="F41" dT="2023-02-17T08:19:24.12" personId="{577B6962-D598-2141-B164-32405E2946E1}" id="{3359E827-61AF-4B6A-B50F-2EF71AAE5F14}">
    <text>四驱尊享型</text>
  </threadedComment>
  <threadedComment ref="G42" dT="2023-08-30T08:59:43.86" personId="{3F497584-7056-43D5-A851-7C7AC7DBA94E}" id="{2A23BE1C-29FC-4A2B-BEDD-BF38473D38B1}">
    <text>冠军版 700km 性能版</text>
  </threadedComment>
  <threadedComment ref="CH46" dT="2023-10-24T18:17:08.82" personId="{3F497584-7056-43D5-A851-7C7AC7DBA94E}" id="{20266986-1AE4-DD46-A34E-57E1682A9862}">
    <text>https://new.qq.com/rain/a/20230904A011Q200</text>
    <extLst>
      <x:ext xmlns:xltc2="http://schemas.microsoft.com/office/spreadsheetml/2020/threadedcomments2" uri="{F7C98A9C-CBB3-438F-8F68-D28B6AF4A901}">
        <xltc2:checksum>1583824102</xltc2:checksum>
        <xltc2:hyperlink startIndex="0" length="42" url="https://new.qq.com/rain/a/20230904A011Q200"/>
      </x:ext>
    </extLst>
  </threadedComment>
  <threadedComment ref="CH46" dT="2023-10-24T18:17:24.15" personId="{3F497584-7056-43D5-A851-7C7AC7DBA94E}" id="{E661F974-6FB1-7C44-8D18-202EEAFA6BD2}" parentId="{20266986-1AE4-DD46-A34E-57E1682A9862}">
    <text>https://zhuanlan.zhihu.com/p/654530447</text>
    <extLst>
      <x:ext xmlns:xltc2="http://schemas.microsoft.com/office/spreadsheetml/2020/threadedcomments2" uri="{F7C98A9C-CBB3-438F-8F68-D28B6AF4A901}">
        <xltc2:checksum>200570479</xltc2:checksum>
        <xltc2:hyperlink startIndex="0" length="38" url="https://zhuanlan.zhihu.com/p/654530447"/>
      </x:ext>
    </extLst>
  </threadedComment>
  <threadedComment ref="CH48" dT="2023-10-24T18:17:08.82" personId="{3F497584-7056-43D5-A851-7C7AC7DBA94E}" id="{1BC85889-CF17-4BB2-9E01-9DA6C5B2E107}">
    <text>https://new.qq.com/rain/a/20230904A011Q200</text>
    <extLst>
      <x:ext xmlns:xltc2="http://schemas.microsoft.com/office/spreadsheetml/2020/threadedcomments2" uri="{F7C98A9C-CBB3-438F-8F68-D28B6AF4A901}">
        <xltc2:checksum>1583824102</xltc2:checksum>
        <xltc2:hyperlink startIndex="0" length="42" url="https://new.qq.com/rain/a/20230904A011Q200"/>
      </x:ext>
    </extLst>
  </threadedComment>
  <threadedComment ref="CH48" dT="2023-10-24T18:17:24.15" personId="{3F497584-7056-43D5-A851-7C7AC7DBA94E}" id="{7A7A2CA2-3D8B-43CE-9FC4-24FC2CE7E2DE}" parentId="{1BC85889-CF17-4BB2-9E01-9DA6C5B2E107}">
    <text>https://zhuanlan.zhihu.com/p/654530447</text>
    <extLst>
      <x:ext xmlns:xltc2="http://schemas.microsoft.com/office/spreadsheetml/2020/threadedcomments2" uri="{F7C98A9C-CBB3-438F-8F68-D28B6AF4A901}">
        <xltc2:checksum>200570479</xltc2:checksum>
        <xltc2:hyperlink startIndex="0" length="38" url="https://zhuanlan.zhihu.com/p/654530447"/>
      </x:ext>
    </extLst>
  </threadedComment>
  <threadedComment ref="AR51" dT="2023-12-08T12:55:16.79" personId="{3F497584-7056-43D5-A851-7C7AC7DBA94E}" id="{DBE91FC5-DDA5-CF40-96AC-6C16B50D63BC}">
    <text>儘管售價超過30萬，因“換電”仍享受新能源車補貼</text>
  </threadedComment>
  <threadedComment ref="B56" dT="2022-06-15T02:56:33.36" personId="{05B0EA6E-63B4-487D-A345-4F39B62CE93C}" id="{B2766950-EE23-4AFB-869A-5A4155FC2C36}">
    <text>ET7将于2022年3月28日开启交付</text>
  </threadedComment>
  <threadedComment ref="B57" dT="2022-06-15T02:56:57.81" personId="{05B0EA6E-63B4-487D-A345-4F39B62CE93C}" id="{B1BDCE40-80A3-4269-A4D4-5285547D377C}">
    <text>ET5则会在2022年9月开启交付</text>
  </threadedComment>
  <threadedComment ref="B57" dT="2023-12-08T09:11:11.58" personId="{3F497584-7056-43D5-A851-7C7AC7DBA94E}" id="{48520BC1-DE12-CE44-B35E-77D8C7EB9666}" parentId="{B1BDCE40-80A3-4269-A4D4-5285547D377C}">
    <text>including ET5 Travel</text>
  </threadedComment>
  <threadedComment ref="W63" dT="2023-12-08T12:39:43.06" personId="{3F497584-7056-43D5-A851-7C7AC7DBA94E}" id="{95AB122C-EA2C-EB46-AB56-8504878FA252}">
    <text>After tax</text>
  </threadedComment>
  <threadedComment ref="BM65" dT="2023-12-08T12:37:20.85" personId="{3F497584-7056-43D5-A851-7C7AC7DBA94E}" id="{A2713DDE-62E7-4241-9966-F1D3917D3488}">
    <text>4.7-4.9 in 23Q4 according to Q3 report, 109,993 in Q1-Q3 already.</text>
  </threadedComment>
  <threadedComment ref="BY65" dT="2023-12-08T13:00:40.70" personId="{3F497584-7056-43D5-A851-7C7AC7DBA94E}" id="{6FC33FA3-A84F-9A47-A71F-9CBF79D356B5}">
    <text>GCBC</text>
  </threadedComment>
  <threadedComment ref="BY65" dT="2023-12-08T13:04:37.86" personId="{3F497584-7056-43D5-A851-7C7AC7DBA94E}" id="{49A2A1A2-999D-874F-B53E-07F9602EBF0E}" parentId="{6FC33FA3-A84F-9A47-A71F-9CBF79D356B5}">
    <text>ES8 mainly</text>
  </threadedComment>
  <threadedComment ref="CB65" dT="2023-12-19T17:14:31.23" personId="{3F497584-7056-43D5-A851-7C7AC7DBA94E}" id="{C440F85E-5D93-894C-B2F2-78962C56DD14}">
    <text>Raise sales forecast for 24/25 (1.1/1.25X respectively), hold for 23 years</text>
  </threadedComment>
  <threadedComment ref="G68" dT="2023-11-30T09:29:05.38" personId="{3F497584-7056-43D5-A851-7C7AC7DBA94E}" id="{DB805C24-7BF5-F644-8748-1AD78CEFD017}">
    <text>price adjusted according to the ratio of (Air/)Pro/MAX in CA</text>
  </threadedComment>
  <threadedComment ref="AT75" dT="2023-03-26T19:53:42.53" personId="{1CA034E2-D875-4054-8F96-3C6D33763868}" id="{BA38C86D-5E31-48E4-8E05-850CB8C52446}">
    <text>根据国家相关政策规定，2023年新能源车型将不再进行补贴，先前的补贴政策已经于2022年12月31日正式终止</text>
  </threadedComment>
  <threadedComment ref="AS78" dT="2023-03-26T20:17:15.34" personId="{1CA034E2-D875-4054-8F96-3C6D33763868}" id="{BC338E6E-5DB1-4BB1-A722-823BAFAB43A6}">
    <text>未查到小鹏的车型补贴，按照G3 2020年数据估计</text>
  </threadedComment>
</ThreadedComments>
</file>

<file path=xl/threadedComments/threadedComment3.xml><?xml version="1.0" encoding="utf-8"?>
<ThreadedComments xmlns="http://schemas.microsoft.com/office/spreadsheetml/2018/threadedcomments" xmlns:x="http://schemas.openxmlformats.org/spreadsheetml/2006/main">
  <threadedComment ref="I18" dT="2023-12-06T17:18:22.56" personId="{3F497584-7056-43D5-A851-7C7AC7DBA94E}" id="{8B46033F-ADAA-8148-96F1-3931A015AD58}">
    <text>According to consensus forecast of Rev &amp; Vol (2880.05亿元, 313GWh respectively), unit price in 2023 = 2880.05/313*100</text>
  </threadedComment>
  <threadedComment ref="I25" dT="2023-11-09T23:25:02.90" personId="{3F497584-7056-43D5-A851-7C7AC7DBA94E}" id="{C3B6C8AC-773E-E542-A5A7-BC4BA4D264F0}">
    <text>Tesla logistics and raw materials are under pressure, e.g., the Russia-Ukraine war has raised the price of automotive metals, including aluminum used in the body, palladium used in catalytic converters, etc.</text>
  </threadedComment>
  <threadedComment ref="I25" dT="2023-11-09T23:25:39.61" personId="{3F497584-7056-43D5-A851-7C7AC7DBA94E}" id="{CA1E298B-456F-B942-802B-366070C264CD}" parentId="{C3B6C8AC-773E-E542-A5A7-BC4BA4D264F0}">
    <text>http://www.eeo.com.cn/2022/0315/525623.shtml#:~:text=路透社15日报道，特斯拉公司%20%28Tesla%29在不到一周的时间里第二次提高了在中国和美国的价格，此前该公司首席执行官马斯克（Elon,Musk）表示，特斯拉在原材料和物流方面，面临着巨大的通胀压力%E3%80%82%20涨价是由于原材料的成本正在飙升，俄罗斯入侵乌克兰后供应链的中断加剧了这种情况%E3%80%82</text>
    <extLst>
      <x:ext xmlns:xltc2="http://schemas.microsoft.com/office/spreadsheetml/2020/threadedcomments2" uri="{F7C98A9C-CBB3-438F-8F68-D28B6AF4A901}">
        <xltc2:checksum>4188378907</xltc2:checksum>
        <xltc2:hyperlink startIndex="0" length="215" url="http://www.eeo.com.cn/2022/0315/525623.shtml#:~:text=%E8%B7%AF%E9%80%8F%E7%A4%BE15%E6%97%A5%E6%8A%A5%E9%81%93%EF%BC%8C%E7%89%B9%E6%96%AF%E6%8B%89%E5%85%AC%E5%8F%B8%20%28Tesla%29%E5%9C%A8%E4%B8%8D%E5%88%B0%E4%B8%80%E5%91%A8%E7%9A%84%E6%97%B6%E9%97%B4%E9%87%8C%E7%AC%AC%E4%BA%8C%E6%AC%A1%E6%8F%90%E9%AB%98%E4%BA%86%E5%9C%A8%E4%B8%AD%E5%9B%BD%E5%92%8C%E7%BE%8E%E5%9B%BD%E7%9A%84%E4%BB%B7%E6%A0%BC%EF%BC%8C%E6%AD%A4%E5%89%8D%E8%AF%A5%E5%85%AC%E5%8F%B8%E9%A6%96%E5%B8%AD%E6%89%A7%E8%A1%8C%E5%AE%98%E9%A9%AC%E6%96%AF%E5%85%8B%EF%BC%88Elon,Musk%EF%BC%89%E8%A1%A8%E7%A4%BA%EF%BC%8C%E7%89%B9%E6%96%AF%E6%8B%89%E5%9C%A8%E5%8E%9F%E6%9D%90%E6%96%99%E5%92%8C%E7%89%A9%E6%B5%81%E6%96%B9%E9%9D%A2%EF%BC%8C%E9%9D%A2%E4%B8%B4%E7%9D%80%E5%B7%A8%E5%A4%A7%E7%9A%84%E9%80%9A%E8%83%80%E5%8E%8B%E5%8A%9B%E3%80%82%20%E6%B6%A8%E4%BB%B7%E6%98%AF%E7%94%B1%E4%BA%8E%E5%8E%9F%E6%9D%90%E6%96%99%E7%9A%84%E6%88%90%E6%9C%AC%E6%AD%A3%E5%9C%A8%E9%A3%99%E5%8D%87%EF%BC%8C%E4%BF%84%E7%BD%97%E6%96%AF%E5%85%A5%E4%BE%B5%E4%B9%8C%E5%85%8B%E5%85%B0%E5%90%8E%E4%BE%9B%E5%BA%94%E9%93%BE%E7%9A%84%E4%B8%AD%E6%96%AD%E5%8A%A0%E5%89%A7%E4%BA%86%E8%BF%99%E7%A7%8D%E6%83%85%E5%86%B5%E3%80%82"/>
      </x:ext>
    </extLst>
  </threadedComment>
  <threadedComment ref="D27" dT="2023-01-18T09:56:19.48" personId="{6B4F847D-D45C-4B6A-AC50-0CEBBAF33754}" id="{7DE5FF32-93B4-4E68-A674-4A5C3AF70DD0}">
    <text>Musk claimed at the meeting that roughly 7,000 people currently work at Gigafactory 1 and sees the workforce growing “to upward of 20,000 in the future.”</text>
  </threadedComment>
  <threadedComment ref="E28" dT="2023-01-18T09:39:15.50" personId="{6B4F847D-D45C-4B6A-AC50-0CEBBAF33754}" id="{94C9FBFF-C3E0-42C2-9F00-0840C9F7160F}">
    <text>Tesla has reduced staff at the Fremont plant from more than 10,000 workers to about 2,500.
Earlier this week, the company sent out an email informing workers that two Tesla employees had tested positive for COVID-19. The internal email, which was viewed by TechCrunch, didn’t indicate where these employees worked.
Tesla employs more than 48,000 people at locations throughout the U.S</text>
    <extLst>
      <x:ext xmlns:xltc2="http://schemas.microsoft.com/office/spreadsheetml/2020/threadedcomments2" uri="{F7C98A9C-CBB3-438F-8F68-D28B6AF4A901}">
        <xltc2:checksum>3134126591</xltc2:checksum>
        <xltc2:hyperlink startIndex="187" length="29" url="https://techcrunch.com/2020/03/26/tesla-email-reveals-two-employees-have-tested-positive-for-covid-19/"/>
      </x:ext>
    </extLst>
  </threadedComment>
  <threadedComment ref="G29" dT="2023-01-18T09:45:17.63" personId="{6B4F847D-D45C-4B6A-AC50-0CEBBAF33754}" id="{F7AAFB4C-A0B6-4290-9DCF-ED7035B69C0A}">
    <text xml:space="preserve"> 1月7日 消息:	特斯拉在中国上海超级工厂的员工扩增将使这家电动汽车制造商的新车型生产区产能增加50%，目前新车型产区员工从6000名增加到 9000名。扩建计划完成后，特斯拉将在该工厂雇佣19000名工人。</text>
    <extLst>
      <x:ext xmlns:xltc2="http://schemas.microsoft.com/office/spreadsheetml/2020/threadedcomments2" uri="{F7C98A9C-CBB3-438F-8F68-D28B6AF4A901}">
        <xltc2:checksum>1174875856</xltc2:checksum>
        <xltc2:hyperlink startIndex="10" length="3" url="https://www.chinaz.com/tags/tesila.shtml"/>
      </x:ext>
    </extLst>
  </threadedComment>
  <threadedComment ref="H29" dT="2023-01-18T09:47:43.54" personId="{6B4F847D-D45C-4B6A-AC50-0CEBBAF33754}" id="{F1E749DF-5227-4F98-92E9-DC2020B3AAFA}">
    <text>Tesla had about 15,000 production staff at the Shanghai plant at the end of last year, and is increasing that figure to about 19,000.</text>
  </threadedComment>
  <threadedComment ref="H30" dT="2023-01-18T09:59:59.00" personId="{6B4F847D-D45C-4B6A-AC50-0CEBBAF33754}" id="{5BC04CF1-FA3F-4602-A174-003E4FEE44C4}">
    <text>Tesla reportedly has 7,500 employees working at Gigafactory Berlin, and it currently has almost 400 open positions at the plant.</text>
  </threadedComment>
  <threadedComment ref="H53" dT="2022-07-27T07:49:54.06" personId="{6B4F847D-D45C-4B6A-AC50-0CEBBAF33754}" id="{21EFED54-9214-4E57-9F3B-D5DF8F2ACB48}">
    <text>1H 39</text>
  </threadedComment>
  <threadedComment ref="F65" dT="2022-07-27T07:27:06.60" personId="{6B4F847D-D45C-4B6A-AC50-0CEBBAF33754}" id="{9D747E4C-B600-4D8A-ACD8-C5BAF5302ABA}">
    <text>assume unchanged due to falling volume here</text>
  </threadedComment>
  <threadedComment ref="F70" dT="2022-07-27T07:27:06.60" personId="{6B4F847D-D45C-4B6A-AC50-0CEBBAF33754}" id="{E8E9EC1A-DEFE-42C9-8A01-C2A5CA7CA83C}">
    <text>assume unchanged due to falling volume here</text>
  </threadedComment>
  <threadedComment ref="H86" dT="2023-01-12T08:59:25.12" personId="{6B4F847D-D45C-4B6A-AC50-0CEBBAF33754}" id="{B7D93E28-4E60-4110-8FE4-EDD17AE15245}">
    <text>1H 91b</text>
  </threadedComment>
  <threadedComment ref="I92" dT="2023-09-01T08:27:38.44" personId="{3F497584-7056-43D5-A851-7C7AC7DBA94E}" id="{E74B6039-00A9-4D56-BDE0-EA0079D8DFE6}">
    <text xml:space="preserve">据北极星储能网披露，宁德时代H1 23销量超170GWh，电池业务营收139418.2161百万元，以此估算 </text>
  </threadedComment>
  <threadedComment ref="I92" dT="2023-09-01T08:27:49.43" personId="{3F497584-7056-43D5-A851-7C7AC7DBA94E}" id="{7EF88214-993D-4270-9ECE-877104B530A5}" parentId="{E74B6039-00A9-4D56-BDE0-EA0079D8DFE6}">
    <text xml:space="preserve">宁德时代：预计4C快充技术会占据较为可观的市场份额-北极星储能网 (bjx.com.cn) </text>
    <extLst>
      <x:ext xmlns:xltc2="http://schemas.microsoft.com/office/spreadsheetml/2020/threadedcomments2" uri="{F7C98A9C-CBB3-438F-8F68-D28B6AF4A901}">
        <xltc2:checksum>2036187292</xltc2:checksum>
        <xltc2:hyperlink startIndex="0" length="45" url="https://news.bjx.com.cn/html/20230726/1321643.shtml"/>
      </x:ext>
    </extLst>
  </threadedComment>
  <threadedComment ref="E93" dT="2022-12-16T09:45:58.46" personId="{6B4F847D-D45C-4B6A-AC50-0CEBBAF33754}" id="{A1D50B22-AD0D-40C0-B445-19CCAF1E1716}">
    <text>研究报告显示，2019年比亚迪新能源乘用车电池包平均成本为0.85元/Wh</text>
  </threadedComment>
  <threadedComment ref="H101" dT="2022-12-29T09:14:08.34" personId="{6B4F847D-D45C-4B6A-AC50-0CEBBAF33754}" id="{FE8E85E2-C166-534A-B2B3-05FC6915BCD8}">
    <text>比亚迪公司负责人介绍，作为民营企业，比亚迪目前吸纳了50万人就业，今年月均新增就业2.3万人。照此趋势，2022年底，比亚迪总员工将超65万人，2023年底总员工将超90万人。</text>
  </threadedComment>
  <threadedComment ref="H102" dT="2023-03-29T08:38:08.17" personId="{3F497584-7056-43D5-A851-7C7AC7DBA94E}" id="{C7A2AE65-78F2-4F98-93C3-CC81FB811690}">
    <text>比亚迪电子（国际）有限公司2022年报还没有出，因此employees of grass root数据依然暂用21年数据估算</text>
  </threadedComment>
  <threadedComment ref="G104" dT="2022-12-16T04:09:52.29" personId="{6B4F847D-D45C-4B6A-AC50-0CEBBAF33754}" id="{9403A615-943E-4F9D-9439-1BDFB6B5C4D2}">
    <text>正式工：底薪2650–3200元，平时1.5倍，周末双倍，法定假日3倍+绩效奖+全勤奖+超产奖励+年终奖
综合5200元-6700元(工厂年底有福利，双倍薪资)。</text>
    <extLst>
      <x:ext xmlns:xltc2="http://schemas.microsoft.com/office/spreadsheetml/2020/threadedcomments2" uri="{F7C98A9C-CBB3-438F-8F68-D28B6AF4A901}">
        <xltc2:checksum>1264877429</xltc2:checksum>
        <xltc2:hyperlink startIndex="36" length="3" url="https://www.zhihu.com/search?q=%E7%BB%A9%E6%95%88%E5%A5%96&amp;search_source=Entity&amp;hybrid_search_source=Entity&amp;hybrid_search_extra=%7B%22sourceType%22%3A%22answer%22%2C%22sourceId%22%3A2700050653%7D"/>
      </x:ext>
    </extLst>
  </threadedComment>
  <threadedComment ref="A131" dT="2023-12-26T06:41:34.24" personId="{12E1DA7D-B524-D44A-BFA5-66FA906EFC63}" id="{6C636386-B06D-734B-B313-45343C8416D4}">
    <text>Cooperated with CATL since 2021 for battery cell manufacturing, and started to self-developed in 2022, but still haven’t achieve mass production yet.</text>
  </threadedComment>
  <threadedComment ref="A139" dT="2023-07-31T02:41:04.09" personId="{3F497584-7056-43D5-A851-7C7AC7DBA94E}" id="{ABF9F9EB-3E6F-7046-A0D0-327E418EA3EC}">
    <text>博世5代毫米波雷达采用4D，Tier1，毫米波雷达的价格区间在700-1600元</text>
  </threadedComment>
  <threadedComment ref="H142" dT="2023-12-15T09:09:41.80" personId="{3F497584-7056-43D5-A851-7C7AC7DBA94E}" id="{E1CAFBB1-F9E2-1944-B06B-75C5429A3229}">
    <text>Given Bosch Tier1 globally, cost calculated by Tier2 毫恩汽电/0.9</text>
  </threadedComment>
  <threadedComment ref="H145" dT="2023-12-15T09:31:59.50" personId="{3F497584-7056-43D5-A851-7C7AC7DBA94E}" id="{BAED16F5-BDA1-8043-8139-4F039EA0FE05}">
    <text>Estimates via Hershey Technologies as Innovusion is not yet on the market</text>
  </threadedComment>
  <threadedComment ref="H146" dT="2023-07-17T03:21:57.16" personId="{3F497584-7056-43D5-A851-7C7AC7DBA94E}" id="{771689FE-CB87-2B48-B63C-B8F0E7AC251C}">
    <text>According to the Hesai 2022 AR, Revenue from LiDAR products is 1,122,237 thousand Yuan，AT128 accounted for 26.3% of revenue in 2022, and it has shipped approximately 62,000</text>
  </threadedComment>
  <threadedComment ref="H146" dT="2023-07-17T03:31:39.39" personId="{3F497584-7056-43D5-A851-7C7AC7DBA94E}" id="{E9785D97-951C-AE40-A90F-57AE189BFDD5}" parentId="{771689FE-CB87-2B48-B63C-B8F0E7AC251C}">
    <text>Total revenue is 1,202,670 thousand Yuan</text>
  </threadedComment>
  <threadedComment ref="L150" dT="2023-12-26T06:24:16.29" personId="{12E1DA7D-B524-D44A-BFA5-66FA906EFC63}" id="{FA5C86C2-B811-7446-A798-F4F42EB549B6}">
    <text>Cost reduction measures would largely materialise in electricity exchange station depart.
the third quarterly conference call: in the moat business [power exchange station] Nio would foster cooperation with other brands to ease financial pressure.The cooperation would bring large scale effects.</text>
  </threadedComment>
  <threadedComment ref="A152" dT="2023-12-19T18:39:38.01" personId="{3F497584-7056-43D5-A851-7C7AC7DBA94E}" id="{6AC3EA58-B2D5-3248-8A9B-790B96DB86B1}">
    <text>Base includes Fixed cost</text>
  </threadedComment>
  <threadedComment ref="E182" dT="2022-12-16T09:45:58.46" personId="{6B4F847D-D45C-4B6A-AC50-0CEBBAF33754}" id="{1F5BB4D7-0DA1-4B68-8F49-33BE70902A74}">
    <text>研究报告显示，2019年比亚迪新能源乘用车电池包平均成本为0.85元/Wh</text>
  </threadedComment>
  <threadedComment ref="F185" dT="2023-07-31T01:14:04.80" personId="{3F497584-7056-43D5-A851-7C7AC7DBA94E}" id="{063DF68B-A4A5-40FD-B442-567F6E04A862}">
    <text>根据东安动力2020年报，发动机营收2,953,602,817.45 元，销售385,123 台</text>
  </threadedComment>
  <threadedComment ref="G185" dT="2023-07-31T01:12:35.67" personId="{3F497584-7056-43D5-A851-7C7AC7DBA94E}" id="{55F0CE2B-496A-48F9-967E-B789B245383C}">
    <text>根据东安动力2021年报，发动机营收为5,442,891,156.54 元，出售发动机616,542 台，以此估算单价</text>
  </threadedComment>
  <threadedComment ref="H185" dT="2023-07-31T01:16:23.84" personId="{3F497584-7056-43D5-A851-7C7AC7DBA94E}" id="{0AA63374-4FFB-4A7A-953F-D91EE09FB604}">
    <text>根据东安动力2022年报，发动机营收4,311,404,940.55 元，销售507,510 台</text>
  </threadedComment>
  <threadedComment ref="A188" dT="2023-07-31T01:36:28.07" personId="{3F497584-7056-43D5-A851-7C7AC7DBA94E}" id="{70CD9FC8-FF0A-4C1C-A23F-0722EE787DAE}">
    <text>Tier 1</text>
  </threadedComment>
  <threadedComment ref="F188" dT="2023-07-31T01:32:36.00" personId="{3F497584-7056-43D5-A851-7C7AC7DBA94E}" id="{A35F5220-E452-41E9-A7E6-35761770ADCB}">
    <text>According to BorgWarner 2020AR，revenue of e-Propulsion &amp; Drivetrain is 3,989M$, but sales volume is NM</text>
  </threadedComment>
  <threadedComment ref="G188" dT="2023-07-31T01:32:49.71" personId="{3F497584-7056-43D5-A851-7C7AC7DBA94E}" id="{3EA3C5AE-71D7-410C-86BC-0BB05B707CFE}">
    <text xml:space="preserve">According to BorgWarner 2021AR，revenue of e-Propulsion &amp; Drivetrain is 5,086M$, but sales volume is NM
</text>
  </threadedComment>
  <threadedComment ref="H188" dT="2023-07-31T01:39:51.82" personId="{3F497584-7056-43D5-A851-7C7AC7DBA94E}" id="{EFD6A94D-09B4-4D66-9731-AECBC932D5DC}">
    <text>According to BorgWarner 2022AR，revenue of e-Propulsion &amp; Drivetrain is 5,625M$, but sales volume is NM.</text>
  </threadedComment>
  <threadedComment ref="H189" dT="2023-07-31T16:35:28.99" personId="{3F497584-7056-43D5-A851-7C7AC7DBA94E}" id="{CE5048E3-74A9-4B3B-9EFD-850AC2F947B7}">
    <text xml:space="preserve">根据国信证券：当前新能源乘用车驱动电机的单价大约为2500 元（根据巨一科技招股说明书估算），受益于电机性能的不断提升，我们预计2021-2025 年，驱动电机的单价有望以每年大约 2%的增幅提升，至 2025 年单价大约为2706 元。 </text>
  </threadedComment>
  <threadedComment ref="F193" dT="2023-07-31T10:40:09.41" personId="{3F497584-7056-43D5-A851-7C7AC7DBA94E}" id="{DB8231CC-4F84-4C11-8F35-12B5AC338619}">
    <text>征程3和征程5同为16纳米工艺，考虑到L8对标ONE，暂用L8ADAS芯片单车成本估算</text>
  </threadedComment>
  <threadedComment ref="A194" dT="2023-07-30T17:08:57.48" personId="{3F497584-7056-43D5-A851-7C7AC7DBA94E}" id="{30EA656E-758B-4970-B11B-576D4370761B}">
    <text>ONE2021款搭载1个800万像素单目前车摄像头和4个环视摄像头</text>
  </threadedComment>
  <threadedComment ref="A197" dT="2023-07-17T02:31:20.72" personId="{3F497584-7056-43D5-A851-7C7AC7DBA94E}" id="{20FAFDC8-0B29-4954-910F-5D6D4EEC8344}">
    <text>Tier1</text>
  </threadedComment>
  <threadedComment ref="A198" dT="2023-07-17T02:31:28.60" personId="{3F497584-7056-43D5-A851-7C7AC7DBA94E}" id="{D7FD364B-BD13-42B4-9A9B-2E40A785EBA6}">
    <text>Tier2</text>
  </threadedComment>
  <threadedComment ref="A202" dT="2023-07-31T02:41:04.09" personId="{3F497584-7056-43D5-A851-7C7AC7DBA94E}" id="{CF41510F-B16A-477E-B9C0-4FFEB2A9E19A}">
    <text>博世5代毫米波雷达采用4D，Tier1，毫米波雷达的价格区间在700-1600元</text>
  </threadedComment>
  <threadedComment ref="A210" dT="2023-08-11T02:35:27.96" personId="{3F497584-7056-43D5-A851-7C7AC7DBA94E}" id="{744362FF-FB6B-421B-A7B4-FE4DB1C99182}">
    <text>该权益目前申请使用截止日期为2023.12.31</text>
  </threadedComment>
  <threadedComment ref="I226" dT="2023-12-06T17:18:22.56" personId="{3F497584-7056-43D5-A851-7C7AC7DBA94E}" id="{2F6E8963-83CD-9944-9C1D-C4CCFA398A23}">
    <text>According to consensus forecast of Rev &amp; Vol (2880.05亿元, 313GWh respectively), unit price in 2023 = 2880.05/313*100</text>
  </threadedComment>
  <threadedComment ref="E227" dT="2022-12-16T09:45:58.46" personId="{6B4F847D-D45C-4B6A-AC50-0CEBBAF33754}" id="{A2985EB2-0EC0-41F6-AB4D-12A36654FE56}">
    <text>研究报告显示，2019年比亚迪新能源乘用车电池包平均成本为0.85元/Wh</text>
  </threadedComment>
  <threadedComment ref="H235" dT="2023-07-31T16:35:28.99" personId="{3F497584-7056-43D5-A851-7C7AC7DBA94E}" id="{073C04DA-FF5C-4299-B693-FED1EEAD1B1A}">
    <text xml:space="preserve">根据国信证券：当前新能源乘用车驱动电机的单价大约为2500 元（根据巨一科技招股说明书估算），受益于电机性能的不断提升，我们预计2021-2025 年，驱动电机的单价有望以每年大约 2%的增幅提升，至 2025 年单价大约为2706 元。 </text>
  </threadedComment>
  <threadedComment ref="A239" dT="2023-07-15T06:26:40.55" personId="{3F497584-7056-43D5-A851-7C7AC7DBA94E}" id="{8E1E9733-2AF9-4A25-8783-F1957A79B3CB}">
    <text>由L7 Air和Pro装载</text>
  </threadedComment>
  <threadedComment ref="H239" dT="2023-07-17T11:22:43.20" personId="{3F497584-7056-43D5-A851-7C7AC7DBA94E}" id="{3CB9814B-1EA9-4BAC-8BDA-E4DCFE1A873F}">
    <text>根据余凯提及价格不到NVIDIA一半来估算</text>
  </threadedComment>
  <threadedComment ref="A240" dT="2023-07-15T06:27:57.23" personId="{3F497584-7056-43D5-A851-7C7AC7DBA94E}" id="{43295381-390E-47C9-AA4F-BCD5F44D7698}">
    <text>由L7 MAX装载2片NVIDIA芯片</text>
  </threadedComment>
  <threadedComment ref="A243" dT="2023-07-17T12:32:22.32" personId="{3F497584-7056-43D5-A851-7C7AC7DBA94E}" id="{3363DD2B-C4ED-493E-ACE4-E1E20E9368BA}">
    <text>Air和Pro搭载的摄像头为4个环视200万像素、5个ADAS200万像素和1个ADAS800万像素摄像头；其中，200万像素摄像头供应商为欧菲光，800万像素摄像头供应商为舜宇智领</text>
  </threadedComment>
  <threadedComment ref="A246" dT="2023-07-17T12:35:19.35" personId="{3F497584-7056-43D5-A851-7C7AC7DBA94E}" id="{8A9C8F63-B1BE-4813-98E8-B526ECF1669E}">
    <text>MAX搭载的摄像头为6个ADAS800万像素摄像头、1个ADAS200万像素摄像头和4个环视200万像素摄像头；其中200万像素摄像头供应商为欧菲光，其余的为舜宇智领</text>
  </threadedComment>
  <threadedComment ref="H251" dT="2023-07-17T06:29:40.58" personId="{3F497584-7056-43D5-A851-7C7AC7DBA94E}" id="{DCFAE0A9-786B-4FE2-A867-CE7ECECE467E}">
    <text>目前4D毫米波雷达还未形成统一价格，价格区间为1000-1500元，目前暂以平均值估算——森斯泰克为4D毫米波雷达Tier1</text>
  </threadedComment>
  <threadedComment ref="A255" dT="2023-07-17T12:59:13.11" personId="{3F497584-7056-43D5-A851-7C7AC7DBA94E}" id="{3F776DE3-B15D-4B26-A2EE-8634FB107437}">
    <text>只有MAX搭载激光雷达</text>
  </threadedComment>
  <threadedComment ref="A258" dT="2023-07-17T12:28:30.22" personId="{3F497584-7056-43D5-A851-7C7AC7DBA94E}" id="{6AA3B076-9EED-469A-8F57-4A3BD1336F25}">
    <text>只有Pro和MAX装载了空气悬挂</text>
  </threadedComment>
  <threadedComment ref="I262" dT="2023-07-31T17:50:24.32" personId="{3F497584-7056-43D5-A851-7C7AC7DBA94E}" id="{1DA60BA3-75C1-4E5C-B837-C6054FA26CCC}">
    <text>通过L8比L7在其他配件上多出一个座位(2000元)来进行估算</text>
  </threadedComment>
  <threadedComment ref="A265" dT="2023-08-11T02:35:27.96" personId="{3F497584-7056-43D5-A851-7C7AC7DBA94E}" id="{004B2865-B14D-4F8E-91EB-5B8999D661C5}">
    <text>该权益目前申请使用截止日期为2023.12.31</text>
  </threadedComment>
  <threadedComment ref="A271" dT="2023-08-11T02:49:09.77" personId="{3F497584-7056-43D5-A851-7C7AC7DBA94E}" id="{AE52FF64-D032-4C91-BD72-A9FD36468D31}">
    <text>L7 Air和L8 Air未搭载</text>
  </threadedComment>
  <threadedComment ref="A274" dT="2023-08-11T03:12:57.22" personId="{3F497584-7056-43D5-A851-7C7AC7DBA94E}" id="{65040B05-FDA0-4959-B99B-BCEB27941B13}">
    <text>充电桩单价按照理想ONE家用充电桩2500元/台，成本按照2000元/台估算；安装包30m，1m的价格在50-55元，这里以50元估算</text>
  </threadedComment>
  <threadedComment ref="I287" dT="2023-12-06T17:18:22.56" personId="{3F497584-7056-43D5-A851-7C7AC7DBA94E}" id="{651D32E7-17CD-DF4D-AF50-60363D5EE1B7}">
    <text>According to consensus forecast of Rev &amp; Vol (2880.05亿元, 313GWh respectively), unit price in 2023 = 2880.05/313*100</text>
  </threadedComment>
  <threadedComment ref="E288" dT="2022-12-16T09:45:58.46" personId="{6B4F847D-D45C-4B6A-AC50-0CEBBAF33754}" id="{D3B392F1-7344-46C7-89D7-AD5C2C611651}">
    <text>研究报告显示，2019年比亚迪新能源乘用车电池包平均成本为0.85元/Wh</text>
  </threadedComment>
  <threadedComment ref="H296" dT="2023-07-31T16:35:28.99" personId="{3F497584-7056-43D5-A851-7C7AC7DBA94E}" id="{5FC34051-3C1F-48F5-B8CA-8927DC47C9A2}">
    <text xml:space="preserve">根据国信证券：当前新能源乘用车驱动电机的单价大约为2500 元（根据巨一科技招股说明书估算），受益于电机性能的不断提升，我们预计2021-2025 年，驱动电机的单价有望以每年大约 2%的增幅提升，至 2025 年单价大约为2706 元。 </text>
  </threadedComment>
  <threadedComment ref="A300" dT="2023-07-15T06:26:40.55" personId="{3F497584-7056-43D5-A851-7C7AC7DBA94E}" id="{C858A1EF-A1EB-47B5-8951-E66885762F8A}">
    <text>由L8 Air和Pro装载</text>
  </threadedComment>
  <threadedComment ref="A301" dT="2023-07-15T06:27:21.83" personId="{3F497584-7056-43D5-A851-7C7AC7DBA94E}" id="{4458A539-6CB9-4B93-A85C-A8243B296D5E}">
    <text>由L8 MAX装载2片NVIDIA芯片</text>
  </threadedComment>
  <threadedComment ref="A304" dT="2023-07-17T12:32:22.32" personId="{3F497584-7056-43D5-A851-7C7AC7DBA94E}" id="{B3AB514E-FD0D-4445-91A1-6E484ED412F1}">
    <text>Air和Pro搭载的摄像头为4个环视200万像素、5个ADAS200万像素和1个ADAS800万像素摄像头；其中，200万像素摄像头供应商为欧菲光，800万像素摄像头供应商为舜宇智领</text>
  </threadedComment>
  <threadedComment ref="A307" dT="2023-07-17T12:35:19.35" personId="{3F497584-7056-43D5-A851-7C7AC7DBA94E}" id="{CA52CC87-B905-434E-A877-A0D409F6C642}">
    <text>MAX搭载的摄像头为6个ADAS800万像素摄像头、1个ADAS200万像素摄像头和4个环视200万像素摄像头；其中200万像素摄像头供应商为欧菲光，其余的为舜宇智领</text>
  </threadedComment>
  <threadedComment ref="A316" dT="2023-07-17T12:59:13.11" personId="{3F497584-7056-43D5-A851-7C7AC7DBA94E}" id="{E17E12C1-F7D5-4120-A408-87741C1A461D}">
    <text>只有MAX搭载激光雷达</text>
  </threadedComment>
  <threadedComment ref="A319" dT="2023-07-17T12:28:30.22" personId="{3F497584-7056-43D5-A851-7C7AC7DBA94E}" id="{30905291-EB5F-45A2-8E70-77B5B8B84416}">
    <text>只有Pro和MAX装载了空气悬挂</text>
  </threadedComment>
  <threadedComment ref="H323" dT="2023-07-31T17:29:46.92" personId="{3F497584-7056-43D5-A851-7C7AC7DBA94E}" id="{EE240D87-C77C-4043-AADC-25F0D28C4D6D}">
    <text>以ONE单车相应成本估算L8</text>
  </threadedComment>
  <threadedComment ref="A326" dT="2023-08-11T02:35:27.96" personId="{3F497584-7056-43D5-A851-7C7AC7DBA94E}" id="{24EAC830-FE77-4BB1-857F-E386A5B25E67}">
    <text>该权益目前申请使用截止日期为2023.12.31</text>
  </threadedComment>
  <threadedComment ref="A332" dT="2023-08-11T02:49:09.77" personId="{3F497584-7056-43D5-A851-7C7AC7DBA94E}" id="{81492572-76AC-4012-9893-802B0F56A811}">
    <text>L7 Air和L8 Air未搭载</text>
  </threadedComment>
  <threadedComment ref="A335" dT="2023-08-11T03:12:57.22" personId="{3F497584-7056-43D5-A851-7C7AC7DBA94E}" id="{CC4F3402-5362-4405-B754-61B1A7783869}">
    <text>充电桩单价按照理想ONE家用充电桩2500元/台，成本按照2000元/台估算；安装包30m，1m的价格在50-55元，这里以50元估算</text>
  </threadedComment>
  <threadedComment ref="A339" dT="2023-07-15T03:12:41.75" personId="{3F497584-7056-43D5-A851-7C7AC7DBA94E}" id="{FEACCE18-F6C9-4F8D-98DB-82F9867658BB}">
    <text>目前只有2022款MAX，不予比重</text>
  </threadedComment>
  <threadedComment ref="I347" dT="2023-12-06T17:18:22.56" personId="{3F497584-7056-43D5-A851-7C7AC7DBA94E}" id="{6FE22172-82D1-E540-9FED-1BA3271112D6}">
    <text>According to consensus forecast of Rev &amp; Vol (2880.05亿元, 313GWh respectively), unit price in 2023 = 2880.05/313*100</text>
  </threadedComment>
  <threadedComment ref="E348" dT="2022-12-16T09:45:58.46" personId="{6B4F847D-D45C-4B6A-AC50-0CEBBAF33754}" id="{EEEBE9F2-EDD2-422C-83F7-F3DCF2FE8CE1}">
    <text>研究报告显示，2019年比亚迪新能源乘用车电池包平均成本为0.85元/Wh</text>
  </threadedComment>
  <threadedComment ref="H356" dT="2023-07-31T16:35:28.99" personId="{3F497584-7056-43D5-A851-7C7AC7DBA94E}" id="{1FF7A530-04C9-4DD0-8D67-23D8BF2F9025}">
    <text xml:space="preserve">根据国信证券：当前新能源乘用车驱动电机的单价大约为2500 元（根据巨一科技招股说明书估算），受益于电机性能的不断提升，我们预计2021-2025 年，驱动电机的单价有望以每年大约 2%的增幅提升，至 2025 年单价大约为2706 元。 </text>
  </threadedComment>
  <threadedComment ref="I359" dT="2023-08-26T13:53:08.99" personId="{3F497584-7056-43D5-A851-7C7AC7DBA94E}" id="{E1258716-A51A-46FD-B5B0-C00E7E88D5AE}">
    <text>2023年8月开始交付L9 Pro，按照1-7月总销量51936辆计算Pro上市前的数据</text>
  </threadedComment>
  <threadedComment ref="H363" dT="2023-07-16T07:24:50.35" personId="{3F497584-7056-43D5-A851-7C7AC7DBA94E}" id="{5C91F9A9-1A70-40D2-8CB0-BC266030682C}">
    <text xml:space="preserve">NVIDIA Jetson Orin Nano Developer Kit 售价$499，由于没有NVIDIA Drive Orin芯片的准确价格，但是根据余凯描述的NVIDIA Orin芯片单价400多美元，所以以$499估算
</text>
  </threadedComment>
  <threadedComment ref="A364" dT="2023-07-15T06:26:40.55" personId="{3F497584-7056-43D5-A851-7C7AC7DBA94E}" id="{B2511856-9BB6-4B17-8294-F1D57FDA45E3}">
    <text>由L8 Air和Pro装载</text>
  </threadedComment>
  <threadedComment ref="I365" dT="2023-07-17T01:09:24.58" personId="{3F497584-7056-43D5-A851-7C7AC7DBA94E}" id="{AFA62529-1BD4-42D4-AC9B-91EFE557B786}">
    <text>6M 2023</text>
  </threadedComment>
  <threadedComment ref="H367" dT="2023-07-17T02:24:18.96" personId="{3F497584-7056-43D5-A851-7C7AC7DBA94E}" id="{1121FBB2-80E6-4E4D-94FE-58DE5D62C777}">
    <text xml:space="preserve">据悉，L9搭载7个ADAS摄像头和4个环视摄像头；其中，ADAS模组和镜头皆为舜宇，环视模组和镜头则为纵目科技和欧菲光
</text>
  </threadedComment>
  <threadedComment ref="A369" dT="2023-07-17T02:31:20.72" personId="{3F497584-7056-43D5-A851-7C7AC7DBA94E}" id="{98226457-A5EC-462C-A8AE-1869DFE94014}">
    <text>Tier1</text>
  </threadedComment>
  <threadedComment ref="A370" dT="2023-07-17T02:31:28.60" personId="{3F497584-7056-43D5-A851-7C7AC7DBA94E}" id="{066979C3-D240-47AE-AEFF-E72F35A6DD80}">
    <text>Tier2</text>
  </threadedComment>
  <threadedComment ref="A377" dT="2023-07-17T10:46:14.12" personId="{3F497584-7056-43D5-A851-7C7AC7DBA94E}" id="{48F1347B-981A-4DF8-A165-BF477AEF3534}">
    <text>陈清锋带豪恩汽电上市，客户包括小鹏、理想汽车，毛利率持续下降_腾讯新闻 (qq.com) 和创业板招股说明书</text>
    <extLst>
      <x:ext xmlns:xltc2="http://schemas.microsoft.com/office/spreadsheetml/2020/threadedcomments2" uri="{F7C98A9C-CBB3-438F-8F68-D28B6AF4A901}">
        <xltc2:checksum>2282200288</xltc2:checksum>
        <xltc2:hyperlink startIndex="0" length="44" url="https://new.qq.com/rain/a/20230704A09D2Z00"/>
      </x:ext>
    </extLst>
  </threadedComment>
  <threadedComment ref="H377" dT="2023-07-17T10:57:15.97" personId="{3F497584-7056-43D5-A851-7C7AC7DBA94E}" id="{AA42E1BD-CB58-4C9A-A6AB-EDB7F849127A}">
    <text>豪恩汽电创业板招股说明书披露：超声波雷达系统销量1,153.56万件，26,538.27万元</text>
  </threadedComment>
  <threadedComment ref="L377" dT="2023-07-17T11:18:19.80" personId="{3F497584-7056-43D5-A851-7C7AC7DBA94E}" id="{F368699E-442C-4F0E-A100-29861468B61C}">
    <text>根据豪恩汽电创业板招股说明书披露，2020-2022平均年变化率为-1.94%</text>
  </threadedComment>
  <threadedComment ref="H380" dT="2023-07-17T03:21:57.16" personId="{3F497584-7056-43D5-A851-7C7AC7DBA94E}" id="{E50B8DB6-5678-467C-BC2F-1BDBECA97938}">
    <text>According to the Hesai 2022 AR, Revenue from LiDAR products is 1,122,237 thousand Yuan，AT128 accounted for 26.3% of revenue in 2022, and it has shipped approximately 62,000</text>
  </threadedComment>
  <threadedComment ref="H380" dT="2023-07-17T03:31:39.39" personId="{3F497584-7056-43D5-A851-7C7AC7DBA94E}" id="{D668853A-68AA-43F2-B397-E7C338FC1444}" parentId="{E50B8DB6-5678-467C-BC2F-1BDBECA97938}">
    <text>Total revenue is 1,202,670 thousand Yuan</text>
  </threadedComment>
  <threadedComment ref="A388" dT="2023-08-11T02:35:27.96" personId="{3F497584-7056-43D5-A851-7C7AC7DBA94E}" id="{2949B509-92D9-4DFA-8AEA-DE0AB11096DA}">
    <text>该权益目前申请使用截止日期为2023.12.31</text>
  </threadedComment>
  <threadedComment ref="A394" dT="2023-08-11T02:49:09.77" personId="{3F497584-7056-43D5-A851-7C7AC7DBA94E}" id="{3D1E41F7-1A1B-409E-8229-7F5D8711AF0F}">
    <text>L7 Air和L8 Air未搭载</text>
  </threadedComment>
  <threadedComment ref="A397" dT="2023-08-11T03:12:57.22" personId="{3F497584-7056-43D5-A851-7C7AC7DBA94E}" id="{4F29A583-8064-47EE-BC15-32710B1B3985}">
    <text>充电桩单价按照理想ONE家用充电桩2500元/台，成本按照2000元/台估算；安装包30m，1m的价格在50-55元，这里以50元估算</text>
  </threadedComment>
  <threadedComment ref="H402" dT="2023-03-21T12:25:27.13" personId="{577B6962-D598-2141-B164-32405E2946E1}" id="{5081737C-72CF-4C8F-892B-3194655B9B1D}">
    <text>2022 中期报告为2912
分配800给北京</text>
  </threadedComment>
  <threadedComment ref="H402" dT="2023-03-23T04:13:17.37" personId="{6B4F847D-D45C-4B6A-AC50-0CEBBAF33754}" id="{68F13F59-FC0B-4C78-B85E-2E617817F02D}" parentId="{5081737C-72CF-4C8F-892B-3194655B9B1D}">
    <text>理想汽车常州基地生产运营总监董海亮说：“我们刚刚投产的时候，一天只有二三十台的产量，整个工厂有三四百人。现在我们人数已经发展到4000多人，每天能做到600台。</text>
  </threadedComment>
  <threadedComment ref="I402" dT="2023-03-21T12:27:20.53" personId="{577B6962-D598-2141-B164-32405E2946E1}" id="{78D730B8-E97D-4637-96BC-BBFD324743E8}">
    <text xml:space="preserve">假设增速10%并逐渐增快
</text>
  </threadedComment>
  <threadedComment ref="A404" dT="2023-03-21T12:25:51.40" personId="{577B6962-D598-2141-B164-32405E2946E1}" id="{437A6B13-9F7F-428D-BBE1-C357A4C09841}">
    <text>还没有投入建设</text>
  </threadedComment>
  <threadedComment ref="F406" dT="2023-03-21T07:53:43.91" personId="{577B6962-D598-2141-B164-32405E2946E1}" id="{8CDD2C61-0A6A-4C06-BEBA-BC0BD6A5EDC5}">
    <text>薪资构成：基本工资+绩效奖金+津补贴+轮班津贴+加班工资+超产奖金；年度平均 13 薪；6-9 月享受高温补贴；根据产能安排加班，综合税前月收入 4900~8600 元;</text>
  </threadedComment>
  <threadedComment ref="H407" dT="2023-03-21T12:19:05.61" personId="{577B6962-D598-2141-B164-32405E2946E1}" id="{DB3FA395-567F-49C8-B3C0-A1316D0552E4}">
    <text>焊接车间设备维修，8-13k，13薪</text>
  </threadedComment>
  <threadedComment ref="A427" dT="2023-03-23T02:59:04.37" personId="{1CA034E2-D875-4054-8F96-3C6D33763868}" id="{729D13E0-D5AC-47BA-A44E-D8AEC3E92422}">
    <text>NOTES TO CONSOLIDATED FINANCIAL STATEMENTS</text>
  </threadedComment>
  <threadedComment ref="A428" dT="2023-03-23T02:59:09.81" personId="{1CA034E2-D875-4054-8F96-3C6D33763868}" id="{A3ECCE7F-F169-4CD7-A9F9-DFC7987FB03B}">
    <text>NOTES TO CONSOLIDATED FINANCIAL STATEMENTS</text>
  </threadedComment>
  <threadedComment ref="E440" dT="2022-12-16T09:45:58.46" personId="{6B4F847D-D45C-4B6A-AC50-0CEBBAF33754}" id="{579CC022-914B-4013-9451-075EDBD34DC3}">
    <text>研究报告显示，2019年比亚迪新能源乘用车电池包平均成本为0.85元/Wh</text>
  </threadedComment>
  <threadedComment ref="G444" dT="2023-03-26T20:18:10.78" personId="{1CA034E2-D875-4054-8F96-3C6D33763868}" id="{872E98FC-1E5F-413D-9FA0-03AEFFE47190}">
    <text>未查到肇庆工厂2021及以后的员工人数</text>
  </threadedComment>
  <threadedComment ref="I445" dT="2023-03-26T20:18:34.06" personId="{1CA034E2-D875-4054-8F96-3C6D33763868}" id="{B5976513-D127-459D-AA7D-2AEB554E637D}">
    <text>未查到广州工厂员工人数，按肇庆工厂最初的员工人数估计</text>
  </threadedComment>
  <threadedComment ref="A446" dT="2023-03-26T17:48:49.14" personId="{1CA034E2-D875-4054-8F96-3C6D33763868}" id="{BC04DCB7-49FB-43AC-94AE-DA8571A89070}">
    <text>还未投产</text>
  </threadedComment>
  <threadedComment ref="F448" dT="2023-03-26T17:39:22.12" personId="{1CA034E2-D875-4054-8F96-3C6D33763868}" id="{32419A38-18AA-479B-B98A-38C7A2B3EB60}">
    <text>PACK设备技工，8-13K·15薪</text>
  </threadedComment>
  <threadedComment ref="I449" dT="2023-03-26T17:47:03.34" personId="{1CA034E2-D875-4054-8F96-3C6D33763868}" id="{A9A84EFF-09DE-46F8-BA3A-968A27C5536E}">
    <text>生产技工（广州），7-11K·15薪</text>
  </threadedComment>
</ThreadedComments>
</file>

<file path=xl/threadedComments/threadedComment4.xml><?xml version="1.0" encoding="utf-8"?>
<ThreadedComments xmlns="http://schemas.microsoft.com/office/spreadsheetml/2018/threadedcomments" xmlns:x="http://schemas.openxmlformats.org/spreadsheetml/2006/main">
  <threadedComment ref="G9" dT="2021-11-22T10:01:50.28" personId="{6B4F847D-D45C-4B6A-AC50-0CEBBAF33754}" id="{8344C060-A78F-4598-AFA7-69E19224248C}">
    <text>9m 29%</text>
  </threadedComment>
  <threadedComment ref="G17" dT="2021-11-23T09:49:31.87" personId="{6B4F847D-D45C-4B6A-AC50-0CEBBAF33754}" id="{170FED09-6161-4148-947D-D4B68AC0839F}">
    <text>9m -2%</text>
  </threadedComment>
  <threadedComment ref="H17" dT="2021-11-23T09:49:31.87" personId="{6B4F847D-D45C-4B6A-AC50-0CEBBAF33754}" id="{8E50AAB5-B4C5-4B2C-93AD-B936A4152B71}">
    <text>9m -2%</text>
  </threadedComment>
  <threadedComment ref="H17" dT="2022-07-27T03:16:07.99" personId="{6B4F847D-D45C-4B6A-AC50-0CEBBAF33754}" id="{D61CADBC-5EB1-439B-BFC8-62BE7163BB4D}" parentId="{8E50AAB5-B4C5-4B2C-93AD-B936A4152B71}">
    <text>1h negative</text>
  </threadedComment>
  <threadedComment ref="I17" dT="2021-11-23T09:49:31.87" personId="{6B4F847D-D45C-4B6A-AC50-0CEBBAF33754}" id="{1BE84639-BD47-4C41-8E05-35C80A1C98D9}">
    <text>9m -2%</text>
  </threadedComment>
  <threadedComment ref="L17" dT="2023-02-01T08:10:14.06" personId="{6B4F847D-D45C-4B6A-AC50-0CEBBAF33754}" id="{A7647A5A-D2DA-405E-9991-52AAC7216CE2}">
    <text>cut to 5 from 10</text>
  </threadedComment>
  <threadedComment ref="L24" dT="2022-03-02T10:10:27.98" personId="{6B4F847D-D45C-4B6A-AC50-0CEBBAF33754}" id="{32195D3A-F1ED-478E-960D-AEDAC2E3BC18}">
    <text>MA3 due to 2021 miss</text>
  </threadedComment>
  <threadedComment ref="L24" dT="2023-02-01T08:21:50.52" personId="{6B4F847D-D45C-4B6A-AC50-0CEBBAF33754}" id="{E5ED0B17-24EC-4117-BDF0-7AA3F5760B66}" parentId="{32195D3A-F1ED-478E-960D-AEDAC2E3BC18}">
    <text>MA4 due to 2022 beat</text>
  </threadedComment>
  <threadedComment ref="G42" dT="2021-11-15T08:15:15.60" personId="{C727E848-119D-4F1D-BE4A-5625D5D47A92}" id="{CAFEB3B0-9D21-4A40-A8C6-DB877AD4F09C}">
    <text>利用了一致性预期中给出的毛利率</text>
  </threadedComment>
  <threadedComment ref="G42" dT="2021-11-23T08:20:07.69" personId="{6B4F847D-D45C-4B6A-AC50-0CEBBAF33754}" id="{91A831FC-EA9C-4446-A5C6-79528DC1D65C}" parentId="{CAFEB3B0-9D21-4A40-A8C6-DB877AD4F09C}">
    <text>overwrited</text>
  </threadedComment>
  <threadedComment ref="H42" dT="2021-11-15T08:15:15.60" personId="{C727E848-119D-4F1D-BE4A-5625D5D47A92}" id="{97CE8D86-B3D3-4DB0-BB20-5CEF72BED528}">
    <text>利用了一致性预期中给出的毛利率</text>
  </threadedComment>
  <threadedComment ref="H42" dT="2021-11-23T08:20:07.69" personId="{6B4F847D-D45C-4B6A-AC50-0CEBBAF33754}" id="{C38D3FA9-62DA-419A-A4AC-BFD8BB559D92}" parentId="{97CE8D86-B3D3-4DB0-BB20-5CEF72BED528}">
    <text>overwrited</text>
  </threadedComment>
  <threadedComment ref="I42" dT="2021-11-15T08:15:15.60" personId="{C727E848-119D-4F1D-BE4A-5625D5D47A92}" id="{E95FA9D2-C56C-403A-B731-319FD4A9ED5C}">
    <text>利用了一致性预期中给出的毛利率</text>
  </threadedComment>
  <threadedComment ref="I42" dT="2021-11-23T08:20:07.69" personId="{6B4F847D-D45C-4B6A-AC50-0CEBBAF33754}" id="{79CF6C77-FEBF-42DD-A240-45FC05AB6E9F}" parentId="{E95FA9D2-C56C-403A-B731-319FD4A9ED5C}">
    <text>overwrited</text>
  </threadedComment>
  <threadedComment ref="H44" dT="2022-07-27T03:20:41.94" personId="{6B4F847D-D45C-4B6A-AC50-0CEBBAF33754}" id="{C8601676-C55C-493F-B21E-08850F2622EC}">
    <text>6m only 5%</text>
  </threadedComment>
  <threadedComment ref="H44" dT="2022-07-27T03:33:35.25" personId="{6B4F847D-D45C-4B6A-AC50-0CEBBAF33754}" id="{18444B9A-9218-43FB-A0CB-5B24C677B562}" parentId="{C8601676-C55C-493F-B21E-08850F2622EC}">
    <text>mainly due to decrease in CEO option expense, which is deemed to be related to falling stock price</text>
  </threadedComment>
  <threadedComment ref="H44" dT="2022-07-27T08:04:15.88" personId="{6B4F847D-D45C-4B6A-AC50-0CEBBAF33754}" id="{5770C2D8-756C-4424-B15D-FF0E26B94145}" parentId="{C8601676-C55C-493F-B21E-08850F2622EC}">
    <text>cut to 5%</text>
  </threadedComment>
  <threadedComment ref="H44" dT="2023-01-28T09:02:10.31" personId="{6B4F847D-D45C-4B6A-AC50-0CEBBAF33754}" id="{16F498C3-A311-4330-8664-218425422B29}" parentId="{C8601676-C55C-493F-B21E-08850F2622EC}">
    <text>cut to 4.5</text>
  </threadedComment>
  <threadedComment ref="H46" dT="2023-01-28T09:04:09.01" personId="{6B4F847D-D45C-4B6A-AC50-0CEBBAF33754}" id="{CF7186DD-987B-4CEA-A6F5-7E8C1A83EA2E}">
    <text>cut to 4.5 from 5 (MA3)</text>
  </threadedComment>
  <threadedComment ref="G49" dT="2021-11-23T09:19:58.29" personId="{6B4F847D-D45C-4B6A-AC50-0CEBBAF33754}" id="{3FEC6E89-ECD5-4263-ADFE-30FFCF4FE133}">
    <text>9m 300</text>
  </threadedComment>
  <threadedComment ref="H50" dT="2023-01-28T09:07:21.71" personId="{6B4F847D-D45C-4B6A-AC50-0CEBBAF33754}" id="{3388995D-1EA5-4C38-A241-47EA77C94278}">
    <text>cut from 3 to -10</text>
  </threadedComment>
  <threadedComment ref="G58" dT="2021-11-23T09:31:08.77" personId="{6B4F847D-D45C-4B6A-AC50-0CEBBAF33754}" id="{B9102F50-20A8-44FF-81CA-12B93287BFE8}">
    <text>Our effective tax rate decreased from 27% to 11% in the nine months ended September 30, 2021 as compared to the nine months ended September 30, 2020.</text>
  </threadedComment>
  <threadedComment ref="H58" dT="2022-07-27T03:38:37.21" personId="{6B4F847D-D45C-4B6A-AC50-0CEBBAF33754}" id="{19BB0423-DC01-48F0-89CE-5F9B48E73954}">
    <text>1h only 9%</text>
  </threadedComment>
  <threadedComment ref="H58" dT="2023-01-28T09:11:09.02" personId="{6B4F847D-D45C-4B6A-AC50-0CEBBAF33754}" id="{0C3BA73B-673F-4629-A51D-9A2E9D523150}" parentId="{19BB0423-DC01-48F0-89CE-5F9B48E73954}">
    <text>cut from 15 to 9</text>
  </threadedComment>
  <threadedComment ref="G63" dT="2021-11-23T09:39:14.50" personId="{6B4F847D-D45C-4B6A-AC50-0CEBBAF33754}" id="{855A8309-C7E8-4419-BC2A-B24A6C615AEB}">
    <text>930 1.12</text>
  </threadedComment>
  <threadedComment ref="H63" dT="2022-09-30T07:27:52.31" personId="{6B4F847D-D45C-4B6A-AC50-0CEBBAF33754}" id="{6E748970-7FEB-42DE-B22D-212B9202ABBF}">
    <text>3-1</text>
  </threadedComment>
  <threadedComment ref="G66" dT="2021-11-24T02:58:18.11" personId="{6B4F847D-D45C-4B6A-AC50-0CEBBAF33754}" id="{55C65DA3-03C5-4E72-9626-96E1D29547C4}">
    <text>930 ttm</text>
  </threadedComment>
  <threadedComment ref="I72" dT="2023-09-01T09:04:40.86" personId="{3F497584-7056-43D5-A851-7C7AC7DBA94E}" id="{E405ECBE-EF1B-46B2-94C3-A0909C08A568}">
    <text xml:space="preserve">6M  208,823,603 </text>
  </threadedComment>
  <threadedComment ref="A76" dT="2021-11-20T08:53:03.75" personId="{C727E848-119D-4F1D-BE4A-5625D5D47A92}" id="{3F69F513-5B8D-45A5-8C33-1587D1339C2F}">
    <text>比亚迪财报未披露分部毛利，于是采用毛利率进行倒推</text>
  </threadedComment>
  <threadedComment ref="H76" dT="2023-01-12T06:53:27.08" personId="{6B4F847D-D45C-4B6A-AC50-0CEBBAF33754}" id="{D6B88CDB-8AD7-4A9B-895F-942B4F4DF829}">
    <text>1H 17b</text>
  </threadedComment>
  <threadedComment ref="G77" dT="2021-11-30T06:46:02.67" personId="{6B4F847D-D45C-4B6A-AC50-0CEBBAF33754}" id="{A0B3153F-1F1E-4138-BB80-F5B0ABD2F6B6}">
    <text>6m 19.5%</text>
  </threadedComment>
  <threadedComment ref="I77" dT="2023-09-01T07:45:59.09" personId="{3F497584-7056-43D5-A851-7C7AC7DBA94E}" id="{51286493-FD51-40A7-952E-4EEB5953DBEB}">
    <text>6M 20.67%</text>
  </threadedComment>
  <threadedComment ref="A85" dT="2021-11-20T08:53:03.75" personId="{C727E848-119D-4F1D-BE4A-5625D5D47A92}" id="{F2FC841B-7B86-47D2-B28E-56D4432FE446}">
    <text>比亚迪财报未披露分部毛利，于是采用毛利率进行倒推</text>
  </threadedComment>
  <threadedComment ref="H85" dT="2023-01-12T06:53:27.08" personId="{6B4F847D-D45C-4B6A-AC50-0CEBBAF33754}" id="{6A3D2184-3465-4D6C-A2DF-8B0A1F362FC2}">
    <text>1H 17b</text>
  </threadedComment>
  <threadedComment ref="G86" dT="2021-11-30T06:46:02.67" personId="{6B4F847D-D45C-4B6A-AC50-0CEBBAF33754}" id="{0D82D42B-F53E-476B-8AB5-2628D4C96956}">
    <text>6m 19.5%</text>
  </threadedComment>
  <threadedComment ref="G92" dT="2021-11-30T06:30:26.01" personId="{C727E848-119D-4F1D-BE4A-5625D5D47A92}" id="{FF78A8D9-406D-4A05-A3CA-F9CF7F8454B3}">
    <text>比亚迪有望获得获得了特斯拉10GWh的订单
Source: https://wallstreetcn.com/articles/3643125</text>
  </threadedComment>
  <threadedComment ref="G92" dT="2021-11-30T06:40:26.62" personId="{C727E848-119D-4F1D-BE4A-5625D5D47A92}" id="{E9A0B5E5-395A-455B-AF66-4E013C31C3AE}" parentId="{FF78A8D9-406D-4A05-A3CA-F9CF7F8454B3}">
    <text>分别给出53%、40%、30%增速</text>
  </threadedComment>
  <threadedComment ref="G92" dT="2021-11-30T06:55:37.90" personId="{C727E848-119D-4F1D-BE4A-5625D5D47A92}" id="{17DAB28C-7157-45F8-9AC8-31AB6C9EC309}" parentId="{FF78A8D9-406D-4A05-A3CA-F9CF7F8454B3}">
    <text>刀片电池批量装车</text>
  </threadedComment>
  <threadedComment ref="A96" dT="2022-06-14T11:58:18.24" personId="{142E56A8-ECF0-4A66-9686-B2B803142863}" id="{B94E8245-9700-4C47-87FE-3DCB204C76CF}">
    <text>来源于A股年报</text>
  </threadedComment>
  <threadedComment ref="A98" dT="2021-11-20T08:53:03.75" personId="{C727E848-119D-4F1D-BE4A-5625D5D47A92}" id="{59F7F587-73F5-4C0D-9135-729C26644F83}">
    <text>比亚迪财报未披露分部毛利，于是采用毛利率进行倒推</text>
  </threadedComment>
  <threadedComment ref="A107" dT="2021-11-20T08:53:03.75" personId="{C727E848-119D-4F1D-BE4A-5625D5D47A92}" id="{5CC24732-9176-40A1-831B-784E761FA8B2}">
    <text>比亚迪财报未披露分部毛利，于是采用毛利率进行倒推</text>
  </threadedComment>
  <threadedComment ref="A116" dT="2021-11-20T08:53:03.75" personId="{C727E848-119D-4F1D-BE4A-5625D5D47A92}" id="{928416A6-206A-408E-AC74-0DF1AFC8DC39}">
    <text>比亚迪财报未披露分部毛利，于是采用毛利率进行倒推</text>
  </threadedComment>
  <threadedComment ref="A126" dT="2021-11-19T06:46:50.57" personId="{6B4F847D-D45C-4B6A-AC50-0CEBBAF33754}" id="{CED790C6-CA82-41E5-B953-47510C1DE993}">
    <text>分销费用+行政管理费用</text>
  </threadedComment>
  <threadedComment ref="A126" dT="2022-06-14T12:20:42.99" personId="{142E56A8-ECF0-4A66-9686-B2B803142863}" id="{AEECA57D-D949-4AD2-B0EB-B45F761B57C2}" parentId="{CED790C6-CA82-41E5-B953-47510C1DE993}">
    <text>销售及分销费用+行政管理费用</text>
  </threadedComment>
  <threadedComment ref="L129" dT="2023-10-27T04:16:54.01" personId="{6B4F847D-D45C-4B6A-AC50-0CEBBAF33754}" id="{C1783FA8-F108-4907-83E4-01C2D9288318}">
    <text>adj to 1.1 from MA due to the need to double down RD to face competition</text>
  </threadedComment>
  <threadedComment ref="G136" dT="2021-11-30T10:08:26.18" personId="{6B4F847D-D45C-4B6A-AC50-0CEBBAF33754}" id="{20BAC91E-E74A-4D9A-98C5-B40A68581DBA}">
    <text>6m僅1bil，因發股還債</text>
  </threadedComment>
  <threadedComment ref="H136" dT="2022-08-30T08:26:02.14" personId="{6B4F847D-D45C-4B6A-AC50-0CEBBAF33754}" id="{F2C4EFE3-A5AC-49C8-8F6E-FC90DB6995DA}">
    <text>1h turned negative</text>
  </threadedComment>
  <threadedComment ref="A138" dT="2022-06-16T07:10:01.49" personId="{142E56A8-ECF0-4A66-9686-B2B803142863}" id="{541ED8DF-BCEC-4CC6-82DB-724DF4226158}">
    <text>於合營公司的投資 +於聯營公司的投資</text>
  </threadedComment>
  <threadedComment ref="C162" dT="2022-12-28T15:28:58.32" personId="{9CEBCA20-3B70-4AB2-A9A0-1F753ECB58C9}" id="{93FF27AB-556E-4B78-B37F-D8DF3BA11D91}">
    <text>Data missing from 2016 to 2017</text>
  </threadedComment>
  <threadedComment ref="G166" dT="2021-12-01T09:50:30.03" personId="{6B4F847D-D45C-4B6A-AC50-0CEBBAF33754}" id="{67F82487-D979-44CD-B9A1-35A1F369DE4B}">
    <text>9m 18%</text>
  </threadedComment>
  <threadedComment ref="G170" dT="2021-12-01T09:58:40.47" personId="{6B4F847D-D45C-4B6A-AC50-0CEBBAF33754}" id="{78B65FC5-4C44-475D-BDE9-C88265EF040B}">
    <text>Other sales in the third quarter of 2021 were RMB1,168.5 million (US$181.4 million), representing an increase of 350.8%
from the third quarter of 2020 and an increase of 117.9% from the second quarter of 2021. The increase in other sales
over the third quarter of 2020 and the second quarter of 2021 was mainly due to the sales of automotive regulatory credits
and battery upgrade service, as well as other revenues which increased in line with the incremental vehicle sales in the
third quarter of 2021.</text>
  </threadedComment>
  <threadedComment ref="G173" dT="2021-12-01T10:03:06.78" personId="{6B4F847D-D45C-4B6A-AC50-0CEBBAF33754}" id="{D08E4064-97A8-4535-B1E3-FE3251155699}">
    <text>9m 9%</text>
  </threadedComment>
  <threadedComment ref="G175" dT="2021-12-01T10:06:37.35" personId="{6B4F847D-D45C-4B6A-AC50-0CEBBAF33754}" id="{0954F72E-B904-4B2D-BC77-DC20D02D786B}">
    <text>9m 17%</text>
  </threadedComment>
  <threadedComment ref="A184" dT="2021-11-22T01:55:31.70" personId="{C727E848-119D-4F1D-BE4A-5625D5D47A92}" id="{CD7391B5-42B6-4F72-AB3D-05CE28BA2B67}">
    <text>Selling, general and administrative + Other operating loss</text>
  </threadedComment>
  <threadedComment ref="G185" dT="2021-12-01T10:10:25.38" personId="{6B4F847D-D45C-4B6A-AC50-0CEBBAF33754}" id="{A6A80FA0-F13F-4B32-93D6-F4687B94A9C2}">
    <text>9m 20%</text>
  </threadedComment>
  <threadedComment ref="G187" dT="2021-12-01T10:10:25.38" personId="{6B4F847D-D45C-4B6A-AC50-0CEBBAF33754}" id="{A5840F0D-42E7-4CDA-9C15-41AE78E46636}">
    <text>9m 20%</text>
  </threadedComment>
  <threadedComment ref="G189" dT="2021-12-02T03:48:40.41" personId="{6B4F847D-D45C-4B6A-AC50-0CEBBAF33754}" id="{AA19D7B2-F904-4698-BF36-23530FB9EC76}">
    <text>930 85m</text>
  </threadedComment>
  <threadedComment ref="G190" dT="2021-12-02T03:48:40.41" personId="{6B4F847D-D45C-4B6A-AC50-0CEBBAF33754}" id="{34D95812-5A45-4820-A15E-B120A005DA2C}">
    <text>930 86m</text>
  </threadedComment>
  <threadedComment ref="G191" dT="2021-12-02T03:52:26.04" personId="{6B4F847D-D45C-4B6A-AC50-0CEBBAF33754}" id="{0238695B-52C0-4E1A-98DC-EFF51A518802}">
    <text>9m 9.9</text>
  </threadedComment>
  <threadedComment ref="F193" dT="2021-12-02T09:28:25.52" personId="{6B4F847D-D45C-4B6A-AC50-0CEBBAF33754}" id="{FC3F9340-4FD1-4F62-AFB8-B2570EF7C035}">
    <text>We recorded other loss of RMB364.9 million (US$55.9 million) in 2020, as compared to other income of RMB66.2 million in
2019, primarily due to foreign exchange adjustments in connection with the movements between the U.S. dollar and the Renminbi,
which was partially offset by the effect of commission return.</text>
  </threadedComment>
  <threadedComment ref="G193" dT="2021-12-02T03:52:50.42" personId="{6B4F847D-D45C-4B6A-AC50-0CEBBAF33754}" id="{673FE832-19BF-4897-AD33-43EEC41E1DA2}">
    <text>9m 20</text>
  </threadedComment>
  <threadedComment ref="G196" dT="2021-12-02T09:37:36.58" personId="{6B4F847D-D45C-4B6A-AC50-0CEBBAF33754}" id="{8B02B938-90DE-4B1F-831E-95FC197D2FA9}">
    <text>9m 900</text>
  </threadedComment>
  <threadedComment ref="A204" dT="2022-06-21T10:04:00.52" personId="{05B0EA6E-63B4-487D-A345-4F39B62CE93C}" id="{E7C8CD06-648A-4243-8343-30D52B003F42}">
    <text>第184-187行为年报披露</text>
  </threadedComment>
  <threadedComment ref="G206" dT="2022-06-16T06:37:49.22" personId="{6B4F847D-D45C-4B6A-AC50-0CEBBAF33754}" id="{F646C5AF-D3CE-4A11-8940-625770A54DED}">
    <text>why</text>
  </threadedComment>
  <threadedComment ref="G206" dT="2022-06-16T09:02:07.44" personId="{05B0EA6E-63B4-487D-A345-4F39B62CE93C}" id="{87E33D0B-D659-4739-AEB0-6E6F98BBD6D0}" parentId="{F646C5AF-D3CE-4A11-8940-625770A54DED}">
    <text>On February 2021, the Company, purchased from two of the Strategic Investors an aggregate of 3.305% equity interests in NIO China for a total consideration of RMB5.5 billion and subscribed for newly increased registered capital of NIO China at a subscription price of RMB10.0 billion. In September 2021, the Company repurchased 1.418% equity interests from the strategic investors for a total consideration of RMB2.5 billion and recorded an amount of RMB2,023,534 in accretion on redeemable noncontrolling interests to redemption value. As of December 31, 2021, the Company held 92.114% controlling equity interests in NIO China.</text>
  </threadedComment>
  <threadedComment ref="A209" dT="2022-06-14T12:53:01.54" personId="{05B0EA6E-63B4-487D-A345-4F39B62CE93C}" id="{C84B2492-5AC9-48D5-B635-E8657AD0BDCB}">
    <text>跟年报比较对得上</text>
  </threadedComment>
  <threadedComment ref="J226" dT="2023-12-20T04:55:31.68" personId="{3F497584-7056-43D5-A851-7C7AC7DBA94E}" id="{90A6BA8B-1939-0C4B-BDE3-DB782A69325F}">
    <text>Assuming rocketing via booming of battery exchange service</text>
  </threadedComment>
  <threadedComment ref="J226" dT="2023-12-20T04:57:38.40" personId="{3F497584-7056-43D5-A851-7C7AC7DBA94E}" id="{A789A015-3749-9B44-88FE-32A529E78E8E}" parentId="{90A6BA8B-1939-0C4B-BDE3-DB782A69325F}">
    <text>24/24 1.5/2 respectively</text>
  </threadedComment>
  <threadedComment ref="A236" dT="2021-11-22T01:55:31.70" personId="{C727E848-119D-4F1D-BE4A-5625D5D47A92}" id="{71754B33-BDD0-F249-B579-082059A6E3EB}">
    <text>Selling, general and administrative + Other operating loss</text>
  </threadedComment>
  <threadedComment ref="L237" dT="2023-12-20T04:29:06.92" personId="{3F497584-7056-43D5-A851-7C7AC7DBA94E}" id="{1DDA7BB6-EFC7-DB41-8AD3-7FE9985AB268}">
    <text>Assuming lower selling expenses due to rising brand power</text>
  </threadedComment>
  <threadedComment ref="L237" dT="2023-12-20T04:40:56.98" personId="{3F497584-7056-43D5-A851-7C7AC7DBA94E}" id="{1E507E23-96B7-4340-9EB1-A07474060D9C}" parentId="{1DDA7BB6-EFC7-DB41-8AD3-7FE9985AB268}">
    <text>Assuming continuous improvement of NIO’s management and thus a reduction in the administrative expense ratio</text>
  </threadedComment>
  <threadedComment ref="L237" dT="2023-12-26T05:12:29.00" personId="{12E1DA7D-B524-D44A-BFA5-66FA906EFC63}" id="{A270F1F9-D76B-1B4F-8A3D-9E0A2F3415CE}" parentId="{1DDA7BB6-EFC7-DB41-8AD3-7FE9985AB268}">
    <text>Factors that may materialise in upward period cost %: 
1. Acquiring JAC—&gt;admin. cost
may concern at the beginning of independent manufacturing, more pp&amp;e, workers would bring difficulties to administration. the effect of getting rid from OEM may wait some time to be seen (May Li Auto 2018 be reference, in 2018 it acquired LIfan).
2. Prioritising sales and service buidling—&gt;sales cost
In 3rd quarter conference call, Nio stated: The sales and service network will be prioritised, with more than 3,000 of the 5,700 sales consultants recently recruited; would increase salesman ratio in overall workforces.
how about assume 24E still MA2, and 25E x0.8?</text>
  </threadedComment>
  <threadedComment ref="L239" dT="2023-12-20T05:00:53.65" personId="{3F497584-7056-43D5-A851-7C7AC7DBA94E}" id="{B450A65C-9D08-9549-A1E3-C5A5A90EB4F4}">
    <text>However, the consideration of R&amp;D intensity is too homogenous, assuming that the increase in R&amp;D investment is accompanied by a further increase in revenue due to a combination of R&amp;D, scale effects, and corporate governance dimensions, etc.</text>
  </threadedComment>
  <threadedComment ref="L239" dT="2023-12-20T05:02:52.06" personId="{3F497584-7056-43D5-A851-7C7AC7DBA94E}" id="{088DFA99-DF65-ED48-88C4-609A48DF1CCB}" parentId="{B450A65C-9D08-9549-A1E3-C5A5A90EB4F4}">
    <text>Temporarily for NIO due to its situation</text>
  </threadedComment>
  <threadedComment ref="L239" dT="2023-12-26T07:08:36.89" personId="{12E1DA7D-B524-D44A-BFA5-66FA906EFC63}" id="{7FC1063A-CAA1-F843-8E82-B2BD456E5684}" parentId="{B450A65C-9D08-9549-A1E3-C5A5A90EB4F4}">
    <text>Assume spinning off [battery] R&amp;D and cooperation with other brands in [battery exchange station] R&amp;D would bring large scale effects and penetration increase. So assume R&amp;D effect visualized in R&amp;D % increase rate of 0.8 per year</text>
  </threadedComment>
  <threadedComment ref="I246" dT="2023-12-28T09:56:58.31" personId="{3F497584-7056-43D5-A851-7C7AC7DBA94E}" id="{449D55E1-07EF-5647-A4F1-33970170A49F}">
    <text>2023Q1~Q3: 841,956</text>
  </threadedComment>
  <threadedComment ref="D268" dT="2023-03-16T15:17:00.25" personId="{1CA034E2-D875-4054-8F96-3C6D33763868}" id="{756861D0-5DF7-40E5-9FD8-D69958E4A875}">
    <text>data missing from 2016 to 2018</text>
  </threadedComment>
  <threadedComment ref="I281" dT="2023-03-21T12:48:05.65" personId="{577B6962-D598-2141-B164-32405E2946E1}" id="{F4FFF035-0818-4DFC-BABE-132A8B3CCA33}">
    <text>预计30%</text>
  </threadedComment>
  <threadedComment ref="A290" dT="2023-03-16T19:56:08.68" personId="{1CA034E2-D875-4054-8F96-3C6D33763868}" id="{220FA550-D09D-4F6D-82D9-8FA5807E6562}">
    <text>Selling, general and administrative</text>
  </threadedComment>
  <threadedComment ref="I291" dT="2023-03-21T12:52:03.42" personId="{577B6962-D598-2141-B164-32405E2946E1}" id="{02F7592E-B8C1-4234-A25E-447E995F7710}">
    <text>移动平均</text>
  </threadedComment>
  <threadedComment ref="I291" dT="2023-09-22T03:45:38.51" personId="{6B4F847D-D45C-4B6A-AC50-0CEBBAF33754}" id="{8D3390D8-3DDE-4D01-BBD7-BEE004B0D91D}" parentId="{02F7592E-B8C1-4234-A25E-447E995F7710}">
    <text>changed from MA3 to 0.8 factor due to scaling</text>
  </threadedComment>
  <threadedComment ref="I291" dT="2023-11-30T09:52:58.85" personId="{3F497584-7056-43D5-A851-7C7AC7DBA94E}" id="{BA49DF34-FE73-B243-A66F-DEEA87497B8C}" parentId="{02F7592E-B8C1-4234-A25E-447E995F7710}">
    <text>According to H1 &amp; Q3 report, Period cost in Q1-Q3 is 6,498,287. Thus, ratio is supposed to be cut form 10% to 8%.</text>
  </threadedComment>
  <threadedComment ref="A340" dT="2023-03-23T04:02:54.51" personId="{1CA034E2-D875-4054-8F96-3C6D33763868}" id="{FE76FC44-4CB0-4646-8F42-50DF72DCE17A}">
    <text>Selling, general and administrative expenses</text>
  </threadedComment>
</ThreadedComments>
</file>

<file path=xl/threadedComments/threadedComment5.xml><?xml version="1.0" encoding="utf-8"?>
<ThreadedComments xmlns="http://schemas.microsoft.com/office/spreadsheetml/2018/threadedcomments" xmlns:x="http://schemas.openxmlformats.org/spreadsheetml/2006/main">
  <threadedComment ref="J64" dT="2023-02-06T08:20:28.63" personId="{6B4F847D-D45C-4B6A-AC50-0CEBBAF33754}" id="{E3728CA6-2EC6-4A8B-B032-E1B4662C941D}">
    <text xml:space="preserve">We have been providing loans for financing our automotive deliveries during the year ended December 31, 2022. We have recorded net financing receivables on the consolidated balance sheets, of which $128 million is recorded within Accounts receivable, net, for the current portion and $665 million is recorded within Other non-current assets for the long-term portion, as of December 31, 2022. </text>
  </threadedComment>
  <threadedComment ref="A79" dT="2021-12-24T01:50:08.76" personId="{C727E848-119D-4F1D-BE4A-5625D5D47A92}" id="{D7DEF09E-640C-4566-9B54-EC519B260A10}">
    <text>2019年及以后将Resale Value Guarantee合并至Accrued Liabilities</text>
  </threadedComment>
  <threadedComment ref="J264" dT="2022-12-29T08:42:30.75" personId="{6B4F847D-D45C-4B6A-AC50-0CEBBAF33754}" id="{C5ABED5E-3762-0445-8594-5FFAB5A46946}">
    <text>Q322</text>
  </threadedComment>
</ThreadedComments>
</file>

<file path=xl/threadedComments/threadedComment6.xml><?xml version="1.0" encoding="utf-8"?>
<ThreadedComments xmlns="http://schemas.microsoft.com/office/spreadsheetml/2018/threadedcomments" xmlns:x="http://schemas.openxmlformats.org/spreadsheetml/2006/main">
  <threadedComment ref="B25" dT="2022-10-20T02:59:40.28" personId="{6B4F847D-D45C-4B6A-AC50-0CEBBAF33754}" id="{F8DEEE8D-E389-44A9-8319-72AB0A9A4F0E}">
    <text>exchange rate updated</text>
  </threadedComment>
  <threadedComment ref="D59" dT="2023-12-16T08:10:05.91" personId="{3F497584-7056-43D5-A851-7C7AC7DBA94E}" id="{BC4454E7-5EFB-3C4E-A508-CEE09B750377}">
    <text xml:space="preserve">USD
</text>
  </threadedComment>
</ThreadedComments>
</file>

<file path=xl/threadedComments/threadedComment7.xml><?xml version="1.0" encoding="utf-8"?>
<ThreadedComments xmlns="http://schemas.microsoft.com/office/spreadsheetml/2018/threadedcomments" xmlns:x="http://schemas.openxmlformats.org/spreadsheetml/2006/main">
  <threadedComment ref="A27" dT="2022-01-21T05:07:52.77" personId="{C727E848-119D-4F1D-BE4A-5625D5D47A92}" id="{18C5CE8F-644B-413F-A204-39838EC8DE16}">
    <text xml:space="preserve">更改后无法追溯
</text>
  </threadedComment>
</ThreadedComments>
</file>

<file path=xl/threadedComments/threadedComment8.xml><?xml version="1.0" encoding="utf-8"?>
<ThreadedComments xmlns="http://schemas.microsoft.com/office/spreadsheetml/2018/threadedcomments" xmlns:x="http://schemas.openxmlformats.org/spreadsheetml/2006/main">
  <threadedComment ref="F88" dT="2023-03-03T04:00:04.60" personId="{C97EA069-DCDC-4091-8E4F-613D8164612E}" id="{4F803478-0B40-0746-ADD0-B0D1B13CEFF4}">
    <text>financial cost, estimated using gain from cash holding and loss from debt</text>
  </threadedComment>
  <threadedComment ref="A92" dT="2022-08-03T07:02:00.25" personId="{6B4F847D-D45C-4B6A-AC50-0CEBBAF33754}" id="{C0710F69-6B75-034A-A51D-49A78157B411}">
    <text>new</text>
  </threadedComment>
  <threadedComment ref="F99" dT="2023-03-03T04:00:31.41" personId="{C97EA069-DCDC-4091-8E4F-613D8164612E}" id="{44EBF6EB-D3B1-C449-A9A8-8B7DEFD63EDA}">
    <text>financial cost (row 94) and dividends</text>
  </threadedComment>
</ThreadedComments>
</file>

<file path=xl/threadedComments/threadedComment9.xml><?xml version="1.0" encoding="utf-8"?>
<ThreadedComments xmlns="http://schemas.microsoft.com/office/spreadsheetml/2018/threadedcomments" xmlns:x="http://schemas.openxmlformats.org/spreadsheetml/2006/main">
  <threadedComment ref="A86" dT="2021-12-22T07:31:31.96" personId="{C727E848-119D-4F1D-BE4A-5625D5D47A92}" id="{61372426-7D2E-4BF1-8E1C-870F25398CCF}">
    <text>Gain/loss Related to Solarcity Acquisition</text>
  </threadedComment>
  <threadedComment ref="E91" dT="2023-03-03T04:00:04.60" personId="{C97EA069-DCDC-4091-8E4F-613D8164612E}" id="{4D40783F-DB61-4CE6-96EF-AB14557C8F51}">
    <text>financial cost, estimated using gain from cash holding and loss from debt</text>
  </threadedComment>
  <threadedComment ref="A97" dT="2022-08-03T07:02:00.25" personId="{6B4F847D-D45C-4B6A-AC50-0CEBBAF33754}" id="{162D0D98-4E46-4111-B2C4-64BD1351F5E9}">
    <text>new</text>
  </threadedComment>
  <threadedComment ref="E106" dT="2023-03-03T04:00:31.41" personId="{C97EA069-DCDC-4091-8E4F-613D8164612E}" id="{49C96515-DDBA-45A6-BE77-D77E0603BDC8}">
    <text>financial cost (row 94) and dividends</text>
  </threadedComment>
</ThreadedComments>
</file>

<file path=xl/threadedComments/threadedComment10.xml><?xml version="1.0" encoding="utf-8"?>
<ThreadedComments xmlns="http://schemas.microsoft.com/office/spreadsheetml/2018/threadedcomments" xmlns:x="http://schemas.openxmlformats.org/spreadsheetml/2006/main">
  <threadedComment ref="Q82" dT="2023-03-02T07:10:58.40" personId="{C97EA069-DCDC-4091-8E4F-613D8164612E}" id="{5AC38AEC-C593-431D-A23A-C590D490B771}">
    <text>6.08% from Half year report</text>
  </threadedComment>
  <threadedComment ref="A90" dT="2021-12-22T07:31:31.96" personId="{C727E848-119D-4F1D-BE4A-5625D5D47A92}" id="{7F26AE1D-BB21-482A-A97F-E9BE2FFFD84E}">
    <text>Gain/loss Related to Solarcity Acquisition</text>
  </threadedComment>
  <threadedComment ref="H94" dT="2023-03-03T04:00:04.60" personId="{C97EA069-DCDC-4091-8E4F-613D8164612E}" id="{32F0829B-D66D-41EE-9490-0520729F50FA}">
    <text>financial cost, estimated using gain from cash holding and loss from debt</text>
  </threadedComment>
  <threadedComment ref="Q97" dT="2023-03-02T07:19:16.44" personId="{C97EA069-DCDC-4091-8E4F-613D8164612E}" id="{AFEF15D7-876D-4CED-9C67-1EA12F2EC379}">
    <text>24% from half year report</text>
  </threadedComment>
  <threadedComment ref="A98" dT="2022-08-03T07:02:00.25" personId="{6B4F847D-D45C-4B6A-AC50-0CEBBAF33754}" id="{58EF735F-462F-4186-AA9C-153496F2FB4E}">
    <text>new</text>
  </threadedComment>
  <threadedComment ref="H105" dT="2023-03-03T04:00:31.41" personId="{C97EA069-DCDC-4091-8E4F-613D8164612E}" id="{AE0DEA44-F9B1-4A86-9987-E3792AA05643}">
    <text>financial cost (row 94) and dividends</text>
  </threadedComment>
</ThreadedComments>
</file>

<file path=xl/threadedComments/threadedComment11.xml><?xml version="1.0" encoding="utf-8"?>
<ThreadedComments xmlns="http://schemas.microsoft.com/office/spreadsheetml/2018/threadedcomments" xmlns:x="http://schemas.openxmlformats.org/spreadsheetml/2006/main">
  <threadedComment ref="AI6" dT="2023-10-17T02:08:49.22" personId="{3F497584-7056-43D5-A851-7C7AC7DBA94E}" id="{865782DC-F18C-0C46-9AD0-78F601BBB7C9}">
    <text>Estimated data form 2023-2025 is according to Brian Wang</text>
  </threadedComment>
  <threadedComment ref="AI25" dT="2023-10-17T02:14:47.91" personId="{3F497584-7056-43D5-A851-7C7AC7DBA94E}" id="{7186C756-CFD8-8641-8453-1FF2566F41BE}">
    <text>Estimated data form 2023-2025 is according to Brian Wang</text>
  </threadedComment>
</ThreadedComments>
</file>

<file path=xl/threadedComments/threadedComment12.xml><?xml version="1.0" encoding="utf-8"?>
<ThreadedComments xmlns="http://schemas.microsoft.com/office/spreadsheetml/2018/threadedcomments" xmlns:x="http://schemas.openxmlformats.org/spreadsheetml/2006/main">
  <threadedComment ref="A50" dT="2022-08-03T06:59:45.76" personId="{6B4F847D-D45C-4B6A-AC50-0CEBBAF33754}" id="{24966D27-4A49-412D-95F0-B10BC368668C}">
    <text>new</text>
  </threadedComment>
  <threadedComment ref="A50" dT="2023-02-02T04:11:53.85" personId="{6B4F847D-D45C-4B6A-AC50-0CEBBAF33754}" id="{474E64C5-173B-4823-B9B5-6DF349DFFA4E}" parentId="{24966D27-4A49-412D-95F0-B10BC368668C}">
    <text>changed to leased vehicles</text>
  </threadedComment>
  <threadedComment ref="A84" dT="2021-12-22T07:31:31.96" personId="{C727E848-119D-4F1D-BE4A-5625D5D47A92}" id="{D038BD81-E551-4F23-BFB8-CC4207F96686}">
    <text>Gain/loss Related to Solarcity Acquisition</text>
  </threadedComment>
  <threadedComment ref="C87" dT="2021-12-27T03:25:20.92" personId="{C727E848-119D-4F1D-BE4A-5625D5D47A92}" id="{3FA33104-0DA6-4B78-A652-8F6D36EBE623}">
    <text>公式更改</text>
  </threadedComment>
  <threadedComment ref="A92" dT="2022-08-03T07:02:00.25" personId="{6B4F847D-D45C-4B6A-AC50-0CEBBAF33754}" id="{3F435AA8-7DAB-4229-BC15-C49317246204}">
    <text>new</text>
  </threadedComment>
  <threadedComment ref="I138" dT="2023-02-08T08:15:31.76" personId="{1CA034E2-D875-4054-8F96-3C6D33763868}" id="{30A53C07-2140-4BA5-9F12-C8586740FBA2}">
    <text>https://stockanalysis.com/stocks/tsla/financials/ratios/</text>
  </threadedComment>
</ThreadedComments>
</file>

<file path=xl/threadedComments/threadedComment13.xml><?xml version="1.0" encoding="utf-8"?>
<ThreadedComments xmlns="http://schemas.microsoft.com/office/spreadsheetml/2018/threadedcomments" xmlns:x="http://schemas.openxmlformats.org/spreadsheetml/2006/main">
  <threadedComment ref="P44" dT="2023-10-26T01:59:12.60" personId="{3F497584-7056-43D5-A851-7C7AC7DBA94E}" id="{2FDC86AC-E3C2-814D-98D8-D8BBAB313208}">
    <text>https://xueqiu.com/7551292152/226804852</text>
    <extLst>
      <x:ext xmlns:xltc2="http://schemas.microsoft.com/office/spreadsheetml/2020/threadedcomments2" uri="{F7C98A9C-CBB3-438F-8F68-D28B6AF4A901}">
        <xltc2:checksum>3339819955</xltc2:checksum>
        <xltc2:hyperlink startIndex="0" length="39" url="https://xueqiu.com/7551292152/226804852"/>
      </x:ext>
    </extLst>
  </threadedComment>
  <threadedComment ref="R44" dT="2023-10-26T02:05:09.52" personId="{3F497584-7056-43D5-A851-7C7AC7DBA94E}" id="{8915E6DA-F555-F04E-A4E0-38475FB17ED2}">
    <text>18169，25023，28039 in Jul, Aug, Sep</text>
  </threadedComment>
</ThreadedComments>
</file>

<file path=xl/threadedComments/threadedComment14.xml><?xml version="1.0" encoding="utf-8"?>
<ThreadedComments xmlns="http://schemas.microsoft.com/office/spreadsheetml/2018/threadedcomments" xmlns:x="http://schemas.openxmlformats.org/spreadsheetml/2006/main">
  <threadedComment ref="BC212" dT="2021-10-14T07:48:18.49" personId="{C727E848-119D-4F1D-BE4A-5625D5D47A92}" id="{1983E56E-F7D4-452B-91A2-37164DD77FD1}">
    <text>Source: https://www.patreon.com/posts/46283573</text>
  </threadedComment>
  <threadedComment ref="BC212" dT="2021-11-19T09:10:33.89" personId="{6B4F847D-D45C-4B6A-AC50-0CEBBAF33754}" id="{523B10C1-178C-4364-B37F-8AF98F01A941}" parentId="{1983E56E-F7D4-452B-91A2-37164DD77FD1}">
    <text>overwrite</text>
  </threadedComment>
  <threadedComment ref="BQ212" dT="2021-10-14T07:48:18.49" personId="{C727E848-119D-4F1D-BE4A-5625D5D47A92}" id="{67384583-FBA4-45F4-AAA4-76DDB124D551}">
    <text>Source: https://www.patreon.com/posts/46283573</text>
  </threadedComment>
  <threadedComment ref="AH213" dT="2021-11-19T08:57:38.90" personId="{6B4F847D-D45C-4B6A-AC50-0CEBBAF33754}" id="{D970B48E-91C5-4810-AA5D-AEFAF80BB6B5}">
    <text>from Telsa database</text>
  </threadedComment>
  <threadedComment ref="AK213" dT="2021-11-19T09:02:22.63" personId="{6B4F847D-D45C-4B6A-AC50-0CEBBAF33754}" id="{91065643-7613-4D29-88C5-4EEF1D652BF7}">
    <text>q3 74.7%</text>
  </threadedComment>
  <threadedComment ref="AL213" dT="2022-07-27T07:07:34.89" personId="{6B4F847D-D45C-4B6A-AC50-0CEBBAF33754}" id="{3179D972-78FB-45D9-A4E8-B448A00F5243}">
    <text>cut from 100</text>
  </threadedComment>
  <threadedComment ref="AM213" dT="2022-07-27T07:07:52.86" personId="{6B4F847D-D45C-4B6A-AC50-0CEBBAF33754}" id="{81CEF83A-ADCC-479A-AD73-7A62813ACA85}">
    <text>cut from 100 to 90</text>
  </threadedComment>
  <threadedComment ref="BN213" dT="2021-11-19T09:23:48.50" personId="{6B4F847D-D45C-4B6A-AC50-0CEBBAF33754}" id="{0E4CD21D-2342-49D3-8954-4FE281E80FFB}">
    <text>double check</text>
  </threadedComment>
  <threadedComment ref="BN213" dT="2021-11-24T02:37:59.44" personId="{C727E848-119D-4F1D-BE4A-5625D5D47A92}" id="{F178AE87-74DD-44EC-886E-80109B7AA1AC}" parentId="{0E4CD21D-2342-49D3-8954-4FE281E80FFB}">
    <text>In 2018, we delivered a total of 245,240 vehicles
Source: Tesla Q4 2018 Vehicle Production &amp; Deliveries, Also Announcing $2,000 Price Reduction in US | Tesla Investor Relations</text>
  </threadedComment>
  <threadedComment ref="J214" dT="2022-01-21T08:43:44.66" personId="{6B4F847D-D45C-4B6A-AC50-0CEBBAF33754}" id="{08DDEE59-9F95-4E9F-8BF3-A434E8FCBFE5}">
    <text>Tesla is upgrading the production lines of its Shanghai factory for higher capacity starting in December. The conversion work in the areas of the continuing production of the Model 3 and Model Y is expected to last until April 2022. In addition, the first Model Y Performance were delivered in China.</text>
  </threadedComment>
  <threadedComment ref="J214" dT="2022-01-21T08:45:13.65" personId="{6B4F847D-D45C-4B6A-AC50-0CEBBAF33754}" id="{0AF8E52A-492D-4C24-9E80-D856B3790E14}" parentId="{08DDEE59-9F95-4E9F-8BF3-A434E8FCBFE5}">
    <text>Recently, Tesla Shanghai Gigafactory received a 1.2 billion yuan ($188.5 million) investment. This fund will go for the latest round of expansion to increase the factory’s production capacity. Tesla China intends to increase the plant’s production capacity to 1 million or 1.5 million vehicles per year. Tesla’s total vehicle deliveries this year may approach the 1 million mark, thanks in large part to the increase in the production of Model Y and Model 3 in Shanghai Gigafactory and the company’s commitment to the Fremont plant.</text>
  </threadedComment>
  <threadedComment ref="R214" dT="2022-12-15T04:27:14.14" personId="{6B4F847D-D45C-4B6A-AC50-0CEBBAF33754}" id="{DDCB7772-D3E8-4627-99B7-B634C8A5312B}">
    <text>Tesla could add a second shift of production by the beginning of Q2 2020 which would increase line capacity to approximately 3,500 vehicles per week</text>
  </threadedComment>
  <threadedComment ref="AK214" dT="2021-11-19T09:02:41.13" personId="{6B4F847D-D45C-4B6A-AC50-0CEBBAF33754}" id="{DAEF5D4E-1BE3-4515-BD95-661704FED01B}">
    <text>q3 80.8%</text>
  </threadedComment>
  <threadedComment ref="AL214" dT="2022-12-09T04:28:15.19" personId="{6B4F847D-D45C-4B6A-AC50-0CEBBAF33754}" id="{B8C6075D-DBB5-4E43-9E1C-F9C247069280}">
    <text>up from 80 due to Nov beat of 100k</text>
  </threadedComment>
  <threadedComment ref="AM214" dT="2023-01-11T09:22:10.84" personId="{6B4F847D-D45C-4B6A-AC50-0CEBBAF33754}" id="{46D9BEE4-8F44-4AF0-B4C3-70F0C387ADF1}">
    <text>cut from 90 due to falling demand</text>
  </threadedComment>
  <threadedComment ref="AK215" dT="2021-11-19T09:03:55.00" personId="{6B4F847D-D45C-4B6A-AC50-0CEBBAF33754}" id="{6FC9A8C4-D758-43F0-9F63-01566A876384}">
    <text>Zachary Kirkhorn 
Sure. So, it remains our target in both Austin and Berlin to be able to build our first production cars before the end of the year. We've talked about this a bit. The unknown of unknowns, new factories, new vehicle designs, new technologies, new locations, new teams.
So, there is quite an execution journey ahead of us, but that remains our target. And all of our plans are oriented around that. We -- for -- we should not expect for us to deliver cars by the end of 2021 from these factories, even if we do produce some.</text>
  </threadedComment>
  <threadedComment ref="AL215" dT="2022-07-27T07:06:50.20" personId="{6B4F847D-D45C-4B6A-AC50-0CEBBAF33754}" id="{C9CAB1E6-CA43-4E32-B5F8-6EE952EF55AC}">
    <text>cut, below same</text>
  </threadedComment>
  <threadedComment ref="AM215" dT="2023-01-06T08:08:59.67" personId="{6B4F847D-D45C-4B6A-AC50-0CEBBAF33754}" id="{A00A9204-8AD1-4376-96A5-8E1349056872}">
    <text>down from 71 due to EU ressession</text>
  </threadedComment>
  <threadedComment ref="D216" dT="2021-11-19T09:51:26.73" personId="{6B4F847D-D45C-4B6A-AC50-0CEBBAF33754}" id="{4B8B0769-998E-4AD3-87A0-9E78A00089E6}">
    <text>https://constructionreviewonline.com/biggest-projects/giga-texas-tesla-inc-factory-in-austin/</text>
  </threadedComment>
  <threadedComment ref="T216" dT="2022-12-16T03:53:58.75" personId="{6B4F847D-D45C-4B6A-AC50-0CEBBAF33754}" id="{D384AB79-D767-4174-A3C5-E8E41FF50CD5}">
    <text>12月15日，特斯拉在推特上分享了新的 产量 数据，特斯拉美国得克萨斯州奥斯汀新工厂的Model Y周产量已达到3000辆。</text>
  </threadedComment>
  <threadedComment ref="H221" dT="2022-12-15T04:27:14.14" personId="{6B4F847D-D45C-4B6A-AC50-0CEBBAF33754}" id="{8D952100-4F42-4A4F-82CD-1B4BFFDB526F}">
    <text>Tesla could add a second shift of production by the beginning of Q2 2020 which would increase line capacity to approximately 3,500 vehicles per week</text>
  </threadedComment>
  <threadedComment ref="J223" dT="2022-12-16T03:53:58.75" personId="{6B4F847D-D45C-4B6A-AC50-0CEBBAF33754}" id="{FBDF9683-38CF-48E8-A1C2-B67185570BCC}">
    <text>12月15日，特斯拉在推特上分享了新的 产量 数据，特斯拉美国得克萨斯州奥斯汀新工厂的Model Y周产量已达到3000辆。</text>
  </threadedComment>
  <threadedComment ref="H272" dT="2022-07-27T03:20:41.94" personId="{6B4F847D-D45C-4B6A-AC50-0CEBBAF33754}" id="{BA42945A-E00D-42C4-BDA2-D9990AC89419}">
    <text>6m only 5%</text>
  </threadedComment>
  <threadedComment ref="H272" dT="2022-07-27T03:33:35.25" personId="{6B4F847D-D45C-4B6A-AC50-0CEBBAF33754}" id="{D1F085E1-21D9-48EE-9121-F47D225A63B5}" parentId="{BA42945A-E00D-42C4-BDA2-D9990AC89419}">
    <text>mainly due to decrease in CEO option expense, which is deemed to be related to falling stock price</text>
  </threadedComment>
  <threadedComment ref="H272" dT="2022-07-27T08:04:15.88" personId="{6B4F847D-D45C-4B6A-AC50-0CEBBAF33754}" id="{47B700E0-E9E5-4645-A280-1EC933177D1E}" parentId="{BA42945A-E00D-42C4-BDA2-D9990AC89419}">
    <text>cut to 5%</text>
  </threadedComment>
  <threadedComment ref="H272" dT="2023-01-28T09:02:10.31" personId="{6B4F847D-D45C-4B6A-AC50-0CEBBAF33754}" id="{397D10BA-BD67-4A50-91B1-72E5C26CB39E}" parentId="{BA42945A-E00D-42C4-BDA2-D9990AC89419}">
    <text>cut to 4.5</text>
  </threadedComment>
  <threadedComment ref="G1659" dT="2021-11-22T10:01:50.28" personId="{6B4F847D-D45C-4B6A-AC50-0CEBBAF33754}" id="{834B1E0B-0E2C-4407-981F-831ACE0DA4EF}">
    <text>9m 29%</text>
  </threadedComment>
  <threadedComment ref="G1660" dT="2021-11-30T06:46:02.67" personId="{6B4F847D-D45C-4B6A-AC50-0CEBBAF33754}" id="{CEE8BCB5-764D-459D-873B-31C760D53623}">
    <text>6m 19.5%</text>
  </threadedComment>
  <threadedComment ref="B1667" dT="2021-11-22T10:01:50.28" personId="{6B4F847D-D45C-4B6A-AC50-0CEBBAF33754}" id="{720D9B35-1E22-4595-9F68-7D60B4BDCF43}">
    <text>9m 29%</text>
  </threadedComment>
  <threadedComment ref="C1667" dT="2021-11-30T06:46:02.67" personId="{6B4F847D-D45C-4B6A-AC50-0CEBBAF33754}" id="{4BDA43AF-248B-4C21-A782-8BCA6A3514FA}">
    <text>6m 19.5%</text>
  </threadedComment>
</ThreadedComments>
</file>

<file path=xl/threadedComments/threadedComment15.xml><?xml version="1.0" encoding="utf-8"?>
<ThreadedComments xmlns="http://schemas.microsoft.com/office/spreadsheetml/2018/threadedcomments" xmlns:x="http://schemas.openxmlformats.org/spreadsheetml/2006/main">
  <threadedComment ref="A50" dT="2022-08-03T06:59:45.76" personId="{6B4F847D-D45C-4B6A-AC50-0CEBBAF33754}" id="{83E686DB-E5D6-43DD-83DD-57CA9B991920}">
    <text>new</text>
  </threadedComment>
  <threadedComment ref="A84" dT="2021-12-22T07:31:31.96" personId="{C727E848-119D-4F1D-BE4A-5625D5D47A92}" id="{E6284B3B-77F2-40AB-A332-20482CF7294F}">
    <text>Gain/loss Related to Solarcity Acquisition</text>
  </threadedComment>
  <threadedComment ref="C87" dT="2021-12-27T03:25:20.92" personId="{C727E848-119D-4F1D-BE4A-5625D5D47A92}" id="{CB194EE9-55DD-48E8-9EAF-9951D2F31B09}">
    <text>公式更改</text>
  </threadedComment>
  <threadedComment ref="A92" dT="2022-08-03T07:02:00.25" personId="{6B4F847D-D45C-4B6A-AC50-0CEBBAF33754}" id="{0362BB95-8DDB-45BE-87E5-EDB9D74535D5}">
    <text>new</text>
  </threadedComment>
</ThreadedComments>
</file>

<file path=xl/threadedComments/threadedComment16.xml><?xml version="1.0" encoding="utf-8"?>
<ThreadedComments xmlns="http://schemas.microsoft.com/office/spreadsheetml/2018/threadedcomments" xmlns:x="http://schemas.openxmlformats.org/spreadsheetml/2006/main">
  <threadedComment ref="Q82" dT="2023-03-02T07:10:58.40" personId="{C97EA069-DCDC-4091-8E4F-613D8164612E}" id="{25E191F3-261A-4DEE-839B-1C4A4F854DD9}">
    <text>6.08% from Half year report</text>
  </threadedComment>
  <threadedComment ref="A90" dT="2021-12-22T07:31:31.96" personId="{C727E848-119D-4F1D-BE4A-5625D5D47A92}" id="{BB82C08B-2309-4BC9-A544-C34B7993C9A1}">
    <text>Gain/loss Related to Solarcity Acquisition</text>
  </threadedComment>
  <threadedComment ref="H94" dT="2023-03-03T04:00:04.60" personId="{C97EA069-DCDC-4091-8E4F-613D8164612E}" id="{B6043EA9-159C-4D55-B693-FCDC34CC0583}">
    <text>financial cost, estimated using gain from cash holding and loss from debt</text>
  </threadedComment>
  <threadedComment ref="Q97" dT="2023-03-02T07:19:16.44" personId="{C97EA069-DCDC-4091-8E4F-613D8164612E}" id="{45B9B1FD-D538-4D99-893C-B13FC68DF2D2}">
    <text>24% from half year report</text>
  </threadedComment>
  <threadedComment ref="A98" dT="2022-08-03T07:02:00.25" personId="{6B4F847D-D45C-4B6A-AC50-0CEBBAF33754}" id="{4E388E8B-A91F-45D3-89CF-DA2A41B16809}">
    <text>new</text>
  </threadedComment>
  <threadedComment ref="H105" dT="2023-03-03T04:00:31.41" personId="{C97EA069-DCDC-4091-8E4F-613D8164612E}" id="{EFAA3A04-1C14-4D67-88F8-67D4C66DED1C}">
    <text>financial cost (row 94) and dividends</text>
  </threadedComment>
</ThreadedComments>
</file>

<file path=xl/threadedComments/threadedComment17.xml><?xml version="1.0" encoding="utf-8"?>
<ThreadedComments xmlns="http://schemas.microsoft.com/office/spreadsheetml/2018/threadedcomments" xmlns:x="http://schemas.openxmlformats.org/spreadsheetml/2006/main">
  <threadedComment ref="Q82" dT="2023-03-02T07:10:58.40" personId="{C97EA069-DCDC-4091-8E4F-613D8164612E}" id="{07DCD839-4DFE-41EB-8212-5BFBC3B765F8}">
    <text>6.08% from Half year report</text>
  </threadedComment>
  <threadedComment ref="A90" dT="2021-12-22T07:31:31.96" personId="{C727E848-119D-4F1D-BE4A-5625D5D47A92}" id="{49447B18-9C38-497D-BE75-32FC7E37B177}">
    <text>Gain/loss Related to Solarcity Acquisition</text>
  </threadedComment>
  <threadedComment ref="H94" dT="2023-03-03T04:00:04.60" personId="{C97EA069-DCDC-4091-8E4F-613D8164612E}" id="{7936A3E0-75CE-4C24-A826-36A1A6DC1640}">
    <text>financial cost, estimated using gain from cash holding and loss from debt</text>
  </threadedComment>
  <threadedComment ref="Q97" dT="2023-03-02T07:19:16.44" personId="{C97EA069-DCDC-4091-8E4F-613D8164612E}" id="{DD5EB027-98B1-4B15-9396-88E7B6AAE5CB}">
    <text>24% from half year report</text>
  </threadedComment>
  <threadedComment ref="A98" dT="2022-08-03T07:02:00.25" personId="{6B4F847D-D45C-4B6A-AC50-0CEBBAF33754}" id="{BF883AD9-6A8C-471B-BE92-AF0BA0C65294}">
    <text>new</text>
  </threadedComment>
  <threadedComment ref="H105" dT="2023-03-03T04:00:31.41" personId="{C97EA069-DCDC-4091-8E4F-613D8164612E}" id="{710C283E-C55A-46A0-B920-241A0AE60304}">
    <text>financial cost (row 94) and dividends</text>
  </threadedComment>
</ThreadedComments>
</file>

<file path=xl/threadedComments/threadedComment18.xml><?xml version="1.0" encoding="utf-8"?>
<ThreadedComments xmlns="http://schemas.microsoft.com/office/spreadsheetml/2018/threadedcomments" xmlns:x="http://schemas.openxmlformats.org/spreadsheetml/2006/main">
  <threadedComment ref="A50" dT="2022-08-03T06:59:45.76" personId="{6B4F847D-D45C-4B6A-AC50-0CEBBAF33754}" id="{94B76D27-8EC6-47F8-8087-BF5F651A4D06}">
    <text>new</text>
  </threadedComment>
  <threadedComment ref="A84" dT="2021-12-22T07:31:31.96" personId="{C727E848-119D-4F1D-BE4A-5625D5D47A92}" id="{CA4C1A3B-4F31-4532-ADA9-0AFA091F25F3}">
    <text>Gain/loss Related to Solarcity Acquisition</text>
  </threadedComment>
  <threadedComment ref="C87" dT="2021-12-27T03:25:20.92" personId="{C727E848-119D-4F1D-BE4A-5625D5D47A92}" id="{6D23AAA7-004A-4937-B8E7-DF85C34A9DF4}">
    <text>公式更改</text>
  </threadedComment>
  <threadedComment ref="A92" dT="2022-08-03T07:02:00.25" personId="{6B4F847D-D45C-4B6A-AC50-0CEBBAF33754}" id="{32DA1AAD-6902-49F5-896A-B579FA93F7A2}">
    <text>new</text>
  </threadedComment>
</ThreadedComments>
</file>

<file path=xl/threadedComments/threadedComment19.xml><?xml version="1.0" encoding="utf-8"?>
<ThreadedComments xmlns="http://schemas.microsoft.com/office/spreadsheetml/2018/threadedcomments" xmlns:x="http://schemas.openxmlformats.org/spreadsheetml/2006/main">
  <threadedComment ref="J70" dT="2022-08-29T13:58:53.04" personId="{937A018C-E59E-4595-BD5A-224D2F63E4FE}" id="{76D43484-99C0-4B72-A674-F3423A2241A1}">
    <text>上半年630</text>
  </threadedComment>
  <threadedComment ref="J71" dT="2022-08-29T14:14:42.39" personId="{937A018C-E59E-4595-BD5A-224D2F63E4FE}" id="{D5E55E3A-1FD8-425F-ACF0-C71F663D0F5A}">
    <text>上半年2611</text>
  </threadedComment>
  <threadedComment ref="K96" dT="2022-08-24T06:11:34.56" personId="{937A018C-E59E-4595-BD5A-224D2F63E4FE}" id="{00B52D82-BBF5-47F9-8175-30F128ABF22E}">
    <text>无销量数据</text>
  </threadedComment>
  <threadedComment ref="I102" dT="2022-08-29T14:46:45.58" personId="{937A018C-E59E-4595-BD5A-224D2F63E4FE}" id="{10E65904-1E30-4E27-9D7C-9F196558A39C}">
    <text xml:space="preserve">前九个月8230
</text>
  </threadedComment>
  <threadedComment ref="J102" dT="2022-08-29T14:49:37.74" personId="{937A018C-E59E-4595-BD5A-224D2F63E4FE}" id="{C3EE3175-EA74-4864-B848-2609DD57130B}">
    <text xml:space="preserve">上半年6785
</text>
  </threadedComment>
  <threadedComment ref="D164" dT="2022-09-22T08:00:28.64" personId="{6B4F847D-D45C-4B6A-AC50-0CEBBAF33754}" id="{93B6C552-7561-419C-9A4F-9B0F9B6C71CC}">
    <text>starting period changed to 1H22</text>
  </threadedComment>
  <threadedComment ref="B218" dT="2022-08-25T12:44:58.08" personId="{05B0EA6E-63B4-487D-A345-4F39B62CE93C}" id="{D909F199-013C-4C52-8953-54A589BAAAE4}">
    <text>由于S90和V90的销量数据是合并的。故在此合并，价格为V90价格</text>
  </threadedComment>
  <threadedComment ref="A250" dT="2022-08-25T12:44:58.08" personId="{05B0EA6E-63B4-487D-A345-4F39B62CE93C}" id="{0DD40F8F-7EDF-4C0F-9159-2E0CD34B1D80}">
    <text>由于S90和V90的销量数据是合并的。故在此合并，价格为V90价格</text>
  </threadedComment>
  <threadedComment ref="D286" dT="2022-08-25T13:53:03.17" personId="{05B0EA6E-63B4-487D-A345-4F39B62CE93C}" id="{FE93F0D4-BC30-4650-8623-786AF710A52C}">
    <text>延用21年的share</text>
  </threadedComment>
  <threadedComment ref="D310" dT="2022-08-25T14:30:56.83" personId="{05B0EA6E-63B4-487D-A345-4F39B62CE93C}" id="{F4CDD2A9-65FE-40A0-8426-FFB843D6D70A}">
    <text>延用21年的share</text>
  </threadedComment>
  <threadedComment ref="N338" dT="2022-08-31T04:12:01.12" personId="{6B4F847D-D45C-4B6A-AC50-0CEBBAF33754}" id="{FFB348FE-4F9F-4C31-81B1-58CFEC32C9C7}">
    <text>upward adj 1pct</text>
  </threadedComment>
  <threadedComment ref="N338" dT="2022-09-06T08:18:12.16" personId="{6B4F847D-D45C-4B6A-AC50-0CEBBAF33754}" id="{C9BC2ACE-84CE-41B2-AB99-BC892AA179F2}" parentId="{FFB348FE-4F9F-4C31-81B1-58CFEC32C9C7}">
    <text>remodeled to add residual effect</text>
  </threadedComment>
  <threadedComment ref="D383" dT="2022-09-22T08:00:28.64" personId="{6B4F847D-D45C-4B6A-AC50-0CEBBAF33754}" id="{1851B892-42C9-45B3-AB53-98DC82AB5B7C}">
    <text>starting period changed to 1H22</text>
  </threadedComment>
  <threadedComment ref="D419" dT="2022-09-22T08:00:28.64" personId="{6B4F847D-D45C-4B6A-AC50-0CEBBAF33754}" id="{6BE3A6FE-2A92-45F0-ACE5-E128594488CB}">
    <text>starting period changed to 1H22</text>
  </threadedComment>
  <threadedComment ref="D447" dT="2022-09-22T08:00:28.64" personId="{6B4F847D-D45C-4B6A-AC50-0CEBBAF33754}" id="{165F3108-D039-4B43-A441-1E2E8D65D361}">
    <text>starting period changed to 1H22</text>
  </threadedComment>
</ThreadedComments>
</file>

<file path=xl/threadedComments/threadedComment20.xml><?xml version="1.0" encoding="utf-8"?>
<ThreadedComments xmlns="http://schemas.microsoft.com/office/spreadsheetml/2018/threadedcomments" xmlns:x="http://schemas.openxmlformats.org/spreadsheetml/2006/main">
  <threadedComment ref="D26" dT="2022-09-22T07:54:14.90" personId="{6B4F847D-D45C-4B6A-AC50-0CEBBAF33754}" id="{B0CF5001-7ED1-4AC2-9779-3859FFDD0037}">
    <text>updated: starting from 1H22 instead of 21</text>
  </threadedComment>
  <threadedComment ref="B48" dT="2022-09-15T03:23:14.09" personId="{6B4F847D-D45C-4B6A-AC50-0CEBBAF33754}" id="{7B7789CD-3FC6-451D-B1DD-EEFC362843A8}">
    <text>how come share not the same with line 15?</text>
  </threadedComment>
  <threadedComment ref="B48" dT="2022-09-15T08:45:47.80" personId="{05B0EA6E-63B4-487D-A345-4F39B62CE93C}" id="{658F4C77-659D-4DF0-B28F-7A2100EC1065}" parentId="{7B7789CD-3FC6-451D-B1DD-EEFC362843A8}">
    <text>revised</text>
  </threadedComment>
  <threadedComment ref="D65" dT="2022-09-22T07:54:14.90" personId="{6B4F847D-D45C-4B6A-AC50-0CEBBAF33754}" id="{D6D74563-310F-4497-8A65-B8B0EEF06165}">
    <text>updated: starting from 1H22 instead of 21</text>
  </threadedComment>
  <threadedComment ref="A81" dT="2022-09-13T09:45:43.57" personId="{6B4F847D-D45C-4B6A-AC50-0CEBBAF33754}" id="{A064501C-6D98-476E-92FE-6A5E82024BCD}">
    <text>Pro?</text>
  </threadedComment>
  <threadedComment ref="A81" dT="2022-09-14T07:54:43.46" personId="{05B0EA6E-63B4-487D-A345-4F39B62CE93C}" id="{997F5C59-2596-43E5-B516-C74B88F5E8F1}" parentId="{A064501C-6D98-476E-92FE-6A5E82024BCD}">
    <text>元EV，not 元pro</text>
  </threadedComment>
  <threadedComment ref="A81" dT="2022-09-15T03:32:58.76" personId="{6B4F847D-D45C-4B6A-AC50-0CEBBAF33754}" id="{85645B5B-F3C9-40B2-98D5-97B898CB34C4}" parentId="{A064501C-6D98-476E-92FE-6A5E82024BCD}">
    <text>Pro is BEV itself</text>
  </threadedComment>
  <threadedComment ref="A81" dT="2022-09-15T08:47:21.96" personId="{05B0EA6E-63B4-487D-A345-4F39B62CE93C}" id="{092DA930-F765-4362-AABC-88B0CC6AF0EB}" parentId="{A064501C-6D98-476E-92FE-6A5E82024BCD}">
    <text>ok</text>
  </threadedComment>
  <threadedComment ref="D109" dT="2022-09-22T07:54:14.90" personId="{6B4F847D-D45C-4B6A-AC50-0CEBBAF33754}" id="{B05685DC-706F-4281-A39D-354FAFF2D5A0}">
    <text>updated: starting from 1H22 instead of 21</text>
  </threadedComment>
  <threadedComment ref="E134" dT="2022-09-13T09:46:37.17" personId="{6B4F847D-D45C-4B6A-AC50-0CEBBAF33754}" id="{63042461-B6D4-4D93-A21D-F61C8FA76F79}">
    <text>A?</text>
  </threadedComment>
  <threadedComment ref="E134" dT="2022-09-15T08:47:48.00" personId="{05B0EA6E-63B4-487D-A345-4F39B62CE93C}" id="{7328E06A-089D-436A-A47D-78FA250785FE}" parentId="{63042461-B6D4-4D93-A21D-F61C8FA76F79}">
    <text>revised</text>
  </threadedComment>
  <threadedComment ref="S135" dT="2022-09-13T09:49:04.98" personId="{6B4F847D-D45C-4B6A-AC50-0CEBBAF33754}" id="{73992A92-6F65-4804-B7FB-B12DDDB452EF}">
    <text>too large</text>
  </threadedComment>
  <threadedComment ref="S135" dT="2022-09-13T09:50:31.48" personId="{6B4F847D-D45C-4B6A-AC50-0CEBBAF33754}" id="{7593057C-818E-40F7-8281-5D400AA07673}" parentId="{73992A92-6F65-4804-B7FB-B12DDDB452EF}">
    <text>need more significant rivals</text>
  </threadedComment>
  <threadedComment ref="S135" dT="2022-09-15T08:48:12.00" personId="{05B0EA6E-63B4-487D-A345-4F39B62CE93C}" id="{CD2B5CDE-2296-47E4-BA4F-14F1229DA1A8}" parentId="{73992A92-6F65-4804-B7FB-B12DDDB452EF}">
    <text>revised</text>
  </threadedComment>
  <threadedComment ref="D160" dT="2022-09-22T07:54:14.90" personId="{6B4F847D-D45C-4B6A-AC50-0CEBBAF33754}" id="{DED979FB-DE0D-406E-8177-CC0DDC52DBB5}">
    <text>updated: starting from 1H22 instead of 21</text>
  </threadedComment>
  <threadedComment ref="D203" dT="2022-09-22T07:54:14.90" personId="{6B4F847D-D45C-4B6A-AC50-0CEBBAF33754}" id="{FF286AE1-B90A-43B2-B80A-9B444B719EF0}">
    <text>updated: starting from 1H22 instead of 21</text>
  </threadedComment>
  <threadedComment ref="M210" dT="2022-09-15T06:25:46.61" personId="{6B4F847D-D45C-4B6A-AC50-0CEBBAF33754}" id="{633FCF6E-DEDF-474C-874F-A8F9804DCFCB}">
    <text>overwrited to 1/3</text>
  </threadedComment>
  <threadedComment ref="A218" dT="2022-09-15T06:48:57.08" personId="{6B4F847D-D45C-4B6A-AC50-0CEBBAF33754}" id="{B1A342B0-C5CE-4CF8-8981-462441FABD6F}">
    <text>DM?</text>
  </threadedComment>
  <threadedComment ref="A218" dT="2022-09-15T09:07:01.72" personId="{05B0EA6E-63B4-487D-A345-4F39B62CE93C}" id="{27742DB6-B6B5-4696-BDC7-994F4D9FBB91}" parentId="{B1A342B0-C5CE-4CF8-8981-462441FABD6F}">
    <text>yes</text>
  </threadedComment>
  <threadedComment ref="A218" dT="2022-09-15T09:42:49.11" personId="{6B4F847D-D45C-4B6A-AC50-0CEBBAF33754}" id="{FA76327F-2E28-46E8-9A03-5C4B28611A19}" parentId="{B1A342B0-C5CE-4CF8-8981-462441FABD6F}">
    <text>I mean DM not DM-i</text>
  </threadedComment>
  <threadedComment ref="D239" dT="2022-09-22T07:54:14.90" personId="{6B4F847D-D45C-4B6A-AC50-0CEBBAF33754}" id="{DB5008A9-CD25-434E-A706-AD423ACA2926}">
    <text>updated: starting from 1H22 instead of 21</text>
  </threadedComment>
  <threadedComment ref="N329" dT="2022-09-21T04:27:17.59" personId="{6B4F847D-D45C-4B6A-AC50-0CEBBAF33754}" id="{C0821C59-95E5-4681-943F-EEE41E85BE0B}">
    <text>from 0.5 to 1</text>
  </threadedComment>
  <threadedComment ref="A405" dT="2022-09-15T08:57:31.31" personId="{6B4F847D-D45C-4B6A-AC50-0CEBBAF33754}" id="{5110230D-70D8-44BD-91B2-00CBF0C7ED0F}">
    <text>sample unstable; add more rivals;</text>
  </threadedComment>
  <threadedComment ref="A405" dT="2022-09-15T09:12:04.83" personId="{05B0EA6E-63B4-487D-A345-4F39B62CE93C}" id="{F651BBEE-2645-42BB-83C8-AE74C17E7311}" parentId="{5110230D-70D8-44BD-91B2-00CBF0C7ED0F}">
    <text>because more rivals make sample more unstable</text>
  </threadedComment>
  <threadedComment ref="A405" dT="2022-09-15T09:42:13.47" personId="{6B4F847D-D45C-4B6A-AC50-0CEBBAF33754}" id="{2D0E60B3-AE19-4AD2-A39A-5A1F996AD8CD}" parentId="{5110230D-70D8-44BD-91B2-00CBF0C7ED0F}">
    <text>Maiteng added</text>
  </threadedComment>
  <threadedComment ref="R407" dT="2022-09-15T09:38:14.07" personId="{6B4F847D-D45C-4B6A-AC50-0CEBBAF33754}" id="{D233967B-E151-4DA4-8EC8-EFC8D2B0525D}">
    <text>excluding DM</text>
  </threadedComment>
  <threadedComment ref="F410" dT="2022-09-15T08:33:20.43" personId="{6B4F847D-D45C-4B6A-AC50-0CEBBAF33754}" id="{A8BFE35A-ABAD-41A0-A899-F81107200964}">
    <text>Not Fuel?</text>
  </threadedComment>
  <threadedComment ref="F410" dT="2022-09-15T09:11:29.49" personId="{05B0EA6E-63B4-487D-A345-4F39B62CE93C}" id="{A8475432-3329-4E8E-ABA7-BDA8C58CFF03}" parentId="{A8BFE35A-ABAD-41A0-A899-F81107200964}">
    <text>revised</text>
  </threadedComment>
  <threadedComment ref="D427" dT="2022-09-22T08:00:28.64" personId="{6B4F847D-D45C-4B6A-AC50-0CEBBAF33754}" id="{CEB936CB-F0ED-4B26-A6BD-E413AE8CE3FE}">
    <text>starting period changed to 1H22</text>
  </threadedComment>
  <threadedComment ref="D428" dT="2022-09-22T08:00:28.64" personId="{6B4F847D-D45C-4B6A-AC50-0CEBBAF33754}" id="{BE1208E3-F814-42CC-99DE-F90E791F8811}">
    <text>starting period changed to 1H22</text>
  </threadedComment>
</ThreadedComments>
</file>

<file path=xl/threadedComments/threadedComment21.xml><?xml version="1.0" encoding="utf-8"?>
<ThreadedComments xmlns="http://schemas.microsoft.com/office/spreadsheetml/2018/threadedcomments" xmlns:x="http://schemas.openxmlformats.org/spreadsheetml/2006/main">
  <threadedComment ref="A48" dT="2021-12-21T07:27:19.59" personId="{C727E848-119D-4F1D-BE4A-5625D5D47A92}" id="{D8A42D19-A7BF-4FA3-A191-26520A4D43EB}">
    <text>PP&amp;E + Solar Energy Systems + Operating Lease Vehicles</text>
  </threadedComment>
  <threadedComment ref="A84" dT="2021-12-22T07:31:31.96" personId="{C727E848-119D-4F1D-BE4A-5625D5D47A92}" id="{7C621B86-F02E-4012-96F5-F9DAABBDDE4F}">
    <text>Gain/loss Related to Solarcity Acquisition</text>
  </threadedComment>
  <threadedComment ref="C87" dT="2021-12-27T03:25:20.92" personId="{C727E848-119D-4F1D-BE4A-5625D5D47A92}" id="{5E1C14DB-BF3D-436C-8C7E-A2951995BABB}">
    <text>公式更改</text>
  </threadedComment>
</ThreadedComments>
</file>

<file path=xl/threadedComments/threadedComment22.xml><?xml version="1.0" encoding="utf-8"?>
<ThreadedComments xmlns="http://schemas.microsoft.com/office/spreadsheetml/2018/threadedcomments" xmlns:x="http://schemas.openxmlformats.org/spreadsheetml/2006/main">
  <threadedComment ref="A8" dT="2021-11-10T01:14:40.17" personId="{C727E848-119D-4F1D-BE4A-5625D5D47A92}" id="{716BE626-1C8E-4AD3-8F46-A539D8439851}">
    <text>一致性预期中无产量相关的预测数据（21E~23E）</text>
  </threadedComment>
  <threadedComment ref="E9" dT="2021-11-09T08:32:51.47" personId="{C727E848-119D-4F1D-BE4A-5625D5D47A92}" id="{2E8A8CE5-FA95-49C2-80E4-7525DE94A3AA}">
    <text>与一致性预期的数据有差异</text>
  </threadedComment>
</ThreadedComments>
</file>

<file path=xl/threadedComments/threadedComment23.xml><?xml version="1.0" encoding="utf-8"?>
<ThreadedComments xmlns="http://schemas.microsoft.com/office/spreadsheetml/2018/threadedcomments" xmlns:x="http://schemas.openxmlformats.org/spreadsheetml/2006/main">
  <threadedComment ref="A1" dT="2021-11-29T07:35:53.06" personId="{C727E848-119D-4F1D-BE4A-5625D5D47A92}" id="{B538B004-1AEA-4A1B-98A0-D3B51D235FFF}">
    <text>全球电动汽车销量达292万辆，较去年同期上涨153%</text>
  </threadedComment>
</ThreadedComments>
</file>

<file path=xl/threadedComments/threadedComment24.xml><?xml version="1.0" encoding="utf-8"?>
<ThreadedComments xmlns="http://schemas.microsoft.com/office/spreadsheetml/2018/threadedcomments" xmlns:x="http://schemas.openxmlformats.org/spreadsheetml/2006/main">
  <threadedComment ref="S12" dT="2021-11-22T09:09:51.37" personId="{6B4F847D-D45C-4B6A-AC50-0CEBBAF33754}" id="{7C291151-1DC9-4CF0-9D87-83401F80EE6D}">
    <text>9m still in decline</text>
  </threadedComment>
  <threadedComment ref="S12" dT="2021-11-22T09:39:01.09" personId="{6B4F847D-D45C-4B6A-AC50-0CEBBAF33754}" id="{79ACDD57-F1C2-4209-ABA9-3060CA9849A8}" parentId="{7C291151-1DC9-4CF0-9D87-83401F80EE6D}">
    <text>less than 20k</text>
  </threadedComment>
  <threadedComment ref="J13" dT="2022-07-27T07:13:47.66" personId="{6B4F847D-D45C-4B6A-AC50-0CEBBAF33754}" id="{53575540-809A-4A1F-A61B-DC1E9988EC02}">
    <text>up to reflect price hike</text>
  </threadedComment>
  <threadedComment ref="J13" dT="2022-07-27T07:14:06.96" personId="{6B4F847D-D45C-4B6A-AC50-0CEBBAF33754}" id="{9D92CF6A-01CA-421F-8459-5976E6E88C1C}" parentId="{53575540-809A-4A1F-A61B-DC1E9988EC02}">
    <text>https://www.cargurus.com/Cars/price-trends/Tesla-Model-3-d2475</text>
  </threadedComment>
  <threadedComment ref="S20" dT="2021-11-23T07:32:06.11" personId="{6B4F847D-D45C-4B6A-AC50-0CEBBAF33754}" id="{F9A1F2D9-3881-413E-A52E-339DBF21C642}">
    <text>Since April 2021, Tesla stopped selling Powerwalls for individual purchases. Instead, people interested in a Tesla Powerwall would now be required to install a brand new Tesla solar roof system or solar panel. In essence, there are no more retrofits for existing solar panels, a huge bummer for most folks.</text>
  </threadedComment>
  <threadedComment ref="S20" dT="2021-11-23T07:50:21.79" personId="{6B4F847D-D45C-4B6A-AC50-0CEBBAF33754}" id="{9F74DC9D-D036-41EC-BDC6-968419013757}" parentId="{F9A1F2D9-3881-413E-A52E-339DBF21C642}">
    <text>9m 6313</text>
  </threadedComment>
  <threadedComment ref="X21" dT="2022-03-02T10:08:20.74" personId="{6B4F847D-D45C-4B6A-AC50-0CEBBAF33754}" id="{8A5059EF-CDD6-4B84-985B-A85E81469872}">
    <text>MA3 instead of 50% due to miss in 2021</text>
  </threadedComment>
  <threadedComment ref="I26" dT="2021-11-23T07:32:35.36" personId="{6B4F847D-D45C-4B6A-AC50-0CEBBAF33754}" id="{500C4252-A35F-4906-B681-F1C04193A9A8}">
    <text>As of May 2021, Tesla lists the cost of one battery pack at $7,500 excluding $1,000 for the Gateway, a device that acts as the engine of the installation; and actual installation charges of about $3,500.</text>
  </threadedComment>
  <threadedComment ref="S30" dT="2022-06-20T14:08:37.42" personId="{937A018C-E59E-4595-BD5A-224D2F63E4FE}" id="{5E0D96AE-CED2-4E9D-BD63-9EFC2FD5457F}">
    <text>1-4月</text>
  </threadedComment>
  <threadedComment ref="S37" dT="2022-06-20T14:26:35.99" personId="{937A018C-E59E-4595-BD5A-224D2F63E4FE}" id="{DB7A3370-9023-4129-9D1A-428F569275BD}">
    <text>无1.5T</text>
  </threadedComment>
  <threadedComment ref="S40" dT="2022-06-20T14:41:39.66" personId="{937A018C-E59E-4595-BD5A-224D2F63E4FE}" id="{64BD9A45-1597-49B6-A6A5-036862748D84}">
    <text>停售</text>
  </threadedComment>
  <threadedComment ref="S46" dT="2022-06-20T13:57:30.28" personId="{937A018C-E59E-4595-BD5A-224D2F63E4FE}" id="{5BE04BB3-8749-485D-A8E1-7E78AAA226AB}">
    <text>数据到2021年8月</text>
  </threadedComment>
  <threadedComment ref="S54" dT="2022-06-20T14:16:55.02" personId="{937A018C-E59E-4595-BD5A-224D2F63E4FE}" id="{DF1A1105-823C-44BB-B013-5DE0A309860C}">
    <text>未发售</text>
  </threadedComment>
  <threadedComment ref="S55" dT="2022-06-20T14:31:24.45" personId="{937A018C-E59E-4595-BD5A-224D2F63E4FE}" id="{406DC923-AAF1-4657-BD28-A74ADDCAACEA}">
    <text>未发售</text>
  </threadedComment>
  <threadedComment ref="B70" dT="2022-06-21T10:27:49.57" personId="{142E56A8-ECF0-4A66-9686-B2B803142863}" id="{1345C9D6-84DE-4454-ADC0-57969F9D5E1D}">
    <text>宁德时代动力电池价格*0.8</text>
  </threadedComment>
  <threadedComment ref="D71" dT="2022-06-21T10:47:54.32" personId="{142E56A8-ECF0-4A66-9686-B2B803142863}" id="{80585BEC-D667-4961-9E97-4B6AD733A2D1}">
    <text>Source：https://finance.sina.com.cn/roll/2021-08-11/doc-ikqcfncc2144445.shtml</text>
  </threadedComment>
  <threadedComment ref="D75" dT="2022-06-21T10:51:31.92" personId="{142E56A8-ECF0-4A66-9686-B2B803142863}" id="{BDB15D3C-C049-4276-86A8-223C7F889CE3}">
    <text>Source：https://finance.sina.com.cn/roll/2021-08-11/doc-ikqcfncc2144445.shtml</text>
  </threadedComment>
  <threadedComment ref="J76" dT="2022-06-21T11:10:13.54" personId="{142E56A8-ECF0-4A66-9686-B2B803142863}" id="{1B3A9B80-E6A1-4859-AC7C-28B8A9987DE4}">
    <text>MA3</text>
  </threadedComment>
  <threadedComment ref="H79" dT="2021-11-23T07:05:52.94" personId="{C727E848-119D-4F1D-BE4A-5625D5D47A92}" id="{9EA99481-E0EB-4698-B2C1-F6426A91266D}">
    <text>Average of $54,000 and $77,000(high-end model)</text>
  </threadedComment>
  <threadedComment ref="I79" dT="2021-11-23T07:05:52.94" personId="{C727E848-119D-4F1D-BE4A-5625D5D47A92}" id="{7730037C-6605-4A96-AE8C-7DF9F7C028FA}">
    <text>Average of $54,000 and $77,000(high-end model)</text>
  </threadedComment>
  <threadedComment ref="J79" dT="2021-11-23T07:05:52.94" personId="{C727E848-119D-4F1D-BE4A-5625D5D47A92}" id="{BFDACFBC-833E-4F43-94DF-8969E48A5F25}">
    <text>Average of $54,000 and $77,000(high-end model)</text>
  </threadedComment>
  <threadedComment ref="K79" dT="2021-11-23T07:05:52.94" personId="{C727E848-119D-4F1D-BE4A-5625D5D47A92}" id="{BA25B9D3-7109-4046-B354-B3746413AB54}">
    <text>Average of $54,000 and $77,000(high-end model)</text>
  </threadedComment>
  <threadedComment ref="L79" dT="2021-11-23T07:05:52.94" personId="{C727E848-119D-4F1D-BE4A-5625D5D47A92}" id="{6F9CC756-B0DE-4E27-9560-CE8314C2011B}">
    <text>Average of $54,000 and $77,000(high-end model)</text>
  </threadedComment>
  <threadedComment ref="B80" dT="2022-06-15T02:56:33.36" personId="{05B0EA6E-63B4-487D-A345-4F39B62CE93C}" id="{018273CA-D6E6-4A2A-BDC2-0A5876ED3E55}">
    <text>ET7将于2022年3月28日开启交付</text>
  </threadedComment>
  <threadedComment ref="I80" dT="2021-11-23T07:17:28.75" personId="{C727E848-119D-4F1D-BE4A-5625D5D47A92}" id="{DD5C9736-67AB-4B1E-901F-36220CD03FE4}">
    <text>The NIO ET7 was unveiled in China on 9 January 2021 at the 'NIO Day' event in Chengdu, retaining many design cues of the 2019 NIO ET Preview concept car. It will be launched in early 2022 with a starting price of ¥448.000 (~$69,200 USD). It acts as a direct competitor to Tesla's Model S sedan in China.</text>
  </threadedComment>
  <threadedComment ref="I80" dT="2021-11-23T07:18:35.81" personId="{C727E848-119D-4F1D-BE4A-5625D5D47A92}" id="{77EF144C-1FF0-48C6-B956-936CBBF1DD6D}" parentId="{DD5C9736-67AB-4B1E-901F-36220CD03FE4}">
    <text>It acts as a direct competitor to Tesla's Model S sedan in China.</text>
  </threadedComment>
  <threadedComment ref="B81" dT="2022-06-15T02:56:57.81" personId="{05B0EA6E-63B4-487D-A345-4F39B62CE93C}" id="{41F8F187-5776-4202-8D92-272704B9D666}">
    <text>ET5则会在2022年9月开启交付</text>
  </threadedComment>
  <threadedComment ref="I87" dT="2021-12-01T09:47:58.84" personId="{6B4F847D-D45C-4B6A-AC50-0CEBBAF33754}" id="{A11AE37B-0A7E-4F59-9D70-9A2562CAEE0B}">
    <text>9m</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marklines.com/cn/global/9503?&amp;sitesearchKey=%E8%94%9A%E6%9D%A5"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hyperlink" Target="https://xueqiu.com/8356516615/205626467" TargetMode="External"/><Relationship Id="rId13" Type="http://schemas.openxmlformats.org/officeDocument/2006/relationships/hyperlink" Target="https://zhuanlan.zhihu.com/p/401727488" TargetMode="External"/><Relationship Id="rId18" Type="http://schemas.openxmlformats.org/officeDocument/2006/relationships/hyperlink" Target="https://cn.technode.com/post/2022-06-19/nio-es7-innovusion-aquila/" TargetMode="External"/><Relationship Id="rId3" Type="http://schemas.openxmlformats.org/officeDocument/2006/relationships/hyperlink" Target="https://cj.sina.com.cn/articles/view/7426890874/1baad5c7a001012839" TargetMode="External"/><Relationship Id="rId21" Type="http://schemas.openxmlformats.org/officeDocument/2006/relationships/vmlDrawing" Target="../drawings/vmlDrawing3.vml"/><Relationship Id="rId7" Type="http://schemas.openxmlformats.org/officeDocument/2006/relationships/hyperlink" Target="https://xueqiu.com/3751143638/225870118" TargetMode="External"/><Relationship Id="rId12" Type="http://schemas.openxmlformats.org/officeDocument/2006/relationships/hyperlink" Target="https://www.dongchedi.com/article/7120054381663371815" TargetMode="External"/><Relationship Id="rId17" Type="http://schemas.openxmlformats.org/officeDocument/2006/relationships/hyperlink" Target="https://zhuanlan.zhihu.com/p/133199100" TargetMode="External"/><Relationship Id="rId2" Type="http://schemas.openxmlformats.org/officeDocument/2006/relationships/hyperlink" Target="https://cj.sina.com.cn/articles/view/7426890874/1baad5c7a001012839" TargetMode="External"/><Relationship Id="rId16" Type="http://schemas.openxmlformats.org/officeDocument/2006/relationships/hyperlink" Target="https://zhuanlan.zhihu.com/p/575542532" TargetMode="External"/><Relationship Id="rId20" Type="http://schemas.openxmlformats.org/officeDocument/2006/relationships/drawing" Target="../drawings/drawing2.xml"/><Relationship Id="rId1" Type="http://schemas.openxmlformats.org/officeDocument/2006/relationships/hyperlink" Target="https://cj.sina.com.cn/articles/view/7426890874/1baad5c7a001012839" TargetMode="External"/><Relationship Id="rId6" Type="http://schemas.openxmlformats.org/officeDocument/2006/relationships/hyperlink" Target="https://www.amazon.com/NVIDIA-Jetson-Orin-Nano-Developer/dp/B0BZJTQ5YP?crid=23DIDJHDZQWKC&amp;keywords=jetson%2Borin%2Bnano%2Bdeveloper%2Bkit&amp;qid=1682808696&amp;sprefix=jetson%2Borin%2Bnano%2Caps%2C209&amp;sr=8-3&amp;linkCode=sl1&amp;tag=jetsonhacks-20&amp;linkId=c10e249bceec0782c643bce259cf3162&amp;language=en_US&amp;ref_=as_li_ss_tl&amp;th=1" TargetMode="External"/><Relationship Id="rId11" Type="http://schemas.openxmlformats.org/officeDocument/2006/relationships/hyperlink" Target="https://xueqiu.com/1451303364/252409581" TargetMode="External"/><Relationship Id="rId5" Type="http://schemas.openxmlformats.org/officeDocument/2006/relationships/hyperlink" Target="https://www.dongchedi.com/article/7120054381663371815" TargetMode="External"/><Relationship Id="rId15" Type="http://schemas.openxmlformats.org/officeDocument/2006/relationships/hyperlink" Target="https://cj.sina.com.cn/articles/view/7426890874/1baad5c7a001012839" TargetMode="External"/><Relationship Id="rId23" Type="http://schemas.microsoft.com/office/2017/10/relationships/threadedComment" Target="../threadedComments/threadedComment3.xml"/><Relationship Id="rId10" Type="http://schemas.openxmlformats.org/officeDocument/2006/relationships/hyperlink" Target="https://zhuanlan.zhihu.com/p/607775237" TargetMode="External"/><Relationship Id="rId19" Type="http://schemas.openxmlformats.org/officeDocument/2006/relationships/hyperlink" Target="https://zhuanlan.zhihu.com/p/453432302" TargetMode="External"/><Relationship Id="rId4" Type="http://schemas.openxmlformats.org/officeDocument/2006/relationships/hyperlink" Target="https://www.dongchedi.com/article/7120054381663371815" TargetMode="External"/><Relationship Id="rId9" Type="http://schemas.openxmlformats.org/officeDocument/2006/relationships/hyperlink" Target="https://xueqiu.com/1009979954/243393450" TargetMode="External"/><Relationship Id="rId14" Type="http://schemas.openxmlformats.org/officeDocument/2006/relationships/hyperlink" Target="https://club.autohome.com.cn/bbs/thread/f2b7f551975dd681/99091242-1.html" TargetMode="External"/><Relationship Id="rId2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4.xml"/><Relationship Id="rId4" Type="http://schemas.microsoft.com/office/2017/10/relationships/threadedComment" Target="../threadedComments/threadedComment11.x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6.xml"/><Relationship Id="rId4" Type="http://schemas.microsoft.com/office/2017/10/relationships/threadedComment" Target="../threadedComments/threadedComment1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18.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21.xml"/><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8.bin"/><Relationship Id="rId4" Type="http://schemas.microsoft.com/office/2017/10/relationships/threadedComment" Target="../threadedComments/threadedComment22.xml"/></Relationships>
</file>

<file path=xl/worksheets/_rels/sheet32.xml.rels><?xml version="1.0" encoding="UTF-8" standalone="yes"?>
<Relationships xmlns="http://schemas.openxmlformats.org/package/2006/relationships"><Relationship Id="rId3" Type="http://schemas.microsoft.com/office/2017/10/relationships/threadedComment" Target="../threadedComments/threadedComment23.xml"/><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9.xml"/><Relationship Id="rId4" Type="http://schemas.microsoft.com/office/2017/10/relationships/threadedComment" Target="../threadedComments/threadedComment24.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84"/>
  <sheetViews>
    <sheetView topLeftCell="B1" zoomScale="130" zoomScaleNormal="130" workbookViewId="0">
      <pane xSplit="2" ySplit="2" topLeftCell="BT3" activePane="bottomRight" state="frozen"/>
      <selection pane="topRight" activeCell="D1" sqref="D1"/>
      <selection pane="bottomLeft" activeCell="B3" sqref="B3"/>
      <selection pane="bottomRight" activeCell="BP82" sqref="BP82"/>
    </sheetView>
  </sheetViews>
  <sheetFormatPr defaultColWidth="8.83203125" defaultRowHeight="14.25" customHeight="1"/>
  <cols>
    <col min="1" max="1" width="0" hidden="1" customWidth="1"/>
    <col min="2" max="2" width="5.25" style="64" customWidth="1"/>
    <col min="3" max="3" width="20.83203125" customWidth="1"/>
    <col min="4" max="4" width="24.75" customWidth="1"/>
    <col min="5" max="6" width="11.1640625" bestFit="1" customWidth="1"/>
    <col min="7" max="12" width="12.83203125" bestFit="1" customWidth="1"/>
    <col min="13" max="13" width="11.1640625" customWidth="1"/>
    <col min="14" max="14" width="11.1640625" style="48" customWidth="1"/>
    <col min="19" max="19" width="10.4140625" bestFit="1" customWidth="1"/>
    <col min="20" max="20" width="10.83203125" customWidth="1"/>
    <col min="21" max="22" width="10" bestFit="1" customWidth="1"/>
    <col min="23" max="23" width="10" customWidth="1"/>
    <col min="24" max="24" width="10" style="48" customWidth="1"/>
    <col min="30" max="30" width="10.4140625" bestFit="1" customWidth="1"/>
    <col min="33" max="33" width="9"/>
    <col min="34" max="34" width="8.83203125" style="48"/>
    <col min="43" max="43" width="9"/>
    <col min="44" max="44" width="8.83203125" style="48"/>
    <col min="53" max="53" width="9"/>
    <col min="54" max="54" width="8.83203125" style="48"/>
    <col min="61" max="62" width="9.4140625" customWidth="1"/>
    <col min="63" max="63" width="8.75" customWidth="1"/>
    <col min="64" max="64" width="9.75" style="48" customWidth="1"/>
    <col min="65" max="66" width="9.75" customWidth="1"/>
    <col min="67" max="68" width="11.4140625" bestFit="1" customWidth="1"/>
    <col min="69" max="69" width="9.75" customWidth="1"/>
    <col min="70" max="70" width="10.1640625" customWidth="1"/>
    <col min="71" max="71" width="9.75" bestFit="1" customWidth="1"/>
    <col min="72" max="72" width="9.75" style="48" customWidth="1"/>
    <col min="79" max="79" width="10" bestFit="1" customWidth="1"/>
    <col min="80" max="80" width="9.25" customWidth="1"/>
    <col min="81" max="82" width="10" customWidth="1"/>
  </cols>
  <sheetData>
    <row r="1" spans="1:83" s="509" customFormat="1" ht="12.75" customHeight="1">
      <c r="A1" s="1955" t="s">
        <v>0</v>
      </c>
      <c r="B1" s="37"/>
      <c r="C1" s="1956" t="s">
        <v>1</v>
      </c>
      <c r="D1" s="37"/>
      <c r="E1" s="1950" t="s">
        <v>2</v>
      </c>
      <c r="F1" s="1950"/>
      <c r="G1" s="1950"/>
      <c r="H1" s="1950"/>
      <c r="I1" s="1950"/>
      <c r="J1" s="1950"/>
      <c r="K1" s="1950"/>
      <c r="L1" s="1950"/>
      <c r="M1" s="1"/>
      <c r="N1" s="508"/>
      <c r="O1" s="1950" t="s">
        <v>3</v>
      </c>
      <c r="P1" s="1950"/>
      <c r="Q1" s="1950"/>
      <c r="R1" s="1950"/>
      <c r="S1" s="1950"/>
      <c r="T1" s="1950"/>
      <c r="U1" s="1950"/>
      <c r="V1" s="1950"/>
      <c r="W1" s="1"/>
      <c r="X1" s="508"/>
      <c r="Y1" s="1951" t="s">
        <v>4</v>
      </c>
      <c r="Z1" s="1953"/>
      <c r="AA1" s="1953"/>
      <c r="AB1" s="1953"/>
      <c r="AC1" s="1953"/>
      <c r="AD1" s="1953"/>
      <c r="AE1" s="1953"/>
      <c r="AF1" s="1953"/>
      <c r="AG1" s="1953"/>
      <c r="AH1" s="1954"/>
      <c r="AI1" s="1951" t="s">
        <v>5</v>
      </c>
      <c r="AJ1" s="1953"/>
      <c r="AK1" s="1953"/>
      <c r="AL1" s="1953"/>
      <c r="AM1" s="1953"/>
      <c r="AN1" s="1953"/>
      <c r="AO1" s="1953"/>
      <c r="AP1" s="1953"/>
      <c r="AQ1" s="1953"/>
      <c r="AR1" s="1954"/>
      <c r="AS1" s="1951" t="s">
        <v>6</v>
      </c>
      <c r="AT1" s="1953"/>
      <c r="AU1" s="1953"/>
      <c r="AV1" s="1953"/>
      <c r="AW1" s="1953"/>
      <c r="AX1" s="1953"/>
      <c r="AY1" s="1953"/>
      <c r="AZ1" s="1953"/>
      <c r="BA1" s="1953"/>
      <c r="BB1" s="508"/>
      <c r="BC1" s="1950" t="s">
        <v>7</v>
      </c>
      <c r="BD1" s="1950"/>
      <c r="BE1" s="1950"/>
      <c r="BF1" s="1950"/>
      <c r="BG1" s="1950"/>
      <c r="BH1" s="1950"/>
      <c r="BI1" s="1950"/>
      <c r="BJ1" s="1951"/>
      <c r="BL1" s="508"/>
      <c r="BO1" s="1951" t="s">
        <v>8</v>
      </c>
      <c r="BP1" s="1953"/>
      <c r="BQ1" s="1953"/>
      <c r="BR1" s="1953"/>
      <c r="BS1" s="1953"/>
      <c r="BT1" s="508"/>
      <c r="BU1" s="1950" t="s">
        <v>9</v>
      </c>
      <c r="BV1" s="1950"/>
      <c r="BW1" s="1950"/>
      <c r="BX1" s="1950"/>
      <c r="BY1" s="1950"/>
      <c r="BZ1" s="1950"/>
      <c r="CA1" s="1950"/>
      <c r="CB1" s="1950"/>
    </row>
    <row r="2" spans="1:83" s="246" customFormat="1" ht="14">
      <c r="A2" s="1955"/>
      <c r="B2" s="245"/>
      <c r="C2" s="1956"/>
      <c r="D2" s="849" t="s">
        <v>10</v>
      </c>
      <c r="E2" s="62">
        <v>2016</v>
      </c>
      <c r="F2" s="62">
        <v>2017</v>
      </c>
      <c r="G2" s="62">
        <v>2018</v>
      </c>
      <c r="H2" s="62">
        <v>2019</v>
      </c>
      <c r="I2" s="62">
        <v>2020</v>
      </c>
      <c r="J2" s="62">
        <v>2021</v>
      </c>
      <c r="K2" s="62">
        <v>2022</v>
      </c>
      <c r="L2" s="62" t="s">
        <v>11</v>
      </c>
      <c r="M2" s="62" t="s">
        <v>12</v>
      </c>
      <c r="N2" s="63" t="s">
        <v>13</v>
      </c>
      <c r="O2" s="62">
        <v>2016</v>
      </c>
      <c r="P2" s="62">
        <v>2017</v>
      </c>
      <c r="Q2" s="62">
        <v>2018</v>
      </c>
      <c r="R2" s="62">
        <v>2019</v>
      </c>
      <c r="S2" s="62">
        <v>2020</v>
      </c>
      <c r="T2" s="62">
        <v>2021</v>
      </c>
      <c r="U2" s="62" t="s">
        <v>14</v>
      </c>
      <c r="V2" s="62" t="s">
        <v>11</v>
      </c>
      <c r="W2" s="62" t="s">
        <v>12</v>
      </c>
      <c r="X2" s="63" t="s">
        <v>13</v>
      </c>
      <c r="Y2" s="62">
        <v>2016</v>
      </c>
      <c r="Z2" s="62">
        <v>2017</v>
      </c>
      <c r="AA2" s="62">
        <v>2018</v>
      </c>
      <c r="AB2" s="62">
        <v>2019</v>
      </c>
      <c r="AC2" s="62">
        <v>2020</v>
      </c>
      <c r="AD2" s="62">
        <v>2021</v>
      </c>
      <c r="AE2" s="62">
        <v>2022</v>
      </c>
      <c r="AF2" s="62" t="s">
        <v>11</v>
      </c>
      <c r="AG2" s="62" t="s">
        <v>12</v>
      </c>
      <c r="AH2" s="63" t="s">
        <v>13</v>
      </c>
      <c r="AI2" s="62">
        <v>2016</v>
      </c>
      <c r="AJ2" s="62">
        <v>2017</v>
      </c>
      <c r="AK2" s="62">
        <v>2018</v>
      </c>
      <c r="AL2" s="62">
        <v>2019</v>
      </c>
      <c r="AM2" s="62">
        <v>2020</v>
      </c>
      <c r="AN2" s="62">
        <v>2021</v>
      </c>
      <c r="AO2" s="62">
        <v>2022</v>
      </c>
      <c r="AP2" s="62" t="s">
        <v>11</v>
      </c>
      <c r="AQ2" s="62" t="s">
        <v>12</v>
      </c>
      <c r="AR2" s="63" t="s">
        <v>13</v>
      </c>
      <c r="AS2" s="62">
        <v>2016</v>
      </c>
      <c r="AT2" s="62">
        <v>2017</v>
      </c>
      <c r="AU2" s="62">
        <v>2018</v>
      </c>
      <c r="AV2" s="62">
        <v>2019</v>
      </c>
      <c r="AW2" s="62">
        <v>2020</v>
      </c>
      <c r="AX2" s="62">
        <v>2021</v>
      </c>
      <c r="AY2" s="62">
        <v>2022</v>
      </c>
      <c r="AZ2" s="62" t="s">
        <v>11</v>
      </c>
      <c r="BA2" s="62" t="s">
        <v>12</v>
      </c>
      <c r="BB2" s="63" t="s">
        <v>13</v>
      </c>
      <c r="BC2" s="62">
        <v>2016</v>
      </c>
      <c r="BD2" s="62">
        <v>2017</v>
      </c>
      <c r="BE2" s="62">
        <v>2018</v>
      </c>
      <c r="BF2" s="62">
        <v>2019</v>
      </c>
      <c r="BG2" s="62">
        <v>2020</v>
      </c>
      <c r="BH2" s="62">
        <v>2021</v>
      </c>
      <c r="BI2" s="62">
        <v>2022</v>
      </c>
      <c r="BJ2" s="62" t="s">
        <v>11</v>
      </c>
      <c r="BK2" s="62" t="s">
        <v>12</v>
      </c>
      <c r="BL2" s="63" t="s">
        <v>13</v>
      </c>
      <c r="BM2" s="62">
        <v>2018</v>
      </c>
      <c r="BN2" s="62">
        <v>2019</v>
      </c>
      <c r="BO2" s="62">
        <v>2020</v>
      </c>
      <c r="BP2" s="62">
        <v>2021</v>
      </c>
      <c r="BQ2" s="62">
        <v>2022</v>
      </c>
      <c r="BR2" s="62" t="s">
        <v>11</v>
      </c>
      <c r="BS2" s="62" t="s">
        <v>12</v>
      </c>
      <c r="BT2" s="63" t="s">
        <v>13</v>
      </c>
      <c r="BU2" s="62">
        <v>2016</v>
      </c>
      <c r="BV2" s="62">
        <v>2017</v>
      </c>
      <c r="BW2" s="62">
        <v>2018</v>
      </c>
      <c r="BX2" s="62">
        <v>2019</v>
      </c>
      <c r="BY2" s="62">
        <v>2020</v>
      </c>
      <c r="BZ2" s="62">
        <v>2021</v>
      </c>
      <c r="CA2" s="62">
        <v>2022</v>
      </c>
      <c r="CB2" s="62" t="s">
        <v>11</v>
      </c>
      <c r="CC2" s="62" t="s">
        <v>12</v>
      </c>
      <c r="CD2" s="63" t="s">
        <v>13</v>
      </c>
    </row>
    <row r="3" spans="1:83" ht="15.5">
      <c r="A3" s="1952" t="s">
        <v>15</v>
      </c>
      <c r="B3" s="460" t="s">
        <v>15</v>
      </c>
      <c r="C3" s="39" t="s">
        <v>16</v>
      </c>
      <c r="D3" s="39" t="s">
        <v>17</v>
      </c>
      <c r="E3" s="19">
        <v>590000</v>
      </c>
      <c r="F3" s="19">
        <v>590000</v>
      </c>
      <c r="G3" s="19">
        <v>590000</v>
      </c>
      <c r="H3" s="19">
        <v>590000</v>
      </c>
      <c r="I3" s="19">
        <v>600000</v>
      </c>
      <c r="J3" s="40">
        <v>590000</v>
      </c>
      <c r="K3" s="40">
        <v>590000</v>
      </c>
      <c r="L3" s="40">
        <v>590000</v>
      </c>
      <c r="M3" s="40">
        <v>590000</v>
      </c>
      <c r="N3" s="45">
        <v>590000</v>
      </c>
      <c r="O3" s="19">
        <v>150000</v>
      </c>
      <c r="P3" s="19">
        <v>150000</v>
      </c>
      <c r="Q3" s="19">
        <v>300000</v>
      </c>
      <c r="R3" s="19">
        <v>490000</v>
      </c>
      <c r="S3" s="19">
        <v>600000</v>
      </c>
      <c r="T3" s="19">
        <v>590000</v>
      </c>
      <c r="U3" s="19">
        <v>650000</v>
      </c>
      <c r="V3" s="19">
        <v>650000</v>
      </c>
      <c r="W3" s="19">
        <v>650000</v>
      </c>
      <c r="X3" s="46">
        <v>650000</v>
      </c>
      <c r="Y3" s="67">
        <f t="shared" ref="Y3:AH6" si="0">MAX(0,E3-O3)</f>
        <v>440000</v>
      </c>
      <c r="Z3" s="67">
        <f t="shared" si="0"/>
        <v>440000</v>
      </c>
      <c r="AA3" s="67">
        <f t="shared" si="0"/>
        <v>290000</v>
      </c>
      <c r="AB3" s="67">
        <f t="shared" si="0"/>
        <v>100000</v>
      </c>
      <c r="AC3" s="67">
        <f t="shared" si="0"/>
        <v>0</v>
      </c>
      <c r="AD3" s="67">
        <f t="shared" si="0"/>
        <v>0</v>
      </c>
      <c r="AE3" s="67">
        <f t="shared" si="0"/>
        <v>0</v>
      </c>
      <c r="AF3" s="67">
        <f t="shared" si="0"/>
        <v>0</v>
      </c>
      <c r="AG3" s="67">
        <f t="shared" si="0"/>
        <v>0</v>
      </c>
      <c r="AH3" s="68">
        <f t="shared" si="0"/>
        <v>0</v>
      </c>
      <c r="AI3" s="31">
        <v>0.56000000000000005</v>
      </c>
      <c r="AJ3" s="31">
        <v>0.67400000000000004</v>
      </c>
      <c r="AK3" s="31">
        <v>0.71499999999999997</v>
      </c>
      <c r="AL3" s="31">
        <v>0.745</v>
      </c>
      <c r="AM3" s="31">
        <v>0.59425666666666666</v>
      </c>
      <c r="AN3" s="247">
        <f>BH3/T3</f>
        <v>0.75335762711864407</v>
      </c>
      <c r="AO3" s="70">
        <v>0.8</v>
      </c>
      <c r="AP3" s="298">
        <v>0.9</v>
      </c>
      <c r="AQ3" s="518">
        <v>1</v>
      </c>
      <c r="AR3" s="844"/>
      <c r="AS3" s="518"/>
      <c r="AT3" s="518"/>
      <c r="AU3" s="518"/>
      <c r="AV3" s="518"/>
      <c r="AW3" s="518"/>
      <c r="AX3" s="518"/>
      <c r="AY3" s="518"/>
      <c r="AZ3" s="518"/>
      <c r="BA3" s="518"/>
      <c r="BB3" s="300"/>
      <c r="BC3" s="19">
        <v>83940</v>
      </c>
      <c r="BD3" s="19">
        <v>101027</v>
      </c>
      <c r="BE3" s="19">
        <v>214459</v>
      </c>
      <c r="BF3" s="19">
        <v>365232</v>
      </c>
      <c r="BG3" s="19">
        <v>356554</v>
      </c>
      <c r="BH3" s="19">
        <v>444481</v>
      </c>
      <c r="BI3" s="75">
        <f t="shared" ref="BI3:BK6" si="1">AO3*U3</f>
        <v>520000</v>
      </c>
      <c r="BJ3" s="75">
        <f t="shared" si="1"/>
        <v>585000</v>
      </c>
      <c r="BK3" s="75">
        <f t="shared" si="1"/>
        <v>650000</v>
      </c>
      <c r="BL3" s="76"/>
      <c r="BM3" s="75"/>
      <c r="BN3" s="75"/>
      <c r="BO3" s="75">
        <f>BG3*(BO$7/BG$7)</f>
        <v>335320.3967418492</v>
      </c>
      <c r="BP3" s="75">
        <f t="shared" ref="BP3" si="2">BH3*(BP$7/BH$7)</f>
        <v>433458.52357414161</v>
      </c>
      <c r="BQ3" s="75">
        <f t="shared" ref="BQ3" si="3">BI3*(BQ$7/BI$7)</f>
        <v>503568.37575569662</v>
      </c>
      <c r="BR3" s="75">
        <f t="shared" ref="BR3" si="4">BJ3*(BR$7/BJ$7)</f>
        <v>558630.19879038609</v>
      </c>
      <c r="BS3" s="75">
        <f t="shared" ref="BS3" si="5">BK3*(BS$7/BK$7)</f>
        <v>641375.71802009654</v>
      </c>
      <c r="BT3" s="76"/>
      <c r="BU3" s="19">
        <v>76285</v>
      </c>
      <c r="BV3" s="19">
        <v>103181</v>
      </c>
      <c r="BW3" s="41">
        <v>245240</v>
      </c>
      <c r="BX3" s="19">
        <v>367656</v>
      </c>
      <c r="BY3" s="19">
        <v>356554</v>
      </c>
      <c r="BZ3" s="19">
        <v>452042</v>
      </c>
      <c r="CA3" s="75">
        <f>MIN(BI3,BQ3)</f>
        <v>503568.37575569662</v>
      </c>
      <c r="CB3" s="75">
        <f>MIN(BJ3,BR3)</f>
        <v>558630.19879038609</v>
      </c>
      <c r="CC3" s="75">
        <f>MIN(BK3,BS3)</f>
        <v>641375.71802009654</v>
      </c>
      <c r="CD3" s="75"/>
    </row>
    <row r="4" spans="1:83" ht="15.5">
      <c r="A4" s="1952"/>
      <c r="B4" s="460"/>
      <c r="C4" s="39" t="s">
        <v>18</v>
      </c>
      <c r="D4" s="39" t="s">
        <v>19</v>
      </c>
      <c r="E4" s="19">
        <v>0</v>
      </c>
      <c r="F4" s="19">
        <v>0</v>
      </c>
      <c r="G4" s="19">
        <v>0</v>
      </c>
      <c r="H4" s="19">
        <v>450000</v>
      </c>
      <c r="I4" s="19">
        <v>450000</v>
      </c>
      <c r="J4" s="237">
        <v>1000000</v>
      </c>
      <c r="K4" s="237">
        <f>J4</f>
        <v>1000000</v>
      </c>
      <c r="L4" s="237">
        <f>K4</f>
        <v>1000000</v>
      </c>
      <c r="M4" s="237">
        <f>L4</f>
        <v>1000000</v>
      </c>
      <c r="N4" s="274">
        <f>M4</f>
        <v>1000000</v>
      </c>
      <c r="O4" s="19">
        <v>0</v>
      </c>
      <c r="P4" s="19">
        <v>0</v>
      </c>
      <c r="Q4" s="19">
        <v>0</v>
      </c>
      <c r="R4" s="19">
        <v>0</v>
      </c>
      <c r="S4" s="238">
        <f>3500*52</f>
        <v>182000</v>
      </c>
      <c r="T4" s="238">
        <f>50000*12</f>
        <v>600000</v>
      </c>
      <c r="U4" s="238">
        <v>750000</v>
      </c>
      <c r="V4" s="238">
        <v>1000000</v>
      </c>
      <c r="W4" s="238">
        <v>1000000</v>
      </c>
      <c r="X4" s="275">
        <v>1000000</v>
      </c>
      <c r="Y4" s="67">
        <f t="shared" si="0"/>
        <v>0</v>
      </c>
      <c r="Z4" s="67">
        <f t="shared" si="0"/>
        <v>0</v>
      </c>
      <c r="AA4" s="67">
        <f t="shared" si="0"/>
        <v>0</v>
      </c>
      <c r="AB4" s="67">
        <f t="shared" si="0"/>
        <v>450000</v>
      </c>
      <c r="AC4" s="67">
        <f t="shared" si="0"/>
        <v>268000</v>
      </c>
      <c r="AD4" s="67">
        <f t="shared" si="0"/>
        <v>400000</v>
      </c>
      <c r="AE4" s="67">
        <f t="shared" si="0"/>
        <v>250000</v>
      </c>
      <c r="AF4" s="67">
        <f t="shared" si="0"/>
        <v>0</v>
      </c>
      <c r="AG4" s="67">
        <f t="shared" si="0"/>
        <v>0</v>
      </c>
      <c r="AH4" s="68">
        <f t="shared" si="0"/>
        <v>0</v>
      </c>
      <c r="AI4" s="31"/>
      <c r="AJ4" s="31"/>
      <c r="AK4" s="31"/>
      <c r="AL4" s="31"/>
      <c r="AM4" s="31">
        <v>0.61299999999999999</v>
      </c>
      <c r="AN4" s="247">
        <f>BH4/T4</f>
        <v>0.80964499999999995</v>
      </c>
      <c r="AO4" s="298">
        <v>0.9</v>
      </c>
      <c r="AP4" s="298">
        <v>0.8</v>
      </c>
      <c r="AQ4" s="518">
        <v>0.85</v>
      </c>
      <c r="AR4" s="300"/>
      <c r="AS4" s="518"/>
      <c r="AT4" s="518"/>
      <c r="AU4" s="518"/>
      <c r="AV4" s="518"/>
      <c r="AW4" s="518"/>
      <c r="AX4" s="518"/>
      <c r="AY4" s="518"/>
      <c r="AZ4" s="518"/>
      <c r="BA4" s="518"/>
      <c r="BB4" s="300"/>
      <c r="BC4" s="19">
        <v>0</v>
      </c>
      <c r="BD4" s="19">
        <v>0</v>
      </c>
      <c r="BE4" s="19">
        <v>0</v>
      </c>
      <c r="BF4" s="19">
        <v>0</v>
      </c>
      <c r="BG4" s="19">
        <v>153183</v>
      </c>
      <c r="BH4" s="19">
        <v>485787</v>
      </c>
      <c r="BI4" s="75">
        <f t="shared" si="1"/>
        <v>675000</v>
      </c>
      <c r="BJ4" s="75">
        <f t="shared" si="1"/>
        <v>800000</v>
      </c>
      <c r="BK4" s="75">
        <f t="shared" si="1"/>
        <v>850000</v>
      </c>
      <c r="BL4" s="76"/>
      <c r="BM4" s="75"/>
      <c r="BN4" s="75"/>
      <c r="BO4" s="75">
        <f>BG4*(BO$7/BG$7)</f>
        <v>144060.60325815078</v>
      </c>
      <c r="BP4" s="75">
        <f>BH4*(BP$7/BH$7)</f>
        <v>473740.19539982936</v>
      </c>
      <c r="BQ4" s="75">
        <f>BI4*(BQ$7/BI$7)</f>
        <v>653670.48775979853</v>
      </c>
      <c r="BR4" s="75">
        <f>BJ4*(BR$7/BJ$7)</f>
        <v>763938.73338856222</v>
      </c>
      <c r="BS4" s="75">
        <f>BK4*(BS$7/BK$7)</f>
        <v>838722.09279551089</v>
      </c>
      <c r="BT4" s="76"/>
      <c r="BU4" s="19">
        <v>0</v>
      </c>
      <c r="BV4" s="19">
        <v>0</v>
      </c>
      <c r="BW4" s="19">
        <v>0</v>
      </c>
      <c r="BX4" s="19">
        <v>0</v>
      </c>
      <c r="BY4" s="19">
        <v>146138</v>
      </c>
      <c r="BZ4" s="19">
        <v>484130</v>
      </c>
      <c r="CA4" s="75">
        <f>MIN(BI4,BQ4)</f>
        <v>653670.48775979853</v>
      </c>
      <c r="CB4" s="75">
        <f t="shared" ref="CB4:CB6" si="6">MIN(BJ4,BR4)</f>
        <v>763938.73338856222</v>
      </c>
      <c r="CC4" s="75">
        <f>MIN(BK4,BS4)</f>
        <v>838722.09279551089</v>
      </c>
      <c r="CD4" s="75"/>
    </row>
    <row r="5" spans="1:83" ht="15.5">
      <c r="A5" s="1952"/>
      <c r="B5" s="460"/>
      <c r="C5" s="39" t="s">
        <v>20</v>
      </c>
      <c r="D5" s="39" t="s">
        <v>21</v>
      </c>
      <c r="E5" s="19">
        <v>0</v>
      </c>
      <c r="F5" s="19">
        <v>0</v>
      </c>
      <c r="G5" s="19">
        <v>0</v>
      </c>
      <c r="H5" s="19">
        <v>0</v>
      </c>
      <c r="I5" s="19">
        <v>0</v>
      </c>
      <c r="J5" s="19">
        <v>500000</v>
      </c>
      <c r="K5" s="19">
        <v>500000</v>
      </c>
      <c r="L5" s="19">
        <v>500000</v>
      </c>
      <c r="M5" s="19">
        <v>500000</v>
      </c>
      <c r="N5" s="46">
        <v>500000</v>
      </c>
      <c r="O5" s="19">
        <v>0</v>
      </c>
      <c r="P5" s="19">
        <v>0</v>
      </c>
      <c r="Q5" s="19">
        <v>0</v>
      </c>
      <c r="R5" s="19">
        <v>0</v>
      </c>
      <c r="S5" s="19">
        <v>0</v>
      </c>
      <c r="T5" s="19">
        <v>0</v>
      </c>
      <c r="U5" s="238">
        <v>250000</v>
      </c>
      <c r="V5" s="238">
        <f>L5/3*2</f>
        <v>333333.33333333331</v>
      </c>
      <c r="W5" s="238">
        <v>500000</v>
      </c>
      <c r="X5" s="275">
        <v>500000</v>
      </c>
      <c r="Y5" s="67">
        <f t="shared" si="0"/>
        <v>0</v>
      </c>
      <c r="Z5" s="67">
        <f t="shared" si="0"/>
        <v>0</v>
      </c>
      <c r="AA5" s="67">
        <f t="shared" si="0"/>
        <v>0</v>
      </c>
      <c r="AB5" s="67">
        <f t="shared" si="0"/>
        <v>0</v>
      </c>
      <c r="AC5" s="67">
        <f t="shared" si="0"/>
        <v>0</v>
      </c>
      <c r="AD5" s="67">
        <f t="shared" si="0"/>
        <v>500000</v>
      </c>
      <c r="AE5" s="67">
        <f t="shared" si="0"/>
        <v>250000</v>
      </c>
      <c r="AF5" s="67">
        <f t="shared" si="0"/>
        <v>166666.66666666669</v>
      </c>
      <c r="AG5" s="67">
        <f t="shared" si="0"/>
        <v>0</v>
      </c>
      <c r="AH5" s="68">
        <f t="shared" si="0"/>
        <v>0</v>
      </c>
      <c r="AI5" s="31"/>
      <c r="AJ5" s="31"/>
      <c r="AK5" s="31"/>
      <c r="AL5" s="31"/>
      <c r="AM5" s="31"/>
      <c r="AN5" s="247"/>
      <c r="AO5" s="70">
        <f>AI3/2</f>
        <v>0.28000000000000003</v>
      </c>
      <c r="AP5" s="298">
        <f>AI3</f>
        <v>0.56000000000000005</v>
      </c>
      <c r="AQ5" s="298">
        <f>AJ3</f>
        <v>0.67400000000000004</v>
      </c>
      <c r="AR5" s="300"/>
      <c r="AS5" s="518"/>
      <c r="AT5" s="518"/>
      <c r="AU5" s="518"/>
      <c r="AV5" s="518"/>
      <c r="AW5" s="518"/>
      <c r="AX5" s="518"/>
      <c r="AY5" s="518"/>
      <c r="AZ5" s="518"/>
      <c r="BA5" s="518"/>
      <c r="BB5" s="300"/>
      <c r="BC5" s="19">
        <v>0</v>
      </c>
      <c r="BD5" s="19">
        <v>0</v>
      </c>
      <c r="BE5" s="19">
        <v>0</v>
      </c>
      <c r="BF5" s="19">
        <v>0</v>
      </c>
      <c r="BG5" s="19">
        <v>0</v>
      </c>
      <c r="BH5" s="19">
        <v>154</v>
      </c>
      <c r="BI5" s="75">
        <f t="shared" si="1"/>
        <v>70000</v>
      </c>
      <c r="BJ5" s="75">
        <f t="shared" si="1"/>
        <v>186666.66666666669</v>
      </c>
      <c r="BK5" s="75">
        <f t="shared" si="1"/>
        <v>337000</v>
      </c>
      <c r="BL5" s="76"/>
      <c r="BM5" s="75"/>
      <c r="BN5" s="75"/>
      <c r="BO5" s="75">
        <f>BG5*(BO$7/BG$7)</f>
        <v>0</v>
      </c>
      <c r="BP5" s="75">
        <f t="shared" ref="BP5:BP6" si="7">BH5*(BP$7/BH$7)</f>
        <v>150.18102602904918</v>
      </c>
      <c r="BQ5" s="75">
        <f t="shared" ref="BQ5:BQ6" si="8">BI5*(BQ$7/BI$7)</f>
        <v>67788.050582497614</v>
      </c>
      <c r="BR5" s="75">
        <f t="shared" ref="BR5:BR6" si="9">BJ5*(BR$7/BJ$7)</f>
        <v>178252.37112399787</v>
      </c>
      <c r="BS5" s="75">
        <f t="shared" ref="BS5:BS6" si="10">BK5*(BS$7/BK$7)</f>
        <v>332528.64149657311</v>
      </c>
      <c r="BT5" s="76"/>
      <c r="BU5" s="19">
        <v>0</v>
      </c>
      <c r="BV5" s="19">
        <v>0</v>
      </c>
      <c r="BW5" s="19">
        <v>0</v>
      </c>
      <c r="BX5" s="19">
        <v>0</v>
      </c>
      <c r="BY5" s="19">
        <v>0</v>
      </c>
      <c r="BZ5" s="19">
        <v>0</v>
      </c>
      <c r="CA5" s="75">
        <f t="shared" ref="CA5" si="11">MIN(BI5,BQ5)</f>
        <v>67788.050582497614</v>
      </c>
      <c r="CB5" s="75">
        <f t="shared" si="6"/>
        <v>178252.37112399787</v>
      </c>
      <c r="CC5" s="75">
        <f>MIN(BK5,BS5)</f>
        <v>332528.64149657311</v>
      </c>
      <c r="CD5" s="75"/>
    </row>
    <row r="6" spans="1:83" ht="15.5">
      <c r="A6" s="1952"/>
      <c r="B6" s="460"/>
      <c r="C6" s="39" t="s">
        <v>22</v>
      </c>
      <c r="D6" s="39" t="s">
        <v>23</v>
      </c>
      <c r="E6" s="19">
        <v>0</v>
      </c>
      <c r="F6" s="19">
        <v>0</v>
      </c>
      <c r="G6" s="19">
        <v>0</v>
      </c>
      <c r="H6" s="19">
        <v>0</v>
      </c>
      <c r="I6" s="19">
        <v>0</v>
      </c>
      <c r="J6" s="19">
        <v>0</v>
      </c>
      <c r="K6" s="19">
        <v>500000</v>
      </c>
      <c r="L6" s="19">
        <v>500000</v>
      </c>
      <c r="M6" s="19">
        <v>500000</v>
      </c>
      <c r="N6" s="46">
        <v>500000</v>
      </c>
      <c r="O6" s="19">
        <v>0</v>
      </c>
      <c r="P6" s="19">
        <v>0</v>
      </c>
      <c r="Q6" s="19">
        <v>0</v>
      </c>
      <c r="R6" s="19">
        <v>0</v>
      </c>
      <c r="S6" s="19">
        <v>0</v>
      </c>
      <c r="T6" s="19">
        <v>0</v>
      </c>
      <c r="U6" s="238">
        <v>250000</v>
      </c>
      <c r="V6" s="238">
        <f>L6/3*2</f>
        <v>333333.33333333331</v>
      </c>
      <c r="W6" s="238">
        <f>M6/3*2</f>
        <v>333333.33333333331</v>
      </c>
      <c r="X6" s="275">
        <f>N6/3*2</f>
        <v>333333.33333333331</v>
      </c>
      <c r="Y6" s="67">
        <f t="shared" si="0"/>
        <v>0</v>
      </c>
      <c r="Z6" s="67">
        <f t="shared" si="0"/>
        <v>0</v>
      </c>
      <c r="AA6" s="67">
        <f t="shared" si="0"/>
        <v>0</v>
      </c>
      <c r="AB6" s="67">
        <f t="shared" si="0"/>
        <v>0</v>
      </c>
      <c r="AC6" s="67">
        <f t="shared" si="0"/>
        <v>0</v>
      </c>
      <c r="AD6" s="67">
        <f t="shared" si="0"/>
        <v>0</v>
      </c>
      <c r="AE6" s="67">
        <f t="shared" si="0"/>
        <v>250000</v>
      </c>
      <c r="AF6" s="67">
        <f t="shared" si="0"/>
        <v>166666.66666666669</v>
      </c>
      <c r="AG6" s="67">
        <f t="shared" si="0"/>
        <v>166666.66666666669</v>
      </c>
      <c r="AH6" s="68">
        <f t="shared" si="0"/>
        <v>166666.66666666669</v>
      </c>
      <c r="AI6" s="31"/>
      <c r="AJ6" s="31"/>
      <c r="AK6" s="31"/>
      <c r="AL6" s="31"/>
      <c r="AM6" s="31"/>
      <c r="AN6" s="69"/>
      <c r="AO6" s="70">
        <f>AI3/2</f>
        <v>0.28000000000000003</v>
      </c>
      <c r="AP6" s="298">
        <f>AJ3</f>
        <v>0.67400000000000004</v>
      </c>
      <c r="AQ6" s="518">
        <f>AK3</f>
        <v>0.71499999999999997</v>
      </c>
      <c r="AR6" s="300"/>
      <c r="AS6" s="518"/>
      <c r="AT6" s="518"/>
      <c r="AU6" s="518"/>
      <c r="AV6" s="518"/>
      <c r="AW6" s="518"/>
      <c r="AX6" s="518"/>
      <c r="AY6" s="518"/>
      <c r="AZ6" s="518"/>
      <c r="BA6" s="518"/>
      <c r="BB6" s="300"/>
      <c r="BC6" s="19">
        <v>0</v>
      </c>
      <c r="BD6" s="19">
        <v>0</v>
      </c>
      <c r="BE6" s="19">
        <v>0</v>
      </c>
      <c r="BF6" s="19">
        <v>0</v>
      </c>
      <c r="BG6" s="19">
        <v>0</v>
      </c>
      <c r="BH6" s="19">
        <v>0</v>
      </c>
      <c r="BI6" s="75">
        <f t="shared" si="1"/>
        <v>70000</v>
      </c>
      <c r="BJ6" s="75">
        <f t="shared" si="1"/>
        <v>224666.66666666666</v>
      </c>
      <c r="BK6" s="75">
        <f t="shared" si="1"/>
        <v>238333.33333333331</v>
      </c>
      <c r="BL6" s="76"/>
      <c r="BM6" s="75"/>
      <c r="BN6" s="75"/>
      <c r="BO6" s="75">
        <f>BG6*(BO$7/BG$7)</f>
        <v>0</v>
      </c>
      <c r="BP6" s="75">
        <f t="shared" si="7"/>
        <v>0</v>
      </c>
      <c r="BQ6" s="75">
        <f t="shared" si="8"/>
        <v>67788.050582497614</v>
      </c>
      <c r="BR6" s="75">
        <f t="shared" si="9"/>
        <v>214539.46095995457</v>
      </c>
      <c r="BS6" s="75">
        <f t="shared" si="10"/>
        <v>235171.09660736873</v>
      </c>
      <c r="BT6" s="76"/>
      <c r="BU6" s="19">
        <v>0</v>
      </c>
      <c r="BV6" s="19">
        <v>0</v>
      </c>
      <c r="BW6" s="19">
        <v>0</v>
      </c>
      <c r="BX6" s="19">
        <v>0</v>
      </c>
      <c r="BY6" s="19">
        <v>0</v>
      </c>
      <c r="BZ6" s="19">
        <v>0</v>
      </c>
      <c r="CA6" s="75">
        <f>MIN(BI6,BQ6)</f>
        <v>67788.050582497614</v>
      </c>
      <c r="CB6" s="75">
        <f t="shared" si="6"/>
        <v>214539.46095995457</v>
      </c>
      <c r="CC6" s="75">
        <f>MIN(BK6,BS6)</f>
        <v>235171.09660736873</v>
      </c>
      <c r="CD6" s="75"/>
    </row>
    <row r="7" spans="1:83" ht="14">
      <c r="A7" s="1952"/>
      <c r="B7" s="460"/>
      <c r="C7" s="42" t="s">
        <v>24</v>
      </c>
      <c r="D7" s="42"/>
      <c r="E7" s="71">
        <f>SUM(E3:E6)</f>
        <v>590000</v>
      </c>
      <c r="F7" s="71">
        <f t="shared" ref="F7:J7" si="12">SUM(F3:F6)</f>
        <v>590000</v>
      </c>
      <c r="G7" s="71">
        <f t="shared" si="12"/>
        <v>590000</v>
      </c>
      <c r="H7" s="71">
        <f t="shared" si="12"/>
        <v>1040000</v>
      </c>
      <c r="I7" s="71">
        <f t="shared" si="12"/>
        <v>1050000</v>
      </c>
      <c r="J7" s="71">
        <f t="shared" si="12"/>
        <v>2090000</v>
      </c>
      <c r="K7" s="71">
        <f t="shared" ref="K7" si="13">SUM(K3:K6)</f>
        <v>2590000</v>
      </c>
      <c r="L7" s="71">
        <f t="shared" ref="L7:N7" si="14">SUM(L3:L6)</f>
        <v>2590000</v>
      </c>
      <c r="M7" s="71">
        <f t="shared" si="14"/>
        <v>2590000</v>
      </c>
      <c r="N7" s="72">
        <f t="shared" si="14"/>
        <v>2590000</v>
      </c>
      <c r="O7" s="71">
        <f>SUM(O3:O6)</f>
        <v>150000</v>
      </c>
      <c r="P7" s="71">
        <f t="shared" ref="P7:V7" si="15">SUM(P3:P6)</f>
        <v>150000</v>
      </c>
      <c r="Q7" s="71">
        <f t="shared" si="15"/>
        <v>300000</v>
      </c>
      <c r="R7" s="71">
        <f t="shared" si="15"/>
        <v>490000</v>
      </c>
      <c r="S7" s="71">
        <f t="shared" si="15"/>
        <v>782000</v>
      </c>
      <c r="T7" s="71">
        <f t="shared" si="15"/>
        <v>1190000</v>
      </c>
      <c r="U7" s="71">
        <f t="shared" si="15"/>
        <v>1900000</v>
      </c>
      <c r="V7" s="71">
        <f t="shared" si="15"/>
        <v>2316666.6666666665</v>
      </c>
      <c r="W7" s="71">
        <f t="shared" ref="W7:X7" si="16">SUM(W3:W6)</f>
        <v>2483333.3333333335</v>
      </c>
      <c r="X7" s="72">
        <f t="shared" si="16"/>
        <v>2483333.3333333335</v>
      </c>
      <c r="Y7" s="71">
        <f>SUM(Y3:Y6)</f>
        <v>440000</v>
      </c>
      <c r="Z7" s="71">
        <f t="shared" ref="Z7:AF7" si="17">SUM(Z3:Z6)</f>
        <v>440000</v>
      </c>
      <c r="AA7" s="71">
        <f t="shared" si="17"/>
        <v>290000</v>
      </c>
      <c r="AB7" s="71">
        <f t="shared" si="17"/>
        <v>550000</v>
      </c>
      <c r="AC7" s="71">
        <f t="shared" si="17"/>
        <v>268000</v>
      </c>
      <c r="AD7" s="71">
        <f t="shared" si="17"/>
        <v>900000</v>
      </c>
      <c r="AE7" s="71">
        <f t="shared" si="17"/>
        <v>750000</v>
      </c>
      <c r="AF7" s="71">
        <f t="shared" si="17"/>
        <v>333333.33333333337</v>
      </c>
      <c r="AG7" s="71">
        <f t="shared" ref="AG7:AH7" si="18">SUM(AG3:AG6)</f>
        <v>166666.66666666669</v>
      </c>
      <c r="AH7" s="72">
        <f t="shared" si="18"/>
        <v>166666.66666666669</v>
      </c>
      <c r="AI7" s="73">
        <f t="shared" ref="AI7:AQ7" si="19">BC7/O7</f>
        <v>0.55959999999999999</v>
      </c>
      <c r="AJ7" s="73">
        <f t="shared" si="19"/>
        <v>0.6735133333333333</v>
      </c>
      <c r="AK7" s="73">
        <f t="shared" si="19"/>
        <v>0.7148633333333333</v>
      </c>
      <c r="AL7" s="73">
        <f t="shared" si="19"/>
        <v>0.74537142857142857</v>
      </c>
      <c r="AM7" s="73">
        <f t="shared" si="19"/>
        <v>0.65183759590792834</v>
      </c>
      <c r="AN7" s="73">
        <f t="shared" si="19"/>
        <v>0.78186722689075627</v>
      </c>
      <c r="AO7" s="73">
        <f t="shared" si="19"/>
        <v>0.70263157894736838</v>
      </c>
      <c r="AP7" s="73">
        <f t="shared" si="19"/>
        <v>0.77539568345323751</v>
      </c>
      <c r="AQ7" s="73">
        <f t="shared" si="19"/>
        <v>0.83570469798657709</v>
      </c>
      <c r="AR7" s="74"/>
      <c r="AS7" s="520">
        <v>0.69</v>
      </c>
      <c r="AT7" s="520">
        <v>0.66</v>
      </c>
      <c r="AU7" s="520">
        <v>1.07</v>
      </c>
      <c r="AV7" s="520">
        <v>1.23</v>
      </c>
      <c r="AW7" s="520">
        <v>1.45</v>
      </c>
      <c r="AX7" s="520">
        <v>1.97</v>
      </c>
      <c r="AY7" s="520">
        <v>2.35</v>
      </c>
      <c r="AZ7" s="520"/>
      <c r="BA7" s="520"/>
      <c r="BB7" s="836"/>
      <c r="BC7" s="71">
        <f>SUM(BC3:BC6)</f>
        <v>83940</v>
      </c>
      <c r="BD7" s="71">
        <f t="shared" ref="BD7:BI7" si="20">SUM(BD3:BD6)</f>
        <v>101027</v>
      </c>
      <c r="BE7" s="71">
        <f t="shared" si="20"/>
        <v>214459</v>
      </c>
      <c r="BF7" s="71">
        <f t="shared" si="20"/>
        <v>365232</v>
      </c>
      <c r="BG7" s="71">
        <f t="shared" si="20"/>
        <v>509737</v>
      </c>
      <c r="BH7" s="71">
        <f>SUM(BH3:BH6)</f>
        <v>930422</v>
      </c>
      <c r="BI7" s="71">
        <f t="shared" si="20"/>
        <v>1335000</v>
      </c>
      <c r="BJ7" s="71">
        <f t="shared" ref="BJ7:BK7" si="21">SUM(BJ3:BJ6)</f>
        <v>1796333.3333333335</v>
      </c>
      <c r="BK7" s="71">
        <f t="shared" si="21"/>
        <v>2075333.3333333333</v>
      </c>
      <c r="BL7" s="72"/>
      <c r="BM7" s="71"/>
      <c r="BN7" s="71"/>
      <c r="BO7" s="517">
        <f>'Price&amp;Q'!CL17</f>
        <v>479381</v>
      </c>
      <c r="BP7" s="517">
        <f>'Price&amp;Q'!CM17</f>
        <v>907348.9</v>
      </c>
      <c r="BQ7" s="517">
        <f>'Price&amp;Q'!CN17</f>
        <v>1292814.9646804903</v>
      </c>
      <c r="BR7" s="517">
        <f>'Price&amp;Q'!CO17</f>
        <v>1715360.7642629009</v>
      </c>
      <c r="BS7" s="517">
        <f>'Price&amp;Q'!CP17</f>
        <v>2047797.5489195492</v>
      </c>
      <c r="BT7" s="524"/>
      <c r="BU7" s="71">
        <f>SUM(BU3:BU6)</f>
        <v>76285</v>
      </c>
      <c r="BV7" s="71">
        <f>SUM(BV3:BV6)</f>
        <v>103181</v>
      </c>
      <c r="BW7" s="71">
        <f t="shared" ref="BW7:BY7" si="22">SUM(BW3:BW6)</f>
        <v>245240</v>
      </c>
      <c r="BX7" s="71">
        <f t="shared" si="22"/>
        <v>367656</v>
      </c>
      <c r="BY7" s="71">
        <f t="shared" si="22"/>
        <v>502692</v>
      </c>
      <c r="BZ7" s="71">
        <f>SUM(BZ3:BZ6)</f>
        <v>936172</v>
      </c>
      <c r="CA7" s="71">
        <f t="shared" ref="CA7:CC7" si="23">SUM(CA3:CA6)</f>
        <v>1292814.9646804903</v>
      </c>
      <c r="CB7" s="71">
        <f t="shared" si="23"/>
        <v>1715360.7642629009</v>
      </c>
      <c r="CC7" s="71">
        <f t="shared" si="23"/>
        <v>2047797.5489195492</v>
      </c>
      <c r="CD7" s="71"/>
    </row>
    <row r="8" spans="1:83" ht="15.5">
      <c r="A8" s="1952" t="s">
        <v>25</v>
      </c>
      <c r="B8" s="460" t="s">
        <v>26</v>
      </c>
      <c r="C8" t="s">
        <v>27</v>
      </c>
      <c r="D8" t="s">
        <v>28</v>
      </c>
      <c r="E8" s="78">
        <v>300000</v>
      </c>
      <c r="F8" s="78">
        <v>300000</v>
      </c>
      <c r="G8" s="78">
        <v>300000</v>
      </c>
      <c r="H8" s="78">
        <v>300000</v>
      </c>
      <c r="I8" s="78">
        <v>300000</v>
      </c>
      <c r="J8" s="78">
        <v>300000</v>
      </c>
      <c r="K8" s="78">
        <v>300000</v>
      </c>
      <c r="L8" s="78">
        <v>300000</v>
      </c>
      <c r="M8" s="78">
        <v>300000</v>
      </c>
      <c r="N8" s="79">
        <v>300000</v>
      </c>
      <c r="O8" s="78">
        <v>300000</v>
      </c>
      <c r="P8" s="78">
        <v>300000</v>
      </c>
      <c r="Q8" s="78">
        <v>300000</v>
      </c>
      <c r="R8" s="78">
        <v>300000</v>
      </c>
      <c r="S8" s="78">
        <v>300000</v>
      </c>
      <c r="T8" s="78">
        <v>300000</v>
      </c>
      <c r="U8" s="77">
        <v>300000</v>
      </c>
      <c r="V8" s="77">
        <v>300000</v>
      </c>
      <c r="W8" s="77">
        <v>300000</v>
      </c>
      <c r="X8" s="80">
        <v>300000</v>
      </c>
      <c r="Y8" s="75">
        <f t="shared" ref="Y8:AH10" si="24">MAX(0,E8-O8)</f>
        <v>0</v>
      </c>
      <c r="Z8" s="75">
        <f t="shared" si="24"/>
        <v>0</v>
      </c>
      <c r="AA8" s="75">
        <f t="shared" si="24"/>
        <v>0</v>
      </c>
      <c r="AB8" s="75">
        <f t="shared" si="24"/>
        <v>0</v>
      </c>
      <c r="AC8" s="75">
        <f t="shared" si="24"/>
        <v>0</v>
      </c>
      <c r="AD8" s="75">
        <f t="shared" si="24"/>
        <v>0</v>
      </c>
      <c r="AE8" s="75">
        <f t="shared" si="24"/>
        <v>0</v>
      </c>
      <c r="AF8" s="75">
        <f t="shared" si="24"/>
        <v>0</v>
      </c>
      <c r="AG8" s="75">
        <f t="shared" si="24"/>
        <v>0</v>
      </c>
      <c r="AH8" s="76">
        <f t="shared" si="24"/>
        <v>0</v>
      </c>
      <c r="AI8" s="19"/>
      <c r="AJ8" s="19"/>
      <c r="AK8" s="19"/>
      <c r="AL8" s="19"/>
      <c r="AM8" s="19"/>
      <c r="AN8" s="247">
        <f>BH8/T8</f>
        <v>0.72833333333333339</v>
      </c>
      <c r="AO8" s="70">
        <v>1.1000000000000001</v>
      </c>
      <c r="AP8" s="70">
        <f>MIN(100%,AO8+10%)</f>
        <v>1</v>
      </c>
      <c r="AQ8" s="298">
        <f>MIN(100%,AP8+10%)</f>
        <v>1</v>
      </c>
      <c r="AR8" s="844">
        <f>MIN(100%,AQ8+10%)</f>
        <v>1</v>
      </c>
      <c r="AS8" s="518"/>
      <c r="AT8" s="518"/>
      <c r="AU8" s="518"/>
      <c r="AV8" s="518"/>
      <c r="AW8" s="518"/>
      <c r="AX8" s="518"/>
      <c r="AY8" s="518"/>
      <c r="AZ8" s="518"/>
      <c r="BA8" s="518"/>
      <c r="BB8" s="300"/>
      <c r="BC8" s="19"/>
      <c r="BD8" s="19"/>
      <c r="BE8" s="19"/>
      <c r="BF8" s="19"/>
      <c r="BG8" s="19"/>
      <c r="BH8" s="75">
        <f>(257000+2000*90)/2</f>
        <v>218500</v>
      </c>
      <c r="BI8" s="516">
        <f>AO8*U8</f>
        <v>330000</v>
      </c>
      <c r="BJ8" s="516">
        <f>AP8*V8</f>
        <v>300000</v>
      </c>
      <c r="BK8" s="837">
        <f>AQ8*W8</f>
        <v>300000</v>
      </c>
      <c r="BL8" s="842">
        <f>AR8*X8</f>
        <v>300000</v>
      </c>
      <c r="BM8" s="516"/>
      <c r="BN8" s="516"/>
      <c r="BO8" s="516"/>
      <c r="BP8" s="516"/>
      <c r="BQ8" s="516"/>
      <c r="BR8" s="516"/>
      <c r="BS8" s="516"/>
      <c r="BT8" s="525"/>
      <c r="BU8" s="19"/>
      <c r="BV8" s="19"/>
      <c r="BW8" s="19"/>
      <c r="BX8" s="19"/>
      <c r="BY8" s="19"/>
      <c r="BZ8" s="75">
        <f t="shared" ref="BZ8" si="25">BH8</f>
        <v>218500</v>
      </c>
      <c r="CA8" s="75">
        <f t="shared" ref="CA8:CD12" si="26">BI8</f>
        <v>330000</v>
      </c>
      <c r="CB8" s="75">
        <f t="shared" si="26"/>
        <v>300000</v>
      </c>
      <c r="CC8" s="75">
        <f t="shared" si="26"/>
        <v>300000</v>
      </c>
      <c r="CD8" s="75">
        <f t="shared" si="26"/>
        <v>300000</v>
      </c>
    </row>
    <row r="9" spans="1:83" ht="15.5">
      <c r="A9" s="1952"/>
      <c r="B9" s="460"/>
      <c r="C9" t="s">
        <v>29</v>
      </c>
      <c r="D9" t="s">
        <v>30</v>
      </c>
      <c r="E9" s="78"/>
      <c r="F9" s="78"/>
      <c r="H9" s="78"/>
      <c r="I9" s="78"/>
      <c r="J9" s="78">
        <v>300000</v>
      </c>
      <c r="K9" s="78">
        <v>300000</v>
      </c>
      <c r="L9" s="78">
        <v>300000</v>
      </c>
      <c r="M9" s="78">
        <v>300000</v>
      </c>
      <c r="N9" s="79">
        <v>300000</v>
      </c>
      <c r="O9" s="19"/>
      <c r="P9" s="19"/>
      <c r="Q9" s="75"/>
      <c r="R9" s="75"/>
      <c r="T9" s="75">
        <f>J9*(2/3)</f>
        <v>200000</v>
      </c>
      <c r="U9" s="77">
        <v>300000</v>
      </c>
      <c r="V9" s="77">
        <v>300000</v>
      </c>
      <c r="W9" s="77">
        <v>300000</v>
      </c>
      <c r="X9" s="80">
        <v>300000</v>
      </c>
      <c r="Y9" s="75">
        <f t="shared" si="24"/>
        <v>0</v>
      </c>
      <c r="Z9" s="75">
        <f t="shared" si="24"/>
        <v>0</v>
      </c>
      <c r="AA9" s="75">
        <f t="shared" si="24"/>
        <v>0</v>
      </c>
      <c r="AB9" s="75">
        <f t="shared" si="24"/>
        <v>0</v>
      </c>
      <c r="AC9" s="75">
        <f t="shared" si="24"/>
        <v>0</v>
      </c>
      <c r="AD9" s="75">
        <f t="shared" si="24"/>
        <v>100000</v>
      </c>
      <c r="AE9" s="75">
        <f t="shared" si="24"/>
        <v>0</v>
      </c>
      <c r="AF9" s="75">
        <f t="shared" si="24"/>
        <v>0</v>
      </c>
      <c r="AG9" s="75">
        <f t="shared" si="24"/>
        <v>0</v>
      </c>
      <c r="AH9" s="76">
        <f t="shared" si="24"/>
        <v>0</v>
      </c>
      <c r="AI9" s="19"/>
      <c r="AJ9" s="19"/>
      <c r="AK9" s="19"/>
      <c r="AL9" s="19"/>
      <c r="AM9" s="19"/>
      <c r="AN9" s="31"/>
      <c r="AO9" s="70">
        <v>1</v>
      </c>
      <c r="AP9" s="298">
        <v>0.9</v>
      </c>
      <c r="AQ9" s="518">
        <v>1</v>
      </c>
      <c r="AR9" s="300">
        <v>1</v>
      </c>
      <c r="AS9" s="518"/>
      <c r="AT9" s="518"/>
      <c r="AU9" s="518"/>
      <c r="AV9" s="518"/>
      <c r="AW9" s="518"/>
      <c r="AX9" s="518"/>
      <c r="AY9" s="518"/>
      <c r="AZ9" s="518"/>
      <c r="BA9" s="518"/>
      <c r="BB9" s="300"/>
      <c r="BC9" s="19"/>
      <c r="BD9" s="19"/>
      <c r="BE9" s="19"/>
      <c r="BF9" s="19"/>
      <c r="BG9" s="19"/>
      <c r="BH9" s="75"/>
      <c r="BI9" s="516">
        <v>200000</v>
      </c>
      <c r="BJ9" s="516">
        <f>AP9*V9</f>
        <v>270000</v>
      </c>
      <c r="BK9" s="837">
        <f>AQ9*W9</f>
        <v>300000</v>
      </c>
      <c r="BL9" s="842">
        <f>AR9*X9</f>
        <v>300000</v>
      </c>
      <c r="BM9" s="516"/>
      <c r="BN9" s="516"/>
      <c r="BO9" s="516"/>
      <c r="BP9" s="516"/>
      <c r="BQ9" s="516"/>
      <c r="BR9" s="516"/>
      <c r="BS9" s="516"/>
      <c r="BT9" s="525"/>
      <c r="BU9" s="19"/>
      <c r="BV9" s="19"/>
      <c r="BW9" s="19"/>
      <c r="BX9" s="19"/>
      <c r="BY9" s="19"/>
      <c r="BZ9" s="75"/>
      <c r="CA9" s="75">
        <f t="shared" si="26"/>
        <v>200000</v>
      </c>
      <c r="CB9" s="75">
        <f t="shared" si="26"/>
        <v>270000</v>
      </c>
      <c r="CC9" s="75">
        <f t="shared" si="26"/>
        <v>300000</v>
      </c>
      <c r="CD9" s="75">
        <f t="shared" si="26"/>
        <v>300000</v>
      </c>
    </row>
    <row r="10" spans="1:83" ht="15.5">
      <c r="A10" s="1952"/>
      <c r="B10" s="460"/>
      <c r="C10" t="s">
        <v>31</v>
      </c>
      <c r="E10" s="78"/>
      <c r="F10" s="78"/>
      <c r="G10" s="78"/>
      <c r="H10" s="78"/>
      <c r="I10" s="78"/>
      <c r="J10" s="78"/>
      <c r="K10" s="78">
        <v>300000</v>
      </c>
      <c r="L10" s="78">
        <v>300000</v>
      </c>
      <c r="M10" s="78">
        <v>300000</v>
      </c>
      <c r="N10" s="79">
        <v>300000</v>
      </c>
      <c r="O10" s="19"/>
      <c r="P10" s="19"/>
      <c r="Q10" s="75"/>
      <c r="R10" s="75"/>
      <c r="S10" s="75"/>
      <c r="T10" s="77"/>
      <c r="U10" s="75">
        <f>K10*(1/4)</f>
        <v>75000</v>
      </c>
      <c r="V10" s="75">
        <f>L10</f>
        <v>300000</v>
      </c>
      <c r="W10" s="75">
        <f>M10</f>
        <v>300000</v>
      </c>
      <c r="X10" s="76">
        <f>N10</f>
        <v>300000</v>
      </c>
      <c r="Y10" s="75">
        <f t="shared" si="24"/>
        <v>0</v>
      </c>
      <c r="Z10" s="75">
        <f t="shared" si="24"/>
        <v>0</v>
      </c>
      <c r="AA10" s="75">
        <f t="shared" si="24"/>
        <v>0</v>
      </c>
      <c r="AB10" s="75">
        <f t="shared" si="24"/>
        <v>0</v>
      </c>
      <c r="AC10" s="75">
        <f t="shared" si="24"/>
        <v>0</v>
      </c>
      <c r="AD10" s="75">
        <f t="shared" si="24"/>
        <v>0</v>
      </c>
      <c r="AE10" s="75">
        <f t="shared" si="24"/>
        <v>225000</v>
      </c>
      <c r="AF10" s="75">
        <f t="shared" si="24"/>
        <v>0</v>
      </c>
      <c r="AG10" s="75">
        <f t="shared" si="24"/>
        <v>0</v>
      </c>
      <c r="AH10" s="76">
        <f t="shared" si="24"/>
        <v>0</v>
      </c>
      <c r="AI10" s="19"/>
      <c r="AJ10" s="19"/>
      <c r="AK10" s="19"/>
      <c r="AL10" s="19"/>
      <c r="AM10" s="19"/>
      <c r="AN10" s="31"/>
      <c r="AO10" s="70">
        <v>1</v>
      </c>
      <c r="AP10" s="298">
        <v>0.5</v>
      </c>
      <c r="AQ10" s="518">
        <f>AP10+5%</f>
        <v>0.55000000000000004</v>
      </c>
      <c r="AR10" s="300">
        <f>AQ10+5%</f>
        <v>0.60000000000000009</v>
      </c>
      <c r="AS10" s="518"/>
      <c r="AT10" s="518"/>
      <c r="AU10" s="518"/>
      <c r="AV10" s="518"/>
      <c r="AW10" s="518"/>
      <c r="AX10" s="518"/>
      <c r="AY10" s="518"/>
      <c r="AZ10" s="518"/>
      <c r="BA10" s="518"/>
      <c r="BB10" s="300"/>
      <c r="BC10" s="19"/>
      <c r="BD10" s="19"/>
      <c r="BE10" s="19"/>
      <c r="BF10" s="19"/>
      <c r="BG10" s="19"/>
      <c r="BH10" s="75"/>
      <c r="BI10" s="516">
        <f>U10*AO10</f>
        <v>75000</v>
      </c>
      <c r="BJ10" s="516">
        <f>V10*AP10</f>
        <v>150000</v>
      </c>
      <c r="BK10" s="837">
        <f>W10*AQ10</f>
        <v>165000</v>
      </c>
      <c r="BL10" s="842">
        <f>X10*AR10</f>
        <v>180000.00000000003</v>
      </c>
      <c r="BM10" s="516"/>
      <c r="BN10" s="516"/>
      <c r="BO10" s="516"/>
      <c r="BP10" s="516"/>
      <c r="BQ10" s="516"/>
      <c r="BR10" s="516"/>
      <c r="BS10" s="516"/>
      <c r="BT10" s="525"/>
      <c r="BU10" s="19"/>
      <c r="BV10" s="19"/>
      <c r="BW10" s="19"/>
      <c r="BX10" s="19"/>
      <c r="BY10" s="19"/>
      <c r="BZ10" s="75"/>
      <c r="CA10" s="75">
        <f t="shared" si="26"/>
        <v>75000</v>
      </c>
      <c r="CB10" s="75">
        <f t="shared" si="26"/>
        <v>150000</v>
      </c>
      <c r="CC10" s="75">
        <f t="shared" si="26"/>
        <v>165000</v>
      </c>
      <c r="CD10" s="75">
        <f t="shared" si="26"/>
        <v>180000.00000000003</v>
      </c>
    </row>
    <row r="11" spans="1:83" ht="15.5">
      <c r="A11" s="1952"/>
      <c r="B11" s="460"/>
      <c r="C11" t="s">
        <v>32</v>
      </c>
      <c r="E11" s="78"/>
      <c r="F11" s="78"/>
      <c r="G11" s="78"/>
      <c r="H11" s="78"/>
      <c r="I11" s="78"/>
      <c r="J11" s="78"/>
      <c r="K11" s="78"/>
      <c r="L11" s="78"/>
      <c r="M11" s="78"/>
      <c r="N11" s="79">
        <v>100000</v>
      </c>
      <c r="O11" s="19"/>
      <c r="P11" s="19"/>
      <c r="Q11" s="75"/>
      <c r="R11" s="75"/>
      <c r="S11" s="75"/>
      <c r="T11" s="77"/>
      <c r="U11" s="75"/>
      <c r="V11" s="75"/>
      <c r="W11" s="75"/>
      <c r="X11" s="76"/>
      <c r="Y11" s="75"/>
      <c r="Z11" s="75"/>
      <c r="AA11" s="75"/>
      <c r="AB11" s="75"/>
      <c r="AC11" s="75"/>
      <c r="AD11" s="75"/>
      <c r="AE11" s="75"/>
      <c r="AF11" s="75"/>
      <c r="AG11" s="75"/>
      <c r="AH11" s="76"/>
      <c r="AI11" s="19"/>
      <c r="AJ11" s="19"/>
      <c r="AK11" s="19"/>
      <c r="AL11" s="19"/>
      <c r="AM11" s="19"/>
      <c r="AN11" s="31"/>
      <c r="AO11" s="70"/>
      <c r="AP11" s="298"/>
      <c r="AQ11" s="518"/>
      <c r="AR11" s="300"/>
      <c r="AS11" s="518"/>
      <c r="AT11" s="518"/>
      <c r="AU11" s="518"/>
      <c r="AV11" s="518"/>
      <c r="AW11" s="518"/>
      <c r="AX11" s="518"/>
      <c r="AY11" s="518"/>
      <c r="AZ11" s="518"/>
      <c r="BA11" s="518"/>
      <c r="BB11" s="300"/>
      <c r="BC11" s="19"/>
      <c r="BD11" s="19"/>
      <c r="BE11" s="19"/>
      <c r="BF11" s="19"/>
      <c r="BG11" s="19"/>
      <c r="BH11" s="75"/>
      <c r="BI11" s="516"/>
      <c r="BJ11" s="516"/>
      <c r="BK11" s="837"/>
      <c r="BL11" s="842"/>
      <c r="BM11" s="516"/>
      <c r="BN11" s="516"/>
      <c r="BO11" s="516"/>
      <c r="BP11" s="516"/>
      <c r="BQ11" s="516"/>
      <c r="BR11" s="516"/>
      <c r="BS11" s="516"/>
      <c r="BT11" s="525"/>
      <c r="BU11" s="19"/>
      <c r="BV11" s="19"/>
      <c r="BW11" s="19"/>
      <c r="BX11" s="19"/>
      <c r="BY11" s="19"/>
      <c r="BZ11" s="75"/>
      <c r="CA11" s="75"/>
      <c r="CB11" s="75"/>
      <c r="CC11" s="75"/>
      <c r="CD11" s="75"/>
    </row>
    <row r="12" spans="1:83" ht="15.5">
      <c r="A12" s="1952"/>
      <c r="B12" s="460"/>
      <c r="C12" t="s">
        <v>33</v>
      </c>
      <c r="D12" t="s">
        <v>34</v>
      </c>
      <c r="E12" s="78"/>
      <c r="F12" s="78"/>
      <c r="G12" s="78"/>
      <c r="H12" s="78"/>
      <c r="I12" s="78"/>
      <c r="J12" s="78">
        <v>200000</v>
      </c>
      <c r="K12" s="78">
        <v>200000</v>
      </c>
      <c r="L12" s="78">
        <v>200000</v>
      </c>
      <c r="M12" s="78">
        <v>200000</v>
      </c>
      <c r="N12" s="79">
        <v>200000</v>
      </c>
      <c r="O12" s="19"/>
      <c r="P12" s="19"/>
      <c r="Q12" s="19"/>
      <c r="R12" s="75"/>
      <c r="S12" s="75"/>
      <c r="T12" s="75"/>
      <c r="U12" s="75">
        <f>J12*(1/2)</f>
        <v>100000</v>
      </c>
      <c r="V12" s="75">
        <f>L12*(1/1.5)</f>
        <v>133333.33333333331</v>
      </c>
      <c r="W12" s="75">
        <f t="shared" ref="W12:X16" si="27">M12</f>
        <v>200000</v>
      </c>
      <c r="X12" s="76">
        <f t="shared" si="27"/>
        <v>200000</v>
      </c>
      <c r="Y12" s="75">
        <f t="shared" ref="Y12:AH16" si="28">MAX(0,E12-O12)</f>
        <v>0</v>
      </c>
      <c r="Z12" s="75">
        <f t="shared" si="28"/>
        <v>0</v>
      </c>
      <c r="AA12" s="75">
        <f t="shared" si="28"/>
        <v>0</v>
      </c>
      <c r="AB12" s="75">
        <f t="shared" si="28"/>
        <v>0</v>
      </c>
      <c r="AC12" s="75">
        <f t="shared" si="28"/>
        <v>0</v>
      </c>
      <c r="AD12" s="75">
        <f t="shared" si="28"/>
        <v>200000</v>
      </c>
      <c r="AE12" s="75">
        <f t="shared" si="28"/>
        <v>100000</v>
      </c>
      <c r="AF12" s="75">
        <f t="shared" si="28"/>
        <v>66666.666666666686</v>
      </c>
      <c r="AG12" s="75">
        <f t="shared" si="28"/>
        <v>0</v>
      </c>
      <c r="AH12" s="76">
        <f t="shared" si="28"/>
        <v>0</v>
      </c>
      <c r="AI12" s="19"/>
      <c r="AJ12" s="19"/>
      <c r="AK12" s="19"/>
      <c r="AL12" s="19"/>
      <c r="AM12" s="19"/>
      <c r="AN12" s="70"/>
      <c r="AO12" s="70">
        <v>1</v>
      </c>
      <c r="AP12" s="298">
        <f>MIN(100%,AO12+5%)</f>
        <v>1</v>
      </c>
      <c r="AQ12" s="518">
        <f>MIN(100%,AP12+5%)</f>
        <v>1</v>
      </c>
      <c r="AR12" s="300">
        <f>MIN(100%,AQ12+5%)</f>
        <v>1</v>
      </c>
      <c r="AS12" s="518"/>
      <c r="AT12" s="518"/>
      <c r="AU12" s="518"/>
      <c r="AV12" s="518"/>
      <c r="AW12" s="518"/>
      <c r="AX12" s="518"/>
      <c r="AY12" s="518"/>
      <c r="AZ12" s="518"/>
      <c r="BA12" s="518"/>
      <c r="BB12" s="300"/>
      <c r="BC12" s="19"/>
      <c r="BD12" s="19"/>
      <c r="BE12" s="19"/>
      <c r="BF12" s="19"/>
      <c r="BG12" s="19"/>
      <c r="BH12" s="19"/>
      <c r="BI12" s="610">
        <v>30000</v>
      </c>
      <c r="BJ12" s="516">
        <f t="shared" ref="BJ12:BL13" si="29">V12*AP12</f>
        <v>133333.33333333331</v>
      </c>
      <c r="BK12" s="837">
        <f t="shared" si="29"/>
        <v>200000</v>
      </c>
      <c r="BL12" s="842">
        <f t="shared" si="29"/>
        <v>200000</v>
      </c>
      <c r="BM12" s="516"/>
      <c r="BN12" s="516"/>
      <c r="BO12" s="516"/>
      <c r="BP12" s="516"/>
      <c r="BQ12" s="516"/>
      <c r="BR12" s="516"/>
      <c r="BS12" s="516"/>
      <c r="BT12" s="525"/>
      <c r="BU12" s="19"/>
      <c r="BV12" s="19"/>
      <c r="BW12" s="19"/>
      <c r="BX12" s="19"/>
      <c r="BY12" s="19"/>
      <c r="BZ12" s="75"/>
      <c r="CA12" s="75">
        <f t="shared" si="26"/>
        <v>30000</v>
      </c>
      <c r="CB12" s="75">
        <f t="shared" si="26"/>
        <v>133333.33333333331</v>
      </c>
      <c r="CC12" s="75">
        <f t="shared" si="26"/>
        <v>200000</v>
      </c>
      <c r="CD12" s="75">
        <f t="shared" si="26"/>
        <v>200000</v>
      </c>
    </row>
    <row r="13" spans="1:83" ht="15.5">
      <c r="A13" s="1952"/>
      <c r="B13" s="460"/>
      <c r="C13" t="s">
        <v>35</v>
      </c>
      <c r="D13" t="s">
        <v>36</v>
      </c>
      <c r="E13" s="78"/>
      <c r="F13" s="78"/>
      <c r="G13" s="78"/>
      <c r="H13" s="78"/>
      <c r="I13" s="78"/>
      <c r="J13" s="78"/>
      <c r="K13" s="78"/>
      <c r="L13" s="78">
        <v>200000</v>
      </c>
      <c r="M13" s="78">
        <v>200000</v>
      </c>
      <c r="N13" s="79">
        <v>200000</v>
      </c>
      <c r="O13" s="19"/>
      <c r="P13" s="19"/>
      <c r="Q13" s="19"/>
      <c r="R13" s="75"/>
      <c r="S13" s="75"/>
      <c r="T13" s="75"/>
      <c r="U13" s="75"/>
      <c r="V13" s="75">
        <f>L13*(1/2)</f>
        <v>100000</v>
      </c>
      <c r="W13" s="75">
        <f t="shared" si="27"/>
        <v>200000</v>
      </c>
      <c r="X13" s="76">
        <f t="shared" si="27"/>
        <v>200000</v>
      </c>
      <c r="Y13" s="75">
        <f t="shared" si="28"/>
        <v>0</v>
      </c>
      <c r="Z13" s="75">
        <f t="shared" si="28"/>
        <v>0</v>
      </c>
      <c r="AA13" s="75">
        <f t="shared" si="28"/>
        <v>0</v>
      </c>
      <c r="AB13" s="75">
        <f t="shared" si="28"/>
        <v>0</v>
      </c>
      <c r="AC13" s="75">
        <f t="shared" si="28"/>
        <v>0</v>
      </c>
      <c r="AD13" s="75">
        <f t="shared" si="28"/>
        <v>0</v>
      </c>
      <c r="AE13" s="75">
        <f t="shared" si="28"/>
        <v>0</v>
      </c>
      <c r="AF13" s="75">
        <f t="shared" si="28"/>
        <v>100000</v>
      </c>
      <c r="AG13" s="75">
        <f t="shared" si="28"/>
        <v>0</v>
      </c>
      <c r="AH13" s="76">
        <f t="shared" si="28"/>
        <v>0</v>
      </c>
      <c r="AI13" s="19"/>
      <c r="AJ13" s="19"/>
      <c r="AK13" s="19"/>
      <c r="AL13" s="19"/>
      <c r="AM13" s="19"/>
      <c r="AN13" s="70"/>
      <c r="AO13" s="70"/>
      <c r="AP13" s="70">
        <v>0.5</v>
      </c>
      <c r="AQ13" s="518">
        <f>AP13</f>
        <v>0.5</v>
      </c>
      <c r="AR13" s="300">
        <f>AQ13</f>
        <v>0.5</v>
      </c>
      <c r="AS13" s="518"/>
      <c r="AT13" s="518"/>
      <c r="AU13" s="518"/>
      <c r="AV13" s="518"/>
      <c r="AW13" s="518"/>
      <c r="AX13" s="518"/>
      <c r="AY13" s="518"/>
      <c r="AZ13" s="518"/>
      <c r="BA13" s="518"/>
      <c r="BB13" s="300"/>
      <c r="BC13" s="19"/>
      <c r="BD13" s="19"/>
      <c r="BE13" s="19"/>
      <c r="BF13" s="19"/>
      <c r="BG13" s="19"/>
      <c r="BH13" s="19"/>
      <c r="BJ13" s="516">
        <f t="shared" si="29"/>
        <v>50000</v>
      </c>
      <c r="BK13" s="837">
        <f t="shared" si="29"/>
        <v>100000</v>
      </c>
      <c r="BL13" s="842">
        <f t="shared" si="29"/>
        <v>100000</v>
      </c>
      <c r="BM13" s="516"/>
      <c r="BN13" s="516"/>
      <c r="BO13" s="516"/>
      <c r="BP13" s="516"/>
      <c r="BQ13" s="516"/>
      <c r="BR13" s="516"/>
      <c r="BS13" s="516"/>
      <c r="BT13" s="525"/>
      <c r="BU13" s="19"/>
      <c r="BV13" s="19"/>
      <c r="BW13" s="19"/>
      <c r="BX13" s="19"/>
      <c r="BY13" s="19"/>
      <c r="BZ13" s="75"/>
      <c r="CA13" s="75"/>
      <c r="CB13" s="75">
        <f t="shared" ref="CB13:CB25" si="30">BJ13</f>
        <v>50000</v>
      </c>
      <c r="CC13" s="75">
        <f t="shared" ref="CC13:CD25" si="31">BK13</f>
        <v>100000</v>
      </c>
      <c r="CD13" s="75">
        <f t="shared" si="31"/>
        <v>100000</v>
      </c>
    </row>
    <row r="14" spans="1:83" ht="15.5">
      <c r="A14" s="1952"/>
      <c r="B14" s="460"/>
      <c r="C14" t="s">
        <v>37</v>
      </c>
      <c r="D14" t="s">
        <v>38</v>
      </c>
      <c r="E14" s="78"/>
      <c r="F14" s="78"/>
      <c r="G14" s="78">
        <v>200000</v>
      </c>
      <c r="H14" s="78">
        <v>200000</v>
      </c>
      <c r="I14" s="78">
        <v>200000</v>
      </c>
      <c r="J14" s="78">
        <v>200000</v>
      </c>
      <c r="K14" s="78">
        <v>350000</v>
      </c>
      <c r="L14" s="78">
        <v>350000</v>
      </c>
      <c r="M14" s="78">
        <v>350000</v>
      </c>
      <c r="N14" s="79">
        <v>350000</v>
      </c>
      <c r="O14" s="78"/>
      <c r="P14" s="78"/>
      <c r="Q14" s="78">
        <v>200000</v>
      </c>
      <c r="R14" s="78">
        <v>200000</v>
      </c>
      <c r="S14" s="78">
        <v>200000</v>
      </c>
      <c r="T14" s="78">
        <v>200000</v>
      </c>
      <c r="U14" s="75">
        <f>200000+150000*(1/2)</f>
        <v>275000</v>
      </c>
      <c r="V14" s="75">
        <f>L14</f>
        <v>350000</v>
      </c>
      <c r="W14" s="75">
        <f t="shared" si="27"/>
        <v>350000</v>
      </c>
      <c r="X14" s="76">
        <f t="shared" si="27"/>
        <v>350000</v>
      </c>
      <c r="Y14" s="75">
        <f t="shared" si="28"/>
        <v>0</v>
      </c>
      <c r="Z14" s="75">
        <f t="shared" si="28"/>
        <v>0</v>
      </c>
      <c r="AA14" s="75">
        <f t="shared" si="28"/>
        <v>0</v>
      </c>
      <c r="AB14" s="75">
        <f t="shared" si="28"/>
        <v>0</v>
      </c>
      <c r="AC14" s="75">
        <f t="shared" si="28"/>
        <v>0</v>
      </c>
      <c r="AD14" s="75">
        <f t="shared" si="28"/>
        <v>0</v>
      </c>
      <c r="AE14" s="75">
        <f t="shared" si="28"/>
        <v>75000</v>
      </c>
      <c r="AF14" s="75">
        <f t="shared" si="28"/>
        <v>0</v>
      </c>
      <c r="AG14" s="75">
        <f t="shared" si="28"/>
        <v>0</v>
      </c>
      <c r="AH14" s="76">
        <f t="shared" si="28"/>
        <v>0</v>
      </c>
      <c r="AI14" s="19"/>
      <c r="AJ14" s="19"/>
      <c r="AK14" s="19"/>
      <c r="AL14" s="31">
        <f>BF14/R14</f>
        <v>0.38118000000000002</v>
      </c>
      <c r="AM14" s="31">
        <f>BG14/S14</f>
        <v>0.386905</v>
      </c>
      <c r="AN14" s="247">
        <f>BH14/T14</f>
        <v>0.8</v>
      </c>
      <c r="AO14" s="70">
        <f>MIN(110%,AN14+25%)</f>
        <v>1.05</v>
      </c>
      <c r="AP14" s="70">
        <f>MIN(100%,AO14+10%)</f>
        <v>1</v>
      </c>
      <c r="AQ14" s="298">
        <f>MIN(100%,AP14+10%)</f>
        <v>1</v>
      </c>
      <c r="AR14" s="844">
        <f>MIN(100%,AQ14+10%)</f>
        <v>1</v>
      </c>
      <c r="AS14" s="518"/>
      <c r="AT14" s="518"/>
      <c r="AU14" s="518"/>
      <c r="AV14" s="518"/>
      <c r="AW14" s="518"/>
      <c r="AX14" s="518"/>
      <c r="AY14" s="518"/>
      <c r="AZ14" s="518"/>
      <c r="BA14" s="518"/>
      <c r="BB14" s="300"/>
      <c r="BC14" s="19"/>
      <c r="BD14" s="19"/>
      <c r="BE14" s="19"/>
      <c r="BF14" s="19">
        <v>76236</v>
      </c>
      <c r="BG14" s="19">
        <v>77381</v>
      </c>
      <c r="BH14" s="19">
        <v>160000</v>
      </c>
      <c r="BI14" s="516">
        <f t="shared" ref="BI14:BL16" si="32">AO14*U14</f>
        <v>288750</v>
      </c>
      <c r="BJ14" s="516">
        <f t="shared" si="32"/>
        <v>350000</v>
      </c>
      <c r="BK14" s="837">
        <f t="shared" si="32"/>
        <v>350000</v>
      </c>
      <c r="BL14" s="842">
        <f t="shared" si="32"/>
        <v>350000</v>
      </c>
      <c r="BM14" s="516"/>
      <c r="BN14" s="516"/>
      <c r="BO14" s="516"/>
      <c r="BP14" s="516"/>
      <c r="BQ14" s="516"/>
      <c r="BR14" s="516"/>
      <c r="BS14" s="516"/>
      <c r="BT14" s="525"/>
      <c r="BU14" s="19"/>
      <c r="BV14" s="19"/>
      <c r="BW14" s="19"/>
      <c r="BX14" s="19"/>
      <c r="BY14" s="19"/>
      <c r="BZ14" s="75">
        <f>BH14</f>
        <v>160000</v>
      </c>
      <c r="CA14" s="75">
        <f>BI14</f>
        <v>288750</v>
      </c>
      <c r="CB14" s="75">
        <f t="shared" si="30"/>
        <v>350000</v>
      </c>
      <c r="CC14" s="75">
        <f t="shared" si="31"/>
        <v>350000</v>
      </c>
      <c r="CD14" s="75">
        <f t="shared" si="31"/>
        <v>350000</v>
      </c>
    </row>
    <row r="15" spans="1:83" ht="15.5">
      <c r="A15" s="1952"/>
      <c r="B15" s="460"/>
      <c r="C15" t="s">
        <v>39</v>
      </c>
      <c r="D15" t="s">
        <v>40</v>
      </c>
      <c r="E15" s="78">
        <v>300000</v>
      </c>
      <c r="F15" s="78">
        <v>300000</v>
      </c>
      <c r="G15" s="78">
        <v>300000</v>
      </c>
      <c r="H15" s="78">
        <v>300000</v>
      </c>
      <c r="I15" s="78">
        <v>300000</v>
      </c>
      <c r="J15" s="78">
        <v>300000</v>
      </c>
      <c r="K15" s="78">
        <v>300000</v>
      </c>
      <c r="L15" s="78">
        <v>300000</v>
      </c>
      <c r="M15" s="78">
        <v>300000</v>
      </c>
      <c r="N15" s="79">
        <v>300000</v>
      </c>
      <c r="O15" s="78">
        <f t="shared" ref="O15:U15" si="33">E15</f>
        <v>300000</v>
      </c>
      <c r="P15" s="78">
        <f t="shared" si="33"/>
        <v>300000</v>
      </c>
      <c r="Q15" s="78">
        <f t="shared" si="33"/>
        <v>300000</v>
      </c>
      <c r="R15" s="78">
        <f t="shared" si="33"/>
        <v>300000</v>
      </c>
      <c r="S15" s="78">
        <f t="shared" si="33"/>
        <v>300000</v>
      </c>
      <c r="T15" s="78">
        <f t="shared" si="33"/>
        <v>300000</v>
      </c>
      <c r="U15" s="238">
        <f t="shared" si="33"/>
        <v>300000</v>
      </c>
      <c r="V15" s="238">
        <f>L15</f>
        <v>300000</v>
      </c>
      <c r="W15" s="238">
        <f t="shared" si="27"/>
        <v>300000</v>
      </c>
      <c r="X15" s="275">
        <f t="shared" si="27"/>
        <v>300000</v>
      </c>
      <c r="Y15" s="75">
        <f t="shared" si="28"/>
        <v>0</v>
      </c>
      <c r="Z15" s="75">
        <f t="shared" si="28"/>
        <v>0</v>
      </c>
      <c r="AA15" s="75">
        <f t="shared" si="28"/>
        <v>0</v>
      </c>
      <c r="AB15" s="75">
        <f t="shared" si="28"/>
        <v>0</v>
      </c>
      <c r="AC15" s="75">
        <f t="shared" si="28"/>
        <v>0</v>
      </c>
      <c r="AD15" s="75">
        <f t="shared" si="28"/>
        <v>0</v>
      </c>
      <c r="AE15" s="75">
        <f t="shared" si="28"/>
        <v>0</v>
      </c>
      <c r="AF15" s="75">
        <f t="shared" si="28"/>
        <v>0</v>
      </c>
      <c r="AG15" s="75">
        <f t="shared" si="28"/>
        <v>0</v>
      </c>
      <c r="AH15" s="76">
        <f t="shared" si="28"/>
        <v>0</v>
      </c>
      <c r="AI15" s="19"/>
      <c r="AJ15" s="19"/>
      <c r="AK15" s="19"/>
      <c r="AL15" s="31">
        <f>BF15/R15</f>
        <v>0.53020666666666671</v>
      </c>
      <c r="AM15" s="31">
        <f>BG15/S15</f>
        <v>0.25126666666666669</v>
      </c>
      <c r="AN15" s="247">
        <f>BH15/U15</f>
        <v>0.625</v>
      </c>
      <c r="AO15" s="70">
        <v>1.1000000000000001</v>
      </c>
      <c r="AP15" s="70">
        <f t="shared" ref="AP15:AR16" si="34">MIN(100%,AO15+25%)</f>
        <v>1</v>
      </c>
      <c r="AQ15" s="298">
        <f t="shared" si="34"/>
        <v>1</v>
      </c>
      <c r="AR15" s="844">
        <f t="shared" si="34"/>
        <v>1</v>
      </c>
      <c r="AS15" s="518"/>
      <c r="AT15" s="518"/>
      <c r="AU15" s="518"/>
      <c r="AV15" s="518"/>
      <c r="AW15" s="518"/>
      <c r="AX15" s="518"/>
      <c r="AY15" s="518"/>
      <c r="AZ15" s="518"/>
      <c r="BA15" s="518"/>
      <c r="BB15" s="300"/>
      <c r="BC15" s="19"/>
      <c r="BD15" s="19"/>
      <c r="BE15" s="19"/>
      <c r="BF15" s="19">
        <f>100000+59062</f>
        <v>159062</v>
      </c>
      <c r="BG15" s="19">
        <v>75380</v>
      </c>
      <c r="BH15" s="610">
        <f>62500*3</f>
        <v>187500</v>
      </c>
      <c r="BI15" s="516">
        <f t="shared" si="32"/>
        <v>330000</v>
      </c>
      <c r="BJ15" s="516">
        <f t="shared" si="32"/>
        <v>300000</v>
      </c>
      <c r="BK15" s="837">
        <f t="shared" si="32"/>
        <v>300000</v>
      </c>
      <c r="BL15" s="842">
        <f t="shared" si="32"/>
        <v>300000</v>
      </c>
      <c r="BM15" s="516"/>
      <c r="BN15" s="516"/>
      <c r="BO15" s="516"/>
      <c r="BP15" s="516"/>
      <c r="BQ15" s="516"/>
      <c r="BR15" s="516"/>
      <c r="BS15" s="516"/>
      <c r="BT15" s="525"/>
      <c r="BU15" s="19"/>
      <c r="BV15" s="19"/>
      <c r="BW15" s="19"/>
      <c r="BX15" s="19"/>
      <c r="BY15" s="19"/>
      <c r="BZ15" s="75">
        <f>BH15</f>
        <v>187500</v>
      </c>
      <c r="CA15" s="75">
        <f>BI15</f>
        <v>330000</v>
      </c>
      <c r="CB15" s="75">
        <f t="shared" si="30"/>
        <v>300000</v>
      </c>
      <c r="CC15" s="75">
        <f t="shared" si="31"/>
        <v>300000</v>
      </c>
      <c r="CD15" s="75">
        <f t="shared" si="31"/>
        <v>300000</v>
      </c>
      <c r="CE15" t="s">
        <v>41</v>
      </c>
    </row>
    <row r="16" spans="1:83" ht="15.5">
      <c r="A16" s="1952"/>
      <c r="B16" s="460"/>
      <c r="C16" t="s">
        <v>42</v>
      </c>
      <c r="D16" t="s">
        <v>30</v>
      </c>
      <c r="E16" s="78"/>
      <c r="F16" s="78"/>
      <c r="G16" s="78"/>
      <c r="H16" s="78"/>
      <c r="I16" s="78"/>
      <c r="J16" s="78"/>
      <c r="K16" s="78">
        <v>300000</v>
      </c>
      <c r="L16" s="78">
        <v>300000</v>
      </c>
      <c r="M16" s="78">
        <v>300000</v>
      </c>
      <c r="N16" s="79">
        <v>300000</v>
      </c>
      <c r="O16" s="19"/>
      <c r="P16" s="19"/>
      <c r="Q16" s="75"/>
      <c r="R16" s="75"/>
      <c r="S16" s="75"/>
      <c r="T16" s="75"/>
      <c r="U16" s="75">
        <f>K16*(3/4)</f>
        <v>225000</v>
      </c>
      <c r="V16" s="75">
        <f>L16</f>
        <v>300000</v>
      </c>
      <c r="W16" s="75">
        <f t="shared" si="27"/>
        <v>300000</v>
      </c>
      <c r="X16" s="76">
        <f t="shared" si="27"/>
        <v>300000</v>
      </c>
      <c r="Y16" s="75">
        <f t="shared" si="28"/>
        <v>0</v>
      </c>
      <c r="Z16" s="75">
        <f t="shared" si="28"/>
        <v>0</v>
      </c>
      <c r="AA16" s="75">
        <f t="shared" si="28"/>
        <v>0</v>
      </c>
      <c r="AB16" s="75">
        <f t="shared" si="28"/>
        <v>0</v>
      </c>
      <c r="AC16" s="75">
        <f t="shared" si="28"/>
        <v>0</v>
      </c>
      <c r="AD16" s="75">
        <f t="shared" si="28"/>
        <v>0</v>
      </c>
      <c r="AE16" s="75">
        <f t="shared" si="28"/>
        <v>75000</v>
      </c>
      <c r="AF16" s="75">
        <f t="shared" si="28"/>
        <v>0</v>
      </c>
      <c r="AG16" s="75">
        <f t="shared" si="28"/>
        <v>0</v>
      </c>
      <c r="AH16" s="76">
        <f t="shared" si="28"/>
        <v>0</v>
      </c>
      <c r="AI16" s="19"/>
      <c r="AJ16" s="19"/>
      <c r="AK16" s="19"/>
      <c r="AL16" s="31"/>
      <c r="AM16" s="31"/>
      <c r="AN16" s="19"/>
      <c r="AO16" s="70">
        <v>1.1000000000000001</v>
      </c>
      <c r="AP16" s="70">
        <f t="shared" si="34"/>
        <v>1</v>
      </c>
      <c r="AQ16" s="298">
        <f t="shared" si="34"/>
        <v>1</v>
      </c>
      <c r="AR16" s="844">
        <f t="shared" si="34"/>
        <v>1</v>
      </c>
      <c r="AS16" s="518"/>
      <c r="AT16" s="518"/>
      <c r="AU16" s="518"/>
      <c r="AV16" s="518"/>
      <c r="AW16" s="518"/>
      <c r="AX16" s="518"/>
      <c r="AY16" s="518"/>
      <c r="AZ16" s="518"/>
      <c r="BA16" s="518"/>
      <c r="BB16" s="300"/>
      <c r="BC16" s="19"/>
      <c r="BD16" s="19"/>
      <c r="BE16" s="19"/>
      <c r="BF16" s="19"/>
      <c r="BG16" s="19"/>
      <c r="BH16" s="516"/>
      <c r="BI16" s="516">
        <f t="shared" si="32"/>
        <v>247500.00000000003</v>
      </c>
      <c r="BJ16" s="516">
        <f t="shared" si="32"/>
        <v>300000</v>
      </c>
      <c r="BK16" s="837">
        <f t="shared" si="32"/>
        <v>300000</v>
      </c>
      <c r="BL16" s="842">
        <f t="shared" si="32"/>
        <v>300000</v>
      </c>
      <c r="BM16" s="516"/>
      <c r="BN16" s="516"/>
      <c r="BO16" s="516"/>
      <c r="BP16" s="516"/>
      <c r="BQ16" s="516"/>
      <c r="BR16" s="516"/>
      <c r="BS16" s="516"/>
      <c r="BT16" s="525"/>
      <c r="BU16" s="19"/>
      <c r="BV16" s="19"/>
      <c r="BW16" s="19"/>
      <c r="BX16" s="19"/>
      <c r="BY16" s="19"/>
      <c r="BZ16" s="75"/>
      <c r="CA16" s="75">
        <f>BI16</f>
        <v>247500.00000000003</v>
      </c>
      <c r="CB16" s="75">
        <f t="shared" si="30"/>
        <v>300000</v>
      </c>
      <c r="CC16" s="75">
        <f t="shared" si="31"/>
        <v>300000</v>
      </c>
      <c r="CD16" s="75">
        <f t="shared" si="31"/>
        <v>300000</v>
      </c>
    </row>
    <row r="17" spans="1:84" ht="15.5">
      <c r="A17" s="1952"/>
      <c r="B17" s="460"/>
      <c r="C17" t="s">
        <v>43</v>
      </c>
      <c r="D17" t="s">
        <v>44</v>
      </c>
      <c r="E17" s="78"/>
      <c r="F17" s="78"/>
      <c r="G17" s="78"/>
      <c r="H17" s="78"/>
      <c r="I17" s="78"/>
      <c r="J17" s="78"/>
      <c r="K17" s="78">
        <v>150000</v>
      </c>
      <c r="L17" s="78">
        <v>150000</v>
      </c>
      <c r="M17" s="78">
        <v>150000</v>
      </c>
      <c r="N17" s="79">
        <v>150000</v>
      </c>
      <c r="O17" s="19"/>
      <c r="P17" s="19"/>
      <c r="Q17" s="75"/>
      <c r="R17" s="75"/>
      <c r="S17" s="75"/>
      <c r="T17" s="75"/>
      <c r="U17" s="75">
        <f>K17*(9/12)</f>
        <v>112500</v>
      </c>
      <c r="V17" s="75">
        <f>L17</f>
        <v>150000</v>
      </c>
      <c r="W17" s="75">
        <f t="shared" ref="W17:X17" si="35">M17</f>
        <v>150000</v>
      </c>
      <c r="X17" s="76">
        <f t="shared" si="35"/>
        <v>150000</v>
      </c>
      <c r="Y17" s="75">
        <f t="shared" ref="Y17:Y25" si="36">MAX(0,E17-O17)</f>
        <v>0</v>
      </c>
      <c r="Z17" s="75">
        <f t="shared" ref="Z17:AH17" si="37">MAX(0,F17-P17)</f>
        <v>0</v>
      </c>
      <c r="AA17" s="75">
        <f t="shared" si="37"/>
        <v>0</v>
      </c>
      <c r="AB17" s="75">
        <f t="shared" si="37"/>
        <v>0</v>
      </c>
      <c r="AC17" s="75">
        <f t="shared" si="37"/>
        <v>0</v>
      </c>
      <c r="AD17" s="75">
        <f t="shared" si="37"/>
        <v>0</v>
      </c>
      <c r="AE17" s="75">
        <f t="shared" si="37"/>
        <v>37500</v>
      </c>
      <c r="AF17" s="75">
        <f t="shared" si="37"/>
        <v>0</v>
      </c>
      <c r="AG17" s="75">
        <f t="shared" si="37"/>
        <v>0</v>
      </c>
      <c r="AH17" s="76">
        <f t="shared" si="37"/>
        <v>0</v>
      </c>
      <c r="AI17" s="19"/>
      <c r="AJ17" s="19"/>
      <c r="AK17" s="19"/>
      <c r="AL17" s="31"/>
      <c r="AM17" s="31"/>
      <c r="AN17" s="19"/>
      <c r="AO17" s="70">
        <v>1</v>
      </c>
      <c r="AP17" s="70">
        <v>1</v>
      </c>
      <c r="AQ17" s="70">
        <v>1</v>
      </c>
      <c r="AR17" s="70">
        <v>1</v>
      </c>
      <c r="AS17" s="518"/>
      <c r="AT17" s="518"/>
      <c r="AU17" s="518"/>
      <c r="AV17" s="518"/>
      <c r="AW17" s="518"/>
      <c r="AX17" s="518"/>
      <c r="AY17" s="518"/>
      <c r="AZ17" s="518"/>
      <c r="BA17" s="518"/>
      <c r="BB17" s="300"/>
      <c r="BC17" s="19"/>
      <c r="BD17" s="19"/>
      <c r="BE17" s="19"/>
      <c r="BF17" s="19"/>
      <c r="BG17" s="19"/>
      <c r="BH17" s="516"/>
      <c r="BI17" s="516">
        <f>AO17*U17</f>
        <v>112500</v>
      </c>
      <c r="BJ17" s="516">
        <f t="shared" ref="BJ17:BL17" si="38">AP17*V17</f>
        <v>150000</v>
      </c>
      <c r="BK17" s="516">
        <f t="shared" si="38"/>
        <v>150000</v>
      </c>
      <c r="BL17" s="516">
        <f t="shared" si="38"/>
        <v>150000</v>
      </c>
      <c r="BM17" s="516"/>
      <c r="BN17" s="516"/>
      <c r="BO17" s="516"/>
      <c r="BP17" s="516"/>
      <c r="BQ17" s="516"/>
      <c r="BR17" s="516"/>
      <c r="BS17" s="516"/>
      <c r="BT17" s="525"/>
      <c r="BU17" s="19"/>
      <c r="BV17" s="19"/>
      <c r="BW17" s="19"/>
      <c r="BX17" s="19"/>
      <c r="BY17" s="19"/>
      <c r="BZ17" s="75"/>
      <c r="CA17" s="75"/>
      <c r="CB17" s="75"/>
      <c r="CC17" s="75"/>
      <c r="CD17" s="75"/>
    </row>
    <row r="18" spans="1:84" ht="15.5">
      <c r="A18" s="1952"/>
      <c r="B18" s="460"/>
      <c r="C18" t="s">
        <v>45</v>
      </c>
      <c r="D18" t="s">
        <v>46</v>
      </c>
      <c r="E18" s="78"/>
      <c r="F18" s="78"/>
      <c r="G18" s="78"/>
      <c r="H18" s="78"/>
      <c r="I18" s="78"/>
      <c r="J18" s="78"/>
      <c r="K18" s="78">
        <v>150000</v>
      </c>
      <c r="L18" s="78">
        <v>150000</v>
      </c>
      <c r="M18" s="78">
        <v>150000</v>
      </c>
      <c r="N18" s="79">
        <v>150000</v>
      </c>
      <c r="O18" s="19"/>
      <c r="P18" s="19"/>
      <c r="Q18" s="19"/>
      <c r="R18" s="19"/>
      <c r="S18" s="19"/>
      <c r="T18" s="75"/>
      <c r="U18" s="75">
        <f>K18*(1/2)</f>
        <v>75000</v>
      </c>
      <c r="V18" s="75">
        <f>L18</f>
        <v>150000</v>
      </c>
      <c r="W18" s="75">
        <f>K18</f>
        <v>150000</v>
      </c>
      <c r="X18" s="76">
        <f>L18</f>
        <v>150000</v>
      </c>
      <c r="Y18" s="75">
        <f t="shared" si="36"/>
        <v>0</v>
      </c>
      <c r="Z18" s="75">
        <f t="shared" ref="Z18:AH25" si="39">MAX(0,F18-P18)</f>
        <v>0</v>
      </c>
      <c r="AA18" s="75">
        <f t="shared" si="39"/>
        <v>0</v>
      </c>
      <c r="AB18" s="75">
        <f t="shared" si="39"/>
        <v>0</v>
      </c>
      <c r="AC18" s="75">
        <f t="shared" si="39"/>
        <v>0</v>
      </c>
      <c r="AD18" s="75">
        <f t="shared" si="39"/>
        <v>0</v>
      </c>
      <c r="AE18" s="75">
        <f t="shared" si="39"/>
        <v>75000</v>
      </c>
      <c r="AF18" s="75">
        <f t="shared" si="39"/>
        <v>0</v>
      </c>
      <c r="AG18" s="75">
        <f t="shared" si="39"/>
        <v>0</v>
      </c>
      <c r="AH18" s="76">
        <f t="shared" si="39"/>
        <v>0</v>
      </c>
      <c r="AI18" s="19"/>
      <c r="AJ18" s="19"/>
      <c r="AK18" s="19"/>
      <c r="AL18" s="19"/>
      <c r="AM18" s="19"/>
      <c r="AN18" s="19"/>
      <c r="AO18" s="70">
        <v>1</v>
      </c>
      <c r="AP18" s="298">
        <f>AO18</f>
        <v>1</v>
      </c>
      <c r="AQ18" s="298">
        <f>AP18</f>
        <v>1</v>
      </c>
      <c r="AR18" s="844">
        <f>AQ18</f>
        <v>1</v>
      </c>
      <c r="AS18" s="518"/>
      <c r="AT18" s="518"/>
      <c r="AU18" s="518"/>
      <c r="AV18" s="518"/>
      <c r="AW18" s="518"/>
      <c r="AX18" s="518"/>
      <c r="AY18" s="518"/>
      <c r="AZ18" s="518"/>
      <c r="BA18" s="518"/>
      <c r="BB18" s="300"/>
      <c r="BC18" s="19"/>
      <c r="BD18" s="19"/>
      <c r="BE18" s="19"/>
      <c r="BF18" s="19"/>
      <c r="BG18" s="19"/>
      <c r="BH18" s="516"/>
      <c r="BI18" s="516">
        <f>AO18*U18</f>
        <v>75000</v>
      </c>
      <c r="BJ18" s="516">
        <f t="shared" ref="BJ18:BL19" si="40">AP18*V18</f>
        <v>150000</v>
      </c>
      <c r="BK18" s="837">
        <f t="shared" si="40"/>
        <v>150000</v>
      </c>
      <c r="BL18" s="842">
        <f t="shared" si="40"/>
        <v>150000</v>
      </c>
      <c r="BM18" s="516"/>
      <c r="BN18" s="516"/>
      <c r="BO18" s="516"/>
      <c r="BP18" s="516"/>
      <c r="BQ18" s="516"/>
      <c r="BR18" s="516"/>
      <c r="BS18" s="516"/>
      <c r="BT18" s="525"/>
      <c r="BU18" s="19"/>
      <c r="BV18" s="19"/>
      <c r="BW18" s="19"/>
      <c r="BX18" s="19"/>
      <c r="BY18" s="19"/>
      <c r="BZ18" s="75"/>
      <c r="CA18" s="75">
        <f>BI18</f>
        <v>75000</v>
      </c>
      <c r="CB18" s="75">
        <f t="shared" si="30"/>
        <v>150000</v>
      </c>
      <c r="CC18" s="75">
        <f t="shared" si="31"/>
        <v>150000</v>
      </c>
      <c r="CD18" s="75">
        <f t="shared" si="31"/>
        <v>150000</v>
      </c>
    </row>
    <row r="19" spans="1:84" ht="15.5">
      <c r="A19" s="1952"/>
      <c r="B19" s="460"/>
      <c r="C19" t="s">
        <v>47</v>
      </c>
      <c r="E19" s="78"/>
      <c r="F19" s="78"/>
      <c r="G19" s="78"/>
      <c r="H19" s="78"/>
      <c r="I19" s="78"/>
      <c r="J19" s="78"/>
      <c r="K19" s="78"/>
      <c r="L19" s="78">
        <v>150000</v>
      </c>
      <c r="M19" s="78">
        <v>150000</v>
      </c>
      <c r="N19" s="79">
        <v>150000</v>
      </c>
      <c r="O19" s="19"/>
      <c r="P19" s="19"/>
      <c r="Q19" s="19"/>
      <c r="R19" s="19"/>
      <c r="S19" s="19"/>
      <c r="T19" s="75"/>
      <c r="U19" s="75"/>
      <c r="V19" s="75">
        <f>L19*(1/4)</f>
        <v>37500</v>
      </c>
      <c r="W19" s="75">
        <f t="shared" ref="W19:X25" si="41">M19</f>
        <v>150000</v>
      </c>
      <c r="X19" s="76">
        <f t="shared" si="41"/>
        <v>150000</v>
      </c>
      <c r="Y19" s="75">
        <f t="shared" si="36"/>
        <v>0</v>
      </c>
      <c r="Z19" s="75">
        <f t="shared" si="39"/>
        <v>0</v>
      </c>
      <c r="AA19" s="75">
        <f t="shared" si="39"/>
        <v>0</v>
      </c>
      <c r="AB19" s="75">
        <f t="shared" si="39"/>
        <v>0</v>
      </c>
      <c r="AC19" s="75">
        <f t="shared" si="39"/>
        <v>0</v>
      </c>
      <c r="AD19" s="75">
        <f t="shared" si="39"/>
        <v>0</v>
      </c>
      <c r="AE19" s="75">
        <f t="shared" si="39"/>
        <v>0</v>
      </c>
      <c r="AF19" s="75">
        <f t="shared" si="39"/>
        <v>112500</v>
      </c>
      <c r="AG19" s="75">
        <f t="shared" si="39"/>
        <v>0</v>
      </c>
      <c r="AH19" s="76">
        <f t="shared" si="39"/>
        <v>0</v>
      </c>
      <c r="AI19" s="19"/>
      <c r="AJ19" s="19"/>
      <c r="AK19" s="19"/>
      <c r="AL19" s="19"/>
      <c r="AM19" s="19"/>
      <c r="AN19" s="19"/>
      <c r="AP19" s="70">
        <v>0.5</v>
      </c>
      <c r="AQ19" s="518">
        <f t="shared" ref="AQ19:AR25" si="42">AP19</f>
        <v>0.5</v>
      </c>
      <c r="AR19" s="300">
        <f t="shared" si="42"/>
        <v>0.5</v>
      </c>
      <c r="AS19" s="518"/>
      <c r="AT19" s="518"/>
      <c r="AU19" s="518"/>
      <c r="AV19" s="518"/>
      <c r="AW19" s="518"/>
      <c r="AX19" s="518"/>
      <c r="AY19" s="518"/>
      <c r="AZ19" s="518"/>
      <c r="BA19" s="518"/>
      <c r="BB19" s="300"/>
      <c r="BC19" s="19"/>
      <c r="BD19" s="19"/>
      <c r="BE19" s="19"/>
      <c r="BF19" s="19"/>
      <c r="BG19" s="19"/>
      <c r="BH19" s="516"/>
      <c r="BI19" s="516"/>
      <c r="BJ19" s="516">
        <f t="shared" si="40"/>
        <v>18750</v>
      </c>
      <c r="BK19" s="837">
        <f t="shared" si="40"/>
        <v>75000</v>
      </c>
      <c r="BL19" s="842">
        <f t="shared" si="40"/>
        <v>75000</v>
      </c>
      <c r="BM19" s="516"/>
      <c r="BN19" s="516"/>
      <c r="BO19" s="516"/>
      <c r="BP19" s="516"/>
      <c r="BQ19" s="516"/>
      <c r="BR19" s="516"/>
      <c r="BS19" s="516"/>
      <c r="BT19" s="525"/>
      <c r="BU19" s="19"/>
      <c r="BV19" s="19"/>
      <c r="BW19" s="19"/>
      <c r="BX19" s="19"/>
      <c r="BY19" s="19"/>
      <c r="BZ19" s="75"/>
      <c r="CA19" s="75"/>
      <c r="CB19" s="75">
        <f t="shared" si="30"/>
        <v>18750</v>
      </c>
      <c r="CC19" s="75">
        <f t="shared" si="31"/>
        <v>75000</v>
      </c>
      <c r="CD19" s="75">
        <f t="shared" si="31"/>
        <v>75000</v>
      </c>
    </row>
    <row r="20" spans="1:84" ht="15.5">
      <c r="A20" s="1952"/>
      <c r="B20" s="460"/>
      <c r="C20" t="s">
        <v>48</v>
      </c>
      <c r="D20" t="s">
        <v>49</v>
      </c>
      <c r="E20" s="78"/>
      <c r="F20" s="78"/>
      <c r="G20" s="78"/>
      <c r="H20" s="78"/>
      <c r="I20" s="78"/>
      <c r="J20" s="78"/>
      <c r="K20" s="78">
        <v>200000</v>
      </c>
      <c r="L20" s="78">
        <v>200000</v>
      </c>
      <c r="M20" s="78">
        <v>200000</v>
      </c>
      <c r="N20" s="79">
        <v>200000</v>
      </c>
      <c r="O20" s="19"/>
      <c r="P20" s="19"/>
      <c r="Q20" s="19"/>
      <c r="R20" s="19"/>
      <c r="S20" s="19"/>
      <c r="T20" s="75"/>
      <c r="U20" s="75">
        <f>K20*(1/5)</f>
        <v>40000</v>
      </c>
      <c r="V20" s="75">
        <f>L20</f>
        <v>200000</v>
      </c>
      <c r="W20" s="75">
        <f t="shared" si="41"/>
        <v>200000</v>
      </c>
      <c r="X20" s="76">
        <f t="shared" si="41"/>
        <v>200000</v>
      </c>
      <c r="Y20" s="75">
        <f t="shared" si="36"/>
        <v>0</v>
      </c>
      <c r="Z20" s="75">
        <f t="shared" si="39"/>
        <v>0</v>
      </c>
      <c r="AA20" s="75">
        <f t="shared" si="39"/>
        <v>0</v>
      </c>
      <c r="AB20" s="75">
        <f t="shared" si="39"/>
        <v>0</v>
      </c>
      <c r="AC20" s="75">
        <f t="shared" si="39"/>
        <v>0</v>
      </c>
      <c r="AD20" s="75">
        <f t="shared" si="39"/>
        <v>0</v>
      </c>
      <c r="AE20" s="75">
        <f t="shared" si="39"/>
        <v>160000</v>
      </c>
      <c r="AF20" s="75">
        <f t="shared" si="39"/>
        <v>0</v>
      </c>
      <c r="AG20" s="75">
        <f t="shared" si="39"/>
        <v>0</v>
      </c>
      <c r="AH20" s="76">
        <f t="shared" si="39"/>
        <v>0</v>
      </c>
      <c r="AI20" s="19"/>
      <c r="AJ20" s="19"/>
      <c r="AK20" s="19"/>
      <c r="AL20" s="19"/>
      <c r="AM20" s="19"/>
      <c r="AN20" s="19"/>
      <c r="AO20" s="70">
        <v>1</v>
      </c>
      <c r="AP20" s="298">
        <f>AO20</f>
        <v>1</v>
      </c>
      <c r="AQ20" s="518">
        <f t="shared" si="42"/>
        <v>1</v>
      </c>
      <c r="AR20" s="300">
        <f t="shared" si="42"/>
        <v>1</v>
      </c>
      <c r="AS20" s="518"/>
      <c r="AT20" s="518"/>
      <c r="AU20" s="518"/>
      <c r="AV20" s="518"/>
      <c r="AW20" s="518"/>
      <c r="AX20" s="518"/>
      <c r="AY20" s="518"/>
      <c r="AZ20" s="518"/>
      <c r="BA20" s="518"/>
      <c r="BB20" s="300"/>
      <c r="BC20" s="19"/>
      <c r="BD20" s="19"/>
      <c r="BE20" s="19"/>
      <c r="BF20" s="19"/>
      <c r="BG20" s="19"/>
      <c r="BH20" s="516"/>
      <c r="BI20" s="516">
        <f>U20*AO20</f>
        <v>40000</v>
      </c>
      <c r="BJ20" s="516">
        <f>V20*AP20</f>
        <v>200000</v>
      </c>
      <c r="BK20" s="837">
        <f>W20*AQ20</f>
        <v>200000</v>
      </c>
      <c r="BL20" s="842">
        <f>X20*AR20</f>
        <v>200000</v>
      </c>
      <c r="BM20" s="516"/>
      <c r="BN20" s="516"/>
      <c r="BO20" s="516"/>
      <c r="BP20" s="516"/>
      <c r="BQ20" s="516"/>
      <c r="BR20" s="516"/>
      <c r="BS20" s="516"/>
      <c r="BT20" s="525"/>
      <c r="BU20" s="19"/>
      <c r="BV20" s="19"/>
      <c r="BW20" s="19"/>
      <c r="BX20" s="19"/>
      <c r="BY20" s="19"/>
      <c r="BZ20" s="75"/>
      <c r="CA20" s="75">
        <f>BI20</f>
        <v>40000</v>
      </c>
      <c r="CB20" s="75">
        <f t="shared" si="30"/>
        <v>200000</v>
      </c>
      <c r="CC20" s="75">
        <f t="shared" si="31"/>
        <v>200000</v>
      </c>
      <c r="CD20" s="75">
        <f t="shared" si="31"/>
        <v>200000</v>
      </c>
    </row>
    <row r="21" spans="1:84" ht="15.5">
      <c r="A21" s="1952"/>
      <c r="B21" s="460"/>
      <c r="C21" t="s">
        <v>50</v>
      </c>
      <c r="E21" s="78"/>
      <c r="F21" s="78"/>
      <c r="G21" s="78"/>
      <c r="H21" s="78"/>
      <c r="I21" s="78"/>
      <c r="J21" s="78"/>
      <c r="K21" s="78"/>
      <c r="L21" s="78">
        <v>200000</v>
      </c>
      <c r="M21" s="78">
        <v>200000</v>
      </c>
      <c r="N21" s="79">
        <v>200000</v>
      </c>
      <c r="O21" s="19"/>
      <c r="P21" s="19"/>
      <c r="Q21" s="19"/>
      <c r="R21" s="19"/>
      <c r="S21" s="19"/>
      <c r="T21" s="75"/>
      <c r="U21" s="75"/>
      <c r="V21" s="75">
        <f>L21*(1/2)</f>
        <v>100000</v>
      </c>
      <c r="W21" s="75">
        <f t="shared" si="41"/>
        <v>200000</v>
      </c>
      <c r="X21" s="76">
        <f t="shared" si="41"/>
        <v>200000</v>
      </c>
      <c r="Y21" s="75">
        <f t="shared" si="36"/>
        <v>0</v>
      </c>
      <c r="Z21" s="75">
        <f t="shared" si="39"/>
        <v>0</v>
      </c>
      <c r="AA21" s="75">
        <f t="shared" si="39"/>
        <v>0</v>
      </c>
      <c r="AB21" s="75">
        <f t="shared" si="39"/>
        <v>0</v>
      </c>
      <c r="AC21" s="75">
        <f t="shared" si="39"/>
        <v>0</v>
      </c>
      <c r="AD21" s="75">
        <f t="shared" si="39"/>
        <v>0</v>
      </c>
      <c r="AE21" s="75">
        <f t="shared" si="39"/>
        <v>0</v>
      </c>
      <c r="AF21" s="75">
        <f t="shared" si="39"/>
        <v>100000</v>
      </c>
      <c r="AG21" s="75">
        <f t="shared" si="39"/>
        <v>0</v>
      </c>
      <c r="AH21" s="76">
        <f t="shared" si="39"/>
        <v>0</v>
      </c>
      <c r="AI21" s="19"/>
      <c r="AJ21" s="19"/>
      <c r="AK21" s="19"/>
      <c r="AL21" s="19"/>
      <c r="AM21" s="19"/>
      <c r="AN21" s="19"/>
      <c r="AO21" s="70"/>
      <c r="AP21" s="70">
        <v>0.5</v>
      </c>
      <c r="AQ21" s="298">
        <f t="shared" si="42"/>
        <v>0.5</v>
      </c>
      <c r="AR21" s="844">
        <f t="shared" si="42"/>
        <v>0.5</v>
      </c>
      <c r="AS21" s="518"/>
      <c r="AT21" s="518"/>
      <c r="AU21" s="518"/>
      <c r="AV21" s="518"/>
      <c r="AW21" s="518"/>
      <c r="AX21" s="518"/>
      <c r="AY21" s="518"/>
      <c r="AZ21" s="518"/>
      <c r="BA21" s="518"/>
      <c r="BB21" s="300"/>
      <c r="BC21" s="19"/>
      <c r="BD21" s="19"/>
      <c r="BE21" s="19"/>
      <c r="BF21" s="19"/>
      <c r="BG21" s="19"/>
      <c r="BH21" s="516"/>
      <c r="BI21" s="516"/>
      <c r="BJ21" s="516">
        <f t="shared" ref="BJ21:BL25" si="43">V21*AP21</f>
        <v>50000</v>
      </c>
      <c r="BK21" s="837">
        <f t="shared" si="43"/>
        <v>100000</v>
      </c>
      <c r="BL21" s="842">
        <f t="shared" si="43"/>
        <v>100000</v>
      </c>
      <c r="BM21" s="516"/>
      <c r="BN21" s="516"/>
      <c r="BO21" s="516"/>
      <c r="BP21" s="516"/>
      <c r="BQ21" s="516"/>
      <c r="BR21" s="516"/>
      <c r="BS21" s="516"/>
      <c r="BT21" s="525"/>
      <c r="BU21" s="19"/>
      <c r="BV21" s="19"/>
      <c r="BW21" s="19"/>
      <c r="BX21" s="19"/>
      <c r="BY21" s="19"/>
      <c r="BZ21" s="75"/>
      <c r="CA21" s="75"/>
      <c r="CB21" s="75">
        <f t="shared" si="30"/>
        <v>50000</v>
      </c>
      <c r="CC21" s="75">
        <f t="shared" si="31"/>
        <v>100000</v>
      </c>
      <c r="CD21" s="75">
        <f t="shared" si="31"/>
        <v>100000</v>
      </c>
    </row>
    <row r="22" spans="1:84" ht="15.5">
      <c r="A22" s="1952"/>
      <c r="B22" s="460"/>
      <c r="C22" t="s">
        <v>51</v>
      </c>
      <c r="E22" s="78"/>
      <c r="F22" s="78"/>
      <c r="G22" s="78"/>
      <c r="H22" s="78"/>
      <c r="I22" s="78"/>
      <c r="J22" s="78"/>
      <c r="K22" s="78">
        <v>300000</v>
      </c>
      <c r="L22" s="78">
        <v>300000</v>
      </c>
      <c r="M22" s="78">
        <v>300000</v>
      </c>
      <c r="N22" s="79">
        <v>300000</v>
      </c>
      <c r="O22" s="19"/>
      <c r="P22" s="19"/>
      <c r="Q22" s="19"/>
      <c r="R22" s="19"/>
      <c r="S22" s="19"/>
      <c r="T22" s="75"/>
      <c r="U22" s="75">
        <f>K22*(1/3)</f>
        <v>100000</v>
      </c>
      <c r="V22" s="75">
        <f>L22</f>
        <v>300000</v>
      </c>
      <c r="W22" s="75">
        <f t="shared" si="41"/>
        <v>300000</v>
      </c>
      <c r="X22" s="76">
        <f t="shared" si="41"/>
        <v>300000</v>
      </c>
      <c r="Y22" s="75">
        <f t="shared" si="36"/>
        <v>0</v>
      </c>
      <c r="Z22" s="75">
        <f t="shared" si="39"/>
        <v>0</v>
      </c>
      <c r="AA22" s="75">
        <f t="shared" si="39"/>
        <v>0</v>
      </c>
      <c r="AB22" s="75">
        <f t="shared" si="39"/>
        <v>0</v>
      </c>
      <c r="AC22" s="75">
        <f t="shared" si="39"/>
        <v>0</v>
      </c>
      <c r="AD22" s="75">
        <f t="shared" si="39"/>
        <v>0</v>
      </c>
      <c r="AE22" s="75">
        <f t="shared" si="39"/>
        <v>200000</v>
      </c>
      <c r="AF22" s="75">
        <f t="shared" si="39"/>
        <v>0</v>
      </c>
      <c r="AG22" s="75">
        <f t="shared" si="39"/>
        <v>0</v>
      </c>
      <c r="AH22" s="76">
        <f t="shared" si="39"/>
        <v>0</v>
      </c>
      <c r="AI22" s="19"/>
      <c r="AJ22" s="19"/>
      <c r="AK22" s="19"/>
      <c r="AL22" s="19"/>
      <c r="AM22" s="19"/>
      <c r="AN22" s="19"/>
      <c r="AO22" s="70">
        <v>1</v>
      </c>
      <c r="AP22" s="298">
        <f>AO22</f>
        <v>1</v>
      </c>
      <c r="AQ22" s="518">
        <f t="shared" si="42"/>
        <v>1</v>
      </c>
      <c r="AR22" s="300">
        <f t="shared" si="42"/>
        <v>1</v>
      </c>
      <c r="AS22" s="518"/>
      <c r="AT22" s="518"/>
      <c r="AU22" s="518"/>
      <c r="AV22" s="518"/>
      <c r="AW22" s="518"/>
      <c r="AX22" s="518"/>
      <c r="AY22" s="518"/>
      <c r="AZ22" s="518"/>
      <c r="BA22" s="518"/>
      <c r="BB22" s="300"/>
      <c r="BC22" s="19"/>
      <c r="BD22" s="19"/>
      <c r="BE22" s="19"/>
      <c r="BF22" s="19"/>
      <c r="BG22" s="19"/>
      <c r="BH22" s="516"/>
      <c r="BI22" s="516">
        <f>U22*AO22</f>
        <v>100000</v>
      </c>
      <c r="BJ22" s="516">
        <f t="shared" si="43"/>
        <v>300000</v>
      </c>
      <c r="BK22" s="837">
        <f t="shared" si="43"/>
        <v>300000</v>
      </c>
      <c r="BL22" s="842">
        <f t="shared" si="43"/>
        <v>300000</v>
      </c>
      <c r="BM22" s="516"/>
      <c r="BN22" s="516"/>
      <c r="BO22" s="516"/>
      <c r="BP22" s="516"/>
      <c r="BQ22" s="516"/>
      <c r="BR22" s="516"/>
      <c r="BS22" s="516"/>
      <c r="BT22" s="525"/>
      <c r="BU22" s="19"/>
      <c r="BV22" s="19"/>
      <c r="BW22" s="19"/>
      <c r="BX22" s="19"/>
      <c r="BY22" s="19"/>
      <c r="BZ22" s="75"/>
      <c r="CA22" s="75">
        <f>BI22</f>
        <v>100000</v>
      </c>
      <c r="CB22" s="75">
        <f t="shared" si="30"/>
        <v>300000</v>
      </c>
      <c r="CC22" s="75">
        <f t="shared" si="31"/>
        <v>300000</v>
      </c>
      <c r="CD22" s="75">
        <f t="shared" si="31"/>
        <v>300000</v>
      </c>
    </row>
    <row r="23" spans="1:84" ht="15.5">
      <c r="A23" s="1952"/>
      <c r="B23" s="460"/>
      <c r="C23" t="s">
        <v>52</v>
      </c>
      <c r="D23" t="s">
        <v>53</v>
      </c>
      <c r="E23" s="78"/>
      <c r="F23" s="78"/>
      <c r="G23" s="78"/>
      <c r="H23" s="78"/>
      <c r="I23" s="78"/>
      <c r="J23" s="78"/>
      <c r="K23" s="78">
        <v>200000</v>
      </c>
      <c r="L23" s="78">
        <v>200000</v>
      </c>
      <c r="M23" s="78">
        <v>200000</v>
      </c>
      <c r="N23" s="79">
        <v>200000</v>
      </c>
      <c r="O23" s="19"/>
      <c r="P23" s="19"/>
      <c r="Q23" s="19"/>
      <c r="R23" s="19"/>
      <c r="S23" s="19"/>
      <c r="T23" s="75"/>
      <c r="U23" s="75">
        <f>K23*(2/3)</f>
        <v>133333.33333333331</v>
      </c>
      <c r="V23" s="75">
        <f>L23</f>
        <v>200000</v>
      </c>
      <c r="W23" s="75">
        <f t="shared" si="41"/>
        <v>200000</v>
      </c>
      <c r="X23" s="76">
        <f t="shared" si="41"/>
        <v>200000</v>
      </c>
      <c r="Y23" s="75">
        <f t="shared" si="36"/>
        <v>0</v>
      </c>
      <c r="Z23" s="75">
        <f t="shared" si="39"/>
        <v>0</v>
      </c>
      <c r="AA23" s="75">
        <f t="shared" si="39"/>
        <v>0</v>
      </c>
      <c r="AB23" s="75">
        <f t="shared" si="39"/>
        <v>0</v>
      </c>
      <c r="AC23" s="75">
        <f t="shared" si="39"/>
        <v>0</v>
      </c>
      <c r="AD23" s="75">
        <f t="shared" si="39"/>
        <v>0</v>
      </c>
      <c r="AE23" s="75">
        <f t="shared" si="39"/>
        <v>66666.666666666686</v>
      </c>
      <c r="AF23" s="75">
        <f t="shared" si="39"/>
        <v>0</v>
      </c>
      <c r="AG23" s="75">
        <f t="shared" si="39"/>
        <v>0</v>
      </c>
      <c r="AH23" s="76">
        <f t="shared" si="39"/>
        <v>0</v>
      </c>
      <c r="AI23" s="19"/>
      <c r="AJ23" s="19"/>
      <c r="AK23" s="19"/>
      <c r="AL23" s="19"/>
      <c r="AM23" s="19"/>
      <c r="AN23" s="19"/>
      <c r="AO23" s="70">
        <v>1</v>
      </c>
      <c r="AP23" s="298">
        <f>AO23</f>
        <v>1</v>
      </c>
      <c r="AQ23" s="518">
        <f t="shared" si="42"/>
        <v>1</v>
      </c>
      <c r="AR23" s="300">
        <f t="shared" si="42"/>
        <v>1</v>
      </c>
      <c r="AS23" s="518"/>
      <c r="AT23" s="518"/>
      <c r="AU23" s="518"/>
      <c r="AV23" s="518"/>
      <c r="AW23" s="518"/>
      <c r="AX23" s="518"/>
      <c r="AY23" s="518"/>
      <c r="AZ23" s="518"/>
      <c r="BA23" s="518"/>
      <c r="BB23" s="300"/>
      <c r="BC23" s="19"/>
      <c r="BD23" s="19"/>
      <c r="BE23" s="19"/>
      <c r="BF23" s="19"/>
      <c r="BG23" s="19"/>
      <c r="BH23" s="516"/>
      <c r="BI23" s="516">
        <f>U23*AO23</f>
        <v>133333.33333333331</v>
      </c>
      <c r="BJ23" s="516">
        <f t="shared" si="43"/>
        <v>200000</v>
      </c>
      <c r="BK23" s="837">
        <f t="shared" si="43"/>
        <v>200000</v>
      </c>
      <c r="BL23" s="842">
        <f t="shared" si="43"/>
        <v>200000</v>
      </c>
      <c r="BM23" s="516"/>
      <c r="BN23" s="516"/>
      <c r="BO23" s="516"/>
      <c r="BP23" s="516"/>
      <c r="BQ23" s="516"/>
      <c r="BR23" s="516"/>
      <c r="BS23" s="516"/>
      <c r="BT23" s="525"/>
      <c r="BU23" s="19"/>
      <c r="BV23" s="19"/>
      <c r="BW23" s="19"/>
      <c r="BX23" s="19"/>
      <c r="BY23" s="19"/>
      <c r="BZ23" s="75"/>
      <c r="CA23" s="75">
        <f>BI23</f>
        <v>133333.33333333331</v>
      </c>
      <c r="CB23" s="75">
        <f t="shared" si="30"/>
        <v>200000</v>
      </c>
      <c r="CC23" s="75">
        <f t="shared" si="31"/>
        <v>200000</v>
      </c>
      <c r="CD23" s="75">
        <f t="shared" si="31"/>
        <v>200000</v>
      </c>
    </row>
    <row r="24" spans="1:84" ht="15.5">
      <c r="A24" s="1952"/>
      <c r="B24" s="460"/>
      <c r="C24" t="s">
        <v>54</v>
      </c>
      <c r="E24" s="78"/>
      <c r="F24" s="78"/>
      <c r="G24" s="78"/>
      <c r="H24" s="78"/>
      <c r="I24" s="78"/>
      <c r="J24" s="78"/>
      <c r="K24" s="78">
        <v>150000</v>
      </c>
      <c r="L24" s="78">
        <v>300000</v>
      </c>
      <c r="M24" s="78">
        <v>300000</v>
      </c>
      <c r="N24" s="79">
        <v>300000</v>
      </c>
      <c r="O24" s="19"/>
      <c r="P24" s="19"/>
      <c r="Q24" s="19"/>
      <c r="R24" s="19"/>
      <c r="S24" s="19"/>
      <c r="T24" s="75"/>
      <c r="U24" s="75">
        <f>K24*(1/4)</f>
        <v>37500</v>
      </c>
      <c r="V24" s="75">
        <f>15000+15000*(1/2)</f>
        <v>22500</v>
      </c>
      <c r="W24" s="75">
        <f t="shared" si="41"/>
        <v>300000</v>
      </c>
      <c r="X24" s="76">
        <f t="shared" si="41"/>
        <v>300000</v>
      </c>
      <c r="Y24" s="75">
        <f t="shared" si="36"/>
        <v>0</v>
      </c>
      <c r="Z24" s="75">
        <f t="shared" si="39"/>
        <v>0</v>
      </c>
      <c r="AA24" s="75">
        <f t="shared" si="39"/>
        <v>0</v>
      </c>
      <c r="AB24" s="75">
        <f t="shared" si="39"/>
        <v>0</v>
      </c>
      <c r="AC24" s="75">
        <f t="shared" si="39"/>
        <v>0</v>
      </c>
      <c r="AD24" s="75">
        <f t="shared" si="39"/>
        <v>0</v>
      </c>
      <c r="AE24" s="75">
        <f t="shared" si="39"/>
        <v>112500</v>
      </c>
      <c r="AF24" s="75">
        <f t="shared" si="39"/>
        <v>277500</v>
      </c>
      <c r="AG24" s="75">
        <f t="shared" si="39"/>
        <v>0</v>
      </c>
      <c r="AH24" s="76">
        <f t="shared" si="39"/>
        <v>0</v>
      </c>
      <c r="AI24" s="19"/>
      <c r="AJ24" s="19"/>
      <c r="AK24" s="19"/>
      <c r="AL24" s="19"/>
      <c r="AM24" s="19"/>
      <c r="AN24" s="19"/>
      <c r="AO24" s="70">
        <v>1</v>
      </c>
      <c r="AP24" s="298">
        <f>AO24</f>
        <v>1</v>
      </c>
      <c r="AQ24" s="518">
        <f t="shared" si="42"/>
        <v>1</v>
      </c>
      <c r="AR24" s="300">
        <f t="shared" si="42"/>
        <v>1</v>
      </c>
      <c r="AS24" s="518"/>
      <c r="AT24" s="518"/>
      <c r="AU24" s="518"/>
      <c r="AV24" s="518"/>
      <c r="AW24" s="518"/>
      <c r="AX24" s="518"/>
      <c r="AY24" s="518"/>
      <c r="AZ24" s="518"/>
      <c r="BA24" s="518"/>
      <c r="BB24" s="300"/>
      <c r="BC24" s="19"/>
      <c r="BD24" s="19"/>
      <c r="BE24" s="19"/>
      <c r="BF24" s="19"/>
      <c r="BG24" s="19"/>
      <c r="BH24" s="516"/>
      <c r="BI24" s="516">
        <f>U24*AO24</f>
        <v>37500</v>
      </c>
      <c r="BJ24" s="516">
        <f t="shared" si="43"/>
        <v>22500</v>
      </c>
      <c r="BK24" s="837">
        <f t="shared" si="43"/>
        <v>300000</v>
      </c>
      <c r="BL24" s="842">
        <f t="shared" si="43"/>
        <v>300000</v>
      </c>
      <c r="BM24" s="516"/>
      <c r="BN24" s="516"/>
      <c r="BO24" s="516"/>
      <c r="BP24" s="516"/>
      <c r="BQ24" s="516"/>
      <c r="BR24" s="516"/>
      <c r="BS24" s="516"/>
      <c r="BT24" s="525"/>
      <c r="BU24" s="19"/>
      <c r="BV24" s="19"/>
      <c r="BW24" s="19"/>
      <c r="BX24" s="19"/>
      <c r="BY24" s="19"/>
      <c r="BZ24" s="75"/>
      <c r="CA24" s="75">
        <f>BI24</f>
        <v>37500</v>
      </c>
      <c r="CB24" s="75">
        <f t="shared" si="30"/>
        <v>22500</v>
      </c>
      <c r="CC24" s="75">
        <f t="shared" si="31"/>
        <v>300000</v>
      </c>
      <c r="CD24" s="75">
        <f t="shared" si="31"/>
        <v>300000</v>
      </c>
      <c r="CF24" t="s">
        <v>55</v>
      </c>
    </row>
    <row r="25" spans="1:84" ht="15.5">
      <c r="A25" s="1952"/>
      <c r="B25" s="460"/>
      <c r="C25" t="s">
        <v>56</v>
      </c>
      <c r="E25" s="78"/>
      <c r="F25" s="78"/>
      <c r="G25" s="78"/>
      <c r="H25" s="78"/>
      <c r="I25" s="78"/>
      <c r="J25" s="78"/>
      <c r="K25" s="78"/>
      <c r="L25" s="78">
        <v>150000</v>
      </c>
      <c r="M25" s="78">
        <v>300000</v>
      </c>
      <c r="N25" s="79">
        <v>300000</v>
      </c>
      <c r="O25" s="19"/>
      <c r="P25" s="19"/>
      <c r="Q25" s="19"/>
      <c r="R25" s="19"/>
      <c r="S25" s="19"/>
      <c r="T25" s="75"/>
      <c r="U25" s="75"/>
      <c r="V25" s="75">
        <f>L25*(3/4)</f>
        <v>112500</v>
      </c>
      <c r="W25" s="75">
        <f t="shared" si="41"/>
        <v>300000</v>
      </c>
      <c r="X25" s="76">
        <f t="shared" si="41"/>
        <v>300000</v>
      </c>
      <c r="Y25" s="75">
        <f t="shared" si="36"/>
        <v>0</v>
      </c>
      <c r="Z25" s="75">
        <f t="shared" si="39"/>
        <v>0</v>
      </c>
      <c r="AA25" s="75">
        <f t="shared" si="39"/>
        <v>0</v>
      </c>
      <c r="AB25" s="75">
        <f t="shared" si="39"/>
        <v>0</v>
      </c>
      <c r="AC25" s="75">
        <f t="shared" si="39"/>
        <v>0</v>
      </c>
      <c r="AD25" s="75">
        <f t="shared" si="39"/>
        <v>0</v>
      </c>
      <c r="AE25" s="75">
        <f t="shared" si="39"/>
        <v>0</v>
      </c>
      <c r="AF25" s="75">
        <f t="shared" si="39"/>
        <v>37500</v>
      </c>
      <c r="AG25" s="75">
        <f t="shared" si="39"/>
        <v>0</v>
      </c>
      <c r="AH25" s="76">
        <f t="shared" si="39"/>
        <v>0</v>
      </c>
      <c r="AI25" s="19"/>
      <c r="AJ25" s="19"/>
      <c r="AK25" s="19"/>
      <c r="AL25" s="19"/>
      <c r="AM25" s="19"/>
      <c r="AN25" s="19"/>
      <c r="AO25" s="70"/>
      <c r="AP25" s="70">
        <v>0.5</v>
      </c>
      <c r="AQ25" s="298">
        <f t="shared" si="42"/>
        <v>0.5</v>
      </c>
      <c r="AR25" s="844">
        <f t="shared" si="42"/>
        <v>0.5</v>
      </c>
      <c r="AS25" s="518"/>
      <c r="AT25" s="518"/>
      <c r="AU25" s="518"/>
      <c r="AV25" s="518"/>
      <c r="AW25" s="518"/>
      <c r="AX25" s="518"/>
      <c r="AY25" s="518"/>
      <c r="AZ25" s="518"/>
      <c r="BA25" s="518"/>
      <c r="BB25" s="300"/>
      <c r="BC25" s="19"/>
      <c r="BD25" s="19"/>
      <c r="BE25" s="19"/>
      <c r="BF25" s="19"/>
      <c r="BG25" s="19"/>
      <c r="BH25" s="516"/>
      <c r="BI25" s="516"/>
      <c r="BJ25" s="516">
        <f t="shared" si="43"/>
        <v>56250</v>
      </c>
      <c r="BK25" s="837">
        <f t="shared" si="43"/>
        <v>150000</v>
      </c>
      <c r="BL25" s="842">
        <f t="shared" si="43"/>
        <v>150000</v>
      </c>
      <c r="BM25" s="516"/>
      <c r="BN25" s="516"/>
      <c r="BO25" s="516"/>
      <c r="BP25" s="516"/>
      <c r="BQ25" s="516"/>
      <c r="BR25" s="516"/>
      <c r="BS25" s="516"/>
      <c r="BT25" s="525"/>
      <c r="BU25" s="19"/>
      <c r="BV25" s="19"/>
      <c r="BW25" s="19"/>
      <c r="BX25" s="19"/>
      <c r="BY25" s="19"/>
      <c r="BZ25" s="75"/>
      <c r="CA25" s="75"/>
      <c r="CB25" s="75">
        <f t="shared" si="30"/>
        <v>56250</v>
      </c>
      <c r="CC25" s="75">
        <f t="shared" si="31"/>
        <v>150000</v>
      </c>
      <c r="CD25" s="75">
        <f t="shared" si="31"/>
        <v>150000</v>
      </c>
    </row>
    <row r="26" spans="1:84" ht="14">
      <c r="A26" s="1952"/>
      <c r="B26" s="460"/>
      <c r="C26" s="42" t="s">
        <v>24</v>
      </c>
      <c r="D26" s="42"/>
      <c r="E26" s="71">
        <f t="shared" ref="E26:J26" si="44">SUM(E8:E20)</f>
        <v>600000</v>
      </c>
      <c r="F26" s="71">
        <f t="shared" si="44"/>
        <v>600000</v>
      </c>
      <c r="G26" s="71">
        <f t="shared" si="44"/>
        <v>800000</v>
      </c>
      <c r="H26" s="71">
        <f t="shared" si="44"/>
        <v>800000</v>
      </c>
      <c r="I26" s="71">
        <f t="shared" si="44"/>
        <v>800000</v>
      </c>
      <c r="J26" s="71">
        <f t="shared" si="44"/>
        <v>1300000</v>
      </c>
      <c r="K26" s="71">
        <f>SUM(K8:K24)</f>
        <v>3200000</v>
      </c>
      <c r="L26" s="71">
        <f>SUM(L8:L25)</f>
        <v>4050000</v>
      </c>
      <c r="M26" s="71">
        <f>SUM(M8:M25)</f>
        <v>4200000</v>
      </c>
      <c r="N26" s="72">
        <f>SUM(N8:N25)</f>
        <v>4300000</v>
      </c>
      <c r="O26" s="71">
        <f t="shared" ref="O26:T26" si="45">SUM(O8:O20)</f>
        <v>600000</v>
      </c>
      <c r="P26" s="71">
        <f t="shared" si="45"/>
        <v>600000</v>
      </c>
      <c r="Q26" s="71">
        <f t="shared" si="45"/>
        <v>800000</v>
      </c>
      <c r="R26" s="71">
        <f t="shared" si="45"/>
        <v>800000</v>
      </c>
      <c r="S26" s="71">
        <f t="shared" si="45"/>
        <v>800000</v>
      </c>
      <c r="T26" s="71">
        <f t="shared" si="45"/>
        <v>1000000</v>
      </c>
      <c r="U26" s="71">
        <f>SUM(U8:U25)</f>
        <v>2073333.3333333333</v>
      </c>
      <c r="V26" s="71">
        <f>SUM(V8:V25)</f>
        <v>3355833.333333333</v>
      </c>
      <c r="W26" s="71">
        <f>SUM(W8:W25)</f>
        <v>4200000</v>
      </c>
      <c r="X26" s="72">
        <f>SUM(X8:X25)</f>
        <v>4200000</v>
      </c>
      <c r="Y26" s="71">
        <f>SUM(Y8:Y20)</f>
        <v>0</v>
      </c>
      <c r="Z26" s="71">
        <f t="shared" ref="Z26:AC26" si="46">SUM(Z8:Z20)</f>
        <v>0</v>
      </c>
      <c r="AA26" s="71">
        <f t="shared" si="46"/>
        <v>0</v>
      </c>
      <c r="AB26" s="71">
        <f t="shared" si="46"/>
        <v>0</v>
      </c>
      <c r="AC26" s="71">
        <f t="shared" si="46"/>
        <v>0</v>
      </c>
      <c r="AD26" s="71">
        <f>SUM(AD8:AD25)</f>
        <v>300000</v>
      </c>
      <c r="AE26" s="71">
        <f>SUM(AE8:AE25)</f>
        <v>1126666.6666666667</v>
      </c>
      <c r="AF26" s="71">
        <f>SUM(AF8:AF25)</f>
        <v>694166.66666666674</v>
      </c>
      <c r="AG26" s="71">
        <f>SUM(AG8:AG25)</f>
        <v>0</v>
      </c>
      <c r="AH26" s="72">
        <f>SUM(AH8:AH25)</f>
        <v>0</v>
      </c>
      <c r="AI26" s="73">
        <f t="shared" ref="AI26:AR26" si="47">BC26/O26</f>
        <v>0.82882333333333336</v>
      </c>
      <c r="AJ26" s="73">
        <f t="shared" si="47"/>
        <v>0.68047000000000002</v>
      </c>
      <c r="AK26" s="73">
        <f t="shared" si="47"/>
        <v>0.63582000000000005</v>
      </c>
      <c r="AL26" s="73">
        <f t="shared" si="47"/>
        <v>0.55615000000000003</v>
      </c>
      <c r="AM26" s="73">
        <f t="shared" si="47"/>
        <v>0.52664875</v>
      </c>
      <c r="AN26" s="73">
        <f t="shared" si="47"/>
        <v>0.74753999999999998</v>
      </c>
      <c r="AO26" s="73">
        <f t="shared" si="47"/>
        <v>0.96442926045016075</v>
      </c>
      <c r="AP26" s="73">
        <f t="shared" si="47"/>
        <v>0.89421405512788676</v>
      </c>
      <c r="AQ26" s="73">
        <f t="shared" si="47"/>
        <v>0.8666666666666667</v>
      </c>
      <c r="AR26" s="74">
        <f t="shared" si="47"/>
        <v>0.87023809523809526</v>
      </c>
      <c r="AS26" s="520">
        <v>2.58</v>
      </c>
      <c r="AT26" s="520">
        <v>2.2799999999999998</v>
      </c>
      <c r="AU26" s="520">
        <v>2.4900000000000002</v>
      </c>
      <c r="AV26" s="520">
        <v>2.2400000000000002</v>
      </c>
      <c r="AW26" s="520">
        <v>2.56</v>
      </c>
      <c r="AX26" s="520">
        <v>2.99</v>
      </c>
      <c r="AY26" s="520">
        <v>3.18</v>
      </c>
      <c r="AZ26" s="519"/>
      <c r="BA26" s="519"/>
      <c r="BB26" s="521"/>
      <c r="BC26" s="43">
        <v>497294</v>
      </c>
      <c r="BD26" s="43">
        <v>408282</v>
      </c>
      <c r="BE26" s="43">
        <v>508656</v>
      </c>
      <c r="BF26" s="43">
        <v>444920</v>
      </c>
      <c r="BG26" s="43">
        <v>421319</v>
      </c>
      <c r="BH26" s="43">
        <v>747540</v>
      </c>
      <c r="BI26" s="71">
        <f>SUM(BI8:BI25)</f>
        <v>1999583.3333333333</v>
      </c>
      <c r="BJ26" s="71">
        <f>SUM(BJ8:BJ25)</f>
        <v>3000833.333333333</v>
      </c>
      <c r="BK26" s="71">
        <f>SUM(BK8:BK25)</f>
        <v>3640000</v>
      </c>
      <c r="BL26" s="72">
        <f>SUM(BL8:BL25)</f>
        <v>3655000</v>
      </c>
      <c r="BM26" s="71"/>
      <c r="BN26" s="71"/>
      <c r="BO26" s="517">
        <v>140855</v>
      </c>
      <c r="BP26" s="517">
        <v>566110</v>
      </c>
      <c r="BQ26" s="517">
        <v>1863494</v>
      </c>
      <c r="BR26" s="517">
        <v>2228697.6325651272</v>
      </c>
      <c r="BS26" s="517">
        <v>2565934.3624409507</v>
      </c>
      <c r="BT26" s="524">
        <v>2808638.8816258181</v>
      </c>
      <c r="BU26" s="43">
        <v>422000</v>
      </c>
      <c r="BV26" s="43">
        <v>355000</v>
      </c>
      <c r="BW26" s="43">
        <v>520687</v>
      </c>
      <c r="BX26" s="43">
        <v>461399</v>
      </c>
      <c r="BY26" s="43">
        <v>426972</v>
      </c>
      <c r="BZ26" s="43">
        <v>747540</v>
      </c>
      <c r="CA26" s="71">
        <f>MIN(BI26,BQ26)</f>
        <v>1863494</v>
      </c>
      <c r="CB26" s="71">
        <f>MIN(BJ26,BR26)</f>
        <v>2228697.6325651272</v>
      </c>
      <c r="CC26" s="71">
        <f>MIN(BK26,BS26)</f>
        <v>2565934.3624409507</v>
      </c>
      <c r="CD26" s="71">
        <f>MIN(BL26,BT26)</f>
        <v>2808638.8816258181</v>
      </c>
    </row>
    <row r="27" spans="1:84" ht="15.5">
      <c r="A27" s="1952" t="s">
        <v>57</v>
      </c>
      <c r="B27" s="460" t="s">
        <v>57</v>
      </c>
      <c r="C27" t="s">
        <v>58</v>
      </c>
      <c r="D27" t="s">
        <v>59</v>
      </c>
      <c r="E27" s="78">
        <v>50000</v>
      </c>
      <c r="F27" s="78">
        <v>100000</v>
      </c>
      <c r="G27" s="78">
        <v>120000</v>
      </c>
      <c r="H27" s="78">
        <v>120000</v>
      </c>
      <c r="I27" s="78">
        <v>120000</v>
      </c>
      <c r="J27" s="78">
        <v>300000</v>
      </c>
      <c r="K27" s="78">
        <v>300000</v>
      </c>
      <c r="L27" s="78">
        <v>300000</v>
      </c>
      <c r="M27" s="78">
        <v>300000</v>
      </c>
      <c r="N27" s="79">
        <v>300000</v>
      </c>
      <c r="O27" s="78">
        <v>50000</v>
      </c>
      <c r="P27" s="78">
        <v>100000</v>
      </c>
      <c r="Q27" s="78">
        <v>120000</v>
      </c>
      <c r="R27" s="78">
        <v>120000</v>
      </c>
      <c r="S27" s="78">
        <v>120000</v>
      </c>
      <c r="T27" s="78">
        <v>120000</v>
      </c>
      <c r="U27" s="78">
        <v>300000</v>
      </c>
      <c r="V27" s="78">
        <v>300000</v>
      </c>
      <c r="W27" s="78">
        <v>300000</v>
      </c>
      <c r="X27" s="79">
        <v>300000</v>
      </c>
      <c r="Y27" s="75">
        <f t="shared" ref="Y27:AH28" si="48">MAX(0,E27-O27)</f>
        <v>0</v>
      </c>
      <c r="Z27" s="75">
        <f t="shared" si="48"/>
        <v>0</v>
      </c>
      <c r="AA27" s="75">
        <f t="shared" si="48"/>
        <v>0</v>
      </c>
      <c r="AB27" s="75">
        <f t="shared" si="48"/>
        <v>0</v>
      </c>
      <c r="AC27" s="75">
        <f t="shared" si="48"/>
        <v>0</v>
      </c>
      <c r="AD27" s="75">
        <f t="shared" si="48"/>
        <v>180000</v>
      </c>
      <c r="AE27" s="75">
        <f t="shared" si="48"/>
        <v>0</v>
      </c>
      <c r="AF27" s="75">
        <f t="shared" si="48"/>
        <v>0</v>
      </c>
      <c r="AG27" s="75">
        <f t="shared" si="48"/>
        <v>0</v>
      </c>
      <c r="AH27" s="76">
        <f t="shared" si="48"/>
        <v>0</v>
      </c>
      <c r="AI27" s="19"/>
      <c r="AJ27" s="19"/>
      <c r="AK27" s="82">
        <f>BE27/Q27</f>
        <v>9.456666666666666E-2</v>
      </c>
      <c r="AL27" s="82">
        <f>BF27/R27</f>
        <v>0.171375</v>
      </c>
      <c r="AM27" s="82">
        <f>BG27/S27</f>
        <v>0.3644</v>
      </c>
      <c r="AN27" s="82">
        <f>BH27/T27</f>
        <v>0.7619083333333333</v>
      </c>
      <c r="AO27" s="276">
        <f>(70%+AK27)/2</f>
        <v>0.39728333333333332</v>
      </c>
      <c r="AP27" s="299">
        <f>(80%+AL27)/2</f>
        <v>0.48568750000000005</v>
      </c>
      <c r="AQ27" s="835">
        <f>(85%+AM27)/2</f>
        <v>0.60719999999999996</v>
      </c>
      <c r="AR27" s="276"/>
      <c r="AS27" s="518"/>
      <c r="AT27" s="518"/>
      <c r="AU27" s="518"/>
      <c r="AV27" s="518"/>
      <c r="AW27" s="518"/>
      <c r="AX27" s="518"/>
      <c r="AY27" s="518"/>
      <c r="AZ27" s="518"/>
      <c r="BA27" s="518"/>
      <c r="BB27" s="300"/>
      <c r="BC27" s="19"/>
      <c r="BD27" s="19"/>
      <c r="BE27" s="83">
        <f>BW27</f>
        <v>11348</v>
      </c>
      <c r="BF27" s="83">
        <v>20565</v>
      </c>
      <c r="BG27" s="83">
        <f>BY27</f>
        <v>43728</v>
      </c>
      <c r="BH27" s="83">
        <v>91429</v>
      </c>
      <c r="BI27" s="244">
        <f t="shared" ref="BI27:BK28" si="49">AO27*U27</f>
        <v>119185</v>
      </c>
      <c r="BJ27" s="243">
        <f t="shared" si="49"/>
        <v>145706.25000000003</v>
      </c>
      <c r="BK27" s="243">
        <f t="shared" si="49"/>
        <v>182160</v>
      </c>
      <c r="BL27" s="522"/>
      <c r="BM27" s="243"/>
      <c r="BN27" s="243"/>
      <c r="BO27" s="516"/>
      <c r="BP27" s="516"/>
      <c r="BQ27" s="516"/>
      <c r="BR27" s="516"/>
      <c r="BS27" s="516"/>
      <c r="BT27" s="525"/>
      <c r="BU27" s="19"/>
      <c r="BV27" s="19"/>
      <c r="BW27" s="19">
        <v>11348</v>
      </c>
      <c r="BX27" s="19">
        <v>20565</v>
      </c>
      <c r="BY27" s="75">
        <f>17353+12206+10331+3838</f>
        <v>43728</v>
      </c>
      <c r="BZ27" s="75">
        <v>91429</v>
      </c>
      <c r="CA27" s="75">
        <f t="shared" ref="BZ27:CC28" si="50">BI27</f>
        <v>119185</v>
      </c>
      <c r="CB27" s="75">
        <f t="shared" si="50"/>
        <v>145706.25000000003</v>
      </c>
      <c r="CC27" s="75">
        <f t="shared" si="50"/>
        <v>182160</v>
      </c>
      <c r="CD27" s="75"/>
    </row>
    <row r="28" spans="1:84" ht="15.5">
      <c r="A28" s="1952"/>
      <c r="B28" s="460"/>
      <c r="C28" t="s">
        <v>60</v>
      </c>
      <c r="D28" t="s">
        <v>61</v>
      </c>
      <c r="E28" s="19">
        <v>0</v>
      </c>
      <c r="F28" s="19">
        <v>0</v>
      </c>
      <c r="G28" s="19">
        <v>0</v>
      </c>
      <c r="H28" s="19">
        <v>0</v>
      </c>
      <c r="I28" s="19">
        <v>0</v>
      </c>
      <c r="J28" s="78">
        <v>0</v>
      </c>
      <c r="K28" s="78">
        <v>1000000</v>
      </c>
      <c r="L28" s="78">
        <v>1000000</v>
      </c>
      <c r="M28" s="78">
        <v>1000000</v>
      </c>
      <c r="N28" s="79">
        <v>1000000</v>
      </c>
      <c r="O28" s="78"/>
      <c r="P28" s="78"/>
      <c r="Q28" s="78"/>
      <c r="R28" s="78"/>
      <c r="S28" s="78"/>
      <c r="T28" s="78">
        <v>0</v>
      </c>
      <c r="U28" s="78">
        <v>300000</v>
      </c>
      <c r="V28" s="78">
        <v>600000</v>
      </c>
      <c r="W28" s="78">
        <v>600000</v>
      </c>
      <c r="X28" s="79">
        <v>600000</v>
      </c>
      <c r="Y28" s="75">
        <f t="shared" si="48"/>
        <v>0</v>
      </c>
      <c r="Z28" s="75">
        <f t="shared" si="48"/>
        <v>0</v>
      </c>
      <c r="AA28" s="75">
        <f t="shared" si="48"/>
        <v>0</v>
      </c>
      <c r="AB28" s="75">
        <f t="shared" si="48"/>
        <v>0</v>
      </c>
      <c r="AC28" s="75">
        <f t="shared" si="48"/>
        <v>0</v>
      </c>
      <c r="AD28" s="75">
        <f t="shared" si="48"/>
        <v>0</v>
      </c>
      <c r="AE28" s="75">
        <f t="shared" si="48"/>
        <v>700000</v>
      </c>
      <c r="AF28" s="75">
        <f t="shared" si="48"/>
        <v>400000</v>
      </c>
      <c r="AG28" s="75">
        <f t="shared" si="48"/>
        <v>400000</v>
      </c>
      <c r="AH28" s="76">
        <f t="shared" si="48"/>
        <v>400000</v>
      </c>
      <c r="AI28" s="19"/>
      <c r="AJ28" s="19"/>
      <c r="AK28" s="19"/>
      <c r="AL28" s="19"/>
      <c r="AM28" s="19"/>
      <c r="AN28" s="19"/>
      <c r="AO28" s="276">
        <f>AK27</f>
        <v>9.456666666666666E-2</v>
      </c>
      <c r="AP28" s="299">
        <f>AL27</f>
        <v>0.171375</v>
      </c>
      <c r="AQ28" s="835">
        <f>AM27</f>
        <v>0.3644</v>
      </c>
      <c r="AR28" s="276">
        <f>AN27</f>
        <v>0.7619083333333333</v>
      </c>
      <c r="AS28" s="518"/>
      <c r="AT28" s="518"/>
      <c r="AU28" s="518"/>
      <c r="AV28" s="518"/>
      <c r="AW28" s="518"/>
      <c r="AX28" s="518"/>
      <c r="AY28" s="518"/>
      <c r="AZ28" s="518"/>
      <c r="BA28" s="518"/>
      <c r="BB28" s="300"/>
      <c r="BC28" s="19"/>
      <c r="BD28" s="19"/>
      <c r="BE28" s="19"/>
      <c r="BF28" s="19"/>
      <c r="BG28" s="19"/>
      <c r="BH28" s="19"/>
      <c r="BI28" s="244">
        <f t="shared" si="49"/>
        <v>28369.999999999996</v>
      </c>
      <c r="BJ28" s="243">
        <f t="shared" si="49"/>
        <v>102825</v>
      </c>
      <c r="BK28" s="243">
        <f t="shared" si="49"/>
        <v>218640</v>
      </c>
      <c r="BL28" s="522"/>
      <c r="BM28" s="243"/>
      <c r="BN28" s="243"/>
      <c r="BO28" s="516"/>
      <c r="BP28" s="516"/>
      <c r="BQ28" s="516"/>
      <c r="BR28" s="516"/>
      <c r="BS28" s="516"/>
      <c r="BT28" s="525"/>
      <c r="BU28" s="19"/>
      <c r="BV28" s="19"/>
      <c r="BW28" s="19"/>
      <c r="BX28" s="19"/>
      <c r="BY28" s="19"/>
      <c r="BZ28" s="75">
        <f t="shared" si="50"/>
        <v>0</v>
      </c>
      <c r="CA28" s="75">
        <f t="shared" si="50"/>
        <v>28369.999999999996</v>
      </c>
      <c r="CB28" s="75">
        <f t="shared" si="50"/>
        <v>102825</v>
      </c>
      <c r="CC28" s="75">
        <f t="shared" si="50"/>
        <v>218640</v>
      </c>
      <c r="CD28" s="75"/>
    </row>
    <row r="29" spans="1:84" ht="14">
      <c r="A29" s="1952"/>
      <c r="B29" s="460"/>
      <c r="C29" t="s">
        <v>62</v>
      </c>
      <c r="E29" s="19">
        <v>0</v>
      </c>
      <c r="F29" s="19">
        <v>0</v>
      </c>
      <c r="G29" s="19">
        <v>0</v>
      </c>
      <c r="H29" s="19">
        <v>0</v>
      </c>
      <c r="I29" s="19">
        <v>0</v>
      </c>
      <c r="J29" s="78">
        <v>0</v>
      </c>
      <c r="K29" s="78">
        <v>0</v>
      </c>
      <c r="L29" s="78">
        <v>0</v>
      </c>
      <c r="M29" s="78"/>
      <c r="N29" s="79"/>
      <c r="O29" s="19"/>
      <c r="P29" s="19"/>
      <c r="Q29" s="19"/>
      <c r="R29" s="19"/>
      <c r="S29" s="19"/>
      <c r="T29" s="19"/>
      <c r="U29" s="19"/>
      <c r="V29" s="19"/>
      <c r="W29" s="19"/>
      <c r="X29" s="46"/>
      <c r="Y29" s="75">
        <f t="shared" ref="Y29:AF29" si="51">MAX(0,E29-O29)</f>
        <v>0</v>
      </c>
      <c r="Z29" s="75">
        <f t="shared" si="51"/>
        <v>0</v>
      </c>
      <c r="AA29" s="75">
        <f t="shared" si="51"/>
        <v>0</v>
      </c>
      <c r="AB29" s="75">
        <f t="shared" si="51"/>
        <v>0</v>
      </c>
      <c r="AC29" s="75">
        <f t="shared" si="51"/>
        <v>0</v>
      </c>
      <c r="AD29" s="75">
        <f t="shared" si="51"/>
        <v>0</v>
      </c>
      <c r="AE29" s="75">
        <f t="shared" si="51"/>
        <v>0</v>
      </c>
      <c r="AF29" s="75">
        <f t="shared" si="51"/>
        <v>0</v>
      </c>
      <c r="AG29" s="75">
        <f>MAX(0,M29-W29)</f>
        <v>0</v>
      </c>
      <c r="AH29" s="75">
        <f>MAX(0,N29-X29)</f>
        <v>0</v>
      </c>
      <c r="AI29" s="19"/>
      <c r="AJ29" s="19"/>
      <c r="AK29" s="19"/>
      <c r="AL29" s="19"/>
      <c r="AM29" s="19"/>
      <c r="AN29" s="19"/>
      <c r="AO29" s="19"/>
      <c r="AP29" s="19"/>
      <c r="AQ29" s="19"/>
      <c r="AR29" s="46"/>
      <c r="AS29" s="19"/>
      <c r="AT29" s="19"/>
      <c r="AU29" s="19"/>
      <c r="AV29" s="19"/>
      <c r="AW29" s="19"/>
      <c r="AX29" s="19"/>
      <c r="AY29" s="19"/>
      <c r="AZ29" s="19"/>
      <c r="BA29" s="19"/>
      <c r="BB29" s="46"/>
      <c r="BC29" s="19"/>
      <c r="BD29" s="19"/>
      <c r="BE29" s="19"/>
      <c r="BF29" s="19"/>
      <c r="BG29" s="19"/>
      <c r="BH29" s="19"/>
      <c r="BI29" s="19"/>
      <c r="BJ29" s="19"/>
      <c r="BK29" s="19"/>
      <c r="BL29" s="46"/>
      <c r="BM29" s="19"/>
      <c r="BN29" s="19"/>
      <c r="BO29" s="19"/>
      <c r="BP29" s="19"/>
      <c r="BQ29" s="19"/>
      <c r="BR29" s="19"/>
      <c r="BS29" s="19"/>
      <c r="BT29" s="46"/>
      <c r="BU29" s="19"/>
      <c r="BV29" s="19"/>
      <c r="BW29" s="19"/>
      <c r="BX29" s="19"/>
      <c r="BY29" s="19"/>
      <c r="BZ29" s="19"/>
      <c r="CA29" s="19"/>
      <c r="CB29" s="19"/>
      <c r="CC29" s="19"/>
      <c r="CD29" s="19"/>
    </row>
    <row r="30" spans="1:84" ht="14">
      <c r="A30" s="1952"/>
      <c r="B30" s="460"/>
      <c r="C30" s="44" t="s">
        <v>24</v>
      </c>
      <c r="D30" s="44"/>
      <c r="E30" s="71">
        <v>50000</v>
      </c>
      <c r="F30" s="71">
        <v>100000</v>
      </c>
      <c r="G30" s="71">
        <v>120000</v>
      </c>
      <c r="H30" s="71">
        <v>120000</v>
      </c>
      <c r="I30" s="71">
        <v>120000</v>
      </c>
      <c r="J30" s="71">
        <f>SUM(J27:J29)</f>
        <v>300000</v>
      </c>
      <c r="K30" s="71">
        <f t="shared" ref="K30:U30" si="52">SUM(K27:K29)</f>
        <v>1300000</v>
      </c>
      <c r="L30" s="71">
        <f t="shared" si="52"/>
        <v>1300000</v>
      </c>
      <c r="M30" s="71">
        <f t="shared" si="52"/>
        <v>1300000</v>
      </c>
      <c r="N30" s="72"/>
      <c r="O30" s="71">
        <f t="shared" si="52"/>
        <v>50000</v>
      </c>
      <c r="P30" s="71">
        <f t="shared" si="52"/>
        <v>100000</v>
      </c>
      <c r="Q30" s="71">
        <f t="shared" si="52"/>
        <v>120000</v>
      </c>
      <c r="R30" s="71">
        <f t="shared" si="52"/>
        <v>120000</v>
      </c>
      <c r="S30" s="71">
        <f t="shared" si="52"/>
        <v>120000</v>
      </c>
      <c r="T30" s="71">
        <f t="shared" si="52"/>
        <v>120000</v>
      </c>
      <c r="U30" s="71">
        <f t="shared" si="52"/>
        <v>600000</v>
      </c>
      <c r="V30" s="71">
        <f t="shared" ref="V30:AG30" si="53">SUM(V27:V29)</f>
        <v>900000</v>
      </c>
      <c r="W30" s="71">
        <f t="shared" si="53"/>
        <v>900000</v>
      </c>
      <c r="X30" s="72">
        <f t="shared" ref="X30" si="54">SUM(X27:X29)</f>
        <v>900000</v>
      </c>
      <c r="Y30" s="71">
        <f t="shared" si="53"/>
        <v>0</v>
      </c>
      <c r="Z30" s="71">
        <f t="shared" si="53"/>
        <v>0</v>
      </c>
      <c r="AA30" s="71">
        <f t="shared" si="53"/>
        <v>0</v>
      </c>
      <c r="AB30" s="71">
        <f t="shared" si="53"/>
        <v>0</v>
      </c>
      <c r="AC30" s="71">
        <f t="shared" si="53"/>
        <v>0</v>
      </c>
      <c r="AD30" s="71">
        <f t="shared" si="53"/>
        <v>180000</v>
      </c>
      <c r="AE30" s="71">
        <f t="shared" si="53"/>
        <v>700000</v>
      </c>
      <c r="AF30" s="71">
        <f t="shared" si="53"/>
        <v>400000</v>
      </c>
      <c r="AG30" s="71">
        <f t="shared" si="53"/>
        <v>400000</v>
      </c>
      <c r="AH30" s="72">
        <f t="shared" ref="AH30" si="55">SUM(AH27:AH29)</f>
        <v>400000</v>
      </c>
      <c r="AI30" s="73">
        <f t="shared" ref="AI30" si="56">BC30/O30</f>
        <v>0</v>
      </c>
      <c r="AJ30" s="73">
        <f t="shared" ref="AJ30" si="57">BD30/P30</f>
        <v>0</v>
      </c>
      <c r="AK30" s="73">
        <f t="shared" ref="AK30" si="58">BE30/Q30</f>
        <v>9.456666666666666E-2</v>
      </c>
      <c r="AL30" s="73">
        <f t="shared" ref="AL30" si="59">BF30/R30</f>
        <v>0.171375</v>
      </c>
      <c r="AM30" s="73">
        <f>BG30/S30</f>
        <v>0.3644</v>
      </c>
      <c r="AN30" s="73">
        <f>BH30/T30</f>
        <v>0.7619083333333333</v>
      </c>
      <c r="AO30" s="73">
        <f>BI30/U30</f>
        <v>0.20414333333333334</v>
      </c>
      <c r="AP30" s="73">
        <f>BJ30/V30</f>
        <v>0.27614583333333337</v>
      </c>
      <c r="AQ30" s="73">
        <f>BK30/W30</f>
        <v>0.44533333333333336</v>
      </c>
      <c r="AR30" s="74"/>
      <c r="AS30" s="73"/>
      <c r="AT30" s="73"/>
      <c r="AU30" s="560">
        <v>1.46</v>
      </c>
      <c r="AV30" s="560">
        <v>1.25</v>
      </c>
      <c r="AW30" s="560">
        <v>2.2999999999999998</v>
      </c>
      <c r="AX30" s="560">
        <v>4.28</v>
      </c>
      <c r="AY30" s="560">
        <v>2.74</v>
      </c>
      <c r="AZ30" s="73"/>
      <c r="BA30" s="73"/>
      <c r="BB30" s="74"/>
      <c r="BC30" s="71">
        <f t="shared" ref="BC30:BK30" si="60">SUM(BC27:BC29)</f>
        <v>0</v>
      </c>
      <c r="BD30" s="71">
        <f t="shared" si="60"/>
        <v>0</v>
      </c>
      <c r="BE30" s="71">
        <f t="shared" si="60"/>
        <v>11348</v>
      </c>
      <c r="BF30" s="71">
        <f t="shared" si="60"/>
        <v>20565</v>
      </c>
      <c r="BG30" s="71">
        <f t="shared" si="60"/>
        <v>43728</v>
      </c>
      <c r="BH30" s="71">
        <f>SUM(BH27:BH29)</f>
        <v>91429</v>
      </c>
      <c r="BI30" s="71">
        <v>122486</v>
      </c>
      <c r="BJ30" s="71">
        <f t="shared" si="60"/>
        <v>248531.25000000003</v>
      </c>
      <c r="BK30" s="71">
        <f t="shared" si="60"/>
        <v>400800</v>
      </c>
      <c r="BL30" s="72"/>
      <c r="BM30" s="71"/>
      <c r="BN30" s="71"/>
      <c r="BO30" s="71"/>
      <c r="BP30" s="71"/>
      <c r="BQ30" s="71">
        <v>113066.63401238924</v>
      </c>
      <c r="BR30" s="71">
        <v>171893.72302282185</v>
      </c>
      <c r="BS30" s="71">
        <v>220744.71112864924</v>
      </c>
      <c r="BT30" s="72"/>
      <c r="BU30" s="71">
        <f t="shared" ref="BU30" si="61">SUM(BU27:BU29)</f>
        <v>0</v>
      </c>
      <c r="BV30" s="71">
        <f t="shared" ref="BV30" si="62">SUM(BV27:BV29)</f>
        <v>0</v>
      </c>
      <c r="BW30" s="273">
        <v>11348</v>
      </c>
      <c r="BX30" s="273">
        <v>20565</v>
      </c>
      <c r="BY30" s="273">
        <v>43728</v>
      </c>
      <c r="BZ30" s="43">
        <v>91429</v>
      </c>
      <c r="CA30" s="71">
        <v>122486</v>
      </c>
      <c r="CB30" s="71">
        <f>MIN(BJ30,BR30)</f>
        <v>171893.72302282185</v>
      </c>
      <c r="CC30" s="71">
        <f>MIN(BK30,BS30)</f>
        <v>220744.71112864924</v>
      </c>
      <c r="CD30" s="71"/>
    </row>
    <row r="31" spans="1:84" ht="14">
      <c r="B31" s="460" t="s">
        <v>63</v>
      </c>
      <c r="C31" t="s">
        <v>64</v>
      </c>
      <c r="D31" t="s">
        <v>65</v>
      </c>
      <c r="G31" s="235">
        <v>200000</v>
      </c>
      <c r="H31" s="235">
        <v>200000</v>
      </c>
      <c r="I31" s="235">
        <v>200000</v>
      </c>
      <c r="J31" s="235">
        <v>200000</v>
      </c>
      <c r="K31" s="235">
        <v>200000</v>
      </c>
      <c r="L31" s="235">
        <v>200000</v>
      </c>
      <c r="M31" s="235">
        <v>200000</v>
      </c>
      <c r="N31" s="847">
        <v>200000</v>
      </c>
      <c r="T31" s="360">
        <v>100000</v>
      </c>
      <c r="U31" s="360">
        <v>150000</v>
      </c>
      <c r="V31" s="360">
        <v>200000</v>
      </c>
      <c r="W31" s="360">
        <v>200000</v>
      </c>
      <c r="X31" s="850">
        <v>200000</v>
      </c>
    </row>
    <row r="32" spans="1:84" ht="14">
      <c r="C32" t="s">
        <v>66</v>
      </c>
      <c r="G32" s="235"/>
      <c r="H32" s="235"/>
      <c r="I32" s="235"/>
      <c r="J32" s="235"/>
      <c r="K32" s="235"/>
      <c r="L32" s="235">
        <v>100000</v>
      </c>
      <c r="M32" s="235">
        <v>100000</v>
      </c>
      <c r="N32" s="847">
        <v>100000</v>
      </c>
    </row>
    <row r="33" spans="1:88" ht="14">
      <c r="C33" t="s">
        <v>67</v>
      </c>
      <c r="G33" s="235"/>
      <c r="H33" s="235"/>
      <c r="I33" s="235"/>
      <c r="J33" s="235"/>
      <c r="K33" s="235"/>
      <c r="L33" s="235"/>
      <c r="M33" s="235"/>
      <c r="N33" s="847"/>
    </row>
    <row r="34" spans="1:88" s="44" customFormat="1" ht="14">
      <c r="B34" s="64"/>
      <c r="C34" s="44" t="s">
        <v>24</v>
      </c>
      <c r="E34" s="44">
        <f>SUM(E31:E33)</f>
        <v>0</v>
      </c>
      <c r="F34" s="44">
        <f t="shared" ref="F34:N34" si="63">SUM(F31:F33)</f>
        <v>0</v>
      </c>
      <c r="G34" s="848">
        <f t="shared" si="63"/>
        <v>200000</v>
      </c>
      <c r="H34" s="848">
        <f t="shared" si="63"/>
        <v>200000</v>
      </c>
      <c r="I34" s="848">
        <f t="shared" si="63"/>
        <v>200000</v>
      </c>
      <c r="J34" s="848">
        <f t="shared" si="63"/>
        <v>200000</v>
      </c>
      <c r="K34" s="848">
        <f t="shared" si="63"/>
        <v>200000</v>
      </c>
      <c r="L34" s="848">
        <f t="shared" si="63"/>
        <v>300000</v>
      </c>
      <c r="M34" s="848">
        <f t="shared" si="63"/>
        <v>300000</v>
      </c>
      <c r="N34" s="848">
        <f t="shared" si="63"/>
        <v>300000</v>
      </c>
      <c r="X34" s="335"/>
      <c r="AH34" s="335"/>
      <c r="AR34" s="335"/>
      <c r="AV34" s="520">
        <v>0.11</v>
      </c>
      <c r="AW34" s="520">
        <v>2.68</v>
      </c>
      <c r="AX34" s="520">
        <v>5.24</v>
      </c>
      <c r="AY34" s="520">
        <v>3.23</v>
      </c>
      <c r="BB34" s="335"/>
      <c r="BL34" s="335"/>
      <c r="BT34" s="335"/>
    </row>
    <row r="35" spans="1:88" ht="14">
      <c r="A35" s="1955" t="s">
        <v>0</v>
      </c>
      <c r="B35" s="505" t="s">
        <v>68</v>
      </c>
      <c r="C35" s="526">
        <v>44582</v>
      </c>
      <c r="D35" s="19" t="s">
        <v>69</v>
      </c>
    </row>
    <row r="36" spans="1:88" ht="14">
      <c r="A36" s="1955"/>
      <c r="C36" s="19"/>
      <c r="D36" s="19"/>
    </row>
    <row r="37" spans="1:88" ht="14">
      <c r="A37" s="1952" t="s">
        <v>15</v>
      </c>
      <c r="B37" s="505"/>
      <c r="C37" s="19"/>
      <c r="D37" s="19"/>
    </row>
    <row r="38" spans="1:88" ht="14.5">
      <c r="A38" s="1952"/>
      <c r="B38" s="286" t="s">
        <v>70</v>
      </c>
      <c r="C38" s="19"/>
      <c r="D38" s="19"/>
    </row>
    <row r="39" spans="1:88" ht="14">
      <c r="A39" s="1952"/>
      <c r="B39" s="505" t="s">
        <v>26</v>
      </c>
      <c r="C39" s="19" t="s">
        <v>71</v>
      </c>
      <c r="D39" s="19" t="s">
        <v>72</v>
      </c>
      <c r="E39" s="212">
        <v>2</v>
      </c>
      <c r="F39" s="212">
        <v>2</v>
      </c>
      <c r="G39" s="212">
        <v>2</v>
      </c>
      <c r="H39" s="212">
        <v>2</v>
      </c>
      <c r="I39" s="212">
        <v>2</v>
      </c>
      <c r="J39" s="212">
        <v>2</v>
      </c>
      <c r="K39" s="212">
        <f t="shared" ref="K39:K45" si="64">J39</f>
        <v>2</v>
      </c>
      <c r="L39" s="212">
        <f t="shared" ref="L39" si="65">K39</f>
        <v>2</v>
      </c>
      <c r="M39" s="212">
        <f>L39</f>
        <v>2</v>
      </c>
      <c r="N39" s="289">
        <f>M39</f>
        <v>2</v>
      </c>
      <c r="O39" s="212">
        <f>E39</f>
        <v>2</v>
      </c>
      <c r="P39" s="212">
        <f t="shared" ref="P39:X45" si="66">F39</f>
        <v>2</v>
      </c>
      <c r="Q39" s="212">
        <f t="shared" si="66"/>
        <v>2</v>
      </c>
      <c r="R39" s="212">
        <f t="shared" si="66"/>
        <v>2</v>
      </c>
      <c r="S39" s="212">
        <f t="shared" si="66"/>
        <v>2</v>
      </c>
      <c r="T39" s="212">
        <f t="shared" si="66"/>
        <v>2</v>
      </c>
      <c r="U39" s="287">
        <f t="shared" si="66"/>
        <v>2</v>
      </c>
      <c r="V39" s="287">
        <f t="shared" si="66"/>
        <v>2</v>
      </c>
      <c r="W39" s="287">
        <f t="shared" si="66"/>
        <v>2</v>
      </c>
      <c r="X39" s="288">
        <f t="shared" si="66"/>
        <v>2</v>
      </c>
      <c r="Y39" s="75">
        <f t="shared" ref="Y39:Y69" si="67">MAX(0,E39-O39)</f>
        <v>0</v>
      </c>
      <c r="Z39" s="75">
        <f t="shared" ref="Z39:Z69" si="68">MAX(0,F39-P39)</f>
        <v>0</v>
      </c>
      <c r="AA39" s="75">
        <f t="shared" ref="AA39:AA69" si="69">MAX(0,G39-Q39)</f>
        <v>0</v>
      </c>
      <c r="AB39" s="75">
        <f t="shared" ref="AB39:AB69" si="70">MAX(0,H39-R39)</f>
        <v>0</v>
      </c>
      <c r="AC39" s="75">
        <f t="shared" ref="AC39:AC69" si="71">MAX(0,I39-S39)</f>
        <v>0</v>
      </c>
      <c r="AD39" s="75">
        <f t="shared" ref="AD39:AD69" si="72">MAX(0,J39-T39)</f>
        <v>0</v>
      </c>
      <c r="AE39" s="75">
        <f t="shared" ref="AE39:AE69" si="73">MAX(0,K39-U39)</f>
        <v>0</v>
      </c>
      <c r="AF39" s="75">
        <f t="shared" ref="AF39:AF69" si="74">MAX(0,L39-V39)</f>
        <v>0</v>
      </c>
      <c r="AG39" s="297">
        <f t="shared" ref="AG39:AG69" si="75">MAX(0,M39-W39)</f>
        <v>0</v>
      </c>
      <c r="AH39" s="295">
        <f t="shared" ref="AH39:AH69" si="76">MAX(0,N39-X39)</f>
        <v>0</v>
      </c>
    </row>
    <row r="40" spans="1:88" ht="14">
      <c r="A40" s="1952"/>
      <c r="B40" s="505"/>
      <c r="C40" s="19" t="s">
        <v>73</v>
      </c>
      <c r="D40" s="19" t="s">
        <v>72</v>
      </c>
      <c r="E40" s="212">
        <v>8</v>
      </c>
      <c r="F40" s="212">
        <v>8</v>
      </c>
      <c r="G40" s="212">
        <v>8</v>
      </c>
      <c r="H40" s="212">
        <v>8</v>
      </c>
      <c r="I40" s="212">
        <v>8</v>
      </c>
      <c r="J40" s="212">
        <v>8</v>
      </c>
      <c r="K40" s="212">
        <f t="shared" si="64"/>
        <v>8</v>
      </c>
      <c r="L40" s="212">
        <f t="shared" ref="L40:N40" si="77">K40</f>
        <v>8</v>
      </c>
      <c r="M40" s="212">
        <f t="shared" si="77"/>
        <v>8</v>
      </c>
      <c r="N40" s="289">
        <f t="shared" si="77"/>
        <v>8</v>
      </c>
      <c r="O40" s="212">
        <f>E40</f>
        <v>8</v>
      </c>
      <c r="P40" s="212">
        <f t="shared" si="66"/>
        <v>8</v>
      </c>
      <c r="Q40" s="212">
        <f t="shared" si="66"/>
        <v>8</v>
      </c>
      <c r="R40" s="212">
        <f t="shared" si="66"/>
        <v>8</v>
      </c>
      <c r="S40" s="212">
        <f t="shared" si="66"/>
        <v>8</v>
      </c>
      <c r="T40" s="212">
        <f t="shared" si="66"/>
        <v>8</v>
      </c>
      <c r="U40" s="287">
        <f t="shared" si="66"/>
        <v>8</v>
      </c>
      <c r="V40" s="287">
        <f t="shared" si="66"/>
        <v>8</v>
      </c>
      <c r="W40" s="287">
        <f t="shared" si="66"/>
        <v>8</v>
      </c>
      <c r="X40" s="288">
        <f t="shared" si="66"/>
        <v>8</v>
      </c>
      <c r="Y40" s="75">
        <f t="shared" si="67"/>
        <v>0</v>
      </c>
      <c r="Z40" s="75">
        <f t="shared" si="68"/>
        <v>0</v>
      </c>
      <c r="AA40" s="75">
        <f t="shared" si="69"/>
        <v>0</v>
      </c>
      <c r="AB40" s="75">
        <f t="shared" si="70"/>
        <v>0</v>
      </c>
      <c r="AC40" s="75">
        <f t="shared" si="71"/>
        <v>0</v>
      </c>
      <c r="AD40" s="75">
        <f t="shared" si="72"/>
        <v>0</v>
      </c>
      <c r="AE40" s="75">
        <f t="shared" si="73"/>
        <v>0</v>
      </c>
      <c r="AF40" s="75">
        <f t="shared" si="74"/>
        <v>0</v>
      </c>
      <c r="AG40" s="297">
        <f t="shared" si="75"/>
        <v>0</v>
      </c>
      <c r="AH40" s="295">
        <f t="shared" si="76"/>
        <v>0</v>
      </c>
    </row>
    <row r="41" spans="1:88" ht="14">
      <c r="A41" s="1952"/>
      <c r="B41" s="505"/>
      <c r="C41" s="19" t="s">
        <v>74</v>
      </c>
      <c r="D41" s="19" t="s">
        <v>75</v>
      </c>
      <c r="E41" s="212">
        <v>6</v>
      </c>
      <c r="F41" s="212">
        <v>6</v>
      </c>
      <c r="G41" s="212">
        <v>6</v>
      </c>
      <c r="H41" s="212">
        <v>6</v>
      </c>
      <c r="I41" s="212">
        <v>6</v>
      </c>
      <c r="J41" s="212">
        <v>6</v>
      </c>
      <c r="K41" s="212">
        <f t="shared" si="64"/>
        <v>6</v>
      </c>
      <c r="L41" s="212">
        <f t="shared" ref="L41:N45" si="78">K41</f>
        <v>6</v>
      </c>
      <c r="M41" s="212">
        <f t="shared" si="78"/>
        <v>6</v>
      </c>
      <c r="N41" s="289">
        <f t="shared" si="78"/>
        <v>6</v>
      </c>
      <c r="O41" s="212">
        <f>E41</f>
        <v>6</v>
      </c>
      <c r="P41" s="212">
        <f t="shared" si="66"/>
        <v>6</v>
      </c>
      <c r="Q41" s="212">
        <f t="shared" si="66"/>
        <v>6</v>
      </c>
      <c r="R41" s="212">
        <f t="shared" si="66"/>
        <v>6</v>
      </c>
      <c r="S41" s="212">
        <f t="shared" si="66"/>
        <v>6</v>
      </c>
      <c r="T41" s="212">
        <f t="shared" si="66"/>
        <v>6</v>
      </c>
      <c r="U41" s="287">
        <f t="shared" si="66"/>
        <v>6</v>
      </c>
      <c r="V41" s="287">
        <f t="shared" si="66"/>
        <v>6</v>
      </c>
      <c r="W41" s="287">
        <f t="shared" si="66"/>
        <v>6</v>
      </c>
      <c r="X41" s="288">
        <f t="shared" si="66"/>
        <v>6</v>
      </c>
      <c r="Y41" s="75">
        <f t="shared" si="67"/>
        <v>0</v>
      </c>
      <c r="Z41" s="75">
        <f t="shared" si="68"/>
        <v>0</v>
      </c>
      <c r="AA41" s="75">
        <f t="shared" si="69"/>
        <v>0</v>
      </c>
      <c r="AB41" s="75">
        <f t="shared" si="70"/>
        <v>0</v>
      </c>
      <c r="AC41" s="75">
        <f t="shared" si="71"/>
        <v>0</v>
      </c>
      <c r="AD41" s="75">
        <f t="shared" si="72"/>
        <v>0</v>
      </c>
      <c r="AE41" s="75">
        <f t="shared" si="73"/>
        <v>0</v>
      </c>
      <c r="AF41" s="75">
        <f t="shared" si="74"/>
        <v>0</v>
      </c>
      <c r="AG41" s="297">
        <f t="shared" si="75"/>
        <v>0</v>
      </c>
      <c r="AH41" s="295">
        <f t="shared" si="76"/>
        <v>0</v>
      </c>
    </row>
    <row r="42" spans="1:88" ht="14">
      <c r="A42" s="1952" t="s">
        <v>25</v>
      </c>
      <c r="B42" s="505"/>
      <c r="C42" s="19" t="s">
        <v>76</v>
      </c>
      <c r="D42" s="19" t="s">
        <v>77</v>
      </c>
      <c r="E42" s="78">
        <v>0</v>
      </c>
      <c r="F42" s="78">
        <v>0</v>
      </c>
      <c r="G42" s="78">
        <v>10</v>
      </c>
      <c r="H42" s="78">
        <v>10</v>
      </c>
      <c r="I42" s="78">
        <v>10</v>
      </c>
      <c r="J42" s="78">
        <v>10</v>
      </c>
      <c r="K42" s="212">
        <f t="shared" si="64"/>
        <v>10</v>
      </c>
      <c r="L42" s="212">
        <f t="shared" si="78"/>
        <v>10</v>
      </c>
      <c r="M42" s="212">
        <f t="shared" si="78"/>
        <v>10</v>
      </c>
      <c r="N42" s="289">
        <f t="shared" si="78"/>
        <v>10</v>
      </c>
      <c r="O42" s="212">
        <f>E42</f>
        <v>0</v>
      </c>
      <c r="P42" s="212">
        <f>F42</f>
        <v>0</v>
      </c>
      <c r="Q42" s="75">
        <f>G42*(1/2)</f>
        <v>5</v>
      </c>
      <c r="R42" s="78">
        <f>H42</f>
        <v>10</v>
      </c>
      <c r="S42" s="78">
        <f t="shared" si="66"/>
        <v>10</v>
      </c>
      <c r="T42" s="78">
        <f t="shared" si="66"/>
        <v>10</v>
      </c>
      <c r="U42" s="77">
        <f t="shared" si="66"/>
        <v>10</v>
      </c>
      <c r="V42" s="77">
        <f t="shared" si="66"/>
        <v>10</v>
      </c>
      <c r="W42" s="287">
        <f t="shared" si="66"/>
        <v>10</v>
      </c>
      <c r="X42" s="288">
        <f t="shared" si="66"/>
        <v>10</v>
      </c>
      <c r="Y42" s="75">
        <f t="shared" si="67"/>
        <v>0</v>
      </c>
      <c r="Z42" s="75">
        <f t="shared" si="68"/>
        <v>0</v>
      </c>
      <c r="AA42" s="75">
        <f t="shared" si="69"/>
        <v>5</v>
      </c>
      <c r="AB42" s="75">
        <f t="shared" si="70"/>
        <v>0</v>
      </c>
      <c r="AC42" s="75">
        <f t="shared" si="71"/>
        <v>0</v>
      </c>
      <c r="AD42" s="75">
        <f t="shared" si="72"/>
        <v>0</v>
      </c>
      <c r="AE42" s="75">
        <f t="shared" si="73"/>
        <v>0</v>
      </c>
      <c r="AF42" s="75">
        <f t="shared" si="74"/>
        <v>0</v>
      </c>
      <c r="AG42" s="297">
        <f t="shared" si="75"/>
        <v>0</v>
      </c>
      <c r="AH42" s="295">
        <f t="shared" si="76"/>
        <v>0</v>
      </c>
    </row>
    <row r="43" spans="1:88" ht="14">
      <c r="A43" s="1952"/>
      <c r="B43" s="505"/>
      <c r="C43" s="19" t="s">
        <v>78</v>
      </c>
      <c r="D43" s="19" t="s">
        <v>79</v>
      </c>
      <c r="E43" s="78">
        <v>0</v>
      </c>
      <c r="F43" s="78">
        <v>0</v>
      </c>
      <c r="G43" s="78">
        <v>0</v>
      </c>
      <c r="H43" s="78">
        <v>0</v>
      </c>
      <c r="I43" s="78">
        <v>0</v>
      </c>
      <c r="J43" s="78">
        <v>14</v>
      </c>
      <c r="K43" s="212">
        <f t="shared" si="64"/>
        <v>14</v>
      </c>
      <c r="L43" s="212">
        <f t="shared" si="78"/>
        <v>14</v>
      </c>
      <c r="M43" s="212">
        <f t="shared" si="78"/>
        <v>14</v>
      </c>
      <c r="N43" s="289">
        <f t="shared" si="78"/>
        <v>14</v>
      </c>
      <c r="O43" s="78">
        <f>F43</f>
        <v>0</v>
      </c>
      <c r="P43" s="78">
        <f t="shared" ref="P43:R43" si="79">G43</f>
        <v>0</v>
      </c>
      <c r="Q43" s="78">
        <f t="shared" si="79"/>
        <v>0</v>
      </c>
      <c r="R43" s="78">
        <f t="shared" si="79"/>
        <v>0</v>
      </c>
      <c r="S43" s="78">
        <f>I43</f>
        <v>0</v>
      </c>
      <c r="T43" s="75">
        <f>K43*(1/4)</f>
        <v>3.5</v>
      </c>
      <c r="U43" s="287">
        <f>K43</f>
        <v>14</v>
      </c>
      <c r="V43" s="287">
        <f t="shared" si="66"/>
        <v>14</v>
      </c>
      <c r="W43" s="287">
        <f t="shared" si="66"/>
        <v>14</v>
      </c>
      <c r="X43" s="288">
        <f t="shared" si="66"/>
        <v>14</v>
      </c>
      <c r="Y43" s="75">
        <f t="shared" si="67"/>
        <v>0</v>
      </c>
      <c r="Z43" s="75">
        <f t="shared" si="68"/>
        <v>0</v>
      </c>
      <c r="AA43" s="75">
        <f t="shared" si="69"/>
        <v>0</v>
      </c>
      <c r="AB43" s="75">
        <f t="shared" si="70"/>
        <v>0</v>
      </c>
      <c r="AC43" s="75">
        <f t="shared" si="71"/>
        <v>0</v>
      </c>
      <c r="AD43" s="75">
        <f t="shared" si="72"/>
        <v>10.5</v>
      </c>
      <c r="AE43" s="75">
        <f t="shared" si="73"/>
        <v>0</v>
      </c>
      <c r="AF43" s="75">
        <f t="shared" si="74"/>
        <v>0</v>
      </c>
      <c r="AG43" s="297">
        <f t="shared" si="75"/>
        <v>0</v>
      </c>
      <c r="AH43" s="295">
        <f t="shared" si="76"/>
        <v>0</v>
      </c>
    </row>
    <row r="44" spans="1:88" ht="14">
      <c r="A44" s="1952"/>
      <c r="B44" s="505"/>
      <c r="C44" s="19" t="s">
        <v>80</v>
      </c>
      <c r="D44" s="19" t="s">
        <v>72</v>
      </c>
      <c r="E44" s="78">
        <v>0</v>
      </c>
      <c r="F44" s="78">
        <v>0</v>
      </c>
      <c r="G44" s="78">
        <v>0</v>
      </c>
      <c r="H44" s="78">
        <v>0</v>
      </c>
      <c r="I44" s="78">
        <v>20</v>
      </c>
      <c r="J44" s="78">
        <v>20</v>
      </c>
      <c r="K44" s="212">
        <f t="shared" si="64"/>
        <v>20</v>
      </c>
      <c r="L44" s="212">
        <f t="shared" si="78"/>
        <v>20</v>
      </c>
      <c r="M44" s="212">
        <f t="shared" si="78"/>
        <v>20</v>
      </c>
      <c r="N44" s="289">
        <f t="shared" si="78"/>
        <v>20</v>
      </c>
      <c r="O44" s="78">
        <f t="shared" ref="O44:O69" si="80">E44</f>
        <v>0</v>
      </c>
      <c r="P44" s="78">
        <f t="shared" ref="P44:R59" si="81">F44</f>
        <v>0</v>
      </c>
      <c r="Q44" s="78">
        <f t="shared" si="81"/>
        <v>0</v>
      </c>
      <c r="R44" s="78">
        <f t="shared" si="81"/>
        <v>0</v>
      </c>
      <c r="S44" s="75">
        <f>I44*(1/4)</f>
        <v>5</v>
      </c>
      <c r="T44" s="78">
        <f>J44</f>
        <v>20</v>
      </c>
      <c r="U44" s="287">
        <f t="shared" ref="U44" si="82">K44</f>
        <v>20</v>
      </c>
      <c r="V44" s="287">
        <f t="shared" si="66"/>
        <v>20</v>
      </c>
      <c r="W44" s="287">
        <f t="shared" si="66"/>
        <v>20</v>
      </c>
      <c r="X44" s="288">
        <f t="shared" si="66"/>
        <v>20</v>
      </c>
      <c r="Y44" s="75">
        <f t="shared" si="67"/>
        <v>0</v>
      </c>
      <c r="Z44" s="75">
        <f t="shared" si="68"/>
        <v>0</v>
      </c>
      <c r="AA44" s="75">
        <f t="shared" si="69"/>
        <v>0</v>
      </c>
      <c r="AB44" s="75">
        <f t="shared" si="70"/>
        <v>0</v>
      </c>
      <c r="AC44" s="75">
        <f t="shared" si="71"/>
        <v>15</v>
      </c>
      <c r="AD44" s="75">
        <f t="shared" si="72"/>
        <v>0</v>
      </c>
      <c r="AE44" s="75">
        <f t="shared" si="73"/>
        <v>0</v>
      </c>
      <c r="AF44" s="75">
        <f t="shared" si="74"/>
        <v>0</v>
      </c>
      <c r="AG44" s="297">
        <f t="shared" si="75"/>
        <v>0</v>
      </c>
      <c r="AH44" s="295">
        <f t="shared" si="76"/>
        <v>0</v>
      </c>
      <c r="CF44" s="272" t="s">
        <v>81</v>
      </c>
      <c r="CJ44" t="s">
        <v>82</v>
      </c>
    </row>
    <row r="45" spans="1:88" ht="14">
      <c r="A45" s="1952"/>
      <c r="B45" s="505"/>
      <c r="C45" s="19" t="s">
        <v>83</v>
      </c>
      <c r="D45" s="19" t="s">
        <v>84</v>
      </c>
      <c r="E45" s="78">
        <v>0</v>
      </c>
      <c r="F45" s="78">
        <v>0</v>
      </c>
      <c r="G45" s="78">
        <v>0</v>
      </c>
      <c r="H45" s="78">
        <v>0</v>
      </c>
      <c r="I45" s="78">
        <v>0</v>
      </c>
      <c r="J45" s="78">
        <v>15</v>
      </c>
      <c r="K45" s="212">
        <f t="shared" si="64"/>
        <v>15</v>
      </c>
      <c r="L45" s="212">
        <f t="shared" si="78"/>
        <v>15</v>
      </c>
      <c r="M45" s="212">
        <f t="shared" si="78"/>
        <v>15</v>
      </c>
      <c r="N45" s="289">
        <f t="shared" si="78"/>
        <v>15</v>
      </c>
      <c r="O45" s="78">
        <f t="shared" si="80"/>
        <v>0</v>
      </c>
      <c r="P45" s="78">
        <f t="shared" si="81"/>
        <v>0</v>
      </c>
      <c r="Q45" s="78">
        <f t="shared" si="81"/>
        <v>0</v>
      </c>
      <c r="R45" s="78">
        <f t="shared" si="81"/>
        <v>0</v>
      </c>
      <c r="S45" s="78">
        <f t="shared" ref="S45:T49" si="83">I45</f>
        <v>0</v>
      </c>
      <c r="T45" s="75">
        <f>J45*(1/3)</f>
        <v>5</v>
      </c>
      <c r="U45" s="287">
        <f>K45</f>
        <v>15</v>
      </c>
      <c r="V45" s="287">
        <f t="shared" si="66"/>
        <v>15</v>
      </c>
      <c r="W45" s="287">
        <f>M45</f>
        <v>15</v>
      </c>
      <c r="X45" s="288">
        <f t="shared" si="66"/>
        <v>15</v>
      </c>
      <c r="Y45" s="75">
        <f t="shared" si="67"/>
        <v>0</v>
      </c>
      <c r="Z45" s="75">
        <f t="shared" si="68"/>
        <v>0</v>
      </c>
      <c r="AA45" s="75">
        <f t="shared" si="69"/>
        <v>0</v>
      </c>
      <c r="AB45" s="75">
        <f t="shared" si="70"/>
        <v>0</v>
      </c>
      <c r="AC45" s="75">
        <f t="shared" si="71"/>
        <v>0</v>
      </c>
      <c r="AD45" s="75">
        <f t="shared" si="72"/>
        <v>10</v>
      </c>
      <c r="AE45" s="75">
        <f t="shared" si="73"/>
        <v>0</v>
      </c>
      <c r="AF45" s="75">
        <f t="shared" si="74"/>
        <v>0</v>
      </c>
      <c r="AG45" s="297">
        <f t="shared" si="75"/>
        <v>0</v>
      </c>
      <c r="AH45" s="295">
        <f t="shared" si="76"/>
        <v>0</v>
      </c>
    </row>
    <row r="46" spans="1:88" ht="14">
      <c r="A46" s="1952"/>
      <c r="B46" s="505"/>
      <c r="C46" s="19" t="s">
        <v>85</v>
      </c>
      <c r="D46" s="19" t="s">
        <v>84</v>
      </c>
      <c r="E46" s="78">
        <v>0</v>
      </c>
      <c r="F46" s="78">
        <v>0</v>
      </c>
      <c r="G46" s="78">
        <v>0</v>
      </c>
      <c r="H46" s="78">
        <v>0</v>
      </c>
      <c r="I46" s="78">
        <v>0</v>
      </c>
      <c r="J46" s="78">
        <v>0</v>
      </c>
      <c r="K46" s="212">
        <v>10</v>
      </c>
      <c r="L46" s="212">
        <f>K46</f>
        <v>10</v>
      </c>
      <c r="M46" s="212">
        <f>L46</f>
        <v>10</v>
      </c>
      <c r="N46" s="289">
        <f>M46</f>
        <v>10</v>
      </c>
      <c r="O46" s="78">
        <f t="shared" si="80"/>
        <v>0</v>
      </c>
      <c r="P46" s="78">
        <f t="shared" si="81"/>
        <v>0</v>
      </c>
      <c r="Q46" s="78">
        <f t="shared" si="81"/>
        <v>0</v>
      </c>
      <c r="R46" s="78">
        <f t="shared" si="81"/>
        <v>0</v>
      </c>
      <c r="S46" s="78">
        <f t="shared" si="83"/>
        <v>0</v>
      </c>
      <c r="T46" s="78">
        <f t="shared" ref="T46:T47" si="84">J46</f>
        <v>0</v>
      </c>
      <c r="U46" s="75">
        <f>K46*(1/2)</f>
        <v>5</v>
      </c>
      <c r="V46" s="77">
        <f>L46</f>
        <v>10</v>
      </c>
      <c r="W46" s="287">
        <f>M46</f>
        <v>10</v>
      </c>
      <c r="X46" s="288">
        <f>N46</f>
        <v>10</v>
      </c>
      <c r="Y46" s="75">
        <f t="shared" si="67"/>
        <v>0</v>
      </c>
      <c r="Z46" s="75">
        <f t="shared" si="68"/>
        <v>0</v>
      </c>
      <c r="AA46" s="75">
        <f t="shared" si="69"/>
        <v>0</v>
      </c>
      <c r="AB46" s="75">
        <f t="shared" si="70"/>
        <v>0</v>
      </c>
      <c r="AC46" s="75">
        <f t="shared" si="71"/>
        <v>0</v>
      </c>
      <c r="AD46" s="75">
        <f t="shared" si="72"/>
        <v>0</v>
      </c>
      <c r="AE46" s="75">
        <f t="shared" si="73"/>
        <v>5</v>
      </c>
      <c r="AF46" s="75">
        <f t="shared" si="74"/>
        <v>0</v>
      </c>
      <c r="AG46" s="297">
        <f t="shared" si="75"/>
        <v>0</v>
      </c>
      <c r="AH46" s="295">
        <f t="shared" si="76"/>
        <v>0</v>
      </c>
    </row>
    <row r="47" spans="1:88" ht="14">
      <c r="A47" s="1952"/>
      <c r="B47" s="505"/>
      <c r="C47" s="19" t="s">
        <v>86</v>
      </c>
      <c r="D47" s="19" t="s">
        <v>75</v>
      </c>
      <c r="E47" s="78">
        <v>0</v>
      </c>
      <c r="F47" s="78">
        <v>0</v>
      </c>
      <c r="G47" s="78">
        <v>0</v>
      </c>
      <c r="H47" s="78">
        <v>0</v>
      </c>
      <c r="I47" s="78">
        <v>10</v>
      </c>
      <c r="J47" s="78">
        <v>10</v>
      </c>
      <c r="K47" s="212">
        <f>J47</f>
        <v>10</v>
      </c>
      <c r="L47" s="212">
        <f t="shared" ref="L47:N47" si="85">K47</f>
        <v>10</v>
      </c>
      <c r="M47" s="212">
        <f t="shared" si="85"/>
        <v>10</v>
      </c>
      <c r="N47" s="289">
        <f t="shared" si="85"/>
        <v>10</v>
      </c>
      <c r="O47" s="78">
        <f t="shared" si="80"/>
        <v>0</v>
      </c>
      <c r="P47" s="78">
        <f t="shared" si="81"/>
        <v>0</v>
      </c>
      <c r="Q47" s="78">
        <f t="shared" si="81"/>
        <v>0</v>
      </c>
      <c r="R47" s="78">
        <f t="shared" si="81"/>
        <v>0</v>
      </c>
      <c r="S47" s="78">
        <f t="shared" si="83"/>
        <v>10</v>
      </c>
      <c r="T47" s="78">
        <f t="shared" si="84"/>
        <v>10</v>
      </c>
      <c r="U47" s="77">
        <f t="shared" ref="U47" si="86">K47</f>
        <v>10</v>
      </c>
      <c r="V47" s="77">
        <f t="shared" ref="V47:V48" si="87">L47</f>
        <v>10</v>
      </c>
      <c r="W47" s="287">
        <f t="shared" ref="W47:X48" si="88">M47</f>
        <v>10</v>
      </c>
      <c r="X47" s="288">
        <f t="shared" si="88"/>
        <v>10</v>
      </c>
      <c r="Y47" s="75">
        <f t="shared" si="67"/>
        <v>0</v>
      </c>
      <c r="Z47" s="75">
        <f t="shared" si="68"/>
        <v>0</v>
      </c>
      <c r="AA47" s="75">
        <f t="shared" si="69"/>
        <v>0</v>
      </c>
      <c r="AB47" s="75">
        <f t="shared" si="70"/>
        <v>0</v>
      </c>
      <c r="AC47" s="75">
        <f t="shared" si="71"/>
        <v>0</v>
      </c>
      <c r="AD47" s="75">
        <f t="shared" si="72"/>
        <v>0</v>
      </c>
      <c r="AE47" s="75">
        <f>MAX(0,K47-U47)</f>
        <v>0</v>
      </c>
      <c r="AF47" s="75">
        <f t="shared" si="74"/>
        <v>0</v>
      </c>
      <c r="AG47" s="297">
        <f t="shared" si="75"/>
        <v>0</v>
      </c>
      <c r="AH47" s="295">
        <f t="shared" si="76"/>
        <v>0</v>
      </c>
      <c r="CE47" t="s">
        <v>87</v>
      </c>
    </row>
    <row r="48" spans="1:88" ht="14">
      <c r="A48" s="1952"/>
      <c r="B48" s="505"/>
      <c r="C48" s="19" t="s">
        <v>88</v>
      </c>
      <c r="D48" s="19" t="s">
        <v>84</v>
      </c>
      <c r="E48" s="78">
        <v>0</v>
      </c>
      <c r="F48" s="78">
        <v>0</v>
      </c>
      <c r="G48" s="78">
        <v>0</v>
      </c>
      <c r="H48" s="78">
        <v>0</v>
      </c>
      <c r="I48" s="78">
        <v>0</v>
      </c>
      <c r="J48" s="78">
        <v>20</v>
      </c>
      <c r="K48" s="78">
        <f>J48</f>
        <v>20</v>
      </c>
      <c r="L48" s="78">
        <f t="shared" ref="L48:N48" si="89">K48</f>
        <v>20</v>
      </c>
      <c r="M48" s="212">
        <f t="shared" si="89"/>
        <v>20</v>
      </c>
      <c r="N48" s="289">
        <f t="shared" si="89"/>
        <v>20</v>
      </c>
      <c r="O48" s="78">
        <f t="shared" si="80"/>
        <v>0</v>
      </c>
      <c r="P48" s="78">
        <f t="shared" si="81"/>
        <v>0</v>
      </c>
      <c r="Q48" s="78">
        <f t="shared" si="81"/>
        <v>0</v>
      </c>
      <c r="R48" s="78">
        <f t="shared" si="81"/>
        <v>0</v>
      </c>
      <c r="S48" s="78">
        <f t="shared" si="83"/>
        <v>0</v>
      </c>
      <c r="T48" s="75">
        <f>J48*0</f>
        <v>0</v>
      </c>
      <c r="U48" s="77">
        <f>K48</f>
        <v>20</v>
      </c>
      <c r="V48" s="77">
        <f t="shared" si="87"/>
        <v>20</v>
      </c>
      <c r="W48" s="287">
        <f t="shared" si="88"/>
        <v>20</v>
      </c>
      <c r="X48" s="288">
        <f t="shared" si="88"/>
        <v>20</v>
      </c>
      <c r="Y48" s="75">
        <f t="shared" si="67"/>
        <v>0</v>
      </c>
      <c r="Z48" s="75">
        <f t="shared" si="68"/>
        <v>0</v>
      </c>
      <c r="AA48" s="75">
        <f t="shared" si="69"/>
        <v>0</v>
      </c>
      <c r="AB48" s="75">
        <f t="shared" si="70"/>
        <v>0</v>
      </c>
      <c r="AC48" s="75">
        <f t="shared" si="71"/>
        <v>0</v>
      </c>
      <c r="AD48" s="75">
        <f t="shared" si="72"/>
        <v>20</v>
      </c>
      <c r="AE48" s="75">
        <f t="shared" si="73"/>
        <v>0</v>
      </c>
      <c r="AF48" s="75">
        <f t="shared" si="74"/>
        <v>0</v>
      </c>
      <c r="AG48" s="297">
        <f t="shared" si="75"/>
        <v>0</v>
      </c>
      <c r="AH48" s="295">
        <f t="shared" si="76"/>
        <v>0</v>
      </c>
    </row>
    <row r="49" spans="1:34" ht="14">
      <c r="A49" s="1952" t="s">
        <v>57</v>
      </c>
      <c r="B49" s="505"/>
      <c r="C49" s="19" t="s">
        <v>89</v>
      </c>
      <c r="D49" s="19" t="s">
        <v>84</v>
      </c>
      <c r="E49" s="78">
        <v>0</v>
      </c>
      <c r="F49" s="78">
        <v>0</v>
      </c>
      <c r="G49" s="78">
        <v>0</v>
      </c>
      <c r="H49" s="78">
        <v>0</v>
      </c>
      <c r="I49" s="78">
        <v>0</v>
      </c>
      <c r="J49" s="78">
        <v>0</v>
      </c>
      <c r="K49" s="78">
        <v>20</v>
      </c>
      <c r="L49" s="78">
        <f>K49</f>
        <v>20</v>
      </c>
      <c r="M49" s="212">
        <f>L49</f>
        <v>20</v>
      </c>
      <c r="N49" s="289">
        <f>M49</f>
        <v>20</v>
      </c>
      <c r="O49" s="78">
        <f t="shared" si="80"/>
        <v>0</v>
      </c>
      <c r="P49" s="78">
        <f t="shared" si="81"/>
        <v>0</v>
      </c>
      <c r="Q49" s="78">
        <f t="shared" si="81"/>
        <v>0</v>
      </c>
      <c r="R49" s="78">
        <f t="shared" si="81"/>
        <v>0</v>
      </c>
      <c r="S49" s="78">
        <f t="shared" si="83"/>
        <v>0</v>
      </c>
      <c r="T49" s="78">
        <f t="shared" si="83"/>
        <v>0</v>
      </c>
      <c r="U49" s="75">
        <f>K49*(1/2)</f>
        <v>10</v>
      </c>
      <c r="V49" s="77">
        <f>L49</f>
        <v>20</v>
      </c>
      <c r="W49" s="287">
        <f>M49</f>
        <v>20</v>
      </c>
      <c r="X49" s="288">
        <f>N49</f>
        <v>20</v>
      </c>
      <c r="Y49" s="75">
        <f t="shared" si="67"/>
        <v>0</v>
      </c>
      <c r="Z49" s="75">
        <f t="shared" si="68"/>
        <v>0</v>
      </c>
      <c r="AA49" s="75">
        <f t="shared" si="69"/>
        <v>0</v>
      </c>
      <c r="AB49" s="75">
        <f t="shared" si="70"/>
        <v>0</v>
      </c>
      <c r="AC49" s="75">
        <f t="shared" si="71"/>
        <v>0</v>
      </c>
      <c r="AD49" s="75">
        <f t="shared" si="72"/>
        <v>0</v>
      </c>
      <c r="AE49" s="75">
        <f t="shared" si="73"/>
        <v>10</v>
      </c>
      <c r="AF49" s="75">
        <f t="shared" si="74"/>
        <v>0</v>
      </c>
      <c r="AG49" s="297">
        <f t="shared" si="75"/>
        <v>0</v>
      </c>
      <c r="AH49" s="295">
        <f t="shared" si="76"/>
        <v>0</v>
      </c>
    </row>
    <row r="50" spans="1:34" ht="14">
      <c r="A50" s="1952"/>
      <c r="B50" s="505"/>
      <c r="C50" s="19" t="s">
        <v>90</v>
      </c>
      <c r="D50" s="19" t="s">
        <v>84</v>
      </c>
      <c r="E50" s="78">
        <v>0</v>
      </c>
      <c r="F50" s="78">
        <v>0</v>
      </c>
      <c r="G50" s="78">
        <v>0</v>
      </c>
      <c r="H50" s="78">
        <v>0</v>
      </c>
      <c r="I50" s="78">
        <v>10</v>
      </c>
      <c r="J50" s="78">
        <v>10</v>
      </c>
      <c r="K50" s="78">
        <f>J50</f>
        <v>10</v>
      </c>
      <c r="L50" s="78">
        <f t="shared" ref="L50:N50" si="90">K50</f>
        <v>10</v>
      </c>
      <c r="M50" s="212">
        <f t="shared" si="90"/>
        <v>10</v>
      </c>
      <c r="N50" s="289">
        <f t="shared" si="90"/>
        <v>10</v>
      </c>
      <c r="O50" s="78">
        <f t="shared" si="80"/>
        <v>0</v>
      </c>
      <c r="P50" s="78">
        <f t="shared" si="81"/>
        <v>0</v>
      </c>
      <c r="Q50" s="78">
        <f t="shared" si="81"/>
        <v>0</v>
      </c>
      <c r="R50" s="78">
        <f t="shared" si="81"/>
        <v>0</v>
      </c>
      <c r="S50" s="75">
        <f>I50*0</f>
        <v>0</v>
      </c>
      <c r="T50" s="78">
        <f>J50</f>
        <v>10</v>
      </c>
      <c r="U50" s="77">
        <f t="shared" ref="U50:U53" si="91">K50</f>
        <v>10</v>
      </c>
      <c r="V50" s="77">
        <f t="shared" ref="V50:X59" si="92">L50</f>
        <v>10</v>
      </c>
      <c r="W50" s="287">
        <f t="shared" ref="W50:X50" si="93">M50</f>
        <v>10</v>
      </c>
      <c r="X50" s="288">
        <f t="shared" si="93"/>
        <v>10</v>
      </c>
      <c r="Y50" s="75">
        <f t="shared" si="67"/>
        <v>0</v>
      </c>
      <c r="Z50" s="75">
        <f t="shared" si="68"/>
        <v>0</v>
      </c>
      <c r="AA50" s="75">
        <f t="shared" si="69"/>
        <v>0</v>
      </c>
      <c r="AB50" s="75">
        <f t="shared" si="70"/>
        <v>0</v>
      </c>
      <c r="AC50" s="75">
        <f t="shared" si="71"/>
        <v>10</v>
      </c>
      <c r="AD50" s="75">
        <f t="shared" si="72"/>
        <v>0</v>
      </c>
      <c r="AE50" s="75">
        <f t="shared" si="73"/>
        <v>0</v>
      </c>
      <c r="AF50" s="75">
        <f t="shared" si="74"/>
        <v>0</v>
      </c>
      <c r="AG50" s="297">
        <f t="shared" si="75"/>
        <v>0</v>
      </c>
      <c r="AH50" s="295">
        <f t="shared" si="76"/>
        <v>0</v>
      </c>
    </row>
    <row r="51" spans="1:34" ht="14">
      <c r="A51" s="1952"/>
      <c r="B51" s="505"/>
      <c r="C51" s="19" t="s">
        <v>91</v>
      </c>
      <c r="D51" s="19" t="s">
        <v>92</v>
      </c>
      <c r="E51" s="78">
        <v>0</v>
      </c>
      <c r="F51" s="78">
        <v>0</v>
      </c>
      <c r="G51" s="78">
        <v>0</v>
      </c>
      <c r="H51" s="78">
        <v>0</v>
      </c>
      <c r="I51" s="78">
        <v>0</v>
      </c>
      <c r="J51" s="78">
        <v>0</v>
      </c>
      <c r="K51" s="78">
        <v>0</v>
      </c>
      <c r="L51" s="78">
        <v>10</v>
      </c>
      <c r="M51" s="78">
        <f>L51</f>
        <v>10</v>
      </c>
      <c r="N51" s="79">
        <f>M51</f>
        <v>10</v>
      </c>
      <c r="O51" s="78">
        <f t="shared" si="80"/>
        <v>0</v>
      </c>
      <c r="P51" s="78">
        <f t="shared" si="81"/>
        <v>0</v>
      </c>
      <c r="Q51" s="78">
        <f t="shared" si="81"/>
        <v>0</v>
      </c>
      <c r="R51" s="78">
        <f t="shared" si="81"/>
        <v>0</v>
      </c>
      <c r="S51" s="78">
        <f t="shared" ref="S51:T61" si="94">I51</f>
        <v>0</v>
      </c>
      <c r="T51" s="78">
        <f t="shared" si="94"/>
        <v>0</v>
      </c>
      <c r="U51" s="77">
        <f t="shared" si="91"/>
        <v>0</v>
      </c>
      <c r="V51" s="77">
        <f t="shared" si="92"/>
        <v>10</v>
      </c>
      <c r="W51" s="287">
        <f t="shared" si="92"/>
        <v>10</v>
      </c>
      <c r="X51" s="288">
        <f t="shared" si="92"/>
        <v>10</v>
      </c>
      <c r="Y51" s="75">
        <f t="shared" si="67"/>
        <v>0</v>
      </c>
      <c r="Z51" s="75">
        <f t="shared" si="68"/>
        <v>0</v>
      </c>
      <c r="AA51" s="75">
        <f t="shared" si="69"/>
        <v>0</v>
      </c>
      <c r="AB51" s="75">
        <f t="shared" si="70"/>
        <v>0</v>
      </c>
      <c r="AC51" s="75">
        <f t="shared" si="71"/>
        <v>0</v>
      </c>
      <c r="AD51" s="75">
        <f t="shared" si="72"/>
        <v>0</v>
      </c>
      <c r="AE51" s="75">
        <f t="shared" si="73"/>
        <v>0</v>
      </c>
      <c r="AF51" s="75">
        <f t="shared" si="74"/>
        <v>0</v>
      </c>
      <c r="AG51" s="297">
        <f t="shared" si="75"/>
        <v>0</v>
      </c>
      <c r="AH51" s="295">
        <f t="shared" si="76"/>
        <v>0</v>
      </c>
    </row>
    <row r="52" spans="1:34" ht="14">
      <c r="C52" t="s">
        <v>93</v>
      </c>
      <c r="D52" s="19" t="s">
        <v>84</v>
      </c>
      <c r="E52" s="78">
        <v>0</v>
      </c>
      <c r="F52" s="78">
        <v>0</v>
      </c>
      <c r="G52" s="78">
        <v>0</v>
      </c>
      <c r="H52" s="78">
        <v>0</v>
      </c>
      <c r="I52" s="78">
        <v>0</v>
      </c>
      <c r="J52" s="212">
        <v>10</v>
      </c>
      <c r="K52" s="212">
        <f>J52</f>
        <v>10</v>
      </c>
      <c r="L52" s="212">
        <f t="shared" ref="L52:N52" si="95">K52</f>
        <v>10</v>
      </c>
      <c r="M52" s="78">
        <f t="shared" si="95"/>
        <v>10</v>
      </c>
      <c r="N52" s="79">
        <f t="shared" si="95"/>
        <v>10</v>
      </c>
      <c r="O52" s="78">
        <f t="shared" si="80"/>
        <v>0</v>
      </c>
      <c r="P52" s="78">
        <f t="shared" si="81"/>
        <v>0</v>
      </c>
      <c r="Q52" s="78">
        <f t="shared" si="81"/>
        <v>0</v>
      </c>
      <c r="R52" s="78">
        <f t="shared" si="81"/>
        <v>0</v>
      </c>
      <c r="S52" s="78">
        <f t="shared" si="94"/>
        <v>0</v>
      </c>
      <c r="T52" s="75">
        <f>J52*(1/2)</f>
        <v>5</v>
      </c>
      <c r="U52" s="77">
        <f t="shared" si="91"/>
        <v>10</v>
      </c>
      <c r="V52" s="77">
        <f t="shared" si="92"/>
        <v>10</v>
      </c>
      <c r="W52" s="287">
        <f t="shared" si="92"/>
        <v>10</v>
      </c>
      <c r="X52" s="288">
        <f t="shared" si="92"/>
        <v>10</v>
      </c>
      <c r="Y52" s="75">
        <f t="shared" si="67"/>
        <v>0</v>
      </c>
      <c r="Z52" s="75">
        <f t="shared" si="68"/>
        <v>0</v>
      </c>
      <c r="AA52" s="75">
        <f t="shared" si="69"/>
        <v>0</v>
      </c>
      <c r="AB52" s="75">
        <f t="shared" si="70"/>
        <v>0</v>
      </c>
      <c r="AC52" s="75">
        <f t="shared" si="71"/>
        <v>0</v>
      </c>
      <c r="AD52" s="75">
        <f>MAX(0,J52-T52)</f>
        <v>5</v>
      </c>
      <c r="AE52" s="75">
        <f t="shared" si="73"/>
        <v>0</v>
      </c>
      <c r="AF52" s="75">
        <f t="shared" si="74"/>
        <v>0</v>
      </c>
      <c r="AG52" s="297">
        <f t="shared" si="75"/>
        <v>0</v>
      </c>
      <c r="AH52" s="295">
        <f t="shared" si="76"/>
        <v>0</v>
      </c>
    </row>
    <row r="53" spans="1:34" ht="14">
      <c r="C53" t="s">
        <v>94</v>
      </c>
      <c r="D53" s="19" t="s">
        <v>84</v>
      </c>
      <c r="E53" s="78">
        <v>0</v>
      </c>
      <c r="F53" s="78">
        <v>0</v>
      </c>
      <c r="G53" s="78">
        <v>0</v>
      </c>
      <c r="H53" s="78">
        <v>0</v>
      </c>
      <c r="I53" s="78">
        <v>0</v>
      </c>
      <c r="J53" s="212">
        <v>0</v>
      </c>
      <c r="K53" s="212">
        <v>5</v>
      </c>
      <c r="L53" s="212">
        <v>5</v>
      </c>
      <c r="M53" s="212">
        <f t="shared" ref="M53:N67" si="96">L53</f>
        <v>5</v>
      </c>
      <c r="N53" s="289">
        <f t="shared" si="96"/>
        <v>5</v>
      </c>
      <c r="O53" s="78">
        <f t="shared" si="80"/>
        <v>0</v>
      </c>
      <c r="P53" s="78">
        <f t="shared" si="81"/>
        <v>0</v>
      </c>
      <c r="Q53" s="78">
        <f t="shared" si="81"/>
        <v>0</v>
      </c>
      <c r="R53" s="78">
        <f t="shared" si="81"/>
        <v>0</v>
      </c>
      <c r="S53" s="78">
        <f t="shared" si="94"/>
        <v>0</v>
      </c>
      <c r="T53" s="78">
        <f t="shared" ref="T53" si="97">J53</f>
        <v>0</v>
      </c>
      <c r="U53" s="77">
        <f t="shared" si="91"/>
        <v>5</v>
      </c>
      <c r="V53" s="77">
        <f t="shared" si="92"/>
        <v>5</v>
      </c>
      <c r="W53" s="287">
        <f t="shared" si="92"/>
        <v>5</v>
      </c>
      <c r="X53" s="288">
        <f t="shared" si="92"/>
        <v>5</v>
      </c>
      <c r="Y53" s="75">
        <f t="shared" si="67"/>
        <v>0</v>
      </c>
      <c r="Z53" s="75">
        <f t="shared" si="68"/>
        <v>0</v>
      </c>
      <c r="AA53" s="75">
        <f t="shared" si="69"/>
        <v>0</v>
      </c>
      <c r="AB53" s="75">
        <f t="shared" si="70"/>
        <v>0</v>
      </c>
      <c r="AC53" s="75">
        <f t="shared" si="71"/>
        <v>0</v>
      </c>
      <c r="AD53" s="75">
        <f t="shared" si="72"/>
        <v>0</v>
      </c>
      <c r="AE53" s="75">
        <f t="shared" si="73"/>
        <v>0</v>
      </c>
      <c r="AF53" s="75">
        <f t="shared" si="74"/>
        <v>0</v>
      </c>
      <c r="AG53" s="297">
        <f t="shared" si="75"/>
        <v>0</v>
      </c>
      <c r="AH53" s="295">
        <f t="shared" si="76"/>
        <v>0</v>
      </c>
    </row>
    <row r="54" spans="1:34" ht="14">
      <c r="C54" t="s">
        <v>95</v>
      </c>
      <c r="D54" s="19" t="s">
        <v>84</v>
      </c>
      <c r="E54" s="78">
        <v>0</v>
      </c>
      <c r="F54" s="78">
        <v>0</v>
      </c>
      <c r="G54" s="78">
        <v>0</v>
      </c>
      <c r="H54" s="78">
        <v>0</v>
      </c>
      <c r="I54" s="78">
        <v>0</v>
      </c>
      <c r="J54" s="212">
        <v>10</v>
      </c>
      <c r="K54" s="212">
        <f>J54</f>
        <v>10</v>
      </c>
      <c r="L54" s="212">
        <f>K54</f>
        <v>10</v>
      </c>
      <c r="M54" s="212">
        <f t="shared" si="96"/>
        <v>10</v>
      </c>
      <c r="N54" s="289">
        <f t="shared" si="96"/>
        <v>10</v>
      </c>
      <c r="O54" s="78">
        <f t="shared" si="80"/>
        <v>0</v>
      </c>
      <c r="P54" s="78">
        <f t="shared" si="81"/>
        <v>0</v>
      </c>
      <c r="Q54" s="78">
        <f t="shared" si="81"/>
        <v>0</v>
      </c>
      <c r="R54" s="78">
        <f t="shared" si="81"/>
        <v>0</v>
      </c>
      <c r="S54" s="78">
        <f t="shared" si="94"/>
        <v>0</v>
      </c>
      <c r="T54" s="75">
        <f>J54*(1/2)</f>
        <v>5</v>
      </c>
      <c r="U54" s="77">
        <f>K54</f>
        <v>10</v>
      </c>
      <c r="V54" s="77">
        <f t="shared" si="92"/>
        <v>10</v>
      </c>
      <c r="W54" s="287">
        <f t="shared" si="92"/>
        <v>10</v>
      </c>
      <c r="X54" s="288">
        <f t="shared" si="92"/>
        <v>10</v>
      </c>
      <c r="Y54" s="75">
        <f t="shared" si="67"/>
        <v>0</v>
      </c>
      <c r="Z54" s="75">
        <f t="shared" si="68"/>
        <v>0</v>
      </c>
      <c r="AA54" s="75">
        <f t="shared" si="69"/>
        <v>0</v>
      </c>
      <c r="AB54" s="75">
        <f t="shared" si="70"/>
        <v>0</v>
      </c>
      <c r="AC54" s="75">
        <f t="shared" si="71"/>
        <v>0</v>
      </c>
      <c r="AD54" s="75">
        <f t="shared" si="72"/>
        <v>5</v>
      </c>
      <c r="AE54" s="75">
        <f t="shared" si="73"/>
        <v>0</v>
      </c>
      <c r="AF54" s="75">
        <f t="shared" si="74"/>
        <v>0</v>
      </c>
      <c r="AG54" s="297">
        <f t="shared" si="75"/>
        <v>0</v>
      </c>
      <c r="AH54" s="295">
        <f t="shared" si="76"/>
        <v>0</v>
      </c>
    </row>
    <row r="55" spans="1:34" ht="14">
      <c r="C55" t="s">
        <v>96</v>
      </c>
      <c r="E55" s="78">
        <v>0</v>
      </c>
      <c r="F55" s="78">
        <v>0</v>
      </c>
      <c r="G55" s="78">
        <v>0</v>
      </c>
      <c r="H55" s="78">
        <v>0</v>
      </c>
      <c r="I55" s="78">
        <v>0</v>
      </c>
      <c r="J55" s="212">
        <v>0</v>
      </c>
      <c r="K55" s="212">
        <v>10</v>
      </c>
      <c r="L55" s="212">
        <f>K55</f>
        <v>10</v>
      </c>
      <c r="M55" s="212">
        <f t="shared" si="96"/>
        <v>10</v>
      </c>
      <c r="N55" s="289">
        <f t="shared" si="96"/>
        <v>10</v>
      </c>
      <c r="O55" s="78">
        <f t="shared" si="80"/>
        <v>0</v>
      </c>
      <c r="P55" s="78">
        <f t="shared" si="81"/>
        <v>0</v>
      </c>
      <c r="Q55" s="78">
        <f t="shared" si="81"/>
        <v>0</v>
      </c>
      <c r="R55" s="78">
        <f t="shared" si="81"/>
        <v>0</v>
      </c>
      <c r="S55" s="78">
        <f t="shared" si="94"/>
        <v>0</v>
      </c>
      <c r="T55" s="78">
        <f t="shared" ref="T55:T61" si="98">J55</f>
        <v>0</v>
      </c>
      <c r="U55" s="75">
        <f>K55*(3/4)</f>
        <v>7.5</v>
      </c>
      <c r="V55" s="77">
        <f t="shared" si="92"/>
        <v>10</v>
      </c>
      <c r="W55" s="287">
        <f t="shared" si="92"/>
        <v>10</v>
      </c>
      <c r="X55" s="288">
        <f t="shared" si="92"/>
        <v>10</v>
      </c>
      <c r="Y55" s="75">
        <f t="shared" si="67"/>
        <v>0</v>
      </c>
      <c r="Z55" s="75">
        <f t="shared" si="68"/>
        <v>0</v>
      </c>
      <c r="AA55" s="75">
        <f t="shared" si="69"/>
        <v>0</v>
      </c>
      <c r="AB55" s="75">
        <f t="shared" si="70"/>
        <v>0</v>
      </c>
      <c r="AC55" s="75">
        <f t="shared" si="71"/>
        <v>0</v>
      </c>
      <c r="AD55" s="75">
        <f t="shared" si="72"/>
        <v>0</v>
      </c>
      <c r="AE55" s="75">
        <f t="shared" si="73"/>
        <v>2.5</v>
      </c>
      <c r="AF55" s="75">
        <f t="shared" si="74"/>
        <v>0</v>
      </c>
      <c r="AG55" s="297">
        <f t="shared" si="75"/>
        <v>0</v>
      </c>
      <c r="AH55" s="295">
        <f t="shared" si="76"/>
        <v>0</v>
      </c>
    </row>
    <row r="56" spans="1:34" ht="14">
      <c r="C56" t="s">
        <v>97</v>
      </c>
      <c r="D56" s="19" t="s">
        <v>84</v>
      </c>
      <c r="E56" s="78">
        <v>0</v>
      </c>
      <c r="F56" s="78">
        <v>0</v>
      </c>
      <c r="G56" s="78">
        <v>0</v>
      </c>
      <c r="H56" s="78">
        <v>0</v>
      </c>
      <c r="I56" s="78">
        <v>0</v>
      </c>
      <c r="J56" s="212">
        <v>0</v>
      </c>
      <c r="K56" s="212">
        <v>10</v>
      </c>
      <c r="L56" s="212">
        <f>K56</f>
        <v>10</v>
      </c>
      <c r="M56" s="212">
        <f t="shared" si="96"/>
        <v>10</v>
      </c>
      <c r="N56" s="289">
        <f t="shared" si="96"/>
        <v>10</v>
      </c>
      <c r="O56" s="78">
        <f t="shared" si="80"/>
        <v>0</v>
      </c>
      <c r="P56" s="78">
        <f t="shared" si="81"/>
        <v>0</v>
      </c>
      <c r="Q56" s="78">
        <f t="shared" si="81"/>
        <v>0</v>
      </c>
      <c r="R56" s="78">
        <f t="shared" si="81"/>
        <v>0</v>
      </c>
      <c r="S56" s="78">
        <f t="shared" si="94"/>
        <v>0</v>
      </c>
      <c r="T56" s="78">
        <f t="shared" si="98"/>
        <v>0</v>
      </c>
      <c r="U56" s="77">
        <f>K56</f>
        <v>10</v>
      </c>
      <c r="V56" s="77">
        <f t="shared" si="92"/>
        <v>10</v>
      </c>
      <c r="W56" s="287">
        <f t="shared" si="92"/>
        <v>10</v>
      </c>
      <c r="X56" s="288">
        <f t="shared" si="92"/>
        <v>10</v>
      </c>
      <c r="Y56" s="75">
        <f t="shared" si="67"/>
        <v>0</v>
      </c>
      <c r="Z56" s="75">
        <f t="shared" si="68"/>
        <v>0</v>
      </c>
      <c r="AA56" s="75">
        <f t="shared" si="69"/>
        <v>0</v>
      </c>
      <c r="AB56" s="75">
        <f t="shared" si="70"/>
        <v>0</v>
      </c>
      <c r="AC56" s="75">
        <f t="shared" si="71"/>
        <v>0</v>
      </c>
      <c r="AD56" s="75">
        <f t="shared" si="72"/>
        <v>0</v>
      </c>
      <c r="AE56" s="75">
        <f t="shared" si="73"/>
        <v>0</v>
      </c>
      <c r="AF56" s="75">
        <f t="shared" si="74"/>
        <v>0</v>
      </c>
      <c r="AG56" s="297">
        <f t="shared" si="75"/>
        <v>0</v>
      </c>
      <c r="AH56" s="295">
        <f t="shared" si="76"/>
        <v>0</v>
      </c>
    </row>
    <row r="57" spans="1:34" ht="14">
      <c r="C57" t="s">
        <v>98</v>
      </c>
      <c r="D57" s="19" t="s">
        <v>84</v>
      </c>
      <c r="E57" s="78">
        <v>0</v>
      </c>
      <c r="F57" s="78">
        <v>0</v>
      </c>
      <c r="G57" s="78">
        <v>0</v>
      </c>
      <c r="H57" s="78">
        <v>0</v>
      </c>
      <c r="I57" s="78">
        <v>0</v>
      </c>
      <c r="J57" s="212">
        <v>0</v>
      </c>
      <c r="K57" s="212">
        <v>15</v>
      </c>
      <c r="L57" s="212">
        <f>K57</f>
        <v>15</v>
      </c>
      <c r="M57" s="212">
        <f t="shared" si="96"/>
        <v>15</v>
      </c>
      <c r="N57" s="289">
        <f t="shared" si="96"/>
        <v>15</v>
      </c>
      <c r="O57" s="78">
        <f t="shared" si="80"/>
        <v>0</v>
      </c>
      <c r="P57" s="78">
        <f t="shared" si="81"/>
        <v>0</v>
      </c>
      <c r="Q57" s="78">
        <f t="shared" si="81"/>
        <v>0</v>
      </c>
      <c r="R57" s="78">
        <f t="shared" si="81"/>
        <v>0</v>
      </c>
      <c r="S57" s="78">
        <f t="shared" si="94"/>
        <v>0</v>
      </c>
      <c r="T57" s="78">
        <f t="shared" si="98"/>
        <v>0</v>
      </c>
      <c r="U57" s="75">
        <f>K57*(1/3)</f>
        <v>5</v>
      </c>
      <c r="V57" s="77">
        <f t="shared" si="92"/>
        <v>15</v>
      </c>
      <c r="W57" s="287">
        <f t="shared" si="92"/>
        <v>15</v>
      </c>
      <c r="X57" s="288">
        <f t="shared" si="92"/>
        <v>15</v>
      </c>
      <c r="Y57" s="75">
        <f t="shared" si="67"/>
        <v>0</v>
      </c>
      <c r="Z57" s="75">
        <f t="shared" si="68"/>
        <v>0</v>
      </c>
      <c r="AA57" s="75">
        <f t="shared" si="69"/>
        <v>0</v>
      </c>
      <c r="AB57" s="75">
        <f t="shared" si="70"/>
        <v>0</v>
      </c>
      <c r="AC57" s="75">
        <f t="shared" si="71"/>
        <v>0</v>
      </c>
      <c r="AD57" s="75">
        <f t="shared" si="72"/>
        <v>0</v>
      </c>
      <c r="AE57" s="75">
        <f t="shared" si="73"/>
        <v>10</v>
      </c>
      <c r="AF57" s="75">
        <f t="shared" si="74"/>
        <v>0</v>
      </c>
      <c r="AG57" s="297">
        <f t="shared" si="75"/>
        <v>0</v>
      </c>
      <c r="AH57" s="295">
        <f t="shared" si="76"/>
        <v>0</v>
      </c>
    </row>
    <row r="58" spans="1:34" ht="14">
      <c r="C58" t="s">
        <v>99</v>
      </c>
      <c r="D58" s="19" t="s">
        <v>84</v>
      </c>
      <c r="E58" s="78">
        <v>0</v>
      </c>
      <c r="F58" s="78">
        <v>0</v>
      </c>
      <c r="G58" s="78">
        <v>0</v>
      </c>
      <c r="H58" s="78">
        <v>0</v>
      </c>
      <c r="I58" s="78">
        <v>0</v>
      </c>
      <c r="J58" s="212">
        <v>0</v>
      </c>
      <c r="K58" s="212">
        <v>0</v>
      </c>
      <c r="L58" s="212">
        <v>15</v>
      </c>
      <c r="M58" s="212">
        <f t="shared" si="96"/>
        <v>15</v>
      </c>
      <c r="N58" s="289">
        <f t="shared" si="96"/>
        <v>15</v>
      </c>
      <c r="O58" s="78">
        <f t="shared" si="80"/>
        <v>0</v>
      </c>
      <c r="P58" s="78">
        <f t="shared" si="81"/>
        <v>0</v>
      </c>
      <c r="Q58" s="78">
        <f t="shared" si="81"/>
        <v>0</v>
      </c>
      <c r="R58" s="78">
        <f t="shared" si="81"/>
        <v>0</v>
      </c>
      <c r="S58" s="78">
        <f t="shared" si="94"/>
        <v>0</v>
      </c>
      <c r="T58" s="78">
        <f t="shared" si="98"/>
        <v>0</v>
      </c>
      <c r="U58" s="78">
        <f t="shared" ref="U58" si="99">K58</f>
        <v>0</v>
      </c>
      <c r="V58" s="75">
        <f>L58*(1/2)</f>
        <v>7.5</v>
      </c>
      <c r="W58" s="287">
        <f>M58</f>
        <v>15</v>
      </c>
      <c r="X58" s="288">
        <f t="shared" si="92"/>
        <v>15</v>
      </c>
      <c r="Y58" s="75">
        <f t="shared" si="67"/>
        <v>0</v>
      </c>
      <c r="Z58" s="75">
        <f t="shared" si="68"/>
        <v>0</v>
      </c>
      <c r="AA58" s="75">
        <f t="shared" si="69"/>
        <v>0</v>
      </c>
      <c r="AB58" s="75">
        <f t="shared" si="70"/>
        <v>0</v>
      </c>
      <c r="AC58" s="75">
        <f t="shared" si="71"/>
        <v>0</v>
      </c>
      <c r="AD58" s="75">
        <f t="shared" si="72"/>
        <v>0</v>
      </c>
      <c r="AE58" s="75">
        <f t="shared" si="73"/>
        <v>0</v>
      </c>
      <c r="AF58" s="75">
        <f t="shared" si="74"/>
        <v>7.5</v>
      </c>
      <c r="AG58" s="297">
        <f t="shared" si="75"/>
        <v>0</v>
      </c>
      <c r="AH58" s="295">
        <f t="shared" si="76"/>
        <v>0</v>
      </c>
    </row>
    <row r="59" spans="1:34" ht="14">
      <c r="C59" t="s">
        <v>100</v>
      </c>
      <c r="D59" s="19" t="s">
        <v>84</v>
      </c>
      <c r="E59" s="78">
        <v>0</v>
      </c>
      <c r="F59" s="78">
        <v>0</v>
      </c>
      <c r="G59" s="78">
        <v>0</v>
      </c>
      <c r="H59" s="78">
        <v>0</v>
      </c>
      <c r="I59" s="78">
        <v>0</v>
      </c>
      <c r="J59" s="212">
        <v>0</v>
      </c>
      <c r="K59" s="212">
        <v>15</v>
      </c>
      <c r="L59" s="212">
        <f>K59</f>
        <v>15</v>
      </c>
      <c r="M59" s="212">
        <f t="shared" si="96"/>
        <v>15</v>
      </c>
      <c r="N59" s="289">
        <f t="shared" si="96"/>
        <v>15</v>
      </c>
      <c r="O59" s="78">
        <f t="shared" si="80"/>
        <v>0</v>
      </c>
      <c r="P59" s="78">
        <f t="shared" si="81"/>
        <v>0</v>
      </c>
      <c r="Q59" s="78">
        <f t="shared" si="81"/>
        <v>0</v>
      </c>
      <c r="R59" s="78">
        <f t="shared" si="81"/>
        <v>0</v>
      </c>
      <c r="S59" s="78">
        <f t="shared" si="94"/>
        <v>0</v>
      </c>
      <c r="T59" s="78">
        <f t="shared" si="98"/>
        <v>0</v>
      </c>
      <c r="U59" s="75">
        <f>K59*(3/4)</f>
        <v>11.25</v>
      </c>
      <c r="V59" s="77">
        <f t="shared" ref="V59" si="100">L59</f>
        <v>15</v>
      </c>
      <c r="W59" s="287">
        <f t="shared" si="92"/>
        <v>15</v>
      </c>
      <c r="X59" s="288">
        <f t="shared" si="92"/>
        <v>15</v>
      </c>
      <c r="Y59" s="75">
        <f t="shared" si="67"/>
        <v>0</v>
      </c>
      <c r="Z59" s="75">
        <f t="shared" si="68"/>
        <v>0</v>
      </c>
      <c r="AA59" s="75">
        <f t="shared" si="69"/>
        <v>0</v>
      </c>
      <c r="AB59" s="75">
        <f t="shared" si="70"/>
        <v>0</v>
      </c>
      <c r="AC59" s="75">
        <f t="shared" si="71"/>
        <v>0</v>
      </c>
      <c r="AD59" s="75">
        <f t="shared" si="72"/>
        <v>0</v>
      </c>
      <c r="AE59" s="75">
        <f t="shared" si="73"/>
        <v>3.75</v>
      </c>
      <c r="AF59" s="75">
        <f t="shared" si="74"/>
        <v>0</v>
      </c>
      <c r="AG59" s="297">
        <f t="shared" si="75"/>
        <v>0</v>
      </c>
      <c r="AH59" s="295">
        <f t="shared" si="76"/>
        <v>0</v>
      </c>
    </row>
    <row r="60" spans="1:34" ht="14">
      <c r="C60" t="s">
        <v>101</v>
      </c>
      <c r="D60" s="19" t="s">
        <v>84</v>
      </c>
      <c r="E60" s="78">
        <v>0</v>
      </c>
      <c r="F60" s="78">
        <v>0</v>
      </c>
      <c r="G60" s="78">
        <v>0</v>
      </c>
      <c r="H60" s="78">
        <v>0</v>
      </c>
      <c r="I60" s="78">
        <v>0</v>
      </c>
      <c r="J60" s="212">
        <v>0</v>
      </c>
      <c r="K60" s="212">
        <v>0</v>
      </c>
      <c r="L60" s="212">
        <v>15</v>
      </c>
      <c r="M60" s="212">
        <f t="shared" si="96"/>
        <v>15</v>
      </c>
      <c r="N60" s="289">
        <f t="shared" si="96"/>
        <v>15</v>
      </c>
      <c r="O60" s="78">
        <f t="shared" si="80"/>
        <v>0</v>
      </c>
      <c r="P60" s="78">
        <f t="shared" ref="P60:R61" si="101">F60</f>
        <v>0</v>
      </c>
      <c r="Q60" s="78">
        <f t="shared" si="101"/>
        <v>0</v>
      </c>
      <c r="R60" s="78">
        <f t="shared" si="101"/>
        <v>0</v>
      </c>
      <c r="S60" s="78">
        <f t="shared" si="94"/>
        <v>0</v>
      </c>
      <c r="T60" s="78">
        <f t="shared" si="98"/>
        <v>0</v>
      </c>
      <c r="U60" s="78">
        <f t="shared" ref="U60" si="102">K60</f>
        <v>0</v>
      </c>
      <c r="V60" s="75">
        <f>L60*(1/2)</f>
        <v>7.5</v>
      </c>
      <c r="W60" s="287">
        <f>M60</f>
        <v>15</v>
      </c>
      <c r="X60" s="288">
        <f>N60</f>
        <v>15</v>
      </c>
      <c r="Y60" s="75">
        <f t="shared" si="67"/>
        <v>0</v>
      </c>
      <c r="Z60" s="75">
        <f t="shared" si="68"/>
        <v>0</v>
      </c>
      <c r="AA60" s="75">
        <f t="shared" si="69"/>
        <v>0</v>
      </c>
      <c r="AB60" s="75">
        <f t="shared" si="70"/>
        <v>0</v>
      </c>
      <c r="AC60" s="75">
        <f t="shared" si="71"/>
        <v>0</v>
      </c>
      <c r="AD60" s="75">
        <f t="shared" si="72"/>
        <v>0</v>
      </c>
      <c r="AE60" s="75">
        <f t="shared" si="73"/>
        <v>0</v>
      </c>
      <c r="AF60" s="75">
        <f t="shared" si="74"/>
        <v>7.5</v>
      </c>
      <c r="AG60" s="297">
        <f t="shared" si="75"/>
        <v>0</v>
      </c>
      <c r="AH60" s="295">
        <f t="shared" si="76"/>
        <v>0</v>
      </c>
    </row>
    <row r="61" spans="1:34" ht="14">
      <c r="C61" t="s">
        <v>102</v>
      </c>
      <c r="D61" s="19" t="s">
        <v>84</v>
      </c>
      <c r="E61" s="78">
        <v>0</v>
      </c>
      <c r="F61" s="78">
        <v>0</v>
      </c>
      <c r="G61" s="78">
        <v>0</v>
      </c>
      <c r="H61" s="78">
        <v>0</v>
      </c>
      <c r="I61" s="78">
        <v>0</v>
      </c>
      <c r="J61" s="212">
        <v>0</v>
      </c>
      <c r="K61" s="212">
        <v>10</v>
      </c>
      <c r="L61" s="212">
        <v>20</v>
      </c>
      <c r="M61" s="212">
        <f t="shared" si="96"/>
        <v>20</v>
      </c>
      <c r="N61" s="289">
        <f t="shared" si="96"/>
        <v>20</v>
      </c>
      <c r="O61" s="78">
        <f t="shared" si="80"/>
        <v>0</v>
      </c>
      <c r="P61" s="78">
        <f t="shared" si="101"/>
        <v>0</v>
      </c>
      <c r="Q61" s="78">
        <f t="shared" si="101"/>
        <v>0</v>
      </c>
      <c r="R61" s="78">
        <f t="shared" si="101"/>
        <v>0</v>
      </c>
      <c r="S61" s="78">
        <f t="shared" si="94"/>
        <v>0</v>
      </c>
      <c r="T61" s="78">
        <f t="shared" si="98"/>
        <v>0</v>
      </c>
      <c r="U61" s="77">
        <f>K61</f>
        <v>10</v>
      </c>
      <c r="V61" s="77">
        <f t="shared" ref="V61:X61" si="103">L61</f>
        <v>20</v>
      </c>
      <c r="W61" s="287">
        <f t="shared" si="103"/>
        <v>20</v>
      </c>
      <c r="X61" s="288">
        <f t="shared" si="103"/>
        <v>20</v>
      </c>
      <c r="Y61" s="75">
        <f t="shared" si="67"/>
        <v>0</v>
      </c>
      <c r="Z61" s="75">
        <f t="shared" si="68"/>
        <v>0</v>
      </c>
      <c r="AA61" s="75">
        <f t="shared" si="69"/>
        <v>0</v>
      </c>
      <c r="AB61" s="75">
        <f t="shared" si="70"/>
        <v>0</v>
      </c>
      <c r="AC61" s="75">
        <f t="shared" si="71"/>
        <v>0</v>
      </c>
      <c r="AD61" s="75">
        <f t="shared" si="72"/>
        <v>0</v>
      </c>
      <c r="AE61" s="75">
        <f t="shared" si="73"/>
        <v>0</v>
      </c>
      <c r="AF61" s="75">
        <f t="shared" si="74"/>
        <v>0</v>
      </c>
      <c r="AG61" s="297">
        <f t="shared" si="75"/>
        <v>0</v>
      </c>
      <c r="AH61" s="295">
        <f t="shared" si="76"/>
        <v>0</v>
      </c>
    </row>
    <row r="62" spans="1:34" ht="14">
      <c r="C62" t="s">
        <v>103</v>
      </c>
      <c r="D62" s="19" t="s">
        <v>84</v>
      </c>
      <c r="E62" s="78">
        <v>0</v>
      </c>
      <c r="F62" s="78">
        <v>0</v>
      </c>
      <c r="G62" s="78">
        <v>0</v>
      </c>
      <c r="H62" s="78">
        <v>0</v>
      </c>
      <c r="I62" s="78">
        <v>0</v>
      </c>
      <c r="J62" s="212">
        <v>0</v>
      </c>
      <c r="K62" s="212">
        <v>15</v>
      </c>
      <c r="L62" s="212">
        <f>K62</f>
        <v>15</v>
      </c>
      <c r="M62" s="212">
        <f t="shared" si="96"/>
        <v>15</v>
      </c>
      <c r="N62" s="289">
        <f t="shared" si="96"/>
        <v>15</v>
      </c>
      <c r="O62" s="78">
        <f t="shared" si="80"/>
        <v>0</v>
      </c>
      <c r="P62" s="78">
        <f t="shared" ref="P62:T66" si="104">F62</f>
        <v>0</v>
      </c>
      <c r="Q62" s="78">
        <f t="shared" si="104"/>
        <v>0</v>
      </c>
      <c r="R62" s="78">
        <f t="shared" si="104"/>
        <v>0</v>
      </c>
      <c r="S62" s="78">
        <f t="shared" si="104"/>
        <v>0</v>
      </c>
      <c r="T62" s="78">
        <f t="shared" si="104"/>
        <v>0</v>
      </c>
      <c r="U62" s="75">
        <f>K62*(3/4)</f>
        <v>11.25</v>
      </c>
      <c r="V62" s="77">
        <f>L62</f>
        <v>15</v>
      </c>
      <c r="W62" s="287">
        <f t="shared" ref="W62:X66" si="105">M62</f>
        <v>15</v>
      </c>
      <c r="X62" s="288">
        <f t="shared" si="105"/>
        <v>15</v>
      </c>
      <c r="Y62" s="75">
        <f t="shared" si="67"/>
        <v>0</v>
      </c>
      <c r="Z62" s="75">
        <f t="shared" si="68"/>
        <v>0</v>
      </c>
      <c r="AA62" s="75">
        <f t="shared" si="69"/>
        <v>0</v>
      </c>
      <c r="AB62" s="75">
        <f t="shared" si="70"/>
        <v>0</v>
      </c>
      <c r="AC62" s="75">
        <f t="shared" si="71"/>
        <v>0</v>
      </c>
      <c r="AD62" s="75">
        <f t="shared" si="72"/>
        <v>0</v>
      </c>
      <c r="AE62" s="75">
        <f t="shared" si="73"/>
        <v>3.75</v>
      </c>
      <c r="AF62" s="75">
        <f t="shared" si="74"/>
        <v>0</v>
      </c>
      <c r="AG62" s="297">
        <f t="shared" si="75"/>
        <v>0</v>
      </c>
      <c r="AH62" s="295">
        <f t="shared" si="76"/>
        <v>0</v>
      </c>
    </row>
    <row r="63" spans="1:34" ht="14">
      <c r="C63" t="s">
        <v>104</v>
      </c>
      <c r="D63" s="19" t="s">
        <v>84</v>
      </c>
      <c r="E63" s="78">
        <v>0</v>
      </c>
      <c r="F63" s="78">
        <v>0</v>
      </c>
      <c r="G63" s="78">
        <v>0</v>
      </c>
      <c r="H63" s="78">
        <v>0</v>
      </c>
      <c r="I63" s="78">
        <v>0</v>
      </c>
      <c r="J63" s="212">
        <v>0</v>
      </c>
      <c r="K63" s="212">
        <v>0</v>
      </c>
      <c r="L63" s="212">
        <v>15</v>
      </c>
      <c r="M63" s="212">
        <f t="shared" si="96"/>
        <v>15</v>
      </c>
      <c r="N63" s="289">
        <f t="shared" si="96"/>
        <v>15</v>
      </c>
      <c r="O63" s="78">
        <f t="shared" si="80"/>
        <v>0</v>
      </c>
      <c r="P63" s="78">
        <f t="shared" si="104"/>
        <v>0</v>
      </c>
      <c r="Q63" s="78">
        <f t="shared" si="104"/>
        <v>0</v>
      </c>
      <c r="R63" s="78">
        <f t="shared" si="104"/>
        <v>0</v>
      </c>
      <c r="S63" s="78">
        <f t="shared" si="104"/>
        <v>0</v>
      </c>
      <c r="T63" s="78">
        <f t="shared" si="104"/>
        <v>0</v>
      </c>
      <c r="U63" s="78">
        <f>K63</f>
        <v>0</v>
      </c>
      <c r="V63" s="75">
        <f>L63*(1/4)</f>
        <v>3.75</v>
      </c>
      <c r="W63" s="287">
        <f t="shared" si="105"/>
        <v>15</v>
      </c>
      <c r="X63" s="288">
        <f t="shared" si="105"/>
        <v>15</v>
      </c>
      <c r="Y63" s="75">
        <f t="shared" si="67"/>
        <v>0</v>
      </c>
      <c r="Z63" s="75">
        <f t="shared" si="68"/>
        <v>0</v>
      </c>
      <c r="AA63" s="75">
        <f t="shared" si="69"/>
        <v>0</v>
      </c>
      <c r="AB63" s="75">
        <f t="shared" si="70"/>
        <v>0</v>
      </c>
      <c r="AC63" s="75">
        <f t="shared" si="71"/>
        <v>0</v>
      </c>
      <c r="AD63" s="75">
        <f t="shared" si="72"/>
        <v>0</v>
      </c>
      <c r="AE63" s="75">
        <f t="shared" si="73"/>
        <v>0</v>
      </c>
      <c r="AF63" s="75">
        <f t="shared" si="74"/>
        <v>11.25</v>
      </c>
      <c r="AG63" s="297">
        <f t="shared" si="75"/>
        <v>0</v>
      </c>
      <c r="AH63" s="295">
        <f t="shared" si="76"/>
        <v>0</v>
      </c>
    </row>
    <row r="64" spans="1:34" ht="14">
      <c r="C64" t="s">
        <v>105</v>
      </c>
      <c r="D64" s="19" t="s">
        <v>84</v>
      </c>
      <c r="E64" s="78">
        <v>0</v>
      </c>
      <c r="F64" s="78">
        <v>0</v>
      </c>
      <c r="G64" s="78">
        <v>0</v>
      </c>
      <c r="H64" s="78">
        <v>0</v>
      </c>
      <c r="I64" s="78">
        <v>0</v>
      </c>
      <c r="J64" s="212">
        <v>0</v>
      </c>
      <c r="K64" s="212">
        <v>15</v>
      </c>
      <c r="L64" s="212">
        <f>K64</f>
        <v>15</v>
      </c>
      <c r="M64" s="212">
        <f t="shared" si="96"/>
        <v>15</v>
      </c>
      <c r="N64" s="289">
        <f t="shared" si="96"/>
        <v>15</v>
      </c>
      <c r="O64" s="78">
        <f t="shared" si="80"/>
        <v>0</v>
      </c>
      <c r="P64" s="78">
        <f t="shared" si="104"/>
        <v>0</v>
      </c>
      <c r="Q64" s="78">
        <f t="shared" si="104"/>
        <v>0</v>
      </c>
      <c r="R64" s="78">
        <f t="shared" si="104"/>
        <v>0</v>
      </c>
      <c r="S64" s="78">
        <f t="shared" si="104"/>
        <v>0</v>
      </c>
      <c r="T64" s="78">
        <f t="shared" si="104"/>
        <v>0</v>
      </c>
      <c r="U64" s="75">
        <f>K64*(1/2)</f>
        <v>7.5</v>
      </c>
      <c r="V64" s="77">
        <f t="shared" ref="V64" si="106">L64</f>
        <v>15</v>
      </c>
      <c r="W64" s="287">
        <f t="shared" si="105"/>
        <v>15</v>
      </c>
      <c r="X64" s="288">
        <f t="shared" si="105"/>
        <v>15</v>
      </c>
      <c r="Y64" s="75">
        <f t="shared" si="67"/>
        <v>0</v>
      </c>
      <c r="Z64" s="75">
        <f t="shared" si="68"/>
        <v>0</v>
      </c>
      <c r="AA64" s="75">
        <f t="shared" si="69"/>
        <v>0</v>
      </c>
      <c r="AB64" s="75">
        <f t="shared" si="70"/>
        <v>0</v>
      </c>
      <c r="AC64" s="75">
        <f t="shared" si="71"/>
        <v>0</v>
      </c>
      <c r="AD64" s="75">
        <f t="shared" si="72"/>
        <v>0</v>
      </c>
      <c r="AE64" s="75">
        <f t="shared" si="73"/>
        <v>7.5</v>
      </c>
      <c r="AF64" s="75">
        <f t="shared" si="74"/>
        <v>0</v>
      </c>
      <c r="AG64" s="297">
        <f t="shared" si="75"/>
        <v>0</v>
      </c>
      <c r="AH64" s="295">
        <f t="shared" si="76"/>
        <v>0</v>
      </c>
    </row>
    <row r="65" spans="2:84" ht="14">
      <c r="C65" t="s">
        <v>106</v>
      </c>
      <c r="D65" s="19" t="s">
        <v>84</v>
      </c>
      <c r="E65" s="78">
        <v>0</v>
      </c>
      <c r="F65" s="78">
        <v>0</v>
      </c>
      <c r="G65" s="78">
        <v>0</v>
      </c>
      <c r="H65" s="78">
        <v>0</v>
      </c>
      <c r="I65" s="78">
        <v>0</v>
      </c>
      <c r="J65" s="212">
        <v>0</v>
      </c>
      <c r="K65" s="212">
        <v>0</v>
      </c>
      <c r="L65" s="212">
        <v>15</v>
      </c>
      <c r="M65" s="212">
        <f t="shared" si="96"/>
        <v>15</v>
      </c>
      <c r="N65" s="289">
        <f t="shared" si="96"/>
        <v>15</v>
      </c>
      <c r="O65" s="78">
        <f t="shared" si="80"/>
        <v>0</v>
      </c>
      <c r="P65" s="78">
        <f t="shared" si="104"/>
        <v>0</v>
      </c>
      <c r="Q65" s="78">
        <f t="shared" si="104"/>
        <v>0</v>
      </c>
      <c r="R65" s="78">
        <f t="shared" si="104"/>
        <v>0</v>
      </c>
      <c r="S65" s="78">
        <f t="shared" si="104"/>
        <v>0</v>
      </c>
      <c r="T65" s="78">
        <f t="shared" si="104"/>
        <v>0</v>
      </c>
      <c r="U65" s="78">
        <f t="shared" ref="U65" si="107">K65</f>
        <v>0</v>
      </c>
      <c r="V65" s="75">
        <f>L65*(1/2)</f>
        <v>7.5</v>
      </c>
      <c r="W65" s="287">
        <f t="shared" si="105"/>
        <v>15</v>
      </c>
      <c r="X65" s="288">
        <f t="shared" si="105"/>
        <v>15</v>
      </c>
      <c r="Y65" s="75">
        <f t="shared" si="67"/>
        <v>0</v>
      </c>
      <c r="Z65" s="75">
        <f t="shared" si="68"/>
        <v>0</v>
      </c>
      <c r="AA65" s="75">
        <f t="shared" si="69"/>
        <v>0</v>
      </c>
      <c r="AB65" s="75">
        <f t="shared" si="70"/>
        <v>0</v>
      </c>
      <c r="AC65" s="75">
        <f t="shared" si="71"/>
        <v>0</v>
      </c>
      <c r="AD65" s="75">
        <f t="shared" si="72"/>
        <v>0</v>
      </c>
      <c r="AE65" s="75">
        <f t="shared" si="73"/>
        <v>0</v>
      </c>
      <c r="AF65" s="75">
        <f t="shared" si="74"/>
        <v>7.5</v>
      </c>
      <c r="AG65" s="297">
        <f t="shared" si="75"/>
        <v>0</v>
      </c>
      <c r="AH65" s="295">
        <f t="shared" si="76"/>
        <v>0</v>
      </c>
    </row>
    <row r="66" spans="2:84" ht="14">
      <c r="C66" t="s">
        <v>107</v>
      </c>
      <c r="D66" s="19" t="s">
        <v>84</v>
      </c>
      <c r="E66" s="78">
        <v>0</v>
      </c>
      <c r="F66" s="78">
        <v>0</v>
      </c>
      <c r="G66" s="78">
        <v>0</v>
      </c>
      <c r="H66" s="78">
        <v>0</v>
      </c>
      <c r="I66" s="78">
        <v>0</v>
      </c>
      <c r="J66" s="212">
        <v>0</v>
      </c>
      <c r="K66" s="212">
        <v>20</v>
      </c>
      <c r="L66" s="212">
        <f>K66</f>
        <v>20</v>
      </c>
      <c r="M66" s="212">
        <f t="shared" si="96"/>
        <v>20</v>
      </c>
      <c r="N66" s="289">
        <f t="shared" si="96"/>
        <v>20</v>
      </c>
      <c r="O66" s="78">
        <f t="shared" si="80"/>
        <v>0</v>
      </c>
      <c r="P66" s="78">
        <f t="shared" si="104"/>
        <v>0</v>
      </c>
      <c r="Q66" s="78">
        <f t="shared" si="104"/>
        <v>0</v>
      </c>
      <c r="R66" s="78">
        <f t="shared" si="104"/>
        <v>0</v>
      </c>
      <c r="S66" s="78">
        <f t="shared" si="104"/>
        <v>0</v>
      </c>
      <c r="T66" s="78">
        <f t="shared" si="104"/>
        <v>0</v>
      </c>
      <c r="U66" s="75">
        <f>K66*(1/2)</f>
        <v>10</v>
      </c>
      <c r="V66" s="77">
        <f t="shared" ref="V66" si="108">L66</f>
        <v>20</v>
      </c>
      <c r="W66" s="287">
        <f t="shared" si="105"/>
        <v>20</v>
      </c>
      <c r="X66" s="288">
        <f t="shared" si="105"/>
        <v>20</v>
      </c>
      <c r="Y66" s="75">
        <f t="shared" si="67"/>
        <v>0</v>
      </c>
      <c r="Z66" s="75">
        <f t="shared" si="68"/>
        <v>0</v>
      </c>
      <c r="AA66" s="75">
        <f t="shared" si="69"/>
        <v>0</v>
      </c>
      <c r="AB66" s="75">
        <f t="shared" si="70"/>
        <v>0</v>
      </c>
      <c r="AC66" s="75">
        <f t="shared" si="71"/>
        <v>0</v>
      </c>
      <c r="AD66" s="75">
        <f t="shared" si="72"/>
        <v>0</v>
      </c>
      <c r="AE66" s="75">
        <f t="shared" si="73"/>
        <v>10</v>
      </c>
      <c r="AF66" s="75">
        <f t="shared" si="74"/>
        <v>0</v>
      </c>
      <c r="AG66" s="297">
        <f t="shared" si="75"/>
        <v>0</v>
      </c>
      <c r="AH66" s="295">
        <f t="shared" si="76"/>
        <v>0</v>
      </c>
    </row>
    <row r="67" spans="2:84" ht="14">
      <c r="C67" t="s">
        <v>108</v>
      </c>
      <c r="D67" s="19" t="s">
        <v>84</v>
      </c>
      <c r="E67" s="78">
        <v>0</v>
      </c>
      <c r="F67" s="78">
        <v>0</v>
      </c>
      <c r="G67" s="78">
        <v>0</v>
      </c>
      <c r="H67" s="78">
        <v>0</v>
      </c>
      <c r="I67" s="78">
        <v>0</v>
      </c>
      <c r="J67" s="212">
        <v>0</v>
      </c>
      <c r="K67" s="212">
        <v>5</v>
      </c>
      <c r="L67" s="212">
        <f>K67</f>
        <v>5</v>
      </c>
      <c r="M67" s="212">
        <f t="shared" si="96"/>
        <v>5</v>
      </c>
      <c r="N67" s="289">
        <f t="shared" si="96"/>
        <v>5</v>
      </c>
      <c r="O67" s="78">
        <f t="shared" si="80"/>
        <v>0</v>
      </c>
      <c r="P67" s="78">
        <f t="shared" ref="P67:X69" si="109">F67</f>
        <v>0</v>
      </c>
      <c r="Q67" s="78">
        <f t="shared" si="109"/>
        <v>0</v>
      </c>
      <c r="R67" s="78">
        <f t="shared" si="109"/>
        <v>0</v>
      </c>
      <c r="S67" s="78">
        <f t="shared" si="109"/>
        <v>0</v>
      </c>
      <c r="T67" s="78">
        <f t="shared" si="109"/>
        <v>0</v>
      </c>
      <c r="U67" s="75">
        <f>K67*(1/2)</f>
        <v>2.5</v>
      </c>
      <c r="V67" s="77">
        <f t="shared" si="109"/>
        <v>5</v>
      </c>
      <c r="W67" s="287">
        <f t="shared" si="109"/>
        <v>5</v>
      </c>
      <c r="X67" s="288">
        <f t="shared" si="109"/>
        <v>5</v>
      </c>
      <c r="Y67" s="75">
        <f t="shared" si="67"/>
        <v>0</v>
      </c>
      <c r="Z67" s="75">
        <f t="shared" si="68"/>
        <v>0</v>
      </c>
      <c r="AA67" s="75">
        <f t="shared" si="69"/>
        <v>0</v>
      </c>
      <c r="AB67" s="75">
        <f t="shared" si="70"/>
        <v>0</v>
      </c>
      <c r="AC67" s="75">
        <f t="shared" si="71"/>
        <v>0</v>
      </c>
      <c r="AD67" s="75">
        <f t="shared" si="72"/>
        <v>0</v>
      </c>
      <c r="AE67" s="75">
        <f t="shared" si="73"/>
        <v>2.5</v>
      </c>
      <c r="AF67" s="75">
        <f t="shared" si="74"/>
        <v>0</v>
      </c>
      <c r="AG67" s="297">
        <f t="shared" si="75"/>
        <v>0</v>
      </c>
      <c r="AH67" s="295">
        <f t="shared" si="76"/>
        <v>0</v>
      </c>
    </row>
    <row r="68" spans="2:84" ht="14">
      <c r="C68" s="5" t="s">
        <v>109</v>
      </c>
      <c r="D68" s="19" t="s">
        <v>84</v>
      </c>
      <c r="E68" s="78">
        <v>0</v>
      </c>
      <c r="F68" s="78">
        <v>0</v>
      </c>
      <c r="G68" s="78">
        <v>0</v>
      </c>
      <c r="H68" s="78">
        <v>0</v>
      </c>
      <c r="I68" s="78">
        <v>0</v>
      </c>
      <c r="J68" s="212">
        <v>0</v>
      </c>
      <c r="K68" s="212">
        <v>0</v>
      </c>
      <c r="L68" s="212">
        <v>20</v>
      </c>
      <c r="M68" s="212">
        <f>L69</f>
        <v>20</v>
      </c>
      <c r="N68" s="289">
        <f>M69</f>
        <v>20</v>
      </c>
      <c r="O68" s="78">
        <f t="shared" si="80"/>
        <v>0</v>
      </c>
      <c r="P68" s="78">
        <f t="shared" si="109"/>
        <v>0</v>
      </c>
      <c r="Q68" s="78">
        <f t="shared" si="109"/>
        <v>0</v>
      </c>
      <c r="R68" s="78">
        <f t="shared" si="109"/>
        <v>0</v>
      </c>
      <c r="S68" s="78">
        <f t="shared" si="109"/>
        <v>0</v>
      </c>
      <c r="T68" s="78">
        <f t="shared" si="109"/>
        <v>0</v>
      </c>
      <c r="U68" s="78">
        <f t="shared" ref="U68" si="110">K68</f>
        <v>0</v>
      </c>
      <c r="V68" s="77">
        <f t="shared" si="109"/>
        <v>20</v>
      </c>
      <c r="W68" s="287">
        <f t="shared" si="109"/>
        <v>20</v>
      </c>
      <c r="X68" s="288">
        <f t="shared" si="109"/>
        <v>20</v>
      </c>
      <c r="Y68" s="75">
        <f t="shared" si="67"/>
        <v>0</v>
      </c>
      <c r="Z68" s="75">
        <f t="shared" si="68"/>
        <v>0</v>
      </c>
      <c r="AA68" s="75">
        <f t="shared" si="69"/>
        <v>0</v>
      </c>
      <c r="AB68" s="75">
        <f t="shared" si="70"/>
        <v>0</v>
      </c>
      <c r="AC68" s="75">
        <f t="shared" si="71"/>
        <v>0</v>
      </c>
      <c r="AD68" s="75">
        <f t="shared" si="72"/>
        <v>0</v>
      </c>
      <c r="AE68" s="75">
        <f t="shared" si="73"/>
        <v>0</v>
      </c>
      <c r="AF68" s="75">
        <f t="shared" si="74"/>
        <v>0</v>
      </c>
      <c r="AG68" s="297">
        <f t="shared" si="75"/>
        <v>0</v>
      </c>
      <c r="AH68" s="295">
        <f t="shared" si="76"/>
        <v>0</v>
      </c>
    </row>
    <row r="69" spans="2:84" ht="14">
      <c r="C69" t="s">
        <v>110</v>
      </c>
      <c r="D69" s="19" t="s">
        <v>84</v>
      </c>
      <c r="E69" s="78">
        <v>0</v>
      </c>
      <c r="F69" s="78">
        <v>0</v>
      </c>
      <c r="G69" s="78">
        <v>0</v>
      </c>
      <c r="H69" s="78">
        <v>0</v>
      </c>
      <c r="I69" s="78">
        <v>0</v>
      </c>
      <c r="J69" s="212">
        <v>0</v>
      </c>
      <c r="K69" s="212">
        <v>20</v>
      </c>
      <c r="L69" s="212">
        <f>K69</f>
        <v>20</v>
      </c>
      <c r="M69" s="212">
        <f>L69</f>
        <v>20</v>
      </c>
      <c r="N69" s="289">
        <f>M69</f>
        <v>20</v>
      </c>
      <c r="O69" s="78">
        <f t="shared" si="80"/>
        <v>0</v>
      </c>
      <c r="P69" s="78">
        <f t="shared" si="109"/>
        <v>0</v>
      </c>
      <c r="Q69" s="78">
        <f t="shared" si="109"/>
        <v>0</v>
      </c>
      <c r="R69" s="78">
        <f t="shared" si="109"/>
        <v>0</v>
      </c>
      <c r="S69" s="78">
        <f t="shared" si="109"/>
        <v>0</v>
      </c>
      <c r="T69" s="78">
        <f t="shared" si="109"/>
        <v>0</v>
      </c>
      <c r="U69" s="75">
        <f>15*(1/2)</f>
        <v>7.5</v>
      </c>
      <c r="V69" s="77">
        <v>15</v>
      </c>
      <c r="W69" s="287">
        <v>20</v>
      </c>
      <c r="X69" s="288">
        <v>16</v>
      </c>
      <c r="Y69" s="75">
        <f t="shared" si="67"/>
        <v>0</v>
      </c>
      <c r="Z69" s="75">
        <f t="shared" si="68"/>
        <v>0</v>
      </c>
      <c r="AA69" s="75">
        <f t="shared" si="69"/>
        <v>0</v>
      </c>
      <c r="AB69" s="75">
        <f t="shared" si="70"/>
        <v>0</v>
      </c>
      <c r="AC69" s="75">
        <f t="shared" si="71"/>
        <v>0</v>
      </c>
      <c r="AD69" s="75">
        <f t="shared" si="72"/>
        <v>0</v>
      </c>
      <c r="AE69" s="75">
        <f t="shared" si="73"/>
        <v>12.5</v>
      </c>
      <c r="AF69" s="75">
        <f t="shared" si="74"/>
        <v>5</v>
      </c>
      <c r="AG69" s="297">
        <f t="shared" si="75"/>
        <v>0</v>
      </c>
      <c r="AH69" s="295">
        <f t="shared" si="76"/>
        <v>4</v>
      </c>
    </row>
    <row r="70" spans="2:84" ht="14">
      <c r="C70" s="5" t="s">
        <v>111</v>
      </c>
      <c r="D70" s="19" t="s">
        <v>84</v>
      </c>
      <c r="E70" s="78">
        <v>0</v>
      </c>
      <c r="F70" s="78">
        <v>0</v>
      </c>
      <c r="G70" s="78">
        <v>0</v>
      </c>
      <c r="H70" s="78">
        <v>0</v>
      </c>
      <c r="I70" s="78">
        <v>0</v>
      </c>
      <c r="J70" s="212">
        <v>0</v>
      </c>
      <c r="K70" s="212">
        <v>0</v>
      </c>
      <c r="L70" s="212">
        <v>30</v>
      </c>
      <c r="M70" s="212">
        <f>L70</f>
        <v>30</v>
      </c>
      <c r="N70" s="289">
        <f>M70</f>
        <v>30</v>
      </c>
      <c r="O70" s="212">
        <v>0</v>
      </c>
      <c r="P70" s="212">
        <v>0</v>
      </c>
      <c r="Q70" s="212">
        <v>0</v>
      </c>
      <c r="R70" s="212">
        <v>0</v>
      </c>
      <c r="S70" s="212">
        <v>0</v>
      </c>
      <c r="T70" s="212">
        <v>0</v>
      </c>
      <c r="U70" s="212">
        <v>0</v>
      </c>
      <c r="V70" s="77">
        <f>5/12*30</f>
        <v>12.5</v>
      </c>
      <c r="W70" s="77">
        <v>30</v>
      </c>
      <c r="X70" s="80">
        <v>30</v>
      </c>
      <c r="Y70" s="75">
        <f t="shared" ref="Y70:Y73" si="111">MAX(0,E70-O70)</f>
        <v>0</v>
      </c>
      <c r="Z70" s="75">
        <f t="shared" ref="Z70:Z73" si="112">MAX(0,F70-P70)</f>
        <v>0</v>
      </c>
      <c r="AA70" s="75">
        <f t="shared" ref="AA70:AA73" si="113">MAX(0,G70-Q70)</f>
        <v>0</v>
      </c>
      <c r="AB70" s="75">
        <f t="shared" ref="AB70:AB73" si="114">MAX(0,H70-R70)</f>
        <v>0</v>
      </c>
      <c r="AC70" s="75">
        <f t="shared" ref="AC70:AC73" si="115">MAX(0,I70-S70)</f>
        <v>0</v>
      </c>
      <c r="AD70" s="75">
        <f t="shared" ref="AD70:AD73" si="116">MAX(0,J70-T70)</f>
        <v>0</v>
      </c>
      <c r="AE70" s="75">
        <f t="shared" ref="AE70:AE73" si="117">MAX(0,K70-U70)</f>
        <v>0</v>
      </c>
      <c r="AF70" s="75">
        <f t="shared" ref="AF70:AF73" si="118">MAX(0,L70-V70)</f>
        <v>17.5</v>
      </c>
      <c r="AG70" s="297">
        <f t="shared" ref="AG70:AG73" si="119">MAX(0,M70-W70)</f>
        <v>0</v>
      </c>
      <c r="AH70" s="295">
        <f t="shared" ref="AH70:AH73" si="120">MAX(0,N70-X70)</f>
        <v>0</v>
      </c>
    </row>
    <row r="71" spans="2:84" ht="14">
      <c r="C71" t="s">
        <v>112</v>
      </c>
      <c r="E71" s="78">
        <v>0</v>
      </c>
      <c r="F71" s="78">
        <v>0</v>
      </c>
      <c r="G71" s="78">
        <v>0</v>
      </c>
      <c r="H71" s="78">
        <v>0</v>
      </c>
      <c r="I71" s="78">
        <v>0</v>
      </c>
      <c r="J71" s="212">
        <v>0</v>
      </c>
      <c r="K71" s="212">
        <v>0</v>
      </c>
      <c r="L71" s="212">
        <v>45</v>
      </c>
      <c r="M71" s="212">
        <f>L71</f>
        <v>45</v>
      </c>
      <c r="N71" s="289">
        <f>M71</f>
        <v>45</v>
      </c>
      <c r="O71" s="212">
        <v>0</v>
      </c>
      <c r="P71" s="212">
        <v>0</v>
      </c>
      <c r="Q71" s="212">
        <v>0</v>
      </c>
      <c r="R71" s="212">
        <v>0</v>
      </c>
      <c r="S71" s="212">
        <v>0</v>
      </c>
      <c r="T71" s="212">
        <v>0</v>
      </c>
      <c r="U71" s="212">
        <v>0</v>
      </c>
      <c r="V71" s="77">
        <v>0</v>
      </c>
      <c r="W71" s="77">
        <v>45</v>
      </c>
      <c r="X71" s="80">
        <v>45</v>
      </c>
      <c r="Y71" s="75">
        <f t="shared" si="111"/>
        <v>0</v>
      </c>
      <c r="Z71" s="75">
        <f t="shared" si="112"/>
        <v>0</v>
      </c>
      <c r="AA71" s="75">
        <f t="shared" si="113"/>
        <v>0</v>
      </c>
      <c r="AB71" s="75">
        <f t="shared" si="114"/>
        <v>0</v>
      </c>
      <c r="AC71" s="75">
        <f t="shared" si="115"/>
        <v>0</v>
      </c>
      <c r="AD71" s="75">
        <f t="shared" si="116"/>
        <v>0</v>
      </c>
      <c r="AE71" s="75">
        <f t="shared" si="117"/>
        <v>0</v>
      </c>
      <c r="AF71" s="75">
        <f t="shared" si="118"/>
        <v>45</v>
      </c>
      <c r="AG71" s="297">
        <f t="shared" si="119"/>
        <v>0</v>
      </c>
      <c r="AH71" s="295">
        <f t="shared" si="120"/>
        <v>0</v>
      </c>
    </row>
    <row r="72" spans="2:84" ht="14">
      <c r="C72" t="s">
        <v>113</v>
      </c>
      <c r="O72" s="212"/>
      <c r="P72" s="212"/>
      <c r="Q72" s="212"/>
      <c r="R72" s="212"/>
      <c r="S72" s="212"/>
      <c r="Y72" s="75">
        <f t="shared" si="111"/>
        <v>0</v>
      </c>
      <c r="Z72" s="75">
        <f t="shared" si="112"/>
        <v>0</v>
      </c>
      <c r="AA72" s="75">
        <f t="shared" si="113"/>
        <v>0</v>
      </c>
      <c r="AB72" s="75">
        <f t="shared" si="114"/>
        <v>0</v>
      </c>
      <c r="AC72" s="75">
        <f t="shared" si="115"/>
        <v>0</v>
      </c>
      <c r="AD72" s="75">
        <f t="shared" si="116"/>
        <v>0</v>
      </c>
      <c r="AE72" s="75">
        <f t="shared" si="117"/>
        <v>0</v>
      </c>
      <c r="AF72" s="75">
        <f t="shared" si="118"/>
        <v>0</v>
      </c>
      <c r="AG72" s="297">
        <f t="shared" si="119"/>
        <v>0</v>
      </c>
      <c r="AH72" s="295">
        <f t="shared" si="120"/>
        <v>0</v>
      </c>
    </row>
    <row r="73" spans="2:84" ht="14">
      <c r="C73" t="s">
        <v>114</v>
      </c>
      <c r="O73" s="212"/>
      <c r="P73" s="212"/>
      <c r="Q73" s="212"/>
      <c r="R73" s="212"/>
      <c r="S73" s="212"/>
      <c r="Y73" s="75">
        <f t="shared" si="111"/>
        <v>0</v>
      </c>
      <c r="Z73" s="75">
        <f t="shared" si="112"/>
        <v>0</v>
      </c>
      <c r="AA73" s="75">
        <f t="shared" si="113"/>
        <v>0</v>
      </c>
      <c r="AB73" s="75">
        <f t="shared" si="114"/>
        <v>0</v>
      </c>
      <c r="AC73" s="75">
        <f t="shared" si="115"/>
        <v>0</v>
      </c>
      <c r="AD73" s="75">
        <f t="shared" si="116"/>
        <v>0</v>
      </c>
      <c r="AE73" s="75">
        <f t="shared" si="117"/>
        <v>0</v>
      </c>
      <c r="AF73" s="75">
        <f t="shared" si="118"/>
        <v>0</v>
      </c>
      <c r="AG73" s="297">
        <f t="shared" si="119"/>
        <v>0</v>
      </c>
      <c r="AH73" s="295">
        <f t="shared" si="120"/>
        <v>0</v>
      </c>
    </row>
    <row r="74" spans="2:84" ht="14">
      <c r="C74" t="s">
        <v>115</v>
      </c>
      <c r="BQ74" s="359"/>
      <c r="CF74" t="s">
        <v>116</v>
      </c>
    </row>
    <row r="75" spans="2:84" ht="14">
      <c r="C75" t="s">
        <v>117</v>
      </c>
      <c r="BO75" s="363">
        <v>144855</v>
      </c>
      <c r="BP75" s="363">
        <v>566110</v>
      </c>
      <c r="BQ75" s="604">
        <v>1863494</v>
      </c>
      <c r="BR75" s="363">
        <f>BR26</f>
        <v>2228697.6325651272</v>
      </c>
      <c r="BS75" s="363">
        <f>BS26</f>
        <v>2565934.3624409507</v>
      </c>
      <c r="BT75" s="606">
        <f>BT26</f>
        <v>2808638.8816258181</v>
      </c>
      <c r="BY75" s="363">
        <v>144855</v>
      </c>
      <c r="BZ75" s="363">
        <v>566110</v>
      </c>
      <c r="CA75" s="604">
        <v>1863494</v>
      </c>
      <c r="CB75" s="363">
        <f>CB26</f>
        <v>2228697.6325651272</v>
      </c>
      <c r="CC75" s="606">
        <f>CC26</f>
        <v>2565934.3624409507</v>
      </c>
      <c r="CD75" s="606">
        <f>CD26</f>
        <v>2808638.8816258181</v>
      </c>
    </row>
    <row r="76" spans="2:84" ht="14">
      <c r="C76" t="s">
        <v>118</v>
      </c>
      <c r="BO76" s="489">
        <f>BO77*1000000/BO75</f>
        <v>86.983535259397328</v>
      </c>
      <c r="BP76" s="489">
        <f>BP77*1000000/BP75</f>
        <v>40.94880107046334</v>
      </c>
      <c r="BQ76" s="489">
        <f>BQ77*1000000/BQ75</f>
        <v>39.034773240858307</v>
      </c>
      <c r="BR76" s="605">
        <f>BQ76</f>
        <v>39.034773240858307</v>
      </c>
      <c r="BS76" s="605">
        <f>BR76</f>
        <v>39.034773240858307</v>
      </c>
      <c r="BT76" s="607">
        <f>BS76</f>
        <v>39.034773240858307</v>
      </c>
      <c r="BY76" s="489">
        <f>BY77*1000000/BY75</f>
        <v>65.444755099927519</v>
      </c>
      <c r="BZ76" s="489">
        <f>BZ77*1000000/BZ75</f>
        <v>21.999181124953182</v>
      </c>
      <c r="CA76" s="489">
        <f>CA77*1000000/CA75</f>
        <v>9.1757388402109132</v>
      </c>
      <c r="CB76" s="605">
        <f>1000000*'Price&amp;Q'!DG48/'Price&amp;Q'!BM48</f>
        <v>38.218659313834578</v>
      </c>
      <c r="CC76" s="605">
        <f>1000000*'Price&amp;Q'!DH48/'Price&amp;Q'!BN48</f>
        <v>39.811503953485136</v>
      </c>
      <c r="CD76" s="605">
        <f>1000000*'Price&amp;Q'!DI48/'Price&amp;Q'!BO48</f>
        <v>41.242163585880604</v>
      </c>
      <c r="CE76" t="s">
        <v>119</v>
      </c>
    </row>
    <row r="77" spans="2:84" s="233" customFormat="1" ht="14">
      <c r="B77" s="506"/>
      <c r="C77" s="350" t="s">
        <v>120</v>
      </c>
      <c r="D77" s="344"/>
      <c r="E77" s="303">
        <f>SUM(E39:E71)</f>
        <v>16</v>
      </c>
      <c r="F77" s="303">
        <f t="shared" ref="F77:L77" si="121">SUM(F39:F71)</f>
        <v>16</v>
      </c>
      <c r="G77" s="303">
        <f t="shared" si="121"/>
        <v>26</v>
      </c>
      <c r="H77" s="303">
        <f t="shared" si="121"/>
        <v>26</v>
      </c>
      <c r="I77" s="303">
        <f t="shared" si="121"/>
        <v>66</v>
      </c>
      <c r="J77" s="303">
        <f t="shared" si="121"/>
        <v>135</v>
      </c>
      <c r="K77" s="303">
        <f t="shared" si="121"/>
        <v>305</v>
      </c>
      <c r="L77" s="303">
        <f t="shared" si="121"/>
        <v>480</v>
      </c>
      <c r="M77" s="303">
        <f>SUM(M39:M71)</f>
        <v>480</v>
      </c>
      <c r="N77" s="304">
        <f>SUM(N39:N71)</f>
        <v>480</v>
      </c>
      <c r="O77" s="303">
        <f>SUM(O39:O69)</f>
        <v>16</v>
      </c>
      <c r="P77" s="303">
        <f t="shared" ref="P77:U77" si="122">SUM(P39:P69)</f>
        <v>16</v>
      </c>
      <c r="Q77" s="303">
        <f t="shared" si="122"/>
        <v>21</v>
      </c>
      <c r="R77" s="303">
        <f t="shared" si="122"/>
        <v>26</v>
      </c>
      <c r="S77" s="303">
        <f t="shared" si="122"/>
        <v>41</v>
      </c>
      <c r="T77" s="303">
        <f t="shared" si="122"/>
        <v>84.5</v>
      </c>
      <c r="U77" s="303">
        <f t="shared" si="122"/>
        <v>237.5</v>
      </c>
      <c r="V77" s="303">
        <f>SUM(V39:V73)</f>
        <v>378.75</v>
      </c>
      <c r="W77" s="303">
        <f>SUM(W39:W73)</f>
        <v>480</v>
      </c>
      <c r="X77" s="1094">
        <f>W77*(W77/V77+V77/U77)/2*0.88</f>
        <v>604.46782699322569</v>
      </c>
      <c r="Y77" s="303">
        <f>SUM(Y39:Y69)</f>
        <v>0</v>
      </c>
      <c r="Z77" s="303">
        <f t="shared" ref="Z77:AH77" si="123">SUM(Z39:Z69)</f>
        <v>0</v>
      </c>
      <c r="AA77" s="303">
        <f t="shared" si="123"/>
        <v>5</v>
      </c>
      <c r="AB77" s="303">
        <f t="shared" si="123"/>
        <v>0</v>
      </c>
      <c r="AC77" s="303">
        <f t="shared" si="123"/>
        <v>25</v>
      </c>
      <c r="AD77" s="303">
        <f>SUM(AD39:AD69)</f>
        <v>50.5</v>
      </c>
      <c r="AE77" s="303">
        <f>SUM(AE39:AE69)</f>
        <v>67.5</v>
      </c>
      <c r="AF77" s="303">
        <f t="shared" si="123"/>
        <v>38.75</v>
      </c>
      <c r="AG77" s="303">
        <f t="shared" si="123"/>
        <v>0</v>
      </c>
      <c r="AH77" s="304">
        <f t="shared" si="123"/>
        <v>4</v>
      </c>
      <c r="AI77" s="345">
        <f t="shared" ref="AI77:AL77" si="124">BC77/O77</f>
        <v>0.49995583038869251</v>
      </c>
      <c r="AJ77" s="345">
        <f t="shared" si="124"/>
        <v>0.4324690934065934</v>
      </c>
      <c r="AK77" s="345">
        <f t="shared" si="124"/>
        <v>0.67356264122520704</v>
      </c>
      <c r="AL77" s="345">
        <f t="shared" si="124"/>
        <v>0.56767870393272324</v>
      </c>
      <c r="AM77" s="345">
        <f>BG77/S77</f>
        <v>0.30320294523699953</v>
      </c>
      <c r="AN77" s="345">
        <f>BH77/T77</f>
        <v>0.42172168284789641</v>
      </c>
      <c r="AO77" s="345">
        <f>BI77/U77</f>
        <v>0.37827368421052632</v>
      </c>
      <c r="AP77" s="346">
        <f>AO77</f>
        <v>0.37827368421052632</v>
      </c>
      <c r="AQ77" s="346">
        <f>AO77</f>
        <v>0.37827368421052632</v>
      </c>
      <c r="AR77" s="1092">
        <f>AP77</f>
        <v>0.37827368421052632</v>
      </c>
      <c r="AS77" s="346"/>
      <c r="AT77" s="346"/>
      <c r="AU77" s="346"/>
      <c r="AV77" s="346"/>
      <c r="AW77" s="346"/>
      <c r="AX77" s="346"/>
      <c r="AY77" s="346"/>
      <c r="AZ77" s="346"/>
      <c r="BA77" s="346"/>
      <c r="BB77" s="347"/>
      <c r="BC77" s="348">
        <f>BC80*BC81</f>
        <v>7.9992932862190802</v>
      </c>
      <c r="BD77" s="348">
        <f t="shared" ref="BD77:BG77" si="125">BD80*BD81</f>
        <v>6.9195054945054943</v>
      </c>
      <c r="BE77" s="348">
        <f t="shared" si="125"/>
        <v>14.144815465729348</v>
      </c>
      <c r="BF77" s="348">
        <f t="shared" si="125"/>
        <v>14.759646302250804</v>
      </c>
      <c r="BG77" s="348">
        <f t="shared" si="125"/>
        <v>12.431320754716982</v>
      </c>
      <c r="BH77" s="348">
        <f>BH80*BH81</f>
        <v>35.635482200647246</v>
      </c>
      <c r="BI77" s="955">
        <v>89.84</v>
      </c>
      <c r="BJ77" s="349">
        <f>AP77*V77</f>
        <v>143.27115789473683</v>
      </c>
      <c r="BK77" s="349">
        <f>AQ77*W77</f>
        <v>181.57136842105263</v>
      </c>
      <c r="BL77" s="523">
        <f>AR77*X77</f>
        <v>228.65427190345852</v>
      </c>
      <c r="BM77" s="956">
        <f>BE77</f>
        <v>14.144815465729348</v>
      </c>
      <c r="BN77" s="956">
        <f>BF77</f>
        <v>14.759646302250804</v>
      </c>
      <c r="BO77" s="603">
        <v>12.6</v>
      </c>
      <c r="BP77" s="956">
        <f>'Price&amp;Q'!DE48</f>
        <v>23.181525774000001</v>
      </c>
      <c r="BQ77" s="956">
        <f>'Price&amp;Q'!DF48</f>
        <v>72.741065725700011</v>
      </c>
      <c r="BR77" s="956">
        <f>'Price&amp;Q'!DG48</f>
        <v>115.53381276443896</v>
      </c>
      <c r="BS77" s="956">
        <f>'Price&amp;Q'!DH48</f>
        <v>160.54349955304434</v>
      </c>
      <c r="BT77" s="956">
        <f>'Price&amp;Q'!DI48</f>
        <v>195.45236418677058</v>
      </c>
      <c r="BU77" s="1091">
        <v>7.35</v>
      </c>
      <c r="BV77" s="1091">
        <v>5.66</v>
      </c>
      <c r="BW77" s="1091">
        <v>11.4</v>
      </c>
      <c r="BX77" s="1091">
        <v>10.75</v>
      </c>
      <c r="BY77" s="1091">
        <v>9.48</v>
      </c>
      <c r="BZ77" s="349">
        <f>BH77-BP77</f>
        <v>12.453956426647245</v>
      </c>
      <c r="CA77" s="349">
        <f>BI77-BQ77</f>
        <v>17.098934274299992</v>
      </c>
      <c r="CB77" s="349">
        <f>BJ77-BR77</f>
        <v>27.737345130297868</v>
      </c>
      <c r="CC77" s="349">
        <f>BK77-BS77</f>
        <v>21.027868868008284</v>
      </c>
      <c r="CD77" s="1090">
        <f>BL77-BT77</f>
        <v>33.201907716687941</v>
      </c>
      <c r="CE77" s="233" t="s">
        <v>121</v>
      </c>
    </row>
    <row r="78" spans="2:84" ht="14">
      <c r="W78" t="s">
        <v>122</v>
      </c>
      <c r="X78" s="1093">
        <f>SUM(X39:X73)</f>
        <v>476</v>
      </c>
      <c r="BC78" s="212">
        <v>7.35</v>
      </c>
      <c r="BD78" s="212">
        <v>5.66</v>
      </c>
      <c r="BE78" s="212">
        <v>11.4</v>
      </c>
      <c r="BF78" s="212">
        <v>10.75</v>
      </c>
      <c r="BG78" s="212">
        <v>9.48</v>
      </c>
      <c r="BH78" s="212">
        <v>25.06</v>
      </c>
      <c r="BI78" s="212">
        <v>69.099999999999994</v>
      </c>
      <c r="BK78" t="s">
        <v>123</v>
      </c>
    </row>
    <row r="79" spans="2:84" ht="14">
      <c r="BC79" s="212">
        <v>28.3</v>
      </c>
      <c r="BD79" s="212">
        <v>36.4</v>
      </c>
      <c r="BE79" s="212">
        <v>56.9</v>
      </c>
      <c r="BF79" s="212">
        <v>62.2</v>
      </c>
      <c r="BG79" s="212">
        <v>63.6</v>
      </c>
      <c r="BH79" s="212">
        <v>154.5</v>
      </c>
      <c r="BI79" s="212">
        <v>294.60000000000002</v>
      </c>
      <c r="BK79" t="s">
        <v>124</v>
      </c>
    </row>
    <row r="80" spans="2:84" ht="14">
      <c r="BC80" s="296">
        <f t="shared" ref="BC80:BH80" si="126">BC78/BC79</f>
        <v>0.25971731448763247</v>
      </c>
      <c r="BD80" s="296">
        <f t="shared" si="126"/>
        <v>0.1554945054945055</v>
      </c>
      <c r="BE80" s="296">
        <f t="shared" si="126"/>
        <v>0.20035149384885764</v>
      </c>
      <c r="BF80" s="296">
        <f t="shared" si="126"/>
        <v>0.17282958199356913</v>
      </c>
      <c r="BG80" s="296">
        <f t="shared" si="126"/>
        <v>0.1490566037735849</v>
      </c>
      <c r="BH80" s="296">
        <f t="shared" si="126"/>
        <v>0.16220064724919092</v>
      </c>
      <c r="BI80" s="296">
        <v>0.2031</v>
      </c>
      <c r="BK80" t="s">
        <v>125</v>
      </c>
    </row>
    <row r="81" spans="55:63" ht="14">
      <c r="BC81" s="212">
        <v>30.8</v>
      </c>
      <c r="BD81" s="212">
        <v>44.5</v>
      </c>
      <c r="BE81" s="212">
        <v>70.599999999999994</v>
      </c>
      <c r="BF81" s="212">
        <v>85.4</v>
      </c>
      <c r="BG81" s="212">
        <v>83.4</v>
      </c>
      <c r="BH81" s="212">
        <v>219.7</v>
      </c>
      <c r="BI81" s="212">
        <v>545.9</v>
      </c>
      <c r="BK81" t="s">
        <v>126</v>
      </c>
    </row>
    <row r="83" spans="55:63" ht="14">
      <c r="BI83" s="297"/>
    </row>
    <row r="84" spans="55:63" ht="14">
      <c r="BK84" t="s">
        <v>127</v>
      </c>
    </row>
  </sheetData>
  <mergeCells count="17">
    <mergeCell ref="A49:A51"/>
    <mergeCell ref="A3:A7"/>
    <mergeCell ref="A8:A26"/>
    <mergeCell ref="A27:A30"/>
    <mergeCell ref="O1:V1"/>
    <mergeCell ref="E1:L1"/>
    <mergeCell ref="A1:A2"/>
    <mergeCell ref="C1:C2"/>
    <mergeCell ref="A35:A36"/>
    <mergeCell ref="BU1:CB1"/>
    <mergeCell ref="BC1:BJ1"/>
    <mergeCell ref="A37:A41"/>
    <mergeCell ref="A42:A48"/>
    <mergeCell ref="BO1:BS1"/>
    <mergeCell ref="AS1:BA1"/>
    <mergeCell ref="Y1:AH1"/>
    <mergeCell ref="AI1:AR1"/>
  </mergeCells>
  <phoneticPr fontId="4" type="noConversion"/>
  <hyperlinks>
    <hyperlink ref="CF44" r:id="rId1" xr:uid="{2A475FA7-DAB8-4BB8-9D6B-F9A863E84F19}"/>
  </hyperlinks>
  <pageMargins left="0.7" right="0.7" top="0.75" bottom="0.75" header="0.3" footer="0.3"/>
  <pageSetup paperSize="9" orientation="portrait" horizontalDpi="1200" verticalDpi="1200"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09E9-29F4-4A86-91B8-C79F65654007}">
  <dimension ref="A1:DO81"/>
  <sheetViews>
    <sheetView tabSelected="1" zoomScale="114" zoomScaleNormal="130" workbookViewId="0">
      <pane xSplit="2" ySplit="3" topLeftCell="BJ54" activePane="bottomRight" state="frozen"/>
      <selection pane="topRight" activeCell="C1" sqref="C1"/>
      <selection pane="bottomLeft" activeCell="A4" sqref="A4"/>
      <selection pane="bottomRight" activeCell="CV69" sqref="CV69"/>
    </sheetView>
  </sheetViews>
  <sheetFormatPr defaultColWidth="8.83203125" defaultRowHeight="14.25" customHeight="1" outlineLevelCol="1"/>
  <cols>
    <col min="1" max="1" width="13.1640625" style="64" customWidth="1"/>
    <col min="2" max="2" width="29.4140625" style="6" customWidth="1"/>
    <col min="3" max="3" width="12.25" customWidth="1"/>
    <col min="4" max="5" width="11.1640625" bestFit="1" customWidth="1"/>
    <col min="6" max="6" width="11.75" bestFit="1" customWidth="1"/>
    <col min="7" max="9" width="11.1640625" bestFit="1" customWidth="1"/>
    <col min="12" max="14" width="10.25" bestFit="1" customWidth="1"/>
    <col min="23" max="25" width="9.25" bestFit="1" customWidth="1"/>
    <col min="26" max="27" width="9" bestFit="1" customWidth="1"/>
    <col min="28" max="28" width="9" customWidth="1"/>
    <col min="30" max="34" width="9" bestFit="1" customWidth="1"/>
    <col min="35" max="35" width="9" customWidth="1"/>
    <col min="37" max="41" width="9" bestFit="1" customWidth="1"/>
    <col min="42" max="42" width="9" customWidth="1"/>
    <col min="43" max="47" width="9" customWidth="1" outlineLevel="1"/>
    <col min="48" max="48" width="8.83203125" customWidth="1" outlineLevel="1"/>
    <col min="49" max="53" width="9" customWidth="1" outlineLevel="1"/>
    <col min="54" max="54" width="8.83203125" customWidth="1" outlineLevel="1"/>
    <col min="55" max="60" width="9" customWidth="1" outlineLevel="1"/>
    <col min="61" max="61" width="9" customWidth="1"/>
    <col min="62" max="62" width="12.1640625" bestFit="1" customWidth="1"/>
    <col min="63" max="66" width="11.1640625" bestFit="1" customWidth="1"/>
    <col min="67" max="67" width="11.4140625" customWidth="1"/>
    <col min="69" max="73" width="11.1640625" bestFit="1" customWidth="1"/>
    <col min="74" max="74" width="11.1640625" customWidth="1"/>
    <col min="77" max="77" width="9" bestFit="1" customWidth="1"/>
    <col min="78" max="80" width="9.1640625" bestFit="1" customWidth="1"/>
    <col min="86" max="86" width="10.1640625" bestFit="1" customWidth="1"/>
    <col min="87" max="88" width="11.1640625" bestFit="1" customWidth="1"/>
    <col min="90" max="90" width="10.25" bestFit="1" customWidth="1"/>
    <col min="91" max="92" width="11.4140625" bestFit="1" customWidth="1"/>
    <col min="93" max="93" width="9.75" customWidth="1"/>
    <col min="94" max="94" width="11.4140625" bestFit="1" customWidth="1"/>
    <col min="95" max="95" width="9.4140625" style="1255" customWidth="1"/>
    <col min="96" max="96" width="13" bestFit="1" customWidth="1"/>
    <col min="97" max="97" width="12.25" customWidth="1"/>
    <col min="98" max="98" width="12.75" customWidth="1"/>
    <col min="99" max="100" width="12" customWidth="1"/>
    <col min="101" max="101" width="12" style="1255" customWidth="1"/>
    <col min="107" max="107" width="8.83203125" style="1255"/>
    <col min="113" max="113" width="8.83203125" style="1255"/>
    <col min="114" max="114" width="18.83203125" bestFit="1" customWidth="1"/>
  </cols>
  <sheetData>
    <row r="1" spans="1:119" s="64" customFormat="1" ht="15" customHeight="1">
      <c r="B1" s="559"/>
      <c r="C1" s="1961" t="s">
        <v>128</v>
      </c>
      <c r="D1" s="1961"/>
      <c r="E1" s="1961"/>
      <c r="F1" s="1961"/>
      <c r="G1" s="1961"/>
      <c r="H1" s="1961"/>
      <c r="I1" s="1961"/>
      <c r="J1" s="1961"/>
      <c r="K1" s="1961"/>
      <c r="L1" s="1961"/>
      <c r="M1" s="1961"/>
      <c r="N1" s="1961"/>
      <c r="O1" s="1961"/>
      <c r="P1" s="1961"/>
      <c r="Q1" s="1961"/>
      <c r="R1" s="1961"/>
      <c r="S1" s="1961"/>
      <c r="T1" s="1961"/>
      <c r="U1" s="614"/>
      <c r="W1" s="1953" t="s">
        <v>129</v>
      </c>
      <c r="X1" s="1953"/>
      <c r="Y1" s="1953"/>
      <c r="Z1" s="1953"/>
      <c r="AA1" s="1953"/>
      <c r="AB1" s="1953"/>
      <c r="AC1" s="1953"/>
      <c r="AD1" s="1953"/>
      <c r="AE1" s="1953"/>
      <c r="AF1" s="1953"/>
      <c r="AG1" s="1953"/>
      <c r="AH1" s="1953"/>
      <c r="AI1" s="1953"/>
      <c r="AJ1" s="1953"/>
      <c r="AK1" s="1953"/>
      <c r="AL1" s="1953"/>
      <c r="AM1" s="1953"/>
      <c r="AN1" s="1953"/>
      <c r="AO1" s="1953"/>
      <c r="AP1" s="509"/>
      <c r="AQ1" s="1961" t="s">
        <v>130</v>
      </c>
      <c r="AR1" s="1961"/>
      <c r="AS1" s="1961"/>
      <c r="AT1" s="1961"/>
      <c r="AU1" s="1961"/>
      <c r="AV1" s="1961"/>
      <c r="AW1" s="1961"/>
      <c r="AX1" s="1961"/>
      <c r="AY1" s="1961"/>
      <c r="AZ1" s="1961"/>
      <c r="BA1" s="1961"/>
      <c r="BB1" s="1961"/>
      <c r="BC1" s="1961"/>
      <c r="BD1" s="1961"/>
      <c r="BE1" s="1961"/>
      <c r="BF1" s="1961"/>
      <c r="BG1" s="1961"/>
      <c r="BH1" s="509"/>
      <c r="BI1" s="509"/>
      <c r="BJ1" s="1953" t="s">
        <v>131</v>
      </c>
      <c r="BK1" s="1953"/>
      <c r="BL1" s="1953"/>
      <c r="BM1" s="1953"/>
      <c r="BN1" s="1953"/>
      <c r="BO1" s="1953"/>
      <c r="BP1" s="1953"/>
      <c r="BQ1" s="1953"/>
      <c r="BR1" s="1953"/>
      <c r="BS1" s="1953"/>
      <c r="BT1" s="1953"/>
      <c r="BU1" s="1953"/>
      <c r="BV1" s="1953"/>
      <c r="BW1" s="1953"/>
      <c r="BX1" s="1953"/>
      <c r="BY1" s="1953"/>
      <c r="BZ1" s="1953"/>
      <c r="CA1" s="1953"/>
      <c r="CB1" s="1953"/>
      <c r="CC1" s="1953"/>
      <c r="CD1" s="1953"/>
      <c r="CE1" s="1953"/>
      <c r="CF1" s="1953"/>
      <c r="CG1" s="1953"/>
      <c r="CH1" s="1953"/>
      <c r="CI1" s="1953"/>
      <c r="CJ1" s="1953"/>
      <c r="CK1" s="1953"/>
      <c r="CL1" s="1953"/>
      <c r="CM1" s="1953"/>
      <c r="CN1" s="1953"/>
      <c r="CO1" s="1953"/>
      <c r="CP1" s="1953"/>
      <c r="CQ1" s="1533"/>
      <c r="CR1" s="1961" t="s">
        <v>132</v>
      </c>
      <c r="CS1" s="1961"/>
      <c r="CT1" s="1961"/>
      <c r="CU1" s="1961"/>
      <c r="CV1" s="1961"/>
      <c r="CW1" s="614"/>
      <c r="CX1" s="1964" t="s">
        <v>133</v>
      </c>
      <c r="CY1" s="1965"/>
      <c r="CZ1" s="1965"/>
      <c r="DA1" s="1965"/>
      <c r="DB1" s="1965"/>
      <c r="DC1" s="1965"/>
      <c r="DD1" s="1960" t="s">
        <v>134</v>
      </c>
      <c r="DE1" s="1961"/>
      <c r="DF1" s="1961"/>
      <c r="DG1" s="1961"/>
      <c r="DH1" s="1961"/>
      <c r="DI1" s="1962"/>
    </row>
    <row r="2" spans="1:119" s="64" customFormat="1" ht="14.15" customHeight="1">
      <c r="B2" s="559"/>
      <c r="D2" s="64" t="s">
        <v>135</v>
      </c>
      <c r="J2" s="64" t="s">
        <v>136</v>
      </c>
      <c r="P2" s="64" t="s">
        <v>137</v>
      </c>
      <c r="V2" s="509" t="s">
        <v>138</v>
      </c>
      <c r="W2" s="1953" t="s">
        <v>135</v>
      </c>
      <c r="X2" s="1953"/>
      <c r="Y2" s="1953"/>
      <c r="Z2" s="1953"/>
      <c r="AA2" s="1953"/>
      <c r="AB2" s="1953"/>
      <c r="AC2" s="509" t="s">
        <v>138</v>
      </c>
      <c r="AD2" s="64" t="s">
        <v>136</v>
      </c>
      <c r="AJ2" s="509" t="s">
        <v>139</v>
      </c>
      <c r="AK2" s="64" t="s">
        <v>137</v>
      </c>
      <c r="AQ2" s="64" t="s">
        <v>135</v>
      </c>
      <c r="AW2" s="64" t="s">
        <v>136</v>
      </c>
      <c r="BC2" s="64" t="s">
        <v>137</v>
      </c>
      <c r="BJ2" s="1953" t="s">
        <v>135</v>
      </c>
      <c r="BK2" s="1953"/>
      <c r="BL2" s="1953"/>
      <c r="BM2" s="1953"/>
      <c r="BN2" s="1953"/>
      <c r="BO2" s="1953"/>
      <c r="BP2" s="1953"/>
      <c r="BQ2" s="64" t="s">
        <v>136</v>
      </c>
      <c r="BX2" s="64" t="s">
        <v>140</v>
      </c>
      <c r="CE2" s="64" t="s">
        <v>141</v>
      </c>
      <c r="CL2" s="64" t="s">
        <v>142</v>
      </c>
      <c r="CQ2" s="1534"/>
      <c r="CW2" s="1534"/>
      <c r="DC2" s="1534"/>
      <c r="DI2" s="1534"/>
    </row>
    <row r="3" spans="1:119" s="561" customFormat="1" ht="14">
      <c r="B3" s="562"/>
      <c r="C3" s="561" t="s">
        <v>143</v>
      </c>
      <c r="D3" s="561">
        <v>2020</v>
      </c>
      <c r="E3" s="561">
        <v>2021</v>
      </c>
      <c r="F3" s="588">
        <v>2022</v>
      </c>
      <c r="G3" s="588" t="s">
        <v>11</v>
      </c>
      <c r="H3" s="588" t="s">
        <v>12</v>
      </c>
      <c r="I3" s="588" t="s">
        <v>13</v>
      </c>
      <c r="J3" s="561">
        <v>2020</v>
      </c>
      <c r="K3" s="561">
        <v>2021</v>
      </c>
      <c r="L3" s="588">
        <v>2022</v>
      </c>
      <c r="M3" s="588" t="s">
        <v>11</v>
      </c>
      <c r="N3" s="588" t="s">
        <v>12</v>
      </c>
      <c r="O3" s="588" t="s">
        <v>13</v>
      </c>
      <c r="P3" s="561">
        <v>2020</v>
      </c>
      <c r="Q3" s="561">
        <v>2021</v>
      </c>
      <c r="R3" s="588">
        <v>2022</v>
      </c>
      <c r="S3" s="588" t="s">
        <v>11</v>
      </c>
      <c r="T3" s="588" t="s">
        <v>12</v>
      </c>
      <c r="U3" s="588" t="s">
        <v>13</v>
      </c>
      <c r="W3" s="561">
        <v>2020</v>
      </c>
      <c r="X3" s="561">
        <v>2021</v>
      </c>
      <c r="Y3" s="588">
        <v>2022</v>
      </c>
      <c r="Z3" s="588" t="s">
        <v>11</v>
      </c>
      <c r="AA3" s="588" t="s">
        <v>12</v>
      </c>
      <c r="AB3" s="588" t="s">
        <v>13</v>
      </c>
      <c r="AD3" s="561">
        <v>2020</v>
      </c>
      <c r="AE3" s="561">
        <v>2021</v>
      </c>
      <c r="AF3" s="588" t="s">
        <v>14</v>
      </c>
      <c r="AG3" s="588" t="s">
        <v>11</v>
      </c>
      <c r="AH3" s="588" t="s">
        <v>12</v>
      </c>
      <c r="AI3" s="588" t="s">
        <v>13</v>
      </c>
      <c r="AK3" s="561">
        <v>2020</v>
      </c>
      <c r="AL3" s="561">
        <v>2021</v>
      </c>
      <c r="AM3" s="588" t="s">
        <v>14</v>
      </c>
      <c r="AN3" s="588" t="s">
        <v>11</v>
      </c>
      <c r="AO3" s="588" t="s">
        <v>12</v>
      </c>
      <c r="AP3" s="588" t="s">
        <v>13</v>
      </c>
      <c r="AQ3" s="561">
        <v>2020</v>
      </c>
      <c r="AR3" s="561">
        <v>2021</v>
      </c>
      <c r="AS3" s="588">
        <v>2022</v>
      </c>
      <c r="AT3" s="588" t="s">
        <v>11</v>
      </c>
      <c r="AU3" s="588" t="s">
        <v>12</v>
      </c>
      <c r="AV3" s="588" t="s">
        <v>13</v>
      </c>
      <c r="AW3" s="561">
        <v>2020</v>
      </c>
      <c r="AX3" s="561">
        <v>2021</v>
      </c>
      <c r="AY3" s="588" t="s">
        <v>14</v>
      </c>
      <c r="AZ3" s="588" t="s">
        <v>11</v>
      </c>
      <c r="BA3" s="588" t="s">
        <v>12</v>
      </c>
      <c r="BB3" s="588" t="s">
        <v>13</v>
      </c>
      <c r="BC3" s="561">
        <v>2020</v>
      </c>
      <c r="BD3" s="561">
        <v>2021</v>
      </c>
      <c r="BE3" s="588">
        <v>2022</v>
      </c>
      <c r="BF3" s="588" t="s">
        <v>11</v>
      </c>
      <c r="BG3" s="588" t="s">
        <v>12</v>
      </c>
      <c r="BH3" s="588" t="s">
        <v>13</v>
      </c>
      <c r="BI3" s="588"/>
      <c r="BJ3" s="561">
        <v>2020</v>
      </c>
      <c r="BK3" s="561">
        <v>2021</v>
      </c>
      <c r="BL3" s="588">
        <v>2022</v>
      </c>
      <c r="BM3" s="588" t="s">
        <v>11</v>
      </c>
      <c r="BN3" s="588" t="s">
        <v>12</v>
      </c>
      <c r="BO3" s="588" t="s">
        <v>13</v>
      </c>
      <c r="BP3" s="588"/>
      <c r="BQ3" s="561">
        <v>2020</v>
      </c>
      <c r="BR3" s="561">
        <v>2021</v>
      </c>
      <c r="BS3" s="588" t="s">
        <v>14</v>
      </c>
      <c r="BT3" s="588" t="s">
        <v>11</v>
      </c>
      <c r="BU3" s="588" t="s">
        <v>12</v>
      </c>
      <c r="BV3" s="588" t="s">
        <v>13</v>
      </c>
      <c r="BX3" s="561">
        <v>2020</v>
      </c>
      <c r="BY3" s="561">
        <v>2021</v>
      </c>
      <c r="BZ3" s="588" t="s">
        <v>14</v>
      </c>
      <c r="CA3" s="588" t="s">
        <v>11</v>
      </c>
      <c r="CB3" s="588" t="s">
        <v>12</v>
      </c>
      <c r="CC3" s="588" t="s">
        <v>13</v>
      </c>
      <c r="CD3" s="588"/>
      <c r="CE3" s="561">
        <v>2020</v>
      </c>
      <c r="CF3" s="561">
        <v>2021</v>
      </c>
      <c r="CG3" s="588" t="s">
        <v>14</v>
      </c>
      <c r="CH3" s="588" t="s">
        <v>11</v>
      </c>
      <c r="CI3" s="588" t="s">
        <v>12</v>
      </c>
      <c r="CJ3" s="588" t="s">
        <v>13</v>
      </c>
      <c r="CK3" s="588"/>
      <c r="CL3" s="561">
        <v>2020</v>
      </c>
      <c r="CM3" s="561">
        <v>2021</v>
      </c>
      <c r="CN3" s="588" t="s">
        <v>14</v>
      </c>
      <c r="CO3" s="588" t="s">
        <v>11</v>
      </c>
      <c r="CP3" s="588" t="s">
        <v>12</v>
      </c>
      <c r="CQ3" s="1535" t="s">
        <v>13</v>
      </c>
      <c r="CR3" s="561">
        <v>2020</v>
      </c>
      <c r="CS3" s="561">
        <v>2021</v>
      </c>
      <c r="CT3" s="588">
        <v>2022</v>
      </c>
      <c r="CU3" s="588" t="s">
        <v>11</v>
      </c>
      <c r="CV3" s="588" t="s">
        <v>12</v>
      </c>
      <c r="CW3" s="1535" t="s">
        <v>13</v>
      </c>
      <c r="CX3" s="561">
        <v>2020</v>
      </c>
      <c r="CY3" s="561">
        <v>2021</v>
      </c>
      <c r="CZ3" s="588">
        <v>2022</v>
      </c>
      <c r="DA3" s="588" t="s">
        <v>11</v>
      </c>
      <c r="DB3" s="588" t="s">
        <v>12</v>
      </c>
      <c r="DC3" s="1535" t="s">
        <v>13</v>
      </c>
      <c r="DD3" s="561">
        <v>2020</v>
      </c>
      <c r="DE3" s="561">
        <v>2021</v>
      </c>
      <c r="DF3" s="588">
        <v>2022</v>
      </c>
      <c r="DG3" s="588" t="s">
        <v>11</v>
      </c>
      <c r="DH3" s="588" t="s">
        <v>12</v>
      </c>
      <c r="DI3" s="1535" t="s">
        <v>13</v>
      </c>
    </row>
    <row r="4" spans="1:119" ht="14">
      <c r="A4" s="1956" t="s">
        <v>0</v>
      </c>
      <c r="B4" s="1963" t="s">
        <v>10</v>
      </c>
      <c r="C4" s="987"/>
    </row>
    <row r="5" spans="1:119" ht="14">
      <c r="A5" s="1956"/>
      <c r="B5" s="1963"/>
      <c r="C5" s="987"/>
      <c r="P5" t="s">
        <v>144</v>
      </c>
      <c r="BC5" s="32"/>
      <c r="BD5" s="32"/>
      <c r="BE5" s="32"/>
      <c r="BF5" s="32"/>
      <c r="BG5" s="32"/>
      <c r="DK5" s="563"/>
      <c r="DL5" s="563"/>
      <c r="DM5" s="563"/>
      <c r="DN5" s="563"/>
      <c r="DO5" s="563"/>
    </row>
    <row r="6" spans="1:119" ht="14">
      <c r="A6" s="1958" t="s">
        <v>15</v>
      </c>
      <c r="B6" s="586" t="s">
        <v>145</v>
      </c>
      <c r="C6" s="988"/>
      <c r="BC6" s="32"/>
      <c r="BD6" s="32"/>
      <c r="BE6" s="32"/>
      <c r="BF6" s="32"/>
      <c r="BG6" s="32"/>
      <c r="DK6" s="563"/>
      <c r="DL6" s="563"/>
      <c r="DM6" s="563"/>
      <c r="DN6" s="563"/>
      <c r="DO6" s="563"/>
    </row>
    <row r="7" spans="1:119" ht="14">
      <c r="A7" s="1958"/>
      <c r="B7" s="51" t="s">
        <v>146</v>
      </c>
      <c r="C7" s="39"/>
      <c r="BC7" s="32"/>
      <c r="BD7" s="32"/>
      <c r="BE7" s="32"/>
      <c r="BF7" s="32"/>
      <c r="BG7" s="32"/>
      <c r="BQ7" s="255">
        <v>18600</v>
      </c>
      <c r="BR7" s="255">
        <v>11555</v>
      </c>
      <c r="BS7" s="255">
        <v>27718.222153510913</v>
      </c>
      <c r="BT7" s="255">
        <v>26980.981517723558</v>
      </c>
      <c r="BU7" s="255">
        <v>27418.634894564093</v>
      </c>
      <c r="BV7" s="255">
        <v>27267.857730326221</v>
      </c>
      <c r="DK7" s="563"/>
      <c r="DL7" s="563"/>
      <c r="DM7" s="563"/>
      <c r="DN7" s="563"/>
      <c r="DO7" s="563"/>
    </row>
    <row r="8" spans="1:119" ht="15" customHeight="1">
      <c r="A8" s="1958"/>
      <c r="B8" s="51" t="s">
        <v>147</v>
      </c>
      <c r="C8" s="39"/>
      <c r="D8" s="32">
        <v>167126</v>
      </c>
      <c r="E8" s="32">
        <v>188721</v>
      </c>
      <c r="F8" s="32">
        <v>127676</v>
      </c>
      <c r="G8" s="32">
        <v>116162</v>
      </c>
      <c r="H8" s="32">
        <v>116162</v>
      </c>
      <c r="I8" s="32">
        <v>116162</v>
      </c>
      <c r="J8" s="32">
        <v>81200</v>
      </c>
      <c r="K8" s="32">
        <v>91190</v>
      </c>
      <c r="L8" s="32">
        <v>106190</v>
      </c>
      <c r="M8" s="32">
        <v>94990</v>
      </c>
      <c r="N8" s="32">
        <v>94990</v>
      </c>
      <c r="O8" s="32">
        <v>94990</v>
      </c>
      <c r="P8" s="32">
        <v>94422</v>
      </c>
      <c r="Q8" s="32">
        <v>119900</v>
      </c>
      <c r="R8" s="32">
        <v>148719</v>
      </c>
      <c r="S8" s="32">
        <v>122029</v>
      </c>
      <c r="T8" s="32">
        <v>122029</v>
      </c>
      <c r="U8" s="32">
        <v>122029</v>
      </c>
      <c r="V8" s="602">
        <v>0.17</v>
      </c>
      <c r="W8" s="252">
        <f>D8/(1+$V8)</f>
        <v>142842.73504273506</v>
      </c>
      <c r="X8" s="252">
        <f>E8/1.17</f>
        <v>161300</v>
      </c>
      <c r="Y8" s="252">
        <f>F8/1.17</f>
        <v>109124.78632478633</v>
      </c>
      <c r="Z8" s="252">
        <f>G8/1.17</f>
        <v>99283.760683760687</v>
      </c>
      <c r="AA8" s="252">
        <f>H8/1.17</f>
        <v>99283.760683760687</v>
      </c>
      <c r="AB8" s="252">
        <f>I8/1.17</f>
        <v>99283.760683760687</v>
      </c>
      <c r="AC8" s="602">
        <v>6.5000000000000002E-2</v>
      </c>
      <c r="AD8" s="252">
        <f>J8/1.065</f>
        <v>76244.131455399067</v>
      </c>
      <c r="AE8" s="252">
        <f t="shared" ref="AE8:AI8" si="0">K8/1.065</f>
        <v>85624.413145539904</v>
      </c>
      <c r="AF8" s="252">
        <f t="shared" si="0"/>
        <v>99708.920187793439</v>
      </c>
      <c r="AG8" s="252">
        <f t="shared" si="0"/>
        <v>89192.488262910803</v>
      </c>
      <c r="AH8" s="252">
        <f t="shared" si="0"/>
        <v>89192.488262910803</v>
      </c>
      <c r="AI8" s="252">
        <f t="shared" si="0"/>
        <v>89192.488262910803</v>
      </c>
      <c r="AJ8" s="582">
        <v>0.19</v>
      </c>
      <c r="AK8" s="252">
        <f>P8/1.19</f>
        <v>79346.218487394959</v>
      </c>
      <c r="AL8" s="252">
        <f t="shared" ref="AL8:AP8" si="1">Q8/1.19</f>
        <v>100756.3025210084</v>
      </c>
      <c r="AM8" s="252">
        <f t="shared" si="1"/>
        <v>124973.94957983194</v>
      </c>
      <c r="AN8" s="252">
        <f t="shared" si="1"/>
        <v>102545.37815126051</v>
      </c>
      <c r="AO8" s="252">
        <f t="shared" si="1"/>
        <v>102545.37815126051</v>
      </c>
      <c r="AP8" s="252">
        <f t="shared" si="1"/>
        <v>102545.37815126051</v>
      </c>
      <c r="AQ8" s="32">
        <v>0</v>
      </c>
      <c r="AR8" s="32">
        <v>0</v>
      </c>
      <c r="AS8" s="32">
        <v>0</v>
      </c>
      <c r="AT8" s="32">
        <v>0</v>
      </c>
      <c r="AU8" s="32">
        <v>0</v>
      </c>
      <c r="AV8" s="32"/>
      <c r="AW8" s="32"/>
      <c r="AX8" s="32"/>
      <c r="AY8" s="32"/>
      <c r="AZ8" s="32"/>
      <c r="BA8" s="32"/>
      <c r="BB8" s="32"/>
      <c r="BC8" s="32"/>
      <c r="BD8" s="32"/>
      <c r="BE8" s="32"/>
      <c r="BF8" s="32"/>
      <c r="BG8" s="32"/>
      <c r="BH8" s="32"/>
      <c r="BI8" s="32"/>
      <c r="BJ8" s="255">
        <v>3786</v>
      </c>
      <c r="BK8" s="255">
        <v>5036</v>
      </c>
      <c r="BL8" s="255">
        <v>5147.1421665539401</v>
      </c>
      <c r="BM8" s="255">
        <v>9105.4002984065464</v>
      </c>
      <c r="BN8" s="255">
        <v>12926.486493811632</v>
      </c>
      <c r="BO8" s="255">
        <v>12086.542955861429</v>
      </c>
      <c r="BP8" s="255"/>
      <c r="BQ8" s="279">
        <f>BQ7*0.9</f>
        <v>16740</v>
      </c>
      <c r="BR8" s="279">
        <f t="shared" ref="BR8:BV8" si="2">BR7*0.9</f>
        <v>10399.5</v>
      </c>
      <c r="BS8" s="279">
        <f t="shared" si="2"/>
        <v>24946.399938159822</v>
      </c>
      <c r="BT8" s="279">
        <f t="shared" si="2"/>
        <v>24282.883365951202</v>
      </c>
      <c r="BU8" s="279">
        <f t="shared" si="2"/>
        <v>24676.771405107684</v>
      </c>
      <c r="BV8" s="279">
        <f t="shared" si="2"/>
        <v>24541.0719572936</v>
      </c>
      <c r="BW8" s="255"/>
      <c r="BX8" s="255">
        <v>5562</v>
      </c>
      <c r="BY8" s="255">
        <v>456</v>
      </c>
      <c r="BZ8" s="255">
        <v>0</v>
      </c>
      <c r="CA8" s="255">
        <v>0</v>
      </c>
      <c r="CB8" s="255">
        <v>0</v>
      </c>
      <c r="CC8" s="255">
        <v>0</v>
      </c>
      <c r="CD8" s="255"/>
      <c r="CE8" s="255">
        <v>2713</v>
      </c>
      <c r="CF8" s="255">
        <v>22</v>
      </c>
      <c r="CG8" s="255">
        <v>300</v>
      </c>
      <c r="CH8" s="255">
        <v>1011.6666666666666</v>
      </c>
      <c r="CI8" s="255">
        <v>444.55555555555549</v>
      </c>
      <c r="CJ8" s="255">
        <v>585.40740740740728</v>
      </c>
      <c r="CK8" s="255"/>
      <c r="CL8" s="252">
        <f t="shared" ref="CL8:CQ8" si="3">BX8+BQ8+BJ8+CE8</f>
        <v>28801</v>
      </c>
      <c r="CM8" s="252">
        <f t="shared" si="3"/>
        <v>15913.5</v>
      </c>
      <c r="CN8" s="252">
        <f t="shared" si="3"/>
        <v>30393.542104713764</v>
      </c>
      <c r="CO8" s="252">
        <f t="shared" si="3"/>
        <v>34399.950331024411</v>
      </c>
      <c r="CP8" s="252">
        <f t="shared" si="3"/>
        <v>38047.813454474868</v>
      </c>
      <c r="CQ8" s="1536">
        <f t="shared" si="3"/>
        <v>37213.022320562435</v>
      </c>
      <c r="CR8" s="252">
        <f t="shared" ref="CR8:CW8" si="4">(BJ8*W8+BQ8*AD8+AK8*BX8+CL8*AD8)/1000</f>
        <v>4454360.2527090153</v>
      </c>
      <c r="CS8" s="252">
        <f t="shared" si="4"/>
        <v>3111286.8570481711</v>
      </c>
      <c r="CT8" s="252">
        <f t="shared" si="4"/>
        <v>6079566.6534584928</v>
      </c>
      <c r="CU8" s="252">
        <f t="shared" si="4"/>
        <v>6138086.3399086827</v>
      </c>
      <c r="CV8" s="252">
        <f t="shared" si="4"/>
        <v>6877951.9904177282</v>
      </c>
      <c r="CW8" s="1536">
        <f t="shared" si="4"/>
        <v>6707998.7673881017</v>
      </c>
      <c r="CX8" s="278">
        <f t="shared" ref="CX8:CY8" si="5">CY8</f>
        <v>100</v>
      </c>
      <c r="CY8" s="278">
        <f t="shared" si="5"/>
        <v>100</v>
      </c>
      <c r="CZ8">
        <v>100</v>
      </c>
      <c r="DA8" s="278">
        <f t="shared" ref="DA8" si="6">CZ8</f>
        <v>100</v>
      </c>
      <c r="DB8" s="278">
        <f t="shared" ref="DB8:DC8" si="7">DA8</f>
        <v>100</v>
      </c>
      <c r="DC8" s="1554">
        <f t="shared" si="7"/>
        <v>100</v>
      </c>
      <c r="DD8" s="252">
        <f>CX8*CL8/1000000</f>
        <v>2.8801000000000001</v>
      </c>
      <c r="DE8" s="252">
        <f>CY8*CM8/1000000</f>
        <v>1.59135</v>
      </c>
      <c r="DF8" s="252">
        <f t="shared" ref="DF8" si="8">CZ8*CN8/1000000</f>
        <v>3.0393542104713762</v>
      </c>
      <c r="DG8" s="252">
        <f t="shared" ref="DG8" si="9">DA8*CO8/1000000</f>
        <v>3.4399950331024409</v>
      </c>
      <c r="DH8" s="252">
        <f t="shared" ref="DH8:DI8" si="10">DB8*CP8/1000000</f>
        <v>3.8047813454474868</v>
      </c>
      <c r="DI8" s="1536">
        <f t="shared" si="10"/>
        <v>3.7213022320562432</v>
      </c>
    </row>
    <row r="9" spans="1:119" ht="15" customHeight="1">
      <c r="A9" s="1958"/>
      <c r="B9" s="51" t="s">
        <v>148</v>
      </c>
      <c r="C9" s="39"/>
      <c r="D9" s="32"/>
      <c r="E9" s="32"/>
      <c r="F9" s="32"/>
      <c r="G9" s="32"/>
      <c r="H9" s="32"/>
      <c r="I9" s="32"/>
      <c r="J9" s="32"/>
      <c r="K9" s="32"/>
      <c r="L9" s="32"/>
      <c r="M9" s="32"/>
      <c r="N9" s="32"/>
      <c r="O9" s="32"/>
      <c r="P9" s="32"/>
      <c r="Q9" s="32"/>
      <c r="R9" s="32"/>
      <c r="S9" s="32"/>
      <c r="T9" s="32"/>
      <c r="U9" s="32"/>
      <c r="V9" s="602"/>
      <c r="W9" s="252"/>
      <c r="X9" s="252"/>
      <c r="Y9" s="252"/>
      <c r="Z9" s="252"/>
      <c r="AA9" s="252"/>
      <c r="AB9" s="252"/>
      <c r="AC9" s="602"/>
      <c r="AD9" s="252"/>
      <c r="AE9" s="252"/>
      <c r="AF9" s="252"/>
      <c r="AG9" s="252"/>
      <c r="AH9" s="252"/>
      <c r="AI9" s="252"/>
      <c r="AJ9" s="582"/>
      <c r="AK9" s="252"/>
      <c r="AL9" s="252"/>
      <c r="AM9" s="252"/>
      <c r="AN9" s="252"/>
      <c r="AO9" s="252"/>
      <c r="AP9" s="252"/>
      <c r="AQ9" s="32"/>
      <c r="AR9" s="32"/>
      <c r="AS9" s="32"/>
      <c r="AT9" s="32"/>
      <c r="AU9" s="32"/>
      <c r="AV9" s="32"/>
      <c r="AW9" s="32"/>
      <c r="AX9" s="32"/>
      <c r="AY9" s="32"/>
      <c r="AZ9" s="32"/>
      <c r="BA9" s="32"/>
      <c r="BB9" s="32"/>
      <c r="BC9" s="32"/>
      <c r="BD9" s="32"/>
      <c r="BE9" s="32"/>
      <c r="BF9" s="32"/>
      <c r="BG9" s="32"/>
      <c r="BH9" s="32"/>
      <c r="BI9" s="32"/>
      <c r="BJ9" s="255">
        <v>137459</v>
      </c>
      <c r="BK9" s="255">
        <v>150890</v>
      </c>
      <c r="BL9" s="255">
        <v>124456</v>
      </c>
      <c r="BM9" s="255">
        <f>'[1]CN Sedan 20-25'!$E$71</f>
        <v>192577.77130854176</v>
      </c>
      <c r="BN9" s="255">
        <f>'[1]CN Sedan 20-25'!$F$71</f>
        <v>260863.3117625617</v>
      </c>
      <c r="BO9" s="255">
        <f>'[1]CN Sedan 20-25'!$G$71</f>
        <v>317857.23960401071</v>
      </c>
      <c r="BP9" s="255"/>
      <c r="BQ9" s="255">
        <v>88793</v>
      </c>
      <c r="BR9" s="255">
        <v>151590</v>
      </c>
      <c r="BS9" s="255">
        <v>217091.19289223768</v>
      </c>
      <c r="BT9" s="255">
        <v>226728.37985892838</v>
      </c>
      <c r="BU9" s="255">
        <v>246030.38123961535</v>
      </c>
      <c r="BV9" s="255">
        <v>259271.21772509595</v>
      </c>
      <c r="BW9" s="255"/>
      <c r="BX9" s="255">
        <v>85979</v>
      </c>
      <c r="BY9" s="255">
        <v>140868</v>
      </c>
      <c r="BZ9" s="255">
        <v>97848.110314285717</v>
      </c>
      <c r="CA9" s="255">
        <v>105407.4778677844</v>
      </c>
      <c r="CB9" s="255">
        <v>115251.93695473578</v>
      </c>
      <c r="CC9" s="255">
        <v>117625.36499294284</v>
      </c>
      <c r="CD9" s="255"/>
      <c r="CE9" s="255">
        <v>24210</v>
      </c>
      <c r="CF9" s="255">
        <v>47519</v>
      </c>
      <c r="CG9" s="255">
        <v>46961</v>
      </c>
      <c r="CH9" s="255">
        <v>39563.333333333336</v>
      </c>
      <c r="CI9" s="255">
        <v>44681.111111111117</v>
      </c>
      <c r="CJ9" s="255">
        <v>43735.148148148153</v>
      </c>
      <c r="CK9" s="255"/>
      <c r="CL9" s="252">
        <f t="shared" ref="CL9:CL16" si="11">BX9+BQ9+BJ9+CE9</f>
        <v>336441</v>
      </c>
      <c r="CM9" s="252">
        <f t="shared" ref="CM9:CQ11" si="12">BY9+BR9+BK9+CF9</f>
        <v>490867</v>
      </c>
      <c r="CN9" s="252">
        <f t="shared" si="12"/>
        <v>486356.30320652341</v>
      </c>
      <c r="CO9" s="252">
        <f t="shared" si="12"/>
        <v>564276.96236858785</v>
      </c>
      <c r="CP9" s="252">
        <f t="shared" si="12"/>
        <v>666826.74106802396</v>
      </c>
      <c r="CQ9" s="1536">
        <f t="shared" si="12"/>
        <v>738488.97047019773</v>
      </c>
      <c r="CR9" s="252"/>
      <c r="CS9" s="252"/>
      <c r="CT9" s="252"/>
      <c r="CU9" s="252"/>
      <c r="CV9" s="252"/>
      <c r="CW9" s="1536"/>
    </row>
    <row r="10" spans="1:119" ht="15" customHeight="1">
      <c r="A10" s="1958"/>
      <c r="B10" s="51" t="s">
        <v>149</v>
      </c>
      <c r="C10" s="39"/>
      <c r="D10" s="32">
        <v>41238</v>
      </c>
      <c r="E10" s="32">
        <v>40434</v>
      </c>
      <c r="F10" s="32">
        <v>38149</v>
      </c>
      <c r="G10" s="32">
        <v>33809</v>
      </c>
      <c r="H10" s="32">
        <v>33809</v>
      </c>
      <c r="I10" s="32">
        <v>33809</v>
      </c>
      <c r="J10" s="32">
        <v>39190</v>
      </c>
      <c r="K10" s="32">
        <v>43190</v>
      </c>
      <c r="L10" s="32">
        <v>48190</v>
      </c>
      <c r="M10" s="32">
        <v>43990</v>
      </c>
      <c r="N10" s="32">
        <v>43990</v>
      </c>
      <c r="O10" s="32">
        <v>43990</v>
      </c>
      <c r="P10" s="32">
        <v>52689</v>
      </c>
      <c r="Q10" s="32">
        <v>45188</v>
      </c>
      <c r="R10" s="32">
        <v>57234</v>
      </c>
      <c r="S10" s="32">
        <v>47509</v>
      </c>
      <c r="T10" s="32">
        <v>47509</v>
      </c>
      <c r="U10" s="32">
        <v>47509</v>
      </c>
      <c r="V10" s="602">
        <v>0.17</v>
      </c>
      <c r="W10" s="252">
        <f>D10/(1+$V10)</f>
        <v>35246.153846153851</v>
      </c>
      <c r="X10" s="252">
        <f t="shared" ref="X10:AB11" si="13">E10/1.17</f>
        <v>34558.974358974359</v>
      </c>
      <c r="Y10" s="252">
        <f t="shared" si="13"/>
        <v>32605.982905982906</v>
      </c>
      <c r="Z10" s="252">
        <f t="shared" si="13"/>
        <v>28896.581196581199</v>
      </c>
      <c r="AA10" s="252">
        <f t="shared" si="13"/>
        <v>28896.581196581199</v>
      </c>
      <c r="AB10" s="252">
        <f t="shared" si="13"/>
        <v>28896.581196581199</v>
      </c>
      <c r="AC10" s="602">
        <v>6.5000000000000002E-2</v>
      </c>
      <c r="AD10" s="252">
        <f>J10/1.065</f>
        <v>36798.122065727701</v>
      </c>
      <c r="AE10" s="252">
        <f>K10/1.065</f>
        <v>40553.990610328641</v>
      </c>
      <c r="AF10" s="252">
        <f t="shared" ref="AE10:AI13" si="14">L10/1.065</f>
        <v>45248.826291079815</v>
      </c>
      <c r="AG10" s="252">
        <f t="shared" si="14"/>
        <v>41305.164319248826</v>
      </c>
      <c r="AH10" s="252">
        <f t="shared" si="14"/>
        <v>41305.164319248826</v>
      </c>
      <c r="AI10" s="252">
        <f t="shared" si="14"/>
        <v>41305.164319248826</v>
      </c>
      <c r="AJ10" s="582">
        <v>0.19</v>
      </c>
      <c r="AK10" s="252">
        <f>P10/1.19</f>
        <v>44276.470588235294</v>
      </c>
      <c r="AL10" s="252">
        <f t="shared" ref="AL10:AP13" si="15">Q10/1.19</f>
        <v>37973.10924369748</v>
      </c>
      <c r="AM10" s="252">
        <f t="shared" si="15"/>
        <v>48095.798319327732</v>
      </c>
      <c r="AN10" s="252">
        <f t="shared" si="15"/>
        <v>39923.529411764706</v>
      </c>
      <c r="AO10" s="252">
        <f t="shared" si="15"/>
        <v>39923.529411764706</v>
      </c>
      <c r="AP10" s="252">
        <f t="shared" si="15"/>
        <v>39923.529411764706</v>
      </c>
      <c r="AQ10" s="32">
        <v>2905</v>
      </c>
      <c r="AR10" s="32">
        <v>1688</v>
      </c>
      <c r="AS10" s="32">
        <v>1577</v>
      </c>
      <c r="AT10" s="32">
        <v>0</v>
      </c>
      <c r="AU10" s="32">
        <v>0</v>
      </c>
      <c r="AV10" s="32"/>
      <c r="AW10" s="32"/>
      <c r="AX10" s="32"/>
      <c r="AY10" s="32"/>
      <c r="AZ10" s="32"/>
      <c r="BA10" s="32"/>
      <c r="BB10" s="32"/>
      <c r="BC10" s="32">
        <v>7260</v>
      </c>
      <c r="BD10" s="32">
        <v>6780</v>
      </c>
      <c r="BE10" s="32">
        <v>6420</v>
      </c>
      <c r="BF10" s="32">
        <v>6420</v>
      </c>
      <c r="BG10" s="32">
        <v>0</v>
      </c>
      <c r="BH10" s="32"/>
      <c r="BI10" s="32"/>
      <c r="BJ10" s="279">
        <f>BJ9/1.2</f>
        <v>114549.16666666667</v>
      </c>
      <c r="BK10" s="279">
        <f t="shared" ref="BK10" si="16">BK9/1.2</f>
        <v>125741.66666666667</v>
      </c>
      <c r="BL10" s="279">
        <f t="shared" ref="BL10" si="17">BL9/1.2</f>
        <v>103713.33333333334</v>
      </c>
      <c r="BM10" s="279">
        <f t="shared" ref="BM10" si="18">BM9/1.2</f>
        <v>160481.47609045147</v>
      </c>
      <c r="BN10" s="279">
        <f t="shared" ref="BN10" si="19">BN9/1.2</f>
        <v>217386.09313546808</v>
      </c>
      <c r="BO10" s="279">
        <f t="shared" ref="BO10" si="20">BO9/1.2</f>
        <v>264881.03300334228</v>
      </c>
      <c r="BP10" s="279"/>
      <c r="BQ10" s="279">
        <f>BQ9/1.5</f>
        <v>59195.333333333336</v>
      </c>
      <c r="BR10" s="279">
        <f t="shared" ref="BR10:BV10" si="21">BR9/1.5</f>
        <v>101060</v>
      </c>
      <c r="BS10" s="279">
        <f t="shared" si="21"/>
        <v>144727.46192815845</v>
      </c>
      <c r="BT10" s="279">
        <f t="shared" si="21"/>
        <v>151152.25323928558</v>
      </c>
      <c r="BU10" s="279">
        <f t="shared" si="21"/>
        <v>164020.25415974358</v>
      </c>
      <c r="BV10" s="279">
        <f t="shared" si="21"/>
        <v>172847.47848339731</v>
      </c>
      <c r="BW10" s="255"/>
      <c r="BX10" s="279">
        <f>BX9/1.2</f>
        <v>71649.166666666672</v>
      </c>
      <c r="BY10" s="279">
        <f t="shared" ref="BY10" si="22">BY9/1.2</f>
        <v>117390</v>
      </c>
      <c r="BZ10" s="279">
        <f t="shared" ref="BZ10" si="23">BZ9/1.2</f>
        <v>81540.091928571434</v>
      </c>
      <c r="CA10" s="279">
        <f t="shared" ref="CA10" si="24">CA9/1.2</f>
        <v>87839.564889820336</v>
      </c>
      <c r="CB10" s="279">
        <f t="shared" ref="CB10" si="25">CB9/1.2</f>
        <v>96043.280795613158</v>
      </c>
      <c r="CC10" s="279">
        <f t="shared" ref="CC10" si="26">CC9/1.2</f>
        <v>98021.13749411903</v>
      </c>
      <c r="CD10" s="279"/>
      <c r="CE10" s="279">
        <f>CE9/1.2</f>
        <v>20175</v>
      </c>
      <c r="CF10" s="279">
        <f t="shared" ref="CF10" si="27">CF9/1.2</f>
        <v>39599.166666666672</v>
      </c>
      <c r="CG10" s="279">
        <f t="shared" ref="CG10" si="28">CG9/1.2</f>
        <v>39134.166666666672</v>
      </c>
      <c r="CH10" s="279">
        <f t="shared" ref="CH10" si="29">CH9/1.2</f>
        <v>32969.444444444445</v>
      </c>
      <c r="CI10" s="279">
        <f t="shared" ref="CI10" si="30">CI9/1.2</f>
        <v>37234.259259259263</v>
      </c>
      <c r="CJ10" s="279">
        <f t="shared" ref="CJ10" si="31">CJ9/1.2</f>
        <v>36445.956790123462</v>
      </c>
      <c r="CK10" s="255"/>
      <c r="CL10" s="252">
        <f t="shared" si="11"/>
        <v>265568.66666666669</v>
      </c>
      <c r="CM10" s="252">
        <f t="shared" si="12"/>
        <v>383790.83333333337</v>
      </c>
      <c r="CN10" s="252">
        <f t="shared" si="12"/>
        <v>369115.05385672994</v>
      </c>
      <c r="CO10" s="252">
        <f t="shared" si="12"/>
        <v>432442.73866400181</v>
      </c>
      <c r="CP10" s="252">
        <f t="shared" si="12"/>
        <v>514683.88735008409</v>
      </c>
      <c r="CQ10" s="1536">
        <f t="shared" si="12"/>
        <v>572195.6057709821</v>
      </c>
      <c r="CR10" s="252">
        <f t="shared" ref="CR10:CW10" si="32">((W10+AQ10)*BJ10+(AD10+AW10)*BQ10+(AK10+BC10)*BX10+CE10*J10)/1000</f>
        <v>11031663.402758393</v>
      </c>
      <c r="CS10" s="252">
        <f t="shared" si="32"/>
        <v>15619996.761052161</v>
      </c>
      <c r="CT10" s="252">
        <f t="shared" si="32"/>
        <v>16425077.582976062</v>
      </c>
      <c r="CU10" s="252">
        <f t="shared" si="32"/>
        <v>16401855.98176745</v>
      </c>
      <c r="CV10" s="252">
        <f t="shared" si="32"/>
        <v>18528920.251510635</v>
      </c>
      <c r="CW10" s="1536">
        <f t="shared" si="32"/>
        <v>20310257.183458559</v>
      </c>
      <c r="CX10" s="278">
        <f t="shared" ref="CX10:CY13" si="33">CY10</f>
        <v>60</v>
      </c>
      <c r="CY10" s="278">
        <f t="shared" si="33"/>
        <v>60</v>
      </c>
      <c r="CZ10">
        <v>60</v>
      </c>
      <c r="DA10" s="278">
        <f t="shared" ref="DA10:DA13" si="34">CZ10</f>
        <v>60</v>
      </c>
      <c r="DB10" s="278">
        <f t="shared" ref="DB10:DC13" si="35">DA10</f>
        <v>60</v>
      </c>
      <c r="DC10" s="1554">
        <f t="shared" si="35"/>
        <v>60</v>
      </c>
      <c r="DD10" s="252">
        <f>CX10*CL10/1000000</f>
        <v>15.934120000000002</v>
      </c>
      <c r="DE10" s="252">
        <f>CY10*CM10/1000000</f>
        <v>23.027450000000005</v>
      </c>
      <c r="DF10" s="252">
        <f t="shared" ref="DF10" si="36">CZ10*CN10/1000000</f>
        <v>22.146903231403797</v>
      </c>
      <c r="DG10" s="252">
        <f t="shared" ref="DG10" si="37">DA10*CO10/1000000</f>
        <v>25.946564319840107</v>
      </c>
      <c r="DH10" s="252">
        <f t="shared" ref="DH10:DI10" si="38">DB10*CP10/1000000</f>
        <v>30.881033241005046</v>
      </c>
      <c r="DI10" s="1536">
        <f t="shared" si="38"/>
        <v>34.331736346258921</v>
      </c>
    </row>
    <row r="11" spans="1:119" ht="15" customHeight="1">
      <c r="A11" s="1958"/>
      <c r="B11" s="51" t="s">
        <v>150</v>
      </c>
      <c r="C11" s="39"/>
      <c r="D11" s="32">
        <v>47385</v>
      </c>
      <c r="E11" s="32">
        <v>53359</v>
      </c>
      <c r="F11" s="32">
        <v>50201</v>
      </c>
      <c r="G11" s="32">
        <v>48515</v>
      </c>
      <c r="H11" s="32">
        <v>48515</v>
      </c>
      <c r="I11" s="32">
        <v>48515</v>
      </c>
      <c r="J11" s="32">
        <v>48190</v>
      </c>
      <c r="K11" s="32">
        <v>52190</v>
      </c>
      <c r="L11" s="32">
        <v>59190</v>
      </c>
      <c r="M11" s="32">
        <v>53990</v>
      </c>
      <c r="N11" s="32">
        <v>53990</v>
      </c>
      <c r="O11" s="32">
        <v>53990</v>
      </c>
      <c r="P11" s="32">
        <v>60554</v>
      </c>
      <c r="Q11" s="32">
        <v>58229</v>
      </c>
      <c r="R11" s="32">
        <v>66864</v>
      </c>
      <c r="S11" s="32">
        <v>58309</v>
      </c>
      <c r="T11" s="32">
        <v>58309</v>
      </c>
      <c r="U11" s="32">
        <v>58309</v>
      </c>
      <c r="V11" s="602">
        <v>0.17</v>
      </c>
      <c r="W11" s="252">
        <f>D11/(1+$V11)</f>
        <v>40500</v>
      </c>
      <c r="X11" s="252">
        <f t="shared" si="13"/>
        <v>45605.982905982906</v>
      </c>
      <c r="Y11" s="252">
        <f t="shared" si="13"/>
        <v>42906.837606837609</v>
      </c>
      <c r="Z11" s="252">
        <f t="shared" si="13"/>
        <v>41465.811965811969</v>
      </c>
      <c r="AA11" s="252">
        <f t="shared" si="13"/>
        <v>41465.811965811969</v>
      </c>
      <c r="AB11" s="252">
        <f t="shared" si="13"/>
        <v>41465.811965811969</v>
      </c>
      <c r="AC11" s="602">
        <v>6.5000000000000002E-2</v>
      </c>
      <c r="AD11" s="252">
        <f t="shared" ref="AD11:AD16" si="39">J11/1.065</f>
        <v>45248.826291079815</v>
      </c>
      <c r="AE11" s="252">
        <f t="shared" si="14"/>
        <v>49004.694835680755</v>
      </c>
      <c r="AF11" s="252">
        <f t="shared" si="14"/>
        <v>55577.464788732395</v>
      </c>
      <c r="AG11" s="252">
        <f t="shared" si="14"/>
        <v>50694.835680751174</v>
      </c>
      <c r="AH11" s="252">
        <f t="shared" si="14"/>
        <v>50694.835680751174</v>
      </c>
      <c r="AI11" s="252">
        <f t="shared" si="14"/>
        <v>50694.835680751174</v>
      </c>
      <c r="AJ11" s="582">
        <v>0.19</v>
      </c>
      <c r="AK11" s="252">
        <f>P11/1.19</f>
        <v>50885.71428571429</v>
      </c>
      <c r="AL11" s="252">
        <f t="shared" si="15"/>
        <v>48931.932773109249</v>
      </c>
      <c r="AM11" s="252">
        <f t="shared" si="15"/>
        <v>56188.23529411765</v>
      </c>
      <c r="AN11" s="252">
        <f t="shared" si="15"/>
        <v>48999.159663865546</v>
      </c>
      <c r="AO11" s="252">
        <f t="shared" si="15"/>
        <v>48999.159663865546</v>
      </c>
      <c r="AP11" s="252">
        <f t="shared" si="15"/>
        <v>48999.159663865546</v>
      </c>
      <c r="AQ11" s="32">
        <v>2905</v>
      </c>
      <c r="AR11" s="32">
        <v>1688</v>
      </c>
      <c r="AS11" s="616">
        <v>0</v>
      </c>
      <c r="AT11" s="32">
        <v>0</v>
      </c>
      <c r="AU11" s="32">
        <v>0</v>
      </c>
      <c r="AV11" s="32"/>
      <c r="AW11" s="32"/>
      <c r="AX11" s="32"/>
      <c r="AY11" s="32"/>
      <c r="AZ11" s="32"/>
      <c r="BA11" s="32"/>
      <c r="BB11" s="32"/>
      <c r="BC11" s="32">
        <v>7260</v>
      </c>
      <c r="BD11" s="32">
        <v>6780</v>
      </c>
      <c r="BE11" s="32">
        <v>6420</v>
      </c>
      <c r="BF11" s="32">
        <v>6420</v>
      </c>
      <c r="BG11" s="32">
        <v>0</v>
      </c>
      <c r="BH11" s="32"/>
      <c r="BI11" s="32"/>
      <c r="BJ11" s="252">
        <f>BJ9-BJ10</f>
        <v>22909.833333333328</v>
      </c>
      <c r="BK11" s="252">
        <f t="shared" ref="BK11:BO11" si="40">BK9-BK10</f>
        <v>25148.333333333328</v>
      </c>
      <c r="BL11" s="252">
        <f t="shared" si="40"/>
        <v>20742.666666666657</v>
      </c>
      <c r="BM11" s="252">
        <f t="shared" si="40"/>
        <v>32096.295218090294</v>
      </c>
      <c r="BN11" s="252">
        <f t="shared" si="40"/>
        <v>43477.218627093622</v>
      </c>
      <c r="BO11" s="252">
        <f t="shared" si="40"/>
        <v>52976.206600668433</v>
      </c>
      <c r="BP11" s="252"/>
      <c r="BQ11" s="252">
        <f>BQ9-BQ10</f>
        <v>29597.666666666664</v>
      </c>
      <c r="BR11" s="252">
        <f t="shared" ref="BR11:BU11" si="41">BR9-BR10</f>
        <v>50530</v>
      </c>
      <c r="BS11" s="252">
        <f t="shared" si="41"/>
        <v>72363.730964079237</v>
      </c>
      <c r="BT11" s="252">
        <f t="shared" si="41"/>
        <v>75576.126619642804</v>
      </c>
      <c r="BU11" s="252">
        <f t="shared" si="41"/>
        <v>82010.127079871774</v>
      </c>
      <c r="BV11" s="252">
        <f t="shared" ref="BV11" si="42">BV9-BV10</f>
        <v>86423.73924169864</v>
      </c>
      <c r="BW11" s="255"/>
      <c r="BX11" s="252">
        <f>BX9-BX10</f>
        <v>14329.833333333328</v>
      </c>
      <c r="BY11" s="252">
        <f t="shared" ref="BY11:CB11" si="43">BY9-BY10</f>
        <v>23478</v>
      </c>
      <c r="BZ11" s="252">
        <f t="shared" si="43"/>
        <v>16308.018385714284</v>
      </c>
      <c r="CA11" s="252">
        <f t="shared" si="43"/>
        <v>17567.912977964064</v>
      </c>
      <c r="CB11" s="252">
        <f t="shared" si="43"/>
        <v>19208.65615912262</v>
      </c>
      <c r="CC11" s="252">
        <f t="shared" ref="CC11" si="44">CC9-CC10</f>
        <v>19604.227498823806</v>
      </c>
      <c r="CD11" s="252"/>
      <c r="CE11" s="252">
        <f t="shared" ref="CE11:CJ11" si="45">CE9-CE10</f>
        <v>4035</v>
      </c>
      <c r="CF11" s="252">
        <f t="shared" si="45"/>
        <v>7919.8333333333285</v>
      </c>
      <c r="CG11" s="252">
        <f t="shared" si="45"/>
        <v>7826.8333333333285</v>
      </c>
      <c r="CH11" s="252">
        <f t="shared" si="45"/>
        <v>6593.8888888888905</v>
      </c>
      <c r="CI11" s="252">
        <f t="shared" si="45"/>
        <v>7446.851851851854</v>
      </c>
      <c r="CJ11" s="252">
        <f t="shared" si="45"/>
        <v>7289.191358024691</v>
      </c>
      <c r="CK11" s="255"/>
      <c r="CL11" s="252">
        <f t="shared" si="11"/>
        <v>70872.333333333314</v>
      </c>
      <c r="CM11" s="252">
        <f t="shared" si="12"/>
        <v>107076.16666666666</v>
      </c>
      <c r="CN11" s="252">
        <f t="shared" si="12"/>
        <v>117241.24934979351</v>
      </c>
      <c r="CO11" s="252">
        <f t="shared" si="12"/>
        <v>131834.22370458604</v>
      </c>
      <c r="CP11" s="252">
        <f t="shared" si="12"/>
        <v>152142.85371793987</v>
      </c>
      <c r="CQ11" s="1536">
        <f t="shared" si="12"/>
        <v>166293.36469921557</v>
      </c>
      <c r="CR11" s="252">
        <f>((W11+AQ11)*BJ11+(AD11+AW11)*BQ11+(AK11+BC11)*BX11+CE11*J11)/1000</f>
        <v>3361326.038216521</v>
      </c>
      <c r="CS11" s="252">
        <f t="shared" ref="CS11" si="46">((X11+AR11)*BK11+(AE11+AX11)*BR11+(AL11+BD11)*BY11+CF11*K11)/1000</f>
        <v>5386912.9361413</v>
      </c>
      <c r="CT11" s="252">
        <f t="shared" ref="CT11" si="47">((Y11+AS11)*BL11+(AF11+AY11)*BS11+(AM11+BE11)*BZ11+CG11*L11)/1000</f>
        <v>6396081.4571104441</v>
      </c>
      <c r="CU11" s="252">
        <f t="shared" ref="CU11" si="48">((Z11+AT11)*BM11+(AG11+AZ11)*BT11+(AN11+BF11)*CA11+CH11*M11)/1000</f>
        <v>6491821.2980807563</v>
      </c>
      <c r="CV11" s="252">
        <f t="shared" ref="CV11:CW11" si="49">((AA11+AU11)*BN11+(AH11+BA11)*BU11+(AO11+BG11)*CB11+CI11*N11)/1000</f>
        <v>7303571.6304098079</v>
      </c>
      <c r="CW11" s="1536">
        <f t="shared" si="49"/>
        <v>7932072.7960606869</v>
      </c>
      <c r="CX11" s="278">
        <f t="shared" si="33"/>
        <v>78.400000000000006</v>
      </c>
      <c r="CY11" s="278">
        <f t="shared" si="33"/>
        <v>78.400000000000006</v>
      </c>
      <c r="CZ11">
        <v>78.400000000000006</v>
      </c>
      <c r="DA11" s="278">
        <f t="shared" si="34"/>
        <v>78.400000000000006</v>
      </c>
      <c r="DB11" s="278">
        <f t="shared" si="35"/>
        <v>78.400000000000006</v>
      </c>
      <c r="DC11" s="1554">
        <f>DB11</f>
        <v>78.400000000000006</v>
      </c>
      <c r="DD11" s="252">
        <f>CX11*CL11/1000000</f>
        <v>5.5563909333333328</v>
      </c>
      <c r="DE11" s="252">
        <f>CY11*CM11/1000000</f>
        <v>8.3947714666666666</v>
      </c>
      <c r="DF11" s="252">
        <f t="shared" ref="DF11" si="50">CZ11*CN11/1000000</f>
        <v>9.1917139490238107</v>
      </c>
      <c r="DG11" s="252">
        <f t="shared" ref="DG11" si="51">DA11*CO11/1000000</f>
        <v>10.335803138439545</v>
      </c>
      <c r="DH11" s="252">
        <f t="shared" ref="DH11" si="52">DB11*CP11/1000000</f>
        <v>11.927999731486485</v>
      </c>
      <c r="DI11" s="1536">
        <f>DC11*CQ11/1000000</f>
        <v>13.037399792418503</v>
      </c>
    </row>
    <row r="12" spans="1:119" ht="15" customHeight="1">
      <c r="A12" s="1958"/>
      <c r="B12" s="51" t="s">
        <v>151</v>
      </c>
      <c r="C12" s="39"/>
      <c r="D12" s="32"/>
      <c r="E12" s="32"/>
      <c r="F12" s="32"/>
      <c r="G12" s="32"/>
      <c r="H12" s="32"/>
      <c r="I12" s="32"/>
      <c r="J12" s="32"/>
      <c r="K12" s="32"/>
      <c r="L12" s="32"/>
      <c r="M12" s="32"/>
      <c r="N12" s="32"/>
      <c r="O12" s="32"/>
      <c r="P12" s="32"/>
      <c r="Q12" s="32"/>
      <c r="R12" s="32"/>
      <c r="S12" s="32"/>
      <c r="T12" s="32"/>
      <c r="U12" s="32"/>
      <c r="V12" s="602"/>
      <c r="W12" s="252"/>
      <c r="X12" s="252"/>
      <c r="Y12" s="252"/>
      <c r="Z12" s="252"/>
      <c r="AA12" s="252"/>
      <c r="AB12" s="252"/>
      <c r="AC12" s="602"/>
      <c r="AD12" s="252"/>
      <c r="AE12" s="252"/>
      <c r="AF12" s="252"/>
      <c r="AG12" s="252"/>
      <c r="AH12" s="252"/>
      <c r="AI12" s="252"/>
      <c r="AJ12" s="582"/>
      <c r="AK12" s="252"/>
      <c r="AL12" s="252"/>
      <c r="AM12" s="252"/>
      <c r="AN12" s="252"/>
      <c r="AO12" s="252"/>
      <c r="AP12" s="252"/>
      <c r="AQ12" s="32"/>
      <c r="AR12" s="32"/>
      <c r="AS12" s="616"/>
      <c r="AT12" s="32"/>
      <c r="AU12" s="32"/>
      <c r="AV12" s="32"/>
      <c r="AW12" s="32"/>
      <c r="AX12" s="32"/>
      <c r="AY12" s="32"/>
      <c r="AZ12" s="32"/>
      <c r="BA12" s="32"/>
      <c r="BB12" s="32"/>
      <c r="BC12" s="32"/>
      <c r="BD12" s="32"/>
      <c r="BE12" s="32"/>
      <c r="BF12" s="32"/>
      <c r="BG12" s="32"/>
      <c r="BH12" s="32"/>
      <c r="BI12" s="32"/>
      <c r="BJ12" s="252"/>
      <c r="BK12" s="252"/>
      <c r="BL12" s="252"/>
      <c r="BM12" s="252"/>
      <c r="BN12" s="252"/>
      <c r="BO12" s="252"/>
      <c r="BP12" s="252"/>
      <c r="BQ12" s="255">
        <v>25000</v>
      </c>
      <c r="BR12" s="255">
        <v>7306</v>
      </c>
      <c r="BS12" s="255">
        <v>19099.679000507596</v>
      </c>
      <c r="BT12" s="255">
        <v>18781.891064140185</v>
      </c>
      <c r="BU12" s="255">
        <v>17743.911674056326</v>
      </c>
      <c r="BV12" s="255">
        <v>17050.689497052044</v>
      </c>
      <c r="BW12" s="255"/>
      <c r="BX12" s="252"/>
      <c r="BY12" s="252"/>
      <c r="BZ12" s="252"/>
      <c r="CA12" s="252"/>
      <c r="CB12" s="252"/>
      <c r="CC12" s="252"/>
      <c r="CD12" s="252"/>
      <c r="CE12" s="252"/>
      <c r="CF12" s="252"/>
      <c r="CG12" s="252"/>
      <c r="CH12" s="252"/>
      <c r="CI12" s="252"/>
      <c r="CJ12" s="252"/>
      <c r="CK12" s="255"/>
      <c r="CL12" s="252"/>
      <c r="CM12" s="252"/>
      <c r="CN12" s="252"/>
      <c r="CO12" s="252"/>
      <c r="CP12" s="252"/>
      <c r="CQ12" s="1536"/>
      <c r="CR12" s="252"/>
      <c r="CS12" s="252"/>
      <c r="CT12" s="252"/>
      <c r="CU12" s="252"/>
      <c r="CV12" s="252"/>
      <c r="CW12" s="1536"/>
      <c r="CX12" s="278"/>
      <c r="CY12" s="278"/>
      <c r="DA12" s="278"/>
      <c r="DB12" s="278"/>
      <c r="DC12" s="1554"/>
      <c r="DD12" s="252"/>
      <c r="DE12" s="252"/>
      <c r="DF12" s="252"/>
      <c r="DG12" s="252"/>
      <c r="DH12" s="252"/>
      <c r="DI12" s="1536"/>
    </row>
    <row r="13" spans="1:119" ht="15" customHeight="1">
      <c r="A13" s="1958"/>
      <c r="B13" s="51" t="s">
        <v>152</v>
      </c>
      <c r="C13" s="39"/>
      <c r="D13" s="32">
        <v>109943</v>
      </c>
      <c r="E13" s="32">
        <v>143075</v>
      </c>
      <c r="F13" s="32">
        <v>134849</v>
      </c>
      <c r="G13" s="32">
        <v>129397</v>
      </c>
      <c r="H13" s="32">
        <v>129397</v>
      </c>
      <c r="I13" s="32">
        <v>129397</v>
      </c>
      <c r="J13" s="32">
        <v>86190</v>
      </c>
      <c r="K13" s="32">
        <v>101190</v>
      </c>
      <c r="L13" s="32">
        <v>122190</v>
      </c>
      <c r="M13" s="32">
        <v>109990</v>
      </c>
      <c r="N13" s="32">
        <v>109990</v>
      </c>
      <c r="O13" s="32">
        <v>109990</v>
      </c>
      <c r="P13" s="32">
        <v>100472</v>
      </c>
      <c r="Q13" s="32">
        <v>99990</v>
      </c>
      <c r="R13" s="32">
        <v>151929</v>
      </c>
      <c r="S13" s="32">
        <v>130669</v>
      </c>
      <c r="T13" s="32">
        <v>130669</v>
      </c>
      <c r="U13" s="32">
        <v>130669</v>
      </c>
      <c r="V13" s="602">
        <v>0.17</v>
      </c>
      <c r="W13" s="252">
        <f>D13/(1+$V13)</f>
        <v>93968.376068376077</v>
      </c>
      <c r="X13" s="252">
        <f>E13/1.17</f>
        <v>122286.3247863248</v>
      </c>
      <c r="Y13" s="252">
        <f>F13/1.17</f>
        <v>115255.55555555556</v>
      </c>
      <c r="Z13" s="252">
        <f>G13/1.17</f>
        <v>110595.7264957265</v>
      </c>
      <c r="AA13" s="252">
        <f>H13/1.17</f>
        <v>110595.7264957265</v>
      </c>
      <c r="AB13" s="252">
        <f>I13/1.17</f>
        <v>110595.7264957265</v>
      </c>
      <c r="AC13" s="602">
        <v>6.5000000000000002E-2</v>
      </c>
      <c r="AD13" s="252">
        <f t="shared" si="39"/>
        <v>80929.57746478873</v>
      </c>
      <c r="AE13" s="252">
        <f t="shared" si="14"/>
        <v>95014.084507042251</v>
      </c>
      <c r="AF13" s="252">
        <f t="shared" si="14"/>
        <v>114732.39436619719</v>
      </c>
      <c r="AG13" s="252">
        <f t="shared" si="14"/>
        <v>103276.99530516432</v>
      </c>
      <c r="AH13" s="252">
        <f t="shared" si="14"/>
        <v>103276.99530516432</v>
      </c>
      <c r="AI13" s="252">
        <f t="shared" si="14"/>
        <v>103276.99530516432</v>
      </c>
      <c r="AJ13" s="582">
        <v>0.19</v>
      </c>
      <c r="AK13" s="252">
        <f>P13/1.19</f>
        <v>84430.252100840342</v>
      </c>
      <c r="AL13" s="252">
        <f t="shared" si="15"/>
        <v>84025.210084033621</v>
      </c>
      <c r="AM13" s="252">
        <f t="shared" si="15"/>
        <v>127671.42857142858</v>
      </c>
      <c r="AN13" s="252">
        <f t="shared" si="15"/>
        <v>109805.88235294117</v>
      </c>
      <c r="AO13" s="252">
        <f t="shared" si="15"/>
        <v>109805.88235294117</v>
      </c>
      <c r="AP13" s="252">
        <f t="shared" si="15"/>
        <v>109805.88235294117</v>
      </c>
      <c r="AQ13" s="32">
        <v>0</v>
      </c>
      <c r="AR13" s="32">
        <v>0</v>
      </c>
      <c r="AS13" s="32">
        <v>0</v>
      </c>
      <c r="AT13" s="32">
        <v>0</v>
      </c>
      <c r="AU13" s="32">
        <v>0</v>
      </c>
      <c r="AV13" s="32"/>
      <c r="AW13" s="32"/>
      <c r="AX13" s="32"/>
      <c r="AY13" s="32"/>
      <c r="AZ13" s="32"/>
      <c r="BA13" s="32"/>
      <c r="BB13" s="32"/>
      <c r="BC13" s="32"/>
      <c r="BD13" s="32"/>
      <c r="BE13" s="32"/>
      <c r="BF13" s="32"/>
      <c r="BG13" s="32"/>
      <c r="BH13" s="32"/>
      <c r="BI13" s="32"/>
      <c r="BJ13" s="255">
        <v>4565</v>
      </c>
      <c r="BK13" s="255">
        <v>2302</v>
      </c>
      <c r="BL13" s="255">
        <v>1766.3790821143641</v>
      </c>
      <c r="BM13" s="255">
        <v>4551.9351252444203</v>
      </c>
      <c r="BN13" s="255">
        <v>4819.6140435791995</v>
      </c>
      <c r="BO13" s="255">
        <v>5293.5013190995887</v>
      </c>
      <c r="BP13" s="255"/>
      <c r="BQ13" s="279">
        <f>BQ12*0.9</f>
        <v>22500</v>
      </c>
      <c r="BR13" s="279">
        <f t="shared" ref="BR13" si="53">BR12*0.9</f>
        <v>6575.4000000000005</v>
      </c>
      <c r="BS13" s="279">
        <f t="shared" ref="BS13" si="54">BS12*0.9</f>
        <v>17189.711100456836</v>
      </c>
      <c r="BT13" s="279">
        <f t="shared" ref="BT13" si="55">BT12*0.9</f>
        <v>16903.701957726167</v>
      </c>
      <c r="BU13" s="279">
        <f t="shared" ref="BU13" si="56">BU12*0.9</f>
        <v>15969.520506650693</v>
      </c>
      <c r="BV13" s="279">
        <f t="shared" ref="BV13" si="57">BV12*0.9</f>
        <v>15345.62054734684</v>
      </c>
      <c r="BW13" s="255"/>
      <c r="BX13" s="255">
        <v>6007</v>
      </c>
      <c r="BY13" s="255">
        <v>496</v>
      </c>
      <c r="BZ13" s="255">
        <v>0</v>
      </c>
      <c r="CA13" s="255">
        <v>0</v>
      </c>
      <c r="CB13" s="255">
        <v>0</v>
      </c>
      <c r="CC13" s="255">
        <v>0</v>
      </c>
      <c r="CD13" s="255"/>
      <c r="CE13" s="255"/>
      <c r="CF13" s="255"/>
      <c r="CG13" s="255"/>
      <c r="CH13" s="255"/>
      <c r="CI13" s="255"/>
      <c r="CJ13" s="255"/>
      <c r="CK13" s="255"/>
      <c r="CL13" s="252">
        <f t="shared" si="11"/>
        <v>33072</v>
      </c>
      <c r="CM13" s="252">
        <f t="shared" ref="CM13:CQ16" si="58">BY13+BR13+BK13+CF13</f>
        <v>9373.4000000000015</v>
      </c>
      <c r="CN13" s="252">
        <f t="shared" si="58"/>
        <v>18956.090182571199</v>
      </c>
      <c r="CO13" s="252">
        <f t="shared" si="58"/>
        <v>21455.637082970588</v>
      </c>
      <c r="CP13" s="252">
        <f t="shared" si="58"/>
        <v>20789.134550229894</v>
      </c>
      <c r="CQ13" s="1536">
        <f t="shared" si="58"/>
        <v>20639.121866446429</v>
      </c>
      <c r="CR13" s="252">
        <f>(BJ13*W13+BQ13*AD13+AK13*BX13+CL13*AD13)/1000</f>
        <v>5433556.6399951251</v>
      </c>
      <c r="CS13" s="252">
        <f t="shared" ref="CS13" si="59">(BK13*X13+BR13*AE13+AL13*BY13+CM13*AE13)/1000</f>
        <v>1838540.2548457161</v>
      </c>
      <c r="CT13" s="252">
        <f t="shared" ref="CT13" si="60">(BL13*Y13+BS13*AF13+AM13*BZ13+CN13*AF13)/1000</f>
        <v>4350679.3299173722</v>
      </c>
      <c r="CU13" s="252">
        <f t="shared" ref="CU13" si="61">(BM13*Z13+BT13*AG13+AN13*CA13+CO13*AG13)/1000</f>
        <v>4465061.8501530671</v>
      </c>
      <c r="CV13" s="252">
        <f t="shared" ref="CV13:CW13" si="62">(BN13*AA13+BU13*AH13+AO13*CB13+CP13*AH13)/1000</f>
        <v>4329352.162312259</v>
      </c>
      <c r="CW13" s="1536">
        <f t="shared" si="62"/>
        <v>4301834.6974187801</v>
      </c>
      <c r="CX13" s="278">
        <f t="shared" si="33"/>
        <v>100</v>
      </c>
      <c r="CY13" s="278">
        <f t="shared" si="33"/>
        <v>100</v>
      </c>
      <c r="CZ13">
        <v>100</v>
      </c>
      <c r="DA13" s="278">
        <f t="shared" si="34"/>
        <v>100</v>
      </c>
      <c r="DB13" s="278">
        <f t="shared" si="35"/>
        <v>100</v>
      </c>
      <c r="DC13" s="1554">
        <f t="shared" si="35"/>
        <v>100</v>
      </c>
      <c r="DD13" s="252">
        <f>CX13*CL13/1000000</f>
        <v>3.3071999999999999</v>
      </c>
      <c r="DE13" s="252">
        <f>CY13*CM13/1000000</f>
        <v>0.93734000000000006</v>
      </c>
      <c r="DF13" s="252">
        <f t="shared" ref="DF13" si="63">CZ13*CN13/1000000</f>
        <v>1.8956090182571199</v>
      </c>
      <c r="DG13" s="252">
        <f t="shared" ref="DG13" si="64">DA13*CO13/1000000</f>
        <v>2.1455637082970589</v>
      </c>
      <c r="DH13" s="252">
        <f t="shared" ref="DH13:DI13" si="65">DB13*CP13/1000000</f>
        <v>2.0789134550229895</v>
      </c>
      <c r="DI13" s="1536">
        <f t="shared" si="65"/>
        <v>2.063912186644643</v>
      </c>
    </row>
    <row r="14" spans="1:119" ht="15" customHeight="1">
      <c r="A14" s="1958"/>
      <c r="B14" s="51" t="s">
        <v>21</v>
      </c>
      <c r="C14" s="39"/>
      <c r="D14" s="32"/>
      <c r="E14" s="32"/>
      <c r="F14" s="32"/>
      <c r="G14" s="32"/>
      <c r="H14" s="32"/>
      <c r="I14" s="32"/>
      <c r="J14" s="32"/>
      <c r="K14" s="32"/>
      <c r="L14" s="32"/>
      <c r="M14" s="32"/>
      <c r="N14" s="32"/>
      <c r="O14" s="32"/>
      <c r="P14" s="32"/>
      <c r="Q14" s="32"/>
      <c r="R14" s="32"/>
      <c r="S14" s="32"/>
      <c r="T14" s="32"/>
      <c r="U14" s="32"/>
      <c r="V14" s="602"/>
      <c r="W14" s="252"/>
      <c r="X14" s="252"/>
      <c r="Y14" s="252"/>
      <c r="Z14" s="252"/>
      <c r="AA14" s="252"/>
      <c r="AB14" s="252"/>
      <c r="AC14" s="602"/>
      <c r="AD14" s="252"/>
      <c r="AE14" s="252"/>
      <c r="AF14" s="252"/>
      <c r="AG14" s="252"/>
      <c r="AH14" s="252"/>
      <c r="AI14" s="252"/>
      <c r="AJ14" s="582"/>
      <c r="AK14" s="252"/>
      <c r="AL14" s="252"/>
      <c r="AM14" s="252"/>
      <c r="AN14" s="252"/>
      <c r="AO14" s="252"/>
      <c r="AP14" s="252"/>
      <c r="AQ14" s="32"/>
      <c r="AR14" s="32"/>
      <c r="AS14" s="32"/>
      <c r="AT14" s="32"/>
      <c r="AU14" s="32"/>
      <c r="AV14" s="32"/>
      <c r="AW14" s="32"/>
      <c r="AX14" s="32"/>
      <c r="AY14" s="32"/>
      <c r="AZ14" s="32"/>
      <c r="BA14" s="32"/>
      <c r="BB14" s="32"/>
      <c r="BC14" s="32"/>
      <c r="BD14" s="32"/>
      <c r="BE14" s="32"/>
      <c r="BF14" s="32"/>
      <c r="BG14" s="32"/>
      <c r="BH14" s="32"/>
      <c r="BI14" s="32"/>
      <c r="BJ14" s="255">
        <v>0</v>
      </c>
      <c r="BK14" s="255">
        <v>169853</v>
      </c>
      <c r="BL14" s="255">
        <v>315314</v>
      </c>
      <c r="BM14" s="255">
        <f>'[1]CN SUV 25-30'!$E$25</f>
        <v>499148.18263101164</v>
      </c>
      <c r="BN14" s="255">
        <f>'[1]CN SUV 25-30'!$F$25</f>
        <v>626297.24809285905</v>
      </c>
      <c r="BO14" s="255">
        <f>'[1]CN SUV 25-30'!$G$25</f>
        <v>706324.36560321751</v>
      </c>
      <c r="BP14" s="255"/>
      <c r="BQ14" s="255">
        <v>81067</v>
      </c>
      <c r="BR14" s="255">
        <v>185093</v>
      </c>
      <c r="BS14" s="255">
        <v>245610.094321429</v>
      </c>
      <c r="BT14" s="255">
        <v>290130.07008474023</v>
      </c>
      <c r="BU14" s="255">
        <v>329307.10880362662</v>
      </c>
      <c r="BV14" s="255">
        <v>347462.26354344777</v>
      </c>
      <c r="BW14" s="255"/>
      <c r="BX14" s="255">
        <v>0</v>
      </c>
      <c r="BY14" s="255">
        <v>24376</v>
      </c>
      <c r="BZ14" s="255">
        <v>157672.93486525296</v>
      </c>
      <c r="CA14" s="255">
        <v>248181.96176456622</v>
      </c>
      <c r="CB14" s="255">
        <v>285814.00295033475</v>
      </c>
      <c r="CC14" s="255">
        <v>294555.9244650582</v>
      </c>
      <c r="CD14" s="255"/>
      <c r="CE14" s="255"/>
      <c r="CF14" s="255">
        <v>11873</v>
      </c>
      <c r="CG14" s="255">
        <v>38512</v>
      </c>
      <c r="CH14" s="255">
        <v>57768</v>
      </c>
      <c r="CI14" s="255">
        <v>80715.5</v>
      </c>
      <c r="CJ14" s="255">
        <v>101817.25</v>
      </c>
      <c r="CK14" s="255"/>
      <c r="CL14" s="252">
        <f t="shared" si="11"/>
        <v>81067</v>
      </c>
      <c r="CM14" s="252">
        <f t="shared" si="58"/>
        <v>391195</v>
      </c>
      <c r="CN14" s="252">
        <f t="shared" si="58"/>
        <v>757109.02918668196</v>
      </c>
      <c r="CO14" s="252">
        <f t="shared" si="58"/>
        <v>1095228.2144803181</v>
      </c>
      <c r="CP14" s="252">
        <f t="shared" si="58"/>
        <v>1322133.8598468204</v>
      </c>
      <c r="CQ14" s="1536">
        <f t="shared" si="58"/>
        <v>1450159.8036117235</v>
      </c>
      <c r="CR14" s="252"/>
      <c r="CS14" s="252"/>
      <c r="CT14" s="252"/>
      <c r="CU14" s="252"/>
      <c r="CV14" s="252"/>
      <c r="CW14" s="1536"/>
    </row>
    <row r="15" spans="1:119" ht="15" customHeight="1">
      <c r="A15" s="1958"/>
      <c r="B15" s="51" t="s">
        <v>153</v>
      </c>
      <c r="C15" s="39"/>
      <c r="D15" s="32"/>
      <c r="E15" s="32">
        <v>45942</v>
      </c>
      <c r="F15" s="32">
        <v>41449</v>
      </c>
      <c r="G15" s="32">
        <v>38221</v>
      </c>
      <c r="H15" s="32">
        <v>38221</v>
      </c>
      <c r="I15" s="32">
        <v>38221</v>
      </c>
      <c r="J15" s="32">
        <v>49900</v>
      </c>
      <c r="K15" s="32">
        <v>41190</v>
      </c>
      <c r="L15" s="32">
        <v>41190</v>
      </c>
      <c r="M15" s="32">
        <v>41190</v>
      </c>
      <c r="N15" s="32">
        <v>41190</v>
      </c>
      <c r="O15" s="32">
        <v>41190</v>
      </c>
      <c r="P15" s="32"/>
      <c r="Q15" s="32">
        <v>49900</v>
      </c>
      <c r="R15" s="32">
        <v>53489</v>
      </c>
      <c r="S15" s="32">
        <v>48481</v>
      </c>
      <c r="T15" s="32">
        <v>48481</v>
      </c>
      <c r="U15" s="32">
        <v>48481</v>
      </c>
      <c r="V15" s="602">
        <v>0.17</v>
      </c>
      <c r="W15" s="252">
        <f>D15/(1+$V15)</f>
        <v>0</v>
      </c>
      <c r="X15" s="252">
        <f t="shared" ref="X15:AB16" si="66">E15/1.17</f>
        <v>39266.666666666672</v>
      </c>
      <c r="Y15" s="252">
        <f t="shared" si="66"/>
        <v>35426.495726495727</v>
      </c>
      <c r="Z15" s="252">
        <f t="shared" si="66"/>
        <v>32667.521367521371</v>
      </c>
      <c r="AA15" s="252">
        <f t="shared" si="66"/>
        <v>32667.521367521371</v>
      </c>
      <c r="AB15" s="252">
        <f t="shared" si="66"/>
        <v>32667.521367521371</v>
      </c>
      <c r="AC15" s="602">
        <v>6.5000000000000002E-2</v>
      </c>
      <c r="AD15" s="252">
        <f t="shared" si="39"/>
        <v>46854.460093896712</v>
      </c>
      <c r="AE15" s="252">
        <f t="shared" ref="AE15:AE16" si="67">K15/1.065</f>
        <v>38676.056338028167</v>
      </c>
      <c r="AF15" s="252">
        <f t="shared" ref="AF15:AF16" si="68">L15/1.065</f>
        <v>38676.056338028167</v>
      </c>
      <c r="AG15" s="252">
        <f t="shared" ref="AG15:AG16" si="69">M15/1.065</f>
        <v>38676.056338028167</v>
      </c>
      <c r="AH15" s="252">
        <f t="shared" ref="AH15:AI16" si="70">N15/1.065</f>
        <v>38676.056338028167</v>
      </c>
      <c r="AI15" s="252">
        <f t="shared" si="70"/>
        <v>38676.056338028167</v>
      </c>
      <c r="AJ15" s="582">
        <v>0.19</v>
      </c>
      <c r="AK15" s="252">
        <f t="shared" ref="AK15" si="71">P15/1.2</f>
        <v>0</v>
      </c>
      <c r="AL15" s="252">
        <f>Q15/1.19</f>
        <v>41932.773109243702</v>
      </c>
      <c r="AM15" s="252">
        <f t="shared" ref="AM15:AP16" si="72">R15/1.19</f>
        <v>44948.73949579832</v>
      </c>
      <c r="AN15" s="252">
        <f t="shared" si="72"/>
        <v>40740.336134453784</v>
      </c>
      <c r="AO15" s="252">
        <f t="shared" si="72"/>
        <v>40740.336134453784</v>
      </c>
      <c r="AP15" s="252">
        <f t="shared" si="72"/>
        <v>40740.336134453784</v>
      </c>
      <c r="AQ15" s="32"/>
      <c r="AR15" s="32">
        <v>1688</v>
      </c>
      <c r="AS15" s="32">
        <v>1577</v>
      </c>
      <c r="AT15" s="32">
        <v>0</v>
      </c>
      <c r="AU15" s="32">
        <v>0</v>
      </c>
      <c r="AV15" s="32"/>
      <c r="AW15" s="32"/>
      <c r="AX15" s="32"/>
      <c r="AY15" s="32"/>
      <c r="AZ15" s="32"/>
      <c r="BA15" s="32"/>
      <c r="BB15" s="32"/>
      <c r="BC15" s="279">
        <v>6780</v>
      </c>
      <c r="BD15" s="32">
        <v>6780</v>
      </c>
      <c r="BE15" s="32">
        <v>6420</v>
      </c>
      <c r="BF15" s="32">
        <v>6420</v>
      </c>
      <c r="BG15" s="32">
        <v>0</v>
      </c>
      <c r="BH15" s="32"/>
      <c r="BI15" s="32"/>
      <c r="BJ15" s="279">
        <f>BJ14/1.2</f>
        <v>0</v>
      </c>
      <c r="BK15" s="279">
        <f t="shared" ref="BK15:BO15" si="73">BK14/1.2</f>
        <v>141544.16666666669</v>
      </c>
      <c r="BL15" s="279">
        <f t="shared" si="73"/>
        <v>262761.66666666669</v>
      </c>
      <c r="BM15" s="279">
        <f t="shared" si="73"/>
        <v>415956.81885917636</v>
      </c>
      <c r="BN15" s="279">
        <f t="shared" si="73"/>
        <v>521914.3734107159</v>
      </c>
      <c r="BO15" s="279">
        <f t="shared" si="73"/>
        <v>588603.63800268131</v>
      </c>
      <c r="BP15" s="279"/>
      <c r="BQ15" s="279">
        <f>BQ14/1.5</f>
        <v>54044.666666666664</v>
      </c>
      <c r="BR15" s="279">
        <f>BR14/1.5</f>
        <v>123395.33333333333</v>
      </c>
      <c r="BS15" s="279">
        <v>0</v>
      </c>
      <c r="BT15" s="279">
        <v>0</v>
      </c>
      <c r="BU15" s="279">
        <v>0</v>
      </c>
      <c r="BV15" s="279">
        <v>0</v>
      </c>
      <c r="BW15" s="255"/>
      <c r="BX15" s="279">
        <f>BX14/1.2</f>
        <v>0</v>
      </c>
      <c r="BY15" s="279">
        <f t="shared" ref="BY15" si="74">BY14/1.2</f>
        <v>20313.333333333336</v>
      </c>
      <c r="BZ15" s="279">
        <f t="shared" ref="BZ15" si="75">BZ14/1.2</f>
        <v>131394.1123877108</v>
      </c>
      <c r="CA15" s="279">
        <f t="shared" ref="CA15" si="76">CA14/1.2</f>
        <v>206818.30147047187</v>
      </c>
      <c r="CB15" s="279">
        <f t="shared" ref="CB15" si="77">CB14/1.2</f>
        <v>238178.33579194563</v>
      </c>
      <c r="CC15" s="279">
        <f t="shared" ref="CC15" si="78">CC14/1.2</f>
        <v>245463.27038754852</v>
      </c>
      <c r="CD15" s="279"/>
      <c r="CE15" s="279">
        <f>CE14/1.2</f>
        <v>0</v>
      </c>
      <c r="CF15" s="279">
        <f t="shared" ref="CF15" si="79">CF14/1.2</f>
        <v>9894.1666666666679</v>
      </c>
      <c r="CG15" s="279">
        <f t="shared" ref="CG15" si="80">CG14/1.2</f>
        <v>32093.333333333336</v>
      </c>
      <c r="CH15" s="279">
        <f t="shared" ref="CH15" si="81">CH14/1.2</f>
        <v>48140</v>
      </c>
      <c r="CI15" s="279">
        <f t="shared" ref="CI15" si="82">CI14/1.2</f>
        <v>67262.916666666672</v>
      </c>
      <c r="CJ15" s="279">
        <f t="shared" ref="CJ15" si="83">CJ14/1.2</f>
        <v>84847.708333333343</v>
      </c>
      <c r="CK15" s="255"/>
      <c r="CL15" s="252">
        <f t="shared" si="11"/>
        <v>54044.666666666664</v>
      </c>
      <c r="CM15" s="252">
        <f t="shared" si="58"/>
        <v>295147.00000000006</v>
      </c>
      <c r="CN15" s="252">
        <f t="shared" si="58"/>
        <v>426249.11238771077</v>
      </c>
      <c r="CO15" s="252">
        <f t="shared" si="58"/>
        <v>670915.12032964826</v>
      </c>
      <c r="CP15" s="252">
        <f t="shared" si="58"/>
        <v>827355.62586932816</v>
      </c>
      <c r="CQ15" s="1536">
        <f t="shared" si="58"/>
        <v>918914.61672356317</v>
      </c>
      <c r="CR15" s="252">
        <f>((W15+AQ15)*BJ15+(AD15+AW15)*BQ15+(AK15+BC15)*BX15+CE15*J15)/1000</f>
        <v>2532233.6776212831</v>
      </c>
      <c r="CS15" s="252">
        <f t="shared" ref="CS15:CS16" si="84">((X15+AR15)*BK15+(AE15+AX15)*BR15+(AL15+BD15)*BY15+CF15*K15)/1000</f>
        <v>11966398.551053314</v>
      </c>
      <c r="CT15" s="252">
        <f t="shared" ref="CT15:CT16" si="85">((Y15+AS15)*BL15+(AF15+AY15)*BS15+(AM15+BE15)*BZ15+CG15*L15)/1000</f>
        <v>17794574.540112857</v>
      </c>
      <c r="CU15" s="252">
        <f t="shared" ref="CU15:CU16" si="86">((Z15+AT15)*BM15+(AG15+AZ15)*BT15+(AN15+BF15)*CA15+CH15*M15)/1000</f>
        <v>25324785.484152611</v>
      </c>
      <c r="CV15" s="252">
        <f t="shared" ref="CV15:CW16" si="87">((AA15+AU15)*BN15+(AH15+BA15)*BU15+(AO15+BG15)*CB15+CI15*N15)/1000</f>
        <v>29523673.943019759</v>
      </c>
      <c r="CW15" s="1536">
        <f t="shared" si="87"/>
        <v>32723355.171954453</v>
      </c>
      <c r="CX15" s="278">
        <f t="shared" ref="CX15:CY16" si="88">CY15</f>
        <v>60</v>
      </c>
      <c r="CY15" s="278">
        <f t="shared" si="88"/>
        <v>60</v>
      </c>
      <c r="CZ15">
        <v>60</v>
      </c>
      <c r="DA15" s="278">
        <f t="shared" ref="DA15:DA16" si="89">CZ15</f>
        <v>60</v>
      </c>
      <c r="DB15" s="278">
        <f t="shared" ref="DB15:DC16" si="90">DA15</f>
        <v>60</v>
      </c>
      <c r="DC15" s="1554">
        <f t="shared" si="90"/>
        <v>60</v>
      </c>
      <c r="DD15" s="252">
        <f>CX15*CL15/1000000</f>
        <v>3.24268</v>
      </c>
      <c r="DE15" s="252">
        <f>CY15*CM15/1000000</f>
        <v>17.708820000000003</v>
      </c>
      <c r="DF15" s="252">
        <f t="shared" ref="DF15" si="91">CZ15*CN15/1000000</f>
        <v>25.574946743262643</v>
      </c>
      <c r="DG15" s="252">
        <f t="shared" ref="DG15" si="92">DA15*CO15/1000000</f>
        <v>40.254907219778893</v>
      </c>
      <c r="DH15" s="252">
        <f t="shared" ref="DH15:DI15" si="93">DB15*CP15/1000000</f>
        <v>49.64133755215969</v>
      </c>
      <c r="DI15" s="1536">
        <f t="shared" si="93"/>
        <v>55.134877003413791</v>
      </c>
    </row>
    <row r="16" spans="1:119" ht="15" customHeight="1">
      <c r="A16" s="1958"/>
      <c r="B16" s="51" t="s">
        <v>154</v>
      </c>
      <c r="C16" s="39"/>
      <c r="D16" s="32"/>
      <c r="E16" s="32">
        <v>54615</v>
      </c>
      <c r="F16" s="32">
        <v>51349</v>
      </c>
      <c r="G16" s="32">
        <v>45574</v>
      </c>
      <c r="H16" s="32">
        <v>45574</v>
      </c>
      <c r="I16" s="32">
        <v>45574</v>
      </c>
      <c r="J16" s="32">
        <v>59900</v>
      </c>
      <c r="K16" s="32">
        <v>59190</v>
      </c>
      <c r="L16" s="32">
        <v>62190</v>
      </c>
      <c r="M16" s="32">
        <v>52990</v>
      </c>
      <c r="N16" s="32">
        <v>52990</v>
      </c>
      <c r="O16" s="32">
        <v>52990</v>
      </c>
      <c r="P16" s="32"/>
      <c r="Q16" s="32">
        <v>58990</v>
      </c>
      <c r="R16" s="32">
        <v>69539</v>
      </c>
      <c r="S16" s="32">
        <v>59389</v>
      </c>
      <c r="T16" s="32">
        <v>59389</v>
      </c>
      <c r="U16" s="32">
        <v>59389</v>
      </c>
      <c r="V16" s="602">
        <v>0.17</v>
      </c>
      <c r="W16" s="252">
        <f>D16/(1+$V16)</f>
        <v>0</v>
      </c>
      <c r="X16" s="252">
        <f t="shared" si="66"/>
        <v>46679.48717948718</v>
      </c>
      <c r="Y16" s="252">
        <f t="shared" si="66"/>
        <v>43888.034188034188</v>
      </c>
      <c r="Z16" s="252">
        <f t="shared" si="66"/>
        <v>38952.136752136757</v>
      </c>
      <c r="AA16" s="252">
        <f t="shared" si="66"/>
        <v>38952.136752136757</v>
      </c>
      <c r="AB16" s="252">
        <f t="shared" si="66"/>
        <v>38952.136752136757</v>
      </c>
      <c r="AC16" s="602">
        <v>6.5000000000000002E-2</v>
      </c>
      <c r="AD16" s="252">
        <f t="shared" si="39"/>
        <v>56244.131455399067</v>
      </c>
      <c r="AE16" s="252">
        <f t="shared" si="67"/>
        <v>55577.464788732395</v>
      </c>
      <c r="AF16" s="252">
        <f t="shared" si="68"/>
        <v>58394.366197183102</v>
      </c>
      <c r="AG16" s="252">
        <f t="shared" si="69"/>
        <v>49755.86854460094</v>
      </c>
      <c r="AH16" s="252">
        <f t="shared" si="70"/>
        <v>49755.86854460094</v>
      </c>
      <c r="AI16" s="252">
        <f t="shared" si="70"/>
        <v>49755.86854460094</v>
      </c>
      <c r="AJ16" s="582">
        <v>0.19</v>
      </c>
      <c r="AK16" s="252"/>
      <c r="AL16" s="252">
        <f>Q16/1.19</f>
        <v>49571.428571428572</v>
      </c>
      <c r="AM16" s="252">
        <f t="shared" si="72"/>
        <v>58436.134453781517</v>
      </c>
      <c r="AN16" s="252">
        <f t="shared" si="72"/>
        <v>49906.722689075636</v>
      </c>
      <c r="AO16" s="252">
        <f t="shared" si="72"/>
        <v>49906.722689075636</v>
      </c>
      <c r="AP16" s="252">
        <f t="shared" si="72"/>
        <v>49906.722689075636</v>
      </c>
      <c r="AQ16" s="32"/>
      <c r="AR16" s="32">
        <v>1688</v>
      </c>
      <c r="AS16" s="616">
        <v>0</v>
      </c>
      <c r="AT16" s="32">
        <v>0</v>
      </c>
      <c r="AU16" s="32">
        <v>0</v>
      </c>
      <c r="AV16" s="32"/>
      <c r="AW16" s="32"/>
      <c r="AX16" s="32"/>
      <c r="AY16" s="32"/>
      <c r="AZ16" s="32"/>
      <c r="BA16" s="32"/>
      <c r="BB16" s="32"/>
      <c r="BC16" s="279">
        <v>6780</v>
      </c>
      <c r="BD16" s="32">
        <v>6780</v>
      </c>
      <c r="BE16" s="32">
        <v>6420</v>
      </c>
      <c r="BF16" s="32">
        <v>6420</v>
      </c>
      <c r="BG16" s="32">
        <v>0</v>
      </c>
      <c r="BH16" s="32"/>
      <c r="BI16" s="32"/>
      <c r="BJ16" s="252">
        <f t="shared" ref="BJ16" si="94">BJ14-BJ15</f>
        <v>0</v>
      </c>
      <c r="BK16" s="252">
        <f t="shared" ref="BK16" si="95">BK14-BK15</f>
        <v>28308.833333333314</v>
      </c>
      <c r="BL16" s="252">
        <f t="shared" ref="BL16" si="96">BL14-BL15</f>
        <v>52552.333333333314</v>
      </c>
      <c r="BM16" s="252">
        <f>BM14-BM15</f>
        <v>83191.363771835284</v>
      </c>
      <c r="BN16" s="252">
        <f t="shared" ref="BN16:BO16" si="97">BN14-BN15</f>
        <v>104382.87468214316</v>
      </c>
      <c r="BO16" s="252">
        <f t="shared" si="97"/>
        <v>117720.72760053619</v>
      </c>
      <c r="BP16" s="252"/>
      <c r="BQ16" s="252">
        <f>BQ14-BQ15</f>
        <v>27022.333333333336</v>
      </c>
      <c r="BR16" s="252">
        <f>BR14-BR15</f>
        <v>61697.666666666672</v>
      </c>
      <c r="BS16" s="252">
        <f>BS14-BS15</f>
        <v>245610.094321429</v>
      </c>
      <c r="BT16" s="252">
        <f>BT14-BT15</f>
        <v>290130.07008474023</v>
      </c>
      <c r="BU16" s="252">
        <f>BU14-BU15</f>
        <v>329307.10880362662</v>
      </c>
      <c r="BV16" s="252">
        <f t="shared" ref="BV16" si="98">BV14-BV15</f>
        <v>347462.26354344777</v>
      </c>
      <c r="BW16" s="255"/>
      <c r="BX16" s="252">
        <f>BX14-BX15</f>
        <v>0</v>
      </c>
      <c r="BY16" s="252">
        <f t="shared" ref="BY16:CC16" si="99">BY14-BY15</f>
        <v>4062.6666666666642</v>
      </c>
      <c r="BZ16" s="252">
        <f t="shared" si="99"/>
        <v>26278.822477542155</v>
      </c>
      <c r="CA16" s="252">
        <f t="shared" si="99"/>
        <v>41363.660294094356</v>
      </c>
      <c r="CB16" s="252">
        <f t="shared" si="99"/>
        <v>47635.667158389115</v>
      </c>
      <c r="CC16" s="252">
        <f t="shared" si="99"/>
        <v>49092.65407750968</v>
      </c>
      <c r="CD16" s="252"/>
      <c r="CE16" s="252"/>
      <c r="CF16" s="252">
        <f>CF14-CF15</f>
        <v>1978.8333333333321</v>
      </c>
      <c r="CG16" s="252">
        <f>CG14-CG15</f>
        <v>6418.6666666666642</v>
      </c>
      <c r="CH16" s="252">
        <f>CH14-CH15</f>
        <v>9628</v>
      </c>
      <c r="CI16" s="252">
        <f>CI14-CI15</f>
        <v>13452.583333333328</v>
      </c>
      <c r="CJ16" s="252">
        <f>CJ14-CJ15</f>
        <v>16969.541666666657</v>
      </c>
      <c r="CK16" s="255"/>
      <c r="CL16" s="252">
        <f t="shared" si="11"/>
        <v>27022.333333333336</v>
      </c>
      <c r="CM16" s="252">
        <f t="shared" si="58"/>
        <v>96047.999999999985</v>
      </c>
      <c r="CN16" s="252">
        <f t="shared" si="58"/>
        <v>330859.91679897113</v>
      </c>
      <c r="CO16" s="252">
        <f t="shared" si="58"/>
        <v>424313.09415066987</v>
      </c>
      <c r="CP16" s="252">
        <f t="shared" si="58"/>
        <v>494778.2339774922</v>
      </c>
      <c r="CQ16" s="1536">
        <f t="shared" si="58"/>
        <v>531245.1868881603</v>
      </c>
      <c r="CR16" s="252">
        <f>((W16+AQ16)*BJ16+(AD16+AW16)*BQ16+(AK16+BC16)*BX16+CE16*J16)/1000</f>
        <v>1519847.6682316123</v>
      </c>
      <c r="CS16" s="252">
        <f t="shared" si="84"/>
        <v>5144291.2455060445</v>
      </c>
      <c r="CT16" s="252">
        <f t="shared" si="85"/>
        <v>18752184.11541504</v>
      </c>
      <c r="CU16" s="252">
        <f t="shared" si="86"/>
        <v>20516222.149000056</v>
      </c>
      <c r="CV16" s="252">
        <f t="shared" si="87"/>
        <v>23541089.647452004</v>
      </c>
      <c r="CW16" s="1536">
        <f t="shared" si="87"/>
        <v>25223030.075168062</v>
      </c>
      <c r="CX16" s="278">
        <f t="shared" si="88"/>
        <v>78.400000000000006</v>
      </c>
      <c r="CY16" s="278">
        <f t="shared" si="88"/>
        <v>78.400000000000006</v>
      </c>
      <c r="CZ16">
        <v>78.400000000000006</v>
      </c>
      <c r="DA16" s="278">
        <f t="shared" si="89"/>
        <v>78.400000000000006</v>
      </c>
      <c r="DB16" s="278">
        <f t="shared" si="90"/>
        <v>78.400000000000006</v>
      </c>
      <c r="DC16" s="1554">
        <f t="shared" si="90"/>
        <v>78.400000000000006</v>
      </c>
      <c r="DD16" s="252">
        <f>CX16*CL16/1000000</f>
        <v>2.1185509333333337</v>
      </c>
      <c r="DE16" s="252">
        <f>CY16*CM16/1000000</f>
        <v>7.5301631999999996</v>
      </c>
      <c r="DF16" s="252">
        <f>CZ16*CN16/1000000</f>
        <v>25.939417477039338</v>
      </c>
      <c r="DG16" s="252">
        <f>DA16*CO16/1000000</f>
        <v>33.266146581412521</v>
      </c>
      <c r="DH16" s="252">
        <f>DB16*CP16/1000000</f>
        <v>38.790613543835391</v>
      </c>
      <c r="DI16" s="1536">
        <f>DC16*CQ16/1000000</f>
        <v>41.649622652031773</v>
      </c>
    </row>
    <row r="17" spans="1:113" ht="15" customHeight="1">
      <c r="A17" s="1958"/>
      <c r="B17" s="511" t="s">
        <v>155</v>
      </c>
      <c r="C17" s="58"/>
      <c r="BJ17" s="252">
        <f t="shared" ref="BJ17:BO17" si="100">BJ8+BJ9+BJ13+BJ14</f>
        <v>145810</v>
      </c>
      <c r="BK17" s="252">
        <f t="shared" si="100"/>
        <v>328081</v>
      </c>
      <c r="BL17" s="252">
        <f t="shared" si="100"/>
        <v>446683.52124866832</v>
      </c>
      <c r="BM17" s="252">
        <f>BM8+BM9+BM13+BM14</f>
        <v>705383.28936320439</v>
      </c>
      <c r="BN17" s="252">
        <f t="shared" si="100"/>
        <v>904906.66039281152</v>
      </c>
      <c r="BO17" s="252">
        <f t="shared" si="100"/>
        <v>1041561.6494821892</v>
      </c>
      <c r="BP17" s="252"/>
      <c r="BQ17" s="252">
        <f t="shared" ref="BQ17:BV17" si="101">BQ8+BQ9+BQ13+BQ14</f>
        <v>209100</v>
      </c>
      <c r="BR17" s="252">
        <f t="shared" si="101"/>
        <v>353657.9</v>
      </c>
      <c r="BS17" s="252">
        <f t="shared" si="101"/>
        <v>504837.39825228334</v>
      </c>
      <c r="BT17" s="252">
        <f t="shared" si="101"/>
        <v>558045.03526734596</v>
      </c>
      <c r="BU17" s="252">
        <f t="shared" si="101"/>
        <v>615983.78195500025</v>
      </c>
      <c r="BV17" s="252">
        <f t="shared" si="101"/>
        <v>646620.17377318419</v>
      </c>
      <c r="BX17" s="252">
        <f t="shared" ref="BX17:CC17" si="102">BX8+BX9+BX13+BX14</f>
        <v>97548</v>
      </c>
      <c r="BY17" s="252">
        <f t="shared" si="102"/>
        <v>166196</v>
      </c>
      <c r="BZ17" s="252">
        <f t="shared" si="102"/>
        <v>255521.04517953866</v>
      </c>
      <c r="CA17" s="252">
        <f t="shared" si="102"/>
        <v>353589.43963235064</v>
      </c>
      <c r="CB17" s="252">
        <f t="shared" si="102"/>
        <v>401065.93990507053</v>
      </c>
      <c r="CC17" s="252">
        <f t="shared" si="102"/>
        <v>412181.28945800103</v>
      </c>
      <c r="CD17" s="252"/>
      <c r="CE17" s="252">
        <f t="shared" ref="CE17:CJ17" si="103">CE8+CE9+CE13+CE14</f>
        <v>26923</v>
      </c>
      <c r="CF17" s="252">
        <f t="shared" si="103"/>
        <v>59414</v>
      </c>
      <c r="CG17" s="252">
        <f t="shared" si="103"/>
        <v>85773</v>
      </c>
      <c r="CH17" s="252">
        <f t="shared" si="103"/>
        <v>98343</v>
      </c>
      <c r="CI17" s="252">
        <f t="shared" si="103"/>
        <v>125841.16666666667</v>
      </c>
      <c r="CJ17" s="252">
        <f t="shared" si="103"/>
        <v>146137.80555555556</v>
      </c>
      <c r="CK17" s="252"/>
      <c r="CL17" s="252">
        <f t="shared" ref="CL17:CQ17" si="104">CL8+CL9+CL13+CL14</f>
        <v>479381</v>
      </c>
      <c r="CM17" s="252">
        <f t="shared" si="104"/>
        <v>907348.9</v>
      </c>
      <c r="CN17" s="252">
        <f t="shared" si="104"/>
        <v>1292814.9646804903</v>
      </c>
      <c r="CO17" s="252">
        <f>CO8+CO9+CO13+CO14</f>
        <v>1715360.7642629009</v>
      </c>
      <c r="CP17" s="252">
        <f t="shared" si="104"/>
        <v>2047797.5489195492</v>
      </c>
      <c r="CQ17" s="1536">
        <f t="shared" si="104"/>
        <v>2246500.9182689302</v>
      </c>
      <c r="CR17" s="252">
        <f>SUM(CR8:CR16)</f>
        <v>28332987.679531951</v>
      </c>
      <c r="CS17" s="252">
        <f t="shared" ref="CS17:CV17" si="105">SUM(CS8:CS16)</f>
        <v>43067426.605646715</v>
      </c>
      <c r="CT17" s="252">
        <f>SUM(CT8:CT16)</f>
        <v>69798163.67899026</v>
      </c>
      <c r="CU17" s="252">
        <f t="shared" si="105"/>
        <v>79337833.10306263</v>
      </c>
      <c r="CV17" s="252">
        <f t="shared" si="105"/>
        <v>90104559.62512219</v>
      </c>
      <c r="CW17" s="1536">
        <f t="shared" ref="CW17" si="106">SUM(CW8:CW16)</f>
        <v>97198548.691448644</v>
      </c>
    </row>
    <row r="18" spans="1:113" ht="15" customHeight="1">
      <c r="A18" s="1958"/>
      <c r="B18" s="586" t="s">
        <v>156</v>
      </c>
      <c r="C18" s="988"/>
      <c r="J18" s="252">
        <f>1000*CR18/BQ18</f>
        <v>20420.575865415725</v>
      </c>
      <c r="K18" s="252">
        <f>1000*CS18/BR18</f>
        <v>21839.946796719134</v>
      </c>
      <c r="L18" s="360">
        <f t="shared" ref="L18:O18" si="107">K18</f>
        <v>21839.946796719134</v>
      </c>
      <c r="M18" s="360">
        <f t="shared" si="107"/>
        <v>21839.946796719134</v>
      </c>
      <c r="N18" s="360">
        <f t="shared" si="107"/>
        <v>21839.946796719134</v>
      </c>
      <c r="O18" s="360">
        <f t="shared" si="107"/>
        <v>21839.946796719134</v>
      </c>
      <c r="BJ18" s="252"/>
      <c r="BK18" s="252"/>
      <c r="BL18" s="252"/>
      <c r="BM18" s="252"/>
      <c r="BN18" s="252"/>
      <c r="BQ18" s="279">
        <f>'Fin Sta as rep'!G55/BQ19</f>
        <v>51516.666666666664</v>
      </c>
      <c r="BR18" s="279">
        <f>'Fin Sta as rep'!I55/BR19</f>
        <v>75183.333333333328</v>
      </c>
      <c r="BS18" s="279">
        <f>'Fin Sta as rep'!J55/BS19</f>
        <v>83916.666666666672</v>
      </c>
      <c r="BT18" s="252">
        <f t="shared" ref="BT18:BV18" si="108">BT17*BT20</f>
        <v>92761.113522172207</v>
      </c>
      <c r="BU18" s="252">
        <f t="shared" si="108"/>
        <v>102391.98974034537</v>
      </c>
      <c r="BV18" s="252">
        <f t="shared" si="108"/>
        <v>107484.52822694767</v>
      </c>
      <c r="BW18" t="s">
        <v>157</v>
      </c>
      <c r="BX18" s="252"/>
      <c r="BY18" s="252"/>
      <c r="BZ18" s="252"/>
      <c r="CA18" s="252"/>
      <c r="CB18" s="252"/>
      <c r="CC18" s="252"/>
      <c r="CD18" s="252"/>
      <c r="CE18" s="252"/>
      <c r="CF18" s="252"/>
      <c r="CG18" s="252"/>
      <c r="CH18" s="252"/>
      <c r="CI18" s="252"/>
      <c r="CJ18" s="252"/>
      <c r="CK18" s="252"/>
      <c r="CL18" s="252"/>
      <c r="CM18" s="252"/>
      <c r="CN18" s="252"/>
      <c r="CO18" s="252"/>
      <c r="CR18" s="265">
        <v>1052000</v>
      </c>
      <c r="CS18" s="265">
        <v>1642000</v>
      </c>
      <c r="CT18" s="265">
        <v>2476000</v>
      </c>
      <c r="CU18" s="252">
        <f>BT18*M18/1000</f>
        <v>2025897.7841286648</v>
      </c>
      <c r="CV18" s="252">
        <f>BU18*N18/1000</f>
        <v>2236235.6083393539</v>
      </c>
      <c r="CW18" s="1536">
        <f>BV18*O18/1000</f>
        <v>2347456.3779469933</v>
      </c>
    </row>
    <row r="19" spans="1:113" ht="15.75" customHeight="1">
      <c r="A19" s="1958"/>
      <c r="B19" s="587" t="s">
        <v>158</v>
      </c>
      <c r="C19" s="989"/>
      <c r="J19" s="252"/>
      <c r="K19" s="252"/>
      <c r="L19" s="360"/>
      <c r="M19" s="360"/>
      <c r="N19" s="360"/>
      <c r="BJ19" s="252"/>
      <c r="BK19" s="252"/>
      <c r="BL19" s="252"/>
      <c r="BM19" s="252"/>
      <c r="BN19" s="252"/>
      <c r="BQ19" s="279">
        <v>60</v>
      </c>
      <c r="BR19" s="279">
        <f>BQ19</f>
        <v>60</v>
      </c>
      <c r="BS19" s="279">
        <f>BR19</f>
        <v>60</v>
      </c>
      <c r="BT19" s="279">
        <f>BS19</f>
        <v>60</v>
      </c>
      <c r="BU19" s="279">
        <f>BT19</f>
        <v>60</v>
      </c>
      <c r="BV19" s="279">
        <f>BU19</f>
        <v>60</v>
      </c>
      <c r="BX19" s="252"/>
      <c r="BY19" s="252"/>
      <c r="BZ19" s="252"/>
      <c r="CA19" s="252"/>
      <c r="CB19" s="252"/>
      <c r="CC19" s="252"/>
      <c r="CD19" s="252"/>
      <c r="CE19" s="252"/>
      <c r="CF19" s="252"/>
      <c r="CG19" s="252"/>
      <c r="CH19" s="252"/>
      <c r="CI19" s="252"/>
      <c r="CJ19" s="252"/>
      <c r="CK19" s="252"/>
      <c r="CL19" s="252"/>
      <c r="CM19" s="252"/>
      <c r="CN19" s="252"/>
      <c r="CO19" s="252"/>
      <c r="CR19" s="265"/>
      <c r="CS19" s="265"/>
      <c r="CT19" s="252"/>
      <c r="CU19" s="252"/>
      <c r="CV19" s="252"/>
      <c r="CW19" s="1536"/>
    </row>
    <row r="20" spans="1:113" ht="15" customHeight="1">
      <c r="A20" s="1958"/>
      <c r="B20" s="587" t="s">
        <v>159</v>
      </c>
      <c r="C20" s="989"/>
      <c r="J20" s="252"/>
      <c r="K20" s="252"/>
      <c r="L20" s="360"/>
      <c r="M20" s="360"/>
      <c r="N20" s="360"/>
      <c r="BJ20" s="252"/>
      <c r="BK20" s="252"/>
      <c r="BL20" s="252"/>
      <c r="BM20" s="252"/>
      <c r="BN20" s="252"/>
      <c r="BQ20" s="296">
        <f>BQ18/BQ17</f>
        <v>0.24637334608640202</v>
      </c>
      <c r="BR20" s="296">
        <f>BR18/BR17</f>
        <v>0.21258773897976921</v>
      </c>
      <c r="BS20" s="296">
        <f>BS18/BS17</f>
        <v>0.16622513894014412</v>
      </c>
      <c r="BT20" s="406">
        <f t="shared" ref="BT20:BV20" si="109">BS20</f>
        <v>0.16622513894014412</v>
      </c>
      <c r="BU20" s="406">
        <f t="shared" si="109"/>
        <v>0.16622513894014412</v>
      </c>
      <c r="BV20" s="406">
        <f t="shared" si="109"/>
        <v>0.16622513894014412</v>
      </c>
      <c r="BX20" s="252"/>
      <c r="BY20" s="252"/>
      <c r="BZ20" s="252"/>
      <c r="CA20" s="252"/>
      <c r="CB20" s="252"/>
      <c r="CC20" s="252"/>
      <c r="CD20" s="252"/>
      <c r="CE20" s="252"/>
      <c r="CF20" s="252"/>
      <c r="CG20" s="252"/>
      <c r="CH20" s="252"/>
      <c r="CI20" s="252"/>
      <c r="CJ20" s="252"/>
      <c r="CK20" s="252"/>
      <c r="CL20" s="252"/>
      <c r="CM20" s="252"/>
      <c r="CN20" s="252"/>
      <c r="CO20" s="252"/>
      <c r="CR20" s="265"/>
      <c r="CS20" s="265"/>
      <c r="CT20" s="252"/>
      <c r="CU20" s="252"/>
      <c r="CV20" s="252"/>
      <c r="CW20" s="1536"/>
    </row>
    <row r="21" spans="1:113" ht="15" customHeight="1">
      <c r="A21" s="1958"/>
      <c r="B21" s="586" t="s">
        <v>160</v>
      </c>
      <c r="C21" s="988"/>
      <c r="BJ21" s="252"/>
      <c r="BK21" s="252"/>
      <c r="BL21" s="252"/>
      <c r="BM21" s="252"/>
      <c r="BN21" s="252"/>
      <c r="BQ21" s="252"/>
      <c r="BR21" s="252"/>
      <c r="BS21" s="252"/>
      <c r="BT21" s="252"/>
      <c r="BU21" s="252"/>
      <c r="BV21" s="252"/>
      <c r="BX21" s="252"/>
      <c r="BY21" s="252"/>
      <c r="BZ21" s="252"/>
      <c r="CA21" s="252"/>
      <c r="CB21" s="252"/>
      <c r="CC21" s="252"/>
      <c r="CD21" s="252"/>
      <c r="CE21" s="252"/>
      <c r="CF21" s="252"/>
      <c r="CG21" s="252"/>
      <c r="CH21" s="252"/>
      <c r="CI21" s="252"/>
      <c r="CJ21" s="252"/>
      <c r="CK21" s="252"/>
      <c r="CL21" s="252"/>
      <c r="CM21" s="252"/>
      <c r="CN21" s="252"/>
      <c r="CO21" s="252"/>
      <c r="CR21" s="265">
        <v>1580000</v>
      </c>
      <c r="CS21" s="265">
        <v>1465000</v>
      </c>
      <c r="CT21" s="265">
        <v>1776000</v>
      </c>
      <c r="CU21" s="252">
        <f>CU22*CO17</f>
        <v>2563040.9152389327</v>
      </c>
      <c r="CV21" s="252">
        <f>CV22*CP17</f>
        <v>2936456.3558259169</v>
      </c>
      <c r="CW21" s="1536">
        <f>CW22*CQ17</f>
        <v>3289021.7033103914</v>
      </c>
    </row>
    <row r="22" spans="1:113" ht="15" customHeight="1">
      <c r="A22" s="1958"/>
      <c r="B22" s="587" t="s">
        <v>161</v>
      </c>
      <c r="C22" s="989"/>
      <c r="BJ22" s="252"/>
      <c r="BK22" s="252"/>
      <c r="BL22" s="252"/>
      <c r="BM22" s="252"/>
      <c r="BN22" s="252"/>
      <c r="BQ22" s="252"/>
      <c r="BR22" s="252"/>
      <c r="BS22" s="252"/>
      <c r="BT22" s="252"/>
      <c r="BU22" s="252"/>
      <c r="BV22" s="252"/>
      <c r="BX22" s="252"/>
      <c r="BY22" s="252"/>
      <c r="BZ22" s="252"/>
      <c r="CA22" s="252"/>
      <c r="CB22" s="252"/>
      <c r="CC22" s="252"/>
      <c r="CD22" s="252"/>
      <c r="CE22" s="252"/>
      <c r="CF22" s="252"/>
      <c r="CG22" s="252"/>
      <c r="CH22" s="252"/>
      <c r="CI22" s="252"/>
      <c r="CJ22" s="252"/>
      <c r="CK22" s="252"/>
      <c r="CL22" s="252"/>
      <c r="CM22" s="252"/>
      <c r="CN22" s="252"/>
      <c r="CO22" s="252"/>
      <c r="CR22" s="611">
        <f>CR21/CL17</f>
        <v>3.2959170263318738</v>
      </c>
      <c r="CS22" s="611">
        <f>CS21/CM17</f>
        <v>1.6145939009789949</v>
      </c>
      <c r="CT22" s="611">
        <f>CT21/CN17</f>
        <v>1.3737464745691006</v>
      </c>
      <c r="CU22" s="612">
        <f t="shared" ref="CU22:CW22" si="110">AVERAGE(CS22:CT22)</f>
        <v>1.4941701877740479</v>
      </c>
      <c r="CV22" s="612">
        <f t="shared" si="110"/>
        <v>1.4339583311715742</v>
      </c>
      <c r="CW22" s="1544">
        <f t="shared" si="110"/>
        <v>1.464064259472811</v>
      </c>
      <c r="CX22" t="s">
        <v>162</v>
      </c>
    </row>
    <row r="23" spans="1:113" ht="15" customHeight="1">
      <c r="A23" s="1958"/>
      <c r="B23" s="587" t="s">
        <v>163</v>
      </c>
      <c r="C23" s="989"/>
      <c r="BJ23" s="252"/>
      <c r="BK23" s="252"/>
      <c r="BL23" s="252"/>
      <c r="BM23" s="252"/>
      <c r="BN23" s="252"/>
      <c r="BQ23" s="252"/>
      <c r="BR23" s="252"/>
      <c r="BS23" s="252"/>
      <c r="BT23" s="252"/>
      <c r="BU23" s="252"/>
      <c r="BV23" s="252"/>
      <c r="BX23" s="252"/>
      <c r="BY23" s="252"/>
      <c r="BZ23" s="252"/>
      <c r="CA23" s="252"/>
      <c r="CB23" s="252"/>
      <c r="CC23" s="252"/>
      <c r="CD23" s="252"/>
      <c r="CE23" s="252"/>
      <c r="CF23" s="252"/>
      <c r="CG23" s="252"/>
      <c r="CH23" s="252"/>
      <c r="CI23" s="252"/>
      <c r="CJ23" s="252"/>
      <c r="CK23" s="252"/>
      <c r="CL23" s="252"/>
      <c r="CM23" s="252"/>
      <c r="CN23" s="252"/>
      <c r="CO23" s="252"/>
      <c r="CR23" s="296">
        <f>CR21/CR25</f>
        <v>5.1025371505133518E-2</v>
      </c>
      <c r="CS23" s="296">
        <f>CS21/CS25</f>
        <v>3.1727519055338819E-2</v>
      </c>
      <c r="CT23" s="296">
        <f t="shared" ref="CT23:CV23" si="111">CT21/CT25</f>
        <v>2.4852369091265279E-2</v>
      </c>
      <c r="CU23" s="296">
        <f t="shared" si="111"/>
        <v>3.0539014669508781E-2</v>
      </c>
      <c r="CV23" s="296">
        <f t="shared" si="111"/>
        <v>3.0820120299902509E-2</v>
      </c>
      <c r="CW23" s="1251">
        <f t="shared" ref="CW23" si="112">CW21/CW25</f>
        <v>3.1983476900142624E-2</v>
      </c>
    </row>
    <row r="24" spans="1:113" ht="15" customHeight="1">
      <c r="A24" s="1958"/>
      <c r="B24" s="586" t="s">
        <v>164</v>
      </c>
      <c r="C24" s="988"/>
      <c r="BJ24" s="252"/>
      <c r="BK24" s="252"/>
      <c r="BL24" s="252"/>
      <c r="BM24" s="252"/>
      <c r="BN24" s="252"/>
      <c r="BQ24" s="252"/>
      <c r="BR24" s="252"/>
      <c r="BS24" s="252"/>
      <c r="BT24" s="252"/>
      <c r="BU24" s="252"/>
      <c r="BV24" s="252"/>
      <c r="BX24" s="252"/>
      <c r="BY24" s="252"/>
      <c r="BZ24" s="252"/>
      <c r="CA24" s="252"/>
      <c r="CB24" s="252"/>
      <c r="CC24" s="252"/>
      <c r="CD24" s="252"/>
      <c r="CE24" s="252"/>
      <c r="CF24" s="252"/>
      <c r="CG24" s="252"/>
      <c r="CH24" s="252"/>
      <c r="CI24" s="252"/>
      <c r="CJ24" s="252"/>
      <c r="CK24" s="252"/>
      <c r="CL24" s="252"/>
      <c r="CM24" s="252"/>
      <c r="CN24" s="252"/>
      <c r="CO24" s="252"/>
      <c r="CR24" s="252">
        <f>'Earning Forecast'!F5-'Price&amp;Q'!CR25</f>
        <v>-3728987.6795319505</v>
      </c>
      <c r="CS24" s="252">
        <f>'Earning Forecast'!G5-'Price&amp;Q'!CS25</f>
        <v>1057573.3943532854</v>
      </c>
      <c r="CT24" s="615">
        <v>-2588163.67899023</v>
      </c>
      <c r="CU24" s="279">
        <v>0</v>
      </c>
      <c r="CV24" s="279">
        <v>0</v>
      </c>
      <c r="CW24" s="1545">
        <v>0</v>
      </c>
    </row>
    <row r="25" spans="1:113" ht="15" customHeight="1">
      <c r="A25" s="1958"/>
      <c r="B25" s="511" t="s">
        <v>165</v>
      </c>
      <c r="C25" s="58"/>
      <c r="BJ25" s="252"/>
      <c r="BK25" s="252"/>
      <c r="BL25" s="252"/>
      <c r="BM25" s="252"/>
      <c r="BN25" s="252"/>
      <c r="BQ25" s="252"/>
      <c r="BR25" s="252"/>
      <c r="BS25" s="252"/>
      <c r="BT25" s="252"/>
      <c r="BU25" s="252"/>
      <c r="BV25" s="252"/>
      <c r="BX25" s="252"/>
      <c r="BY25" s="252"/>
      <c r="BZ25" s="252"/>
      <c r="CA25" s="252"/>
      <c r="CB25" s="252"/>
      <c r="CC25" s="252"/>
      <c r="CD25" s="252"/>
      <c r="CE25" s="252"/>
      <c r="CF25" s="252"/>
      <c r="CG25" s="252"/>
      <c r="CH25" s="252"/>
      <c r="CI25" s="252"/>
      <c r="CJ25" s="252"/>
      <c r="CK25" s="252"/>
      <c r="CL25" s="252"/>
      <c r="CM25" s="252"/>
      <c r="CN25" s="252"/>
      <c r="CO25" s="252"/>
      <c r="CR25" s="252">
        <f t="shared" ref="CR25:CW25" si="113">SUM(CR8:CR16)+SUM(CR18:CR21)</f>
        <v>30964987.679531951</v>
      </c>
      <c r="CS25" s="252">
        <f t="shared" si="113"/>
        <v>46174426.605646715</v>
      </c>
      <c r="CT25" s="252">
        <f>SUM(CT8:CT16)+SUM(CT18:CT21)+CT24</f>
        <v>71462000.00000003</v>
      </c>
      <c r="CU25" s="252">
        <f t="shared" si="113"/>
        <v>83926771.802430227</v>
      </c>
      <c r="CV25" s="252">
        <f t="shared" si="113"/>
        <v>95277251.58928746</v>
      </c>
      <c r="CW25" s="1536">
        <f t="shared" si="113"/>
        <v>102835026.77270603</v>
      </c>
      <c r="DD25" s="252">
        <f>SUM(DD8:DD16)</f>
        <v>33.039041866666665</v>
      </c>
      <c r="DE25" s="252">
        <f>SUM(DE8:DE16)</f>
        <v>59.189894666666667</v>
      </c>
      <c r="DF25" s="252">
        <f t="shared" ref="DF25:DI25" si="114">SUM(DF8:DF16)</f>
        <v>87.787944629458082</v>
      </c>
      <c r="DG25" s="252">
        <f t="shared" si="114"/>
        <v>115.38898000087056</v>
      </c>
      <c r="DH25" s="252">
        <f t="shared" si="114"/>
        <v>137.12467886895709</v>
      </c>
      <c r="DI25" s="1536">
        <f t="shared" si="114"/>
        <v>149.93885021282389</v>
      </c>
    </row>
    <row r="26" spans="1:113" s="7" customFormat="1" ht="14.5">
      <c r="A26" s="1957" t="s">
        <v>166</v>
      </c>
      <c r="B26" s="994" t="s">
        <v>167</v>
      </c>
      <c r="C26" s="991">
        <v>0.1</v>
      </c>
      <c r="D26" s="211"/>
      <c r="E26" s="211">
        <v>146800</v>
      </c>
      <c r="F26" s="211">
        <v>187800</v>
      </c>
      <c r="G26" s="993">
        <v>189800</v>
      </c>
      <c r="H26" s="211">
        <f>G26</f>
        <v>189800</v>
      </c>
      <c r="I26" s="211">
        <f>H26</f>
        <v>189800</v>
      </c>
      <c r="W26" s="583">
        <f t="shared" ref="W26:X43" si="115">D26/1.17*(1-$C26)</f>
        <v>0</v>
      </c>
      <c r="X26" s="583">
        <f t="shared" si="115"/>
        <v>112923.07692307694</v>
      </c>
      <c r="Y26" s="583">
        <f>F26/1.17*(1-$C26)</f>
        <v>144461.53846153847</v>
      </c>
      <c r="Z26" s="583">
        <f>G26/1.17*(1-$C26)</f>
        <v>146000</v>
      </c>
      <c r="AA26" s="583">
        <f t="shared" ref="AA26:AA46" si="116">H26/1.17*(1-$C26)</f>
        <v>146000</v>
      </c>
      <c r="AB26" s="583">
        <f t="shared" ref="AB26:AB46" si="117">I26/1.17*(1-$C26)</f>
        <v>146000</v>
      </c>
      <c r="AQ26" s="211"/>
      <c r="AR26" s="211">
        <v>6800</v>
      </c>
      <c r="AS26" s="211">
        <v>4800</v>
      </c>
      <c r="AT26" s="211">
        <v>0</v>
      </c>
      <c r="AU26" s="211">
        <v>0</v>
      </c>
      <c r="AV26" s="211">
        <v>0</v>
      </c>
      <c r="BF26" s="998"/>
      <c r="BG26" s="998"/>
      <c r="BH26" s="998"/>
      <c r="BI26" s="999"/>
      <c r="BJ26" s="841">
        <v>0</v>
      </c>
      <c r="BK26" s="841">
        <v>76384</v>
      </c>
      <c r="BL26" s="841">
        <v>411026</v>
      </c>
      <c r="BM26" s="841">
        <v>449722.24376601458</v>
      </c>
      <c r="BN26" s="841">
        <v>469287.97474988661</v>
      </c>
      <c r="BO26" s="841">
        <v>482474.40210678632</v>
      </c>
      <c r="CQ26" s="1522"/>
      <c r="CR26" s="584">
        <f t="shared" ref="CR26:CS26" si="118">(W26+AQ26)*BJ26*10^(-3)</f>
        <v>0</v>
      </c>
      <c r="CS26" s="584">
        <f t="shared" si="118"/>
        <v>9144927.5076923091</v>
      </c>
      <c r="CT26" s="584">
        <f>(Y26+AS26)*BL26*10^(-3)</f>
        <v>61350373.107692316</v>
      </c>
      <c r="CU26" s="584">
        <f>(Z26+AT26)*BM26*10^(-3)</f>
        <v>65659447.589838125</v>
      </c>
      <c r="CV26" s="584">
        <f>(AA26+AU26)*BN26*10^(-3)</f>
        <v>68516044.313483447</v>
      </c>
      <c r="CW26" s="1538">
        <f>(AB26+AV26)*BO26*10^(-3)</f>
        <v>70441262.707590804</v>
      </c>
      <c r="CY26" s="609">
        <v>18.3</v>
      </c>
      <c r="CZ26" s="845">
        <v>18.3</v>
      </c>
      <c r="DA26" s="609">
        <f>CZ26</f>
        <v>18.3</v>
      </c>
      <c r="DB26" s="609">
        <f>DA26</f>
        <v>18.3</v>
      </c>
      <c r="DC26" s="1555">
        <f>DB26</f>
        <v>18.3</v>
      </c>
      <c r="DE26" s="584">
        <f>CY26*BK26/1000000</f>
        <v>1.3978272</v>
      </c>
      <c r="DF26" s="584">
        <f>CZ26*BL26/1000000</f>
        <v>7.5217758000000003</v>
      </c>
      <c r="DG26" s="584">
        <f>DA26*BM26/1000000</f>
        <v>8.2299170609180674</v>
      </c>
      <c r="DH26" s="584">
        <f>DB26*BN26/1000000</f>
        <v>8.5879699379229244</v>
      </c>
      <c r="DI26" s="1538">
        <f>DC26*BO26/1000000</f>
        <v>8.8292815585541895</v>
      </c>
    </row>
    <row r="27" spans="1:113" ht="14.5">
      <c r="A27" s="1957"/>
      <c r="B27" s="6" t="s">
        <v>168</v>
      </c>
      <c r="C27" s="991">
        <v>0.1</v>
      </c>
      <c r="E27" s="78">
        <v>178300</v>
      </c>
      <c r="F27" s="78">
        <v>180800</v>
      </c>
      <c r="G27" s="992">
        <v>169800</v>
      </c>
      <c r="H27" s="211">
        <f t="shared" ref="H27:I42" si="119">G27</f>
        <v>169800</v>
      </c>
      <c r="I27" s="211">
        <f t="shared" si="119"/>
        <v>169800</v>
      </c>
      <c r="W27" s="583">
        <f>D27/1.17*(1-$C27)</f>
        <v>0</v>
      </c>
      <c r="X27" s="583">
        <f>E27/1.17*(1-$C27)</f>
        <v>137153.84615384616</v>
      </c>
      <c r="Y27" s="583">
        <f>F27/1.17*(1-$C27)</f>
        <v>139076.92307692309</v>
      </c>
      <c r="Z27" s="583">
        <f>G27/1.17*(1-$C27)</f>
        <v>130615.38461538461</v>
      </c>
      <c r="AA27" s="583">
        <f>H27/1.17*(1-$C27)</f>
        <v>130615.38461538461</v>
      </c>
      <c r="AB27" s="583">
        <f>I27/1.17*(1-$C27)</f>
        <v>130615.38461538461</v>
      </c>
      <c r="AC27" s="78"/>
      <c r="AQ27" s="78"/>
      <c r="AR27" s="78">
        <v>18000</v>
      </c>
      <c r="AS27" s="78">
        <v>12600</v>
      </c>
      <c r="AT27" s="78">
        <v>0</v>
      </c>
      <c r="AU27" s="78">
        <v>0</v>
      </c>
      <c r="AV27" s="78">
        <v>0</v>
      </c>
      <c r="BF27" s="984"/>
      <c r="BG27" s="984"/>
      <c r="BH27" s="984"/>
      <c r="BI27" s="1000"/>
      <c r="BJ27" s="255">
        <v>0</v>
      </c>
      <c r="BK27" s="255">
        <v>29340</v>
      </c>
      <c r="BL27" s="255">
        <v>67094</v>
      </c>
      <c r="BM27" s="255">
        <v>71302.016462333253</v>
      </c>
      <c r="BN27" s="255">
        <v>97511.037267807114</v>
      </c>
      <c r="BO27" s="255">
        <v>111283.24414147197</v>
      </c>
      <c r="CR27" s="252">
        <f t="shared" ref="CR27:CR37" si="120">(W27+AQ27)*BJ27*10^(-3)</f>
        <v>0</v>
      </c>
      <c r="CS27" s="252">
        <f t="shared" ref="CS27:CS37" si="121">(X27+AR27)*BK27*10^(-3)</f>
        <v>4552213.846153846</v>
      </c>
      <c r="CT27" s="252">
        <f t="shared" ref="CT27:CT37" si="122">(Y27+AS27)*BL27*10^(-3)</f>
        <v>10176611.476923078</v>
      </c>
      <c r="CU27" s="252">
        <f t="shared" ref="CU27:CU37" si="123">(Z27+AT27)*BM27*10^(-3)</f>
        <v>9313140.3040801436</v>
      </c>
      <c r="CV27" s="252">
        <f t="shared" ref="CV27:CV37" si="124">(AA27+AU27)*BN27*10^(-3)</f>
        <v>12736441.636979729</v>
      </c>
      <c r="CW27" s="1536">
        <f t="shared" ref="CW27:CW37" si="125">(AB27+AV27)*BO27*10^(-3)</f>
        <v>14535303.734786106</v>
      </c>
      <c r="CY27" s="278">
        <f t="shared" ref="CY27:CY40" si="126">CZ27</f>
        <v>71.7</v>
      </c>
      <c r="CZ27" s="5">
        <v>71.7</v>
      </c>
      <c r="DA27" s="278">
        <f t="shared" ref="DA27:DC27" si="127">CZ27</f>
        <v>71.7</v>
      </c>
      <c r="DB27" s="278">
        <f t="shared" si="127"/>
        <v>71.7</v>
      </c>
      <c r="DC27" s="1554">
        <f t="shared" si="127"/>
        <v>71.7</v>
      </c>
      <c r="DE27" s="252">
        <f t="shared" ref="DE27:DE41" si="128">CY27*BK27/1000000</f>
        <v>2.1036779999999999</v>
      </c>
      <c r="DF27" s="252">
        <f t="shared" ref="DF27:DF41" si="129">CZ27*BL27/1000000</f>
        <v>4.8106397999999997</v>
      </c>
      <c r="DG27" s="252">
        <f t="shared" ref="DG27:DG42" si="130">DA27*BM27/1000000</f>
        <v>5.1123545803492947</v>
      </c>
      <c r="DH27" s="252">
        <f t="shared" ref="DH27:DH42" si="131">DB27*BN27/1000000</f>
        <v>6.9915413721017705</v>
      </c>
      <c r="DI27" s="1536">
        <f t="shared" ref="DI27:DI42" si="132">DC27*BO27/1000000</f>
        <v>7.97900860494354</v>
      </c>
    </row>
    <row r="28" spans="1:113" s="5" customFormat="1" ht="14.5">
      <c r="A28" s="1957"/>
      <c r="B28" s="1078" t="s">
        <v>169</v>
      </c>
      <c r="C28" s="1083">
        <v>0.1</v>
      </c>
      <c r="E28" s="213"/>
      <c r="F28" s="213">
        <v>140800</v>
      </c>
      <c r="G28" s="213">
        <v>129800</v>
      </c>
      <c r="H28" s="213">
        <v>129800</v>
      </c>
      <c r="I28" s="213">
        <v>129800</v>
      </c>
      <c r="W28" s="1084"/>
      <c r="X28" s="1084"/>
      <c r="Y28" s="1084">
        <f t="shared" ref="Y28:Y45" si="133">F28/1.17*(1-$C28)</f>
        <v>108307.69230769231</v>
      </c>
      <c r="Z28" s="1084">
        <f t="shared" ref="Z28:Z45" si="134">G28/1.17*(1-$C28)</f>
        <v>99846.153846153858</v>
      </c>
      <c r="AA28" s="1084">
        <f t="shared" ref="AA28:AA45" si="135">H28/1.17*(1-$C28)</f>
        <v>99846.153846153858</v>
      </c>
      <c r="AB28" s="1084">
        <f t="shared" ref="AB28:AB45" si="136">I28/1.17*(1-$C28)</f>
        <v>99846.153846153858</v>
      </c>
      <c r="AC28" s="213"/>
      <c r="AQ28" s="213"/>
      <c r="AR28" s="213"/>
      <c r="AS28" s="213">
        <v>4800</v>
      </c>
      <c r="AT28" s="213">
        <v>0</v>
      </c>
      <c r="AU28" s="213">
        <v>0</v>
      </c>
      <c r="AV28" s="213">
        <v>0</v>
      </c>
      <c r="BF28" s="1058"/>
      <c r="BG28" s="1058"/>
      <c r="BH28" s="1058"/>
      <c r="BI28" s="1059"/>
      <c r="BJ28" s="986"/>
      <c r="BK28" s="986"/>
      <c r="BL28" s="986">
        <v>20323</v>
      </c>
      <c r="BM28" s="986">
        <v>169276.58028558167</v>
      </c>
      <c r="BN28" s="986">
        <v>245793.30785502031</v>
      </c>
      <c r="BO28" s="986">
        <v>291415.50935222086</v>
      </c>
      <c r="CQ28" s="1537"/>
      <c r="CR28" s="626"/>
      <c r="CS28" s="626"/>
      <c r="CT28" s="626">
        <f t="shared" ref="CT28" si="137">(Y28+AS28)*BL28*10^(-3)</f>
        <v>2298687.6307692309</v>
      </c>
      <c r="CU28" s="626">
        <f t="shared" ref="CU28" si="138">(Z28+AT28)*BM28*10^(-3)</f>
        <v>16901615.477745004</v>
      </c>
      <c r="CV28" s="626">
        <f t="shared" ref="CV28" si="139">(AA28+AU28)*BN28*10^(-3)</f>
        <v>24541516.430447415</v>
      </c>
      <c r="CW28" s="1546">
        <f t="shared" ref="CW28" si="140">(AB28+AV28)*BO28*10^(-3)</f>
        <v>29096717.779937133</v>
      </c>
      <c r="CY28" s="851"/>
      <c r="CZ28" s="5">
        <v>12.9</v>
      </c>
      <c r="DA28" s="1088">
        <v>12.9</v>
      </c>
      <c r="DB28" s="1088">
        <v>12.9</v>
      </c>
      <c r="DC28" s="1556">
        <v>12.9</v>
      </c>
      <c r="DE28" s="626">
        <f t="shared" ref="DE28:DE30" si="141">CY28*BK28/1000000</f>
        <v>0</v>
      </c>
      <c r="DF28" s="626">
        <f t="shared" ref="DF28:DF30" si="142">CZ28*BL28/1000000</f>
        <v>0.26216670000000003</v>
      </c>
      <c r="DG28" s="626">
        <f t="shared" ref="DG28:DG30" si="143">DA28*BM28/1000000</f>
        <v>2.1836678856840037</v>
      </c>
      <c r="DH28" s="626">
        <f t="shared" ref="DH28:DH30" si="144">DB28*BN28/1000000</f>
        <v>3.1707336713297618</v>
      </c>
      <c r="DI28" s="1546">
        <f t="shared" ref="DI28:DI30" si="145">DC28*BO28/1000000</f>
        <v>3.7592600706436494</v>
      </c>
    </row>
    <row r="29" spans="1:113" s="5" customFormat="1" ht="14.5">
      <c r="A29" s="1957"/>
      <c r="B29" s="1086" t="s">
        <v>170</v>
      </c>
      <c r="C29" s="1083">
        <v>0.1</v>
      </c>
      <c r="D29" s="1087">
        <v>104400</v>
      </c>
      <c r="E29" s="213">
        <v>104400</v>
      </c>
      <c r="F29" s="213">
        <v>92800</v>
      </c>
      <c r="G29" s="213">
        <v>95800</v>
      </c>
      <c r="H29" s="843">
        <f t="shared" si="119"/>
        <v>95800</v>
      </c>
      <c r="I29" s="843">
        <f t="shared" si="119"/>
        <v>95800</v>
      </c>
      <c r="W29" s="1084">
        <f t="shared" si="115"/>
        <v>80307.692307692312</v>
      </c>
      <c r="X29" s="1084">
        <f>E29/1.17*(1-$C29)</f>
        <v>80307.692307692312</v>
      </c>
      <c r="Y29" s="1084">
        <f t="shared" si="133"/>
        <v>71384.61538461539</v>
      </c>
      <c r="Z29" s="1084">
        <f t="shared" si="134"/>
        <v>73692.307692307702</v>
      </c>
      <c r="AA29" s="1084">
        <f t="shared" si="135"/>
        <v>73692.307692307702</v>
      </c>
      <c r="AB29" s="1084">
        <f t="shared" si="136"/>
        <v>73692.307692307702</v>
      </c>
      <c r="AC29" s="285"/>
      <c r="AQ29" s="213">
        <v>16200</v>
      </c>
      <c r="AR29" s="213">
        <v>13000</v>
      </c>
      <c r="AS29" s="213">
        <v>9100</v>
      </c>
      <c r="AT29" s="213">
        <v>0</v>
      </c>
      <c r="AU29" s="213">
        <v>0</v>
      </c>
      <c r="AV29" s="213">
        <v>0</v>
      </c>
      <c r="BF29" s="1058"/>
      <c r="BG29" s="1058"/>
      <c r="BH29" s="1058"/>
      <c r="BI29" s="1059"/>
      <c r="BJ29" s="986">
        <v>16300</v>
      </c>
      <c r="BK29" s="986">
        <v>41402</v>
      </c>
      <c r="BL29" s="986">
        <v>26313</v>
      </c>
      <c r="BM29" s="986">
        <v>27064.241292371684</v>
      </c>
      <c r="BN29" s="986">
        <v>29037.098343677095</v>
      </c>
      <c r="BO29" s="986">
        <v>28654.529035823143</v>
      </c>
      <c r="CQ29" s="1537"/>
      <c r="CR29" s="626">
        <f t="shared" si="120"/>
        <v>1573075.3846153845</v>
      </c>
      <c r="CS29" s="626">
        <f t="shared" si="121"/>
        <v>3863125.076923077</v>
      </c>
      <c r="CT29" s="626">
        <f t="shared" si="122"/>
        <v>2117791.6846153848</v>
      </c>
      <c r="CU29" s="626">
        <f t="shared" si="123"/>
        <v>1994426.3967763137</v>
      </c>
      <c r="CV29" s="626">
        <f t="shared" si="124"/>
        <v>2139810.7856340511</v>
      </c>
      <c r="CW29" s="1546">
        <f t="shared" si="125"/>
        <v>2111618.3704860443</v>
      </c>
      <c r="CY29" s="851">
        <f t="shared" si="126"/>
        <v>38.9</v>
      </c>
      <c r="CZ29" s="5">
        <v>38.9</v>
      </c>
      <c r="DA29" s="851">
        <f t="shared" ref="DA29:DC29" si="146">CZ29</f>
        <v>38.9</v>
      </c>
      <c r="DB29" s="851">
        <f t="shared" si="146"/>
        <v>38.9</v>
      </c>
      <c r="DC29" s="1557">
        <f t="shared" si="146"/>
        <v>38.9</v>
      </c>
      <c r="DE29" s="626">
        <f t="shared" si="141"/>
        <v>1.6105378000000001</v>
      </c>
      <c r="DF29" s="626">
        <f t="shared" si="142"/>
        <v>1.0235756999999999</v>
      </c>
      <c r="DG29" s="626">
        <f t="shared" si="143"/>
        <v>1.0527989862732585</v>
      </c>
      <c r="DH29" s="626">
        <f t="shared" si="144"/>
        <v>1.1295431255690391</v>
      </c>
      <c r="DI29" s="1546">
        <f t="shared" si="145"/>
        <v>1.1146611794935202</v>
      </c>
    </row>
    <row r="30" spans="1:113" ht="14.5">
      <c r="A30" s="1957"/>
      <c r="B30" s="512" t="s">
        <v>171</v>
      </c>
      <c r="C30" s="991">
        <v>0.1</v>
      </c>
      <c r="D30" s="78"/>
      <c r="E30" s="78"/>
      <c r="F30" s="78">
        <v>146800</v>
      </c>
      <c r="G30" s="992">
        <v>144000</v>
      </c>
      <c r="H30" s="211">
        <f t="shared" si="119"/>
        <v>144000</v>
      </c>
      <c r="I30" s="211">
        <f t="shared" si="119"/>
        <v>144000</v>
      </c>
      <c r="W30" s="583">
        <f t="shared" si="115"/>
        <v>0</v>
      </c>
      <c r="X30" s="583">
        <f t="shared" si="115"/>
        <v>0</v>
      </c>
      <c r="Y30" s="583">
        <f t="shared" si="133"/>
        <v>112923.07692307694</v>
      </c>
      <c r="Z30" s="583">
        <f t="shared" si="134"/>
        <v>110769.23076923077</v>
      </c>
      <c r="AA30" s="583">
        <f t="shared" si="135"/>
        <v>110769.23076923077</v>
      </c>
      <c r="AB30" s="583">
        <f t="shared" si="136"/>
        <v>110769.23076923077</v>
      </c>
      <c r="AC30" s="32"/>
      <c r="AQ30" s="78"/>
      <c r="AR30" s="78"/>
      <c r="AS30" s="78">
        <v>12600</v>
      </c>
      <c r="AT30" s="78">
        <v>0</v>
      </c>
      <c r="AU30" s="78">
        <v>0</v>
      </c>
      <c r="AV30" s="78">
        <v>0</v>
      </c>
      <c r="BF30" s="984"/>
      <c r="BG30" s="984"/>
      <c r="BH30" s="984"/>
      <c r="BI30" s="1000"/>
      <c r="BJ30" s="255">
        <v>0</v>
      </c>
      <c r="BK30" s="255">
        <v>0</v>
      </c>
      <c r="BL30" s="255">
        <v>167200</v>
      </c>
      <c r="BM30" s="255">
        <v>203987.76514527926</v>
      </c>
      <c r="BN30" s="255">
        <v>327159.02775584208</v>
      </c>
      <c r="BO30" s="255">
        <v>399956.98283256951</v>
      </c>
      <c r="CR30" s="252">
        <f t="shared" si="120"/>
        <v>0</v>
      </c>
      <c r="CS30" s="252">
        <f t="shared" si="121"/>
        <v>0</v>
      </c>
      <c r="CT30" s="252">
        <f t="shared" si="122"/>
        <v>20987458.461538464</v>
      </c>
      <c r="CU30" s="252">
        <f t="shared" si="123"/>
        <v>22595567.831477087</v>
      </c>
      <c r="CV30" s="252">
        <f t="shared" si="124"/>
        <v>36239153.843724042</v>
      </c>
      <c r="CW30" s="1536">
        <f t="shared" si="125"/>
        <v>44302927.329146154</v>
      </c>
      <c r="CY30" s="278">
        <f t="shared" si="126"/>
        <v>49.9</v>
      </c>
      <c r="CZ30" s="5">
        <v>49.9</v>
      </c>
      <c r="DA30" s="278">
        <f t="shared" ref="DA30:DC30" si="147">CZ30</f>
        <v>49.9</v>
      </c>
      <c r="DB30" s="278">
        <f t="shared" si="147"/>
        <v>49.9</v>
      </c>
      <c r="DC30" s="1554">
        <f t="shared" si="147"/>
        <v>49.9</v>
      </c>
      <c r="DE30" s="252">
        <f t="shared" si="141"/>
        <v>0</v>
      </c>
      <c r="DF30" s="252">
        <f t="shared" si="142"/>
        <v>8.34328</v>
      </c>
      <c r="DG30" s="252">
        <f t="shared" si="143"/>
        <v>10.178989480749436</v>
      </c>
      <c r="DH30" s="252">
        <f t="shared" si="144"/>
        <v>16.32523548501652</v>
      </c>
      <c r="DI30" s="1536">
        <f t="shared" si="145"/>
        <v>19.957853443345218</v>
      </c>
    </row>
    <row r="31" spans="1:113" ht="14.5">
      <c r="A31" s="1957"/>
      <c r="B31" s="513" t="s">
        <v>172</v>
      </c>
      <c r="C31" s="991">
        <v>0.1</v>
      </c>
      <c r="D31" s="78"/>
      <c r="E31" s="78">
        <v>93800</v>
      </c>
      <c r="F31" s="78">
        <v>116800</v>
      </c>
      <c r="G31" s="992">
        <v>116800</v>
      </c>
      <c r="H31" s="211">
        <f t="shared" si="119"/>
        <v>116800</v>
      </c>
      <c r="I31" s="211">
        <f t="shared" si="119"/>
        <v>116800</v>
      </c>
      <c r="W31" s="583">
        <f t="shared" si="115"/>
        <v>0</v>
      </c>
      <c r="X31" s="583">
        <f t="shared" si="115"/>
        <v>72153.846153846156</v>
      </c>
      <c r="Y31" s="583">
        <f t="shared" si="133"/>
        <v>89846.153846153844</v>
      </c>
      <c r="Z31" s="583">
        <f t="shared" si="134"/>
        <v>89846.153846153844</v>
      </c>
      <c r="AA31" s="583">
        <f t="shared" si="135"/>
        <v>89846.153846153844</v>
      </c>
      <c r="AB31" s="583">
        <f t="shared" si="136"/>
        <v>89846.153846153844</v>
      </c>
      <c r="AC31" s="32"/>
      <c r="AQ31" s="78"/>
      <c r="AR31" s="78">
        <v>18000</v>
      </c>
      <c r="AS31" s="78">
        <v>12600</v>
      </c>
      <c r="AT31" s="78">
        <v>0</v>
      </c>
      <c r="AU31" s="78">
        <v>0</v>
      </c>
      <c r="AV31" s="78">
        <v>0</v>
      </c>
      <c r="BF31" s="984"/>
      <c r="BG31" s="984"/>
      <c r="BH31" s="984"/>
      <c r="BI31" s="1000"/>
      <c r="BJ31" s="255">
        <v>0</v>
      </c>
      <c r="BK31" s="255">
        <v>29598</v>
      </c>
      <c r="BL31" s="255">
        <v>204226</v>
      </c>
      <c r="BM31" s="255">
        <v>397236.93637632165</v>
      </c>
      <c r="BN31" s="255">
        <v>530101.47069937992</v>
      </c>
      <c r="BO31" s="255">
        <v>643775.90470391</v>
      </c>
      <c r="CR31" s="252">
        <f t="shared" si="120"/>
        <v>0</v>
      </c>
      <c r="CS31" s="252">
        <f t="shared" si="121"/>
        <v>2668373.5384615385</v>
      </c>
      <c r="CT31" s="252">
        <f t="shared" si="122"/>
        <v>20922168.215384614</v>
      </c>
      <c r="CU31" s="252">
        <f t="shared" si="123"/>
        <v>35690210.899041824</v>
      </c>
      <c r="CV31" s="252">
        <f t="shared" si="124"/>
        <v>47627578.290528901</v>
      </c>
      <c r="CW31" s="1536">
        <f t="shared" si="125"/>
        <v>57840788.976474375</v>
      </c>
      <c r="CY31" s="278">
        <f t="shared" si="126"/>
        <v>44.9</v>
      </c>
      <c r="CZ31" s="5">
        <v>44.9</v>
      </c>
      <c r="DA31" s="278">
        <f t="shared" ref="DA31:DC31" si="148">CZ31</f>
        <v>44.9</v>
      </c>
      <c r="DB31" s="278">
        <f t="shared" si="148"/>
        <v>44.9</v>
      </c>
      <c r="DC31" s="1554">
        <f t="shared" si="148"/>
        <v>44.9</v>
      </c>
      <c r="DE31" s="252">
        <f t="shared" ref="DE31:DE35" si="149">CY31*BK31/1000000</f>
        <v>1.3289502</v>
      </c>
      <c r="DF31" s="252">
        <f t="shared" ref="DF31:DF35" si="150">CZ31*BL31/1000000</f>
        <v>9.1697474000000003</v>
      </c>
      <c r="DG31" s="252">
        <f t="shared" ref="DG31:DG35" si="151">DA31*BM31/1000000</f>
        <v>17.835938443296843</v>
      </c>
      <c r="DH31" s="252">
        <f t="shared" ref="DH31:DH35" si="152">DB31*BN31/1000000</f>
        <v>23.801556034402157</v>
      </c>
      <c r="DI31" s="1536">
        <f t="shared" ref="DI31:DI35" si="153">DC31*BO31/1000000</f>
        <v>28.905538121205556</v>
      </c>
    </row>
    <row r="32" spans="1:113" ht="14.5">
      <c r="A32" s="1957"/>
      <c r="B32" s="513" t="s">
        <v>173</v>
      </c>
      <c r="C32" s="991">
        <v>0.1</v>
      </c>
      <c r="D32" s="77">
        <v>189800</v>
      </c>
      <c r="E32" s="78">
        <v>189800</v>
      </c>
      <c r="F32" s="78">
        <v>205800</v>
      </c>
      <c r="G32" s="992">
        <v>209800</v>
      </c>
      <c r="H32" s="211">
        <f t="shared" si="119"/>
        <v>209800</v>
      </c>
      <c r="I32" s="211">
        <f t="shared" si="119"/>
        <v>209800</v>
      </c>
      <c r="W32" s="583">
        <f t="shared" si="115"/>
        <v>146000</v>
      </c>
      <c r="X32" s="583">
        <f t="shared" si="115"/>
        <v>146000</v>
      </c>
      <c r="Y32" s="583">
        <f t="shared" si="133"/>
        <v>158307.69230769231</v>
      </c>
      <c r="Z32" s="583">
        <f t="shared" si="134"/>
        <v>161384.61538461538</v>
      </c>
      <c r="AA32" s="583">
        <f t="shared" si="135"/>
        <v>161384.61538461538</v>
      </c>
      <c r="AB32" s="583">
        <f t="shared" si="136"/>
        <v>161384.61538461538</v>
      </c>
      <c r="AC32" s="32"/>
      <c r="AQ32" s="78">
        <v>8500</v>
      </c>
      <c r="AR32" s="78">
        <v>6800</v>
      </c>
      <c r="AS32" s="78">
        <v>4800</v>
      </c>
      <c r="AT32" s="78">
        <v>0</v>
      </c>
      <c r="AU32" s="78">
        <v>0</v>
      </c>
      <c r="AV32" s="78">
        <v>0</v>
      </c>
      <c r="BF32" s="984"/>
      <c r="BG32" s="984"/>
      <c r="BH32" s="984"/>
      <c r="BI32" s="1000"/>
      <c r="BJ32" s="255">
        <v>21225</v>
      </c>
      <c r="BK32" s="255">
        <v>44292.436000000002</v>
      </c>
      <c r="BL32" s="255">
        <v>115822.63979999999</v>
      </c>
      <c r="BM32" s="255">
        <v>167271.24665277198</v>
      </c>
      <c r="BN32" s="255">
        <v>236408.55367617423</v>
      </c>
      <c r="BO32" s="255">
        <v>280151.3651053803</v>
      </c>
      <c r="CR32" s="252">
        <f>(W32+AQ32)*BJ32*10^(-3)</f>
        <v>3279262.5</v>
      </c>
      <c r="CS32" s="252">
        <f t="shared" si="121"/>
        <v>6767884.2208000002</v>
      </c>
      <c r="CT32" s="252">
        <f t="shared" si="122"/>
        <v>18891563.494763076</v>
      </c>
      <c r="CU32" s="252">
        <f t="shared" si="123"/>
        <v>26995005.805962738</v>
      </c>
      <c r="CV32" s="252">
        <f t="shared" si="124"/>
        <v>38152703.508662574</v>
      </c>
      <c r="CW32" s="1536">
        <f t="shared" si="125"/>
        <v>45212120.307006761</v>
      </c>
      <c r="CY32" s="278">
        <f t="shared" si="126"/>
        <v>21.5</v>
      </c>
      <c r="CZ32" s="5">
        <v>21.5</v>
      </c>
      <c r="DA32" s="278">
        <f t="shared" ref="DA32:DC32" si="154">CZ32</f>
        <v>21.5</v>
      </c>
      <c r="DB32" s="278">
        <f t="shared" si="154"/>
        <v>21.5</v>
      </c>
      <c r="DC32" s="1554">
        <f t="shared" si="154"/>
        <v>21.5</v>
      </c>
      <c r="DE32" s="252">
        <f t="shared" si="149"/>
        <v>0.95228737400000008</v>
      </c>
      <c r="DF32" s="252">
        <f t="shared" si="150"/>
        <v>2.4901867556999995</v>
      </c>
      <c r="DG32" s="252">
        <f t="shared" si="151"/>
        <v>3.5963318030345977</v>
      </c>
      <c r="DH32" s="252">
        <f t="shared" si="152"/>
        <v>5.082783904037746</v>
      </c>
      <c r="DI32" s="1536">
        <f t="shared" si="153"/>
        <v>6.0232543497656774</v>
      </c>
    </row>
    <row r="33" spans="1:114" ht="14.5">
      <c r="A33" s="1957"/>
      <c r="B33" s="6" t="s">
        <v>174</v>
      </c>
      <c r="C33" s="991">
        <v>0.1</v>
      </c>
      <c r="D33" s="78">
        <v>310700</v>
      </c>
      <c r="E33" s="78">
        <v>292600</v>
      </c>
      <c r="F33" s="78">
        <v>312800</v>
      </c>
      <c r="G33" s="992">
        <v>285800</v>
      </c>
      <c r="H33" s="211">
        <f t="shared" si="119"/>
        <v>285800</v>
      </c>
      <c r="I33" s="211">
        <f t="shared" si="119"/>
        <v>285800</v>
      </c>
      <c r="W33" s="583">
        <f t="shared" si="115"/>
        <v>239000</v>
      </c>
      <c r="X33" s="583">
        <f t="shared" si="115"/>
        <v>225076.92307692309</v>
      </c>
      <c r="Y33" s="583">
        <f t="shared" si="133"/>
        <v>240615.38461538465</v>
      </c>
      <c r="Z33" s="583">
        <f t="shared" si="134"/>
        <v>219846.15384615384</v>
      </c>
      <c r="AA33" s="583">
        <f t="shared" si="135"/>
        <v>219846.15384615384</v>
      </c>
      <c r="AB33" s="583">
        <f t="shared" si="136"/>
        <v>219846.15384615384</v>
      </c>
      <c r="AC33" s="32"/>
      <c r="AQ33" s="78">
        <v>22500</v>
      </c>
      <c r="AR33" s="78">
        <v>18000</v>
      </c>
      <c r="AS33" s="78">
        <v>12600</v>
      </c>
      <c r="AT33" s="78">
        <v>0</v>
      </c>
      <c r="AU33" s="78">
        <v>0</v>
      </c>
      <c r="AV33" s="78">
        <v>0</v>
      </c>
      <c r="BF33" s="984"/>
      <c r="BG33" s="984"/>
      <c r="BH33" s="984"/>
      <c r="BI33" s="1000"/>
      <c r="BJ33" s="255">
        <v>1537</v>
      </c>
      <c r="BK33" s="255">
        <v>5062</v>
      </c>
      <c r="BL33" s="255">
        <v>25145.000000000004</v>
      </c>
      <c r="BM33" s="255">
        <v>10589.672036506819</v>
      </c>
      <c r="BN33" s="255">
        <v>13600.091347824902</v>
      </c>
      <c r="BO33" s="255">
        <v>16395.189448269844</v>
      </c>
      <c r="CR33" s="252">
        <f>(W33+AQ33)*BJ33*10^(-3)</f>
        <v>401925.5</v>
      </c>
      <c r="CS33" s="252">
        <f t="shared" si="121"/>
        <v>1230455.3846153845</v>
      </c>
      <c r="CT33" s="252">
        <f t="shared" si="122"/>
        <v>6367100.8461538479</v>
      </c>
      <c r="CU33" s="252">
        <f t="shared" si="123"/>
        <v>2328098.6677181916</v>
      </c>
      <c r="CV33" s="252">
        <f t="shared" si="124"/>
        <v>2989927.7747756592</v>
      </c>
      <c r="CW33" s="1536">
        <f t="shared" si="125"/>
        <v>3604419.3417811706</v>
      </c>
      <c r="CY33" s="278">
        <v>108.8</v>
      </c>
      <c r="CZ33" s="5">
        <v>108.8</v>
      </c>
      <c r="DA33" s="278">
        <f t="shared" ref="DA33:DC33" si="155">CZ33</f>
        <v>108.8</v>
      </c>
      <c r="DB33" s="278">
        <f t="shared" si="155"/>
        <v>108.8</v>
      </c>
      <c r="DC33" s="1554">
        <f t="shared" si="155"/>
        <v>108.8</v>
      </c>
      <c r="DE33" s="252">
        <f t="shared" si="149"/>
        <v>0.55074559999999995</v>
      </c>
      <c r="DF33" s="252">
        <f t="shared" si="150"/>
        <v>2.7357760000000004</v>
      </c>
      <c r="DG33" s="252">
        <f t="shared" si="151"/>
        <v>1.152156317571942</v>
      </c>
      <c r="DH33" s="252">
        <f t="shared" si="152"/>
        <v>1.4796899386433493</v>
      </c>
      <c r="DI33" s="1536">
        <f t="shared" si="153"/>
        <v>1.783796611971759</v>
      </c>
    </row>
    <row r="34" spans="1:114" ht="14.5">
      <c r="A34" s="1957"/>
      <c r="B34" s="6" t="s">
        <v>175</v>
      </c>
      <c r="C34" s="991">
        <v>0.1</v>
      </c>
      <c r="D34" s="78"/>
      <c r="E34" s="78">
        <v>155100</v>
      </c>
      <c r="F34" s="78">
        <v>161800</v>
      </c>
      <c r="G34" s="992">
        <v>139800</v>
      </c>
      <c r="H34" s="211">
        <f t="shared" si="119"/>
        <v>139800</v>
      </c>
      <c r="I34" s="211">
        <f t="shared" si="119"/>
        <v>139800</v>
      </c>
      <c r="W34" s="583">
        <f t="shared" si="115"/>
        <v>0</v>
      </c>
      <c r="X34" s="583">
        <f t="shared" si="115"/>
        <v>119307.69230769231</v>
      </c>
      <c r="Y34" s="583">
        <f t="shared" si="133"/>
        <v>124461.53846153848</v>
      </c>
      <c r="Z34" s="583">
        <f t="shared" si="134"/>
        <v>107538.46153846155</v>
      </c>
      <c r="AA34" s="583">
        <f t="shared" si="135"/>
        <v>107538.46153846155</v>
      </c>
      <c r="AB34" s="583">
        <f t="shared" si="136"/>
        <v>107538.46153846155</v>
      </c>
      <c r="AC34" s="32"/>
      <c r="AQ34" s="78"/>
      <c r="AR34" s="78">
        <v>18000</v>
      </c>
      <c r="AS34" s="78">
        <v>12600</v>
      </c>
      <c r="AT34" s="78">
        <v>0</v>
      </c>
      <c r="AU34" s="78">
        <v>0</v>
      </c>
      <c r="AV34" s="78">
        <v>0</v>
      </c>
      <c r="BF34" s="984"/>
      <c r="BG34" s="984"/>
      <c r="BH34" s="984"/>
      <c r="BI34" s="1000"/>
      <c r="BJ34" s="255">
        <v>0</v>
      </c>
      <c r="BK34" s="255">
        <v>55246</v>
      </c>
      <c r="BL34" s="255">
        <v>119933</v>
      </c>
      <c r="BM34" s="255">
        <v>176025.18193162972</v>
      </c>
      <c r="BN34" s="255">
        <v>219657.21675057083</v>
      </c>
      <c r="BO34" s="255">
        <v>254124.54345549378</v>
      </c>
      <c r="CR34" s="252">
        <f t="shared" si="120"/>
        <v>0</v>
      </c>
      <c r="CS34" s="252">
        <f t="shared" si="121"/>
        <v>7585700.769230769</v>
      </c>
      <c r="CT34" s="252">
        <f t="shared" si="122"/>
        <v>16438201.492307698</v>
      </c>
      <c r="CU34" s="252">
        <f t="shared" si="123"/>
        <v>18929477.256955259</v>
      </c>
      <c r="CV34" s="252">
        <f t="shared" si="124"/>
        <v>23621599.155176774</v>
      </c>
      <c r="CW34" s="1536">
        <f t="shared" si="125"/>
        <v>27328162.442367718</v>
      </c>
      <c r="CY34" s="278">
        <v>57</v>
      </c>
      <c r="CZ34" s="5">
        <v>57</v>
      </c>
      <c r="DA34" s="278">
        <f t="shared" ref="DA34:DC34" si="156">CZ34</f>
        <v>57</v>
      </c>
      <c r="DB34" s="278">
        <f t="shared" si="156"/>
        <v>57</v>
      </c>
      <c r="DC34" s="1554">
        <f t="shared" si="156"/>
        <v>57</v>
      </c>
      <c r="DE34" s="252">
        <f t="shared" si="149"/>
        <v>3.149022</v>
      </c>
      <c r="DF34" s="252">
        <f t="shared" si="150"/>
        <v>6.8361809999999998</v>
      </c>
      <c r="DG34" s="252">
        <f t="shared" si="151"/>
        <v>10.033435370102893</v>
      </c>
      <c r="DH34" s="252">
        <f t="shared" si="152"/>
        <v>12.520461354782539</v>
      </c>
      <c r="DI34" s="1536">
        <f t="shared" si="153"/>
        <v>14.485098976963146</v>
      </c>
    </row>
    <row r="35" spans="1:114" ht="14.5">
      <c r="A35" s="1957"/>
      <c r="B35" s="6" t="s">
        <v>176</v>
      </c>
      <c r="C35" s="991">
        <v>0.1</v>
      </c>
      <c r="D35" s="78">
        <v>154100</v>
      </c>
      <c r="E35" s="78">
        <v>169800</v>
      </c>
      <c r="F35" s="78">
        <v>165800</v>
      </c>
      <c r="G35" s="992">
        <v>155800</v>
      </c>
      <c r="H35" s="211">
        <f t="shared" si="119"/>
        <v>155800</v>
      </c>
      <c r="I35" s="211">
        <f t="shared" si="119"/>
        <v>155800</v>
      </c>
      <c r="W35" s="583">
        <f t="shared" si="115"/>
        <v>118538.46153846155</v>
      </c>
      <c r="X35" s="583">
        <f t="shared" si="115"/>
        <v>130615.38461538461</v>
      </c>
      <c r="Y35" s="583">
        <f t="shared" si="133"/>
        <v>127538.46153846155</v>
      </c>
      <c r="Z35" s="583">
        <f t="shared" si="134"/>
        <v>119846.15384615384</v>
      </c>
      <c r="AA35" s="583">
        <f t="shared" si="135"/>
        <v>119846.15384615384</v>
      </c>
      <c r="AB35" s="583">
        <f t="shared" si="136"/>
        <v>119846.15384615384</v>
      </c>
      <c r="AC35" s="32"/>
      <c r="AQ35" s="78">
        <v>22500</v>
      </c>
      <c r="AR35" s="78">
        <v>18000</v>
      </c>
      <c r="AS35" s="78">
        <v>12600</v>
      </c>
      <c r="AT35" s="78">
        <v>0</v>
      </c>
      <c r="AU35" s="78">
        <v>0</v>
      </c>
      <c r="AV35" s="78">
        <v>0</v>
      </c>
      <c r="BF35" s="984"/>
      <c r="BG35" s="984"/>
      <c r="BH35" s="984"/>
      <c r="BI35" s="1000"/>
      <c r="BJ35" s="255">
        <v>41621</v>
      </c>
      <c r="BK35" s="255">
        <v>19477</v>
      </c>
      <c r="BL35" s="255">
        <v>33792</v>
      </c>
      <c r="BM35" s="255">
        <v>33577.291422984723</v>
      </c>
      <c r="BN35" s="255">
        <v>29843.31819661993</v>
      </c>
      <c r="BO35" s="255">
        <v>31801.544337935888</v>
      </c>
      <c r="CR35" s="252">
        <f t="shared" si="120"/>
        <v>5870161.8076923089</v>
      </c>
      <c r="CS35" s="252">
        <f t="shared" si="121"/>
        <v>2894581.8461538465</v>
      </c>
      <c r="CT35" s="252">
        <f t="shared" si="122"/>
        <v>4735558.8923076931</v>
      </c>
      <c r="CU35" s="252">
        <f t="shared" si="123"/>
        <v>4024109.2336161691</v>
      </c>
      <c r="CV35" s="252">
        <f t="shared" si="124"/>
        <v>3576606.9038718347</v>
      </c>
      <c r="CW35" s="1536">
        <f t="shared" si="125"/>
        <v>3811292.775269547</v>
      </c>
      <c r="CY35" s="278">
        <f t="shared" si="126"/>
        <v>47.5</v>
      </c>
      <c r="CZ35" s="5">
        <v>47.5</v>
      </c>
      <c r="DA35" s="278">
        <f t="shared" ref="DA35:DC35" si="157">CZ35</f>
        <v>47.5</v>
      </c>
      <c r="DB35" s="278">
        <f t="shared" si="157"/>
        <v>47.5</v>
      </c>
      <c r="DC35" s="1554">
        <f t="shared" si="157"/>
        <v>47.5</v>
      </c>
      <c r="DE35" s="252">
        <f t="shared" si="149"/>
        <v>0.92515749999999997</v>
      </c>
      <c r="DF35" s="252">
        <f t="shared" si="150"/>
        <v>1.6051200000000001</v>
      </c>
      <c r="DG35" s="252">
        <f t="shared" si="151"/>
        <v>1.5949213425917743</v>
      </c>
      <c r="DH35" s="252">
        <f t="shared" si="152"/>
        <v>1.4175576143394466</v>
      </c>
      <c r="DI35" s="1536">
        <f t="shared" si="153"/>
        <v>1.5105733560519548</v>
      </c>
    </row>
    <row r="36" spans="1:114" ht="14.5">
      <c r="A36" s="1957"/>
      <c r="B36" s="512" t="s">
        <v>177</v>
      </c>
      <c r="C36" s="991">
        <v>0.1</v>
      </c>
      <c r="D36" s="78"/>
      <c r="E36" s="78">
        <v>105800</v>
      </c>
      <c r="F36" s="78">
        <v>137800</v>
      </c>
      <c r="G36" s="992">
        <v>122800</v>
      </c>
      <c r="H36" s="211">
        <f t="shared" si="119"/>
        <v>122800</v>
      </c>
      <c r="I36" s="211">
        <f t="shared" si="119"/>
        <v>122800</v>
      </c>
      <c r="W36" s="583">
        <f t="shared" si="115"/>
        <v>0</v>
      </c>
      <c r="X36" s="583">
        <f t="shared" si="115"/>
        <v>81384.61538461539</v>
      </c>
      <c r="Y36" s="583">
        <f t="shared" si="133"/>
        <v>106000</v>
      </c>
      <c r="Z36" s="583">
        <f t="shared" si="134"/>
        <v>94461.538461538468</v>
      </c>
      <c r="AA36" s="583">
        <f t="shared" si="135"/>
        <v>94461.538461538468</v>
      </c>
      <c r="AB36" s="583">
        <f t="shared" si="136"/>
        <v>94461.538461538468</v>
      </c>
      <c r="AC36" s="32"/>
      <c r="AQ36" s="78"/>
      <c r="AR36" s="78">
        <v>6800</v>
      </c>
      <c r="AS36" s="78">
        <v>4800</v>
      </c>
      <c r="AT36" s="78">
        <v>0</v>
      </c>
      <c r="AU36" s="78">
        <v>0</v>
      </c>
      <c r="AV36" s="78">
        <v>0</v>
      </c>
      <c r="BF36" s="984"/>
      <c r="BG36" s="984"/>
      <c r="BH36" s="984"/>
      <c r="BI36" s="1000"/>
      <c r="BJ36" s="255">
        <v>0</v>
      </c>
      <c r="BK36" s="255">
        <v>110971</v>
      </c>
      <c r="BL36" s="255">
        <v>195349</v>
      </c>
      <c r="BM36" s="255">
        <v>395540.12052640435</v>
      </c>
      <c r="BN36" s="255">
        <v>531982.37535289687</v>
      </c>
      <c r="BO36" s="255">
        <v>649496.28351714916</v>
      </c>
      <c r="CR36" s="252">
        <f t="shared" si="120"/>
        <v>0</v>
      </c>
      <c r="CS36" s="252">
        <f t="shared" si="121"/>
        <v>9785934.9538461547</v>
      </c>
      <c r="CT36" s="252">
        <f t="shared" si="122"/>
        <v>21644669.199999999</v>
      </c>
      <c r="CU36" s="252">
        <f>(Z36+AT36)*BM36*10^(-3)</f>
        <v>37363328.308186509</v>
      </c>
      <c r="CV36" s="252">
        <f t="shared" si="124"/>
        <v>50251873.610258266</v>
      </c>
      <c r="CW36" s="1536">
        <f t="shared" si="125"/>
        <v>61352418.166081481</v>
      </c>
      <c r="CY36" s="278">
        <f t="shared" si="126"/>
        <v>18.3</v>
      </c>
      <c r="CZ36" s="5">
        <v>18.3</v>
      </c>
      <c r="DA36" s="278">
        <f t="shared" ref="DA36:DC36" si="158">CZ36</f>
        <v>18.3</v>
      </c>
      <c r="DB36" s="278">
        <f t="shared" si="158"/>
        <v>18.3</v>
      </c>
      <c r="DC36" s="1554">
        <f t="shared" si="158"/>
        <v>18.3</v>
      </c>
      <c r="DE36" s="252">
        <f t="shared" si="128"/>
        <v>2.0307693000000002</v>
      </c>
      <c r="DF36" s="252">
        <f t="shared" si="129"/>
        <v>3.5748867</v>
      </c>
      <c r="DG36" s="252">
        <f t="shared" si="130"/>
        <v>7.2383842056332002</v>
      </c>
      <c r="DH36" s="252">
        <f t="shared" si="131"/>
        <v>9.7352774689580119</v>
      </c>
      <c r="DI36" s="1536">
        <f t="shared" si="132"/>
        <v>11.88578198836383</v>
      </c>
    </row>
    <row r="37" spans="1:114" ht="16" customHeight="1">
      <c r="A37" s="1957"/>
      <c r="B37" s="512" t="s">
        <v>178</v>
      </c>
      <c r="C37" s="991">
        <v>0.1</v>
      </c>
      <c r="D37" s="78">
        <v>106300</v>
      </c>
      <c r="E37" s="78">
        <v>116100</v>
      </c>
      <c r="F37" s="78">
        <v>95800</v>
      </c>
      <c r="G37" s="992">
        <v>102800</v>
      </c>
      <c r="H37" s="211">
        <f t="shared" si="119"/>
        <v>102800</v>
      </c>
      <c r="I37" s="211">
        <f t="shared" si="119"/>
        <v>102800</v>
      </c>
      <c r="W37" s="583">
        <f t="shared" si="115"/>
        <v>81769.23076923078</v>
      </c>
      <c r="X37" s="583">
        <f t="shared" si="115"/>
        <v>89307.692307692312</v>
      </c>
      <c r="Y37" s="583">
        <f t="shared" si="133"/>
        <v>73692.307692307702</v>
      </c>
      <c r="Z37" s="583">
        <f t="shared" si="134"/>
        <v>79076.923076923093</v>
      </c>
      <c r="AA37" s="583">
        <f t="shared" si="135"/>
        <v>79076.923076923093</v>
      </c>
      <c r="AB37" s="583">
        <f t="shared" si="136"/>
        <v>79076.923076923093</v>
      </c>
      <c r="AC37" s="32"/>
      <c r="AQ37" s="78">
        <v>16200</v>
      </c>
      <c r="AR37" s="78">
        <v>13000</v>
      </c>
      <c r="AS37" s="78">
        <v>9100</v>
      </c>
      <c r="AT37" s="78">
        <v>0</v>
      </c>
      <c r="AU37" s="78">
        <v>0</v>
      </c>
      <c r="AV37" s="78">
        <v>0</v>
      </c>
      <c r="BF37" s="984"/>
      <c r="BG37" s="984"/>
      <c r="BH37" s="984"/>
      <c r="BI37" s="1000"/>
      <c r="BJ37" s="255">
        <v>19616</v>
      </c>
      <c r="BK37" s="255">
        <v>34265</v>
      </c>
      <c r="BL37" s="255">
        <v>17935</v>
      </c>
      <c r="BM37" s="255">
        <v>25546.99071199615</v>
      </c>
      <c r="BN37" s="255">
        <v>27555.412392743798</v>
      </c>
      <c r="BO37" s="255">
        <v>23335.316175307522</v>
      </c>
      <c r="CR37" s="252">
        <f t="shared" si="120"/>
        <v>1921764.4307692312</v>
      </c>
      <c r="CS37" s="252">
        <f t="shared" si="121"/>
        <v>3505573.076923077</v>
      </c>
      <c r="CT37" s="252">
        <f t="shared" si="122"/>
        <v>1484880.0384615385</v>
      </c>
      <c r="CU37" s="252">
        <f t="shared" si="123"/>
        <v>2020177.4193793884</v>
      </c>
      <c r="CV37" s="252">
        <f t="shared" si="124"/>
        <v>2178997.2261338946</v>
      </c>
      <c r="CW37" s="1536">
        <f t="shared" si="125"/>
        <v>1845285.0021704722</v>
      </c>
      <c r="CY37" s="278">
        <f t="shared" si="126"/>
        <v>33.200000000000003</v>
      </c>
      <c r="CZ37" s="5">
        <v>33.200000000000003</v>
      </c>
      <c r="DA37" s="278">
        <f t="shared" ref="DA37:DC38" si="159">CZ37</f>
        <v>33.200000000000003</v>
      </c>
      <c r="DB37" s="278">
        <f t="shared" si="159"/>
        <v>33.200000000000003</v>
      </c>
      <c r="DC37" s="1554">
        <f t="shared" si="159"/>
        <v>33.200000000000003</v>
      </c>
      <c r="DE37" s="252">
        <f t="shared" si="128"/>
        <v>1.1375980000000001</v>
      </c>
      <c r="DF37" s="252">
        <f t="shared" si="129"/>
        <v>0.59544200000000003</v>
      </c>
      <c r="DG37" s="252">
        <f t="shared" si="130"/>
        <v>0.84816009163827233</v>
      </c>
      <c r="DH37" s="252">
        <f t="shared" si="131"/>
        <v>0.91483969143909416</v>
      </c>
      <c r="DI37" s="1536">
        <f t="shared" si="132"/>
        <v>0.77473249702020974</v>
      </c>
    </row>
    <row r="38" spans="1:114" s="5" customFormat="1" ht="14.5">
      <c r="A38" s="1957"/>
      <c r="B38" s="1086" t="s">
        <v>179</v>
      </c>
      <c r="C38" s="1083">
        <v>0.1</v>
      </c>
      <c r="D38" s="213"/>
      <c r="E38" s="213"/>
      <c r="F38" s="213">
        <v>202800</v>
      </c>
      <c r="G38" s="213">
        <v>202800</v>
      </c>
      <c r="H38" s="843">
        <f t="shared" si="119"/>
        <v>202800</v>
      </c>
      <c r="I38" s="843">
        <f t="shared" si="119"/>
        <v>202800</v>
      </c>
      <c r="W38" s="1084"/>
      <c r="X38" s="1084"/>
      <c r="Y38" s="1084">
        <f t="shared" si="133"/>
        <v>156000</v>
      </c>
      <c r="Z38" s="1084">
        <f t="shared" ref="Z38" si="160">G38/1.17*(1-$C38)</f>
        <v>156000</v>
      </c>
      <c r="AA38" s="1084">
        <f t="shared" ref="AA38" si="161">H38/1.17*(1-$C38)</f>
        <v>156000</v>
      </c>
      <c r="AB38" s="1084">
        <f t="shared" ref="AB38" si="162">I38/1.17*(1-$C38)</f>
        <v>156000</v>
      </c>
      <c r="AC38" s="285"/>
      <c r="AQ38" s="213"/>
      <c r="AR38" s="213"/>
      <c r="AS38" s="213">
        <v>4800</v>
      </c>
      <c r="AT38" s="213">
        <v>0</v>
      </c>
      <c r="AU38" s="213">
        <v>0</v>
      </c>
      <c r="AV38" s="213">
        <v>0</v>
      </c>
      <c r="BF38" s="1058"/>
      <c r="BG38" s="1058"/>
      <c r="BH38" s="1058"/>
      <c r="BI38" s="1059"/>
      <c r="BJ38" s="986"/>
      <c r="BK38" s="986"/>
      <c r="BL38" s="986">
        <v>1805</v>
      </c>
      <c r="BM38" s="986">
        <v>69069.448671083635</v>
      </c>
      <c r="BN38" s="986">
        <v>93231.199507805533</v>
      </c>
      <c r="BO38" s="986">
        <v>110867.15884366859</v>
      </c>
      <c r="CQ38" s="1537"/>
      <c r="CR38" s="626"/>
      <c r="CS38" s="626"/>
      <c r="CT38" s="626">
        <f t="shared" ref="CT38:CT43" si="163">(Y38+AS38)*BL38*10^(-3)</f>
        <v>290244</v>
      </c>
      <c r="CU38" s="626">
        <f t="shared" ref="CU38:CU44" si="164">(Z38+AT38)*BM38*10^(-3)</f>
        <v>10774833.992689047</v>
      </c>
      <c r="CV38" s="626">
        <f t="shared" ref="CV38:CV44" si="165">(AA38+AU38)*BN38*10^(-3)</f>
        <v>14544067.123217663</v>
      </c>
      <c r="CW38" s="1546">
        <f t="shared" ref="CW38:CW44" si="166">(AB38+AV38)*BO38*10^(-3)</f>
        <v>17295276.779612303</v>
      </c>
      <c r="CY38" s="851"/>
      <c r="CZ38" s="5">
        <v>18.3</v>
      </c>
      <c r="DA38" s="851">
        <f t="shared" si="159"/>
        <v>18.3</v>
      </c>
      <c r="DB38" s="851">
        <f t="shared" si="159"/>
        <v>18.3</v>
      </c>
      <c r="DC38" s="1557">
        <f t="shared" si="159"/>
        <v>18.3</v>
      </c>
      <c r="DE38" s="626"/>
      <c r="DF38" s="626">
        <f t="shared" si="129"/>
        <v>3.3031499999999998E-2</v>
      </c>
      <c r="DG38" s="626">
        <f t="shared" si="130"/>
        <v>1.2639709106808306</v>
      </c>
      <c r="DH38" s="626">
        <f t="shared" si="131"/>
        <v>1.7061309509928413</v>
      </c>
      <c r="DI38" s="1546">
        <f t="shared" si="132"/>
        <v>2.0288690068391353</v>
      </c>
    </row>
    <row r="39" spans="1:114" ht="14.5">
      <c r="A39" s="1957"/>
      <c r="B39" s="513" t="s">
        <v>180</v>
      </c>
      <c r="C39" s="991">
        <v>0.1</v>
      </c>
      <c r="D39" s="78"/>
      <c r="E39" s="78"/>
      <c r="F39" s="78">
        <v>119800</v>
      </c>
      <c r="G39" s="992">
        <v>101800</v>
      </c>
      <c r="H39" s="211">
        <f t="shared" si="119"/>
        <v>101800</v>
      </c>
      <c r="I39" s="211">
        <f t="shared" si="119"/>
        <v>101800</v>
      </c>
      <c r="W39" s="583">
        <f t="shared" si="115"/>
        <v>0</v>
      </c>
      <c r="X39" s="583">
        <f t="shared" si="115"/>
        <v>0</v>
      </c>
      <c r="Y39" s="583">
        <f t="shared" si="133"/>
        <v>92153.846153846171</v>
      </c>
      <c r="Z39" s="583">
        <f t="shared" si="134"/>
        <v>78307.692307692312</v>
      </c>
      <c r="AA39" s="583">
        <f t="shared" si="135"/>
        <v>78307.692307692312</v>
      </c>
      <c r="AB39" s="583">
        <f t="shared" si="136"/>
        <v>78307.692307692312</v>
      </c>
      <c r="AC39" s="32"/>
      <c r="AQ39" s="78"/>
      <c r="AR39" s="78"/>
      <c r="AS39" s="78">
        <v>4800</v>
      </c>
      <c r="AT39" s="78">
        <v>0</v>
      </c>
      <c r="AU39" s="78">
        <v>0</v>
      </c>
      <c r="AV39" s="78">
        <v>0</v>
      </c>
      <c r="BF39" s="984"/>
      <c r="BG39" s="984"/>
      <c r="BH39" s="984"/>
      <c r="BI39" s="1000"/>
      <c r="BJ39" s="255">
        <v>0</v>
      </c>
      <c r="BK39" s="255">
        <v>0</v>
      </c>
      <c r="BL39" s="255">
        <v>61949.000000000007</v>
      </c>
      <c r="BM39" s="255">
        <v>75868.568417417104</v>
      </c>
      <c r="BN39" s="255">
        <v>115424.22863607471</v>
      </c>
      <c r="BO39" s="255">
        <v>151929.7426411394</v>
      </c>
      <c r="CR39" s="252">
        <f t="shared" ref="CR39:CR43" si="167">(W39+AQ39)*BJ39*10^(-3)</f>
        <v>0</v>
      </c>
      <c r="CS39" s="252">
        <f t="shared" ref="CS39:CS43" si="168">(X39+AR39)*BK39*10^(-3)</f>
        <v>0</v>
      </c>
      <c r="CT39" s="252">
        <f t="shared" si="163"/>
        <v>6006193.8153846171</v>
      </c>
      <c r="CU39" s="252">
        <f t="shared" si="164"/>
        <v>5941092.5114562018</v>
      </c>
      <c r="CV39" s="252">
        <f t="shared" si="165"/>
        <v>9038604.9808864668</v>
      </c>
      <c r="CW39" s="1536">
        <f t="shared" si="166"/>
        <v>11897267.539129226</v>
      </c>
      <c r="CY39" s="278">
        <f t="shared" si="126"/>
        <v>8.3000000000000007</v>
      </c>
      <c r="CZ39" s="5">
        <v>8.3000000000000007</v>
      </c>
      <c r="DA39" s="278">
        <f t="shared" ref="DA39:DC39" si="169">CZ39</f>
        <v>8.3000000000000007</v>
      </c>
      <c r="DB39" s="278">
        <f t="shared" si="169"/>
        <v>8.3000000000000007</v>
      </c>
      <c r="DC39" s="1554">
        <f t="shared" si="169"/>
        <v>8.3000000000000007</v>
      </c>
      <c r="DE39" s="252">
        <f t="shared" si="128"/>
        <v>0</v>
      </c>
      <c r="DF39" s="252">
        <f t="shared" si="129"/>
        <v>0.51417670000000015</v>
      </c>
      <c r="DG39" s="252">
        <f t="shared" si="130"/>
        <v>0.62970911786456196</v>
      </c>
      <c r="DH39" s="252">
        <f t="shared" si="131"/>
        <v>0.95802109767942012</v>
      </c>
      <c r="DI39" s="1536">
        <f t="shared" si="132"/>
        <v>1.2610168639214572</v>
      </c>
    </row>
    <row r="40" spans="1:114" ht="14.5">
      <c r="A40" s="1957"/>
      <c r="B40" s="513" t="s">
        <v>181</v>
      </c>
      <c r="C40" s="991">
        <v>0.1</v>
      </c>
      <c r="D40" s="77">
        <v>236800</v>
      </c>
      <c r="E40" s="77">
        <v>236800</v>
      </c>
      <c r="F40" s="78">
        <v>236800</v>
      </c>
      <c r="G40" s="992">
        <v>219800</v>
      </c>
      <c r="H40" s="211">
        <f t="shared" si="119"/>
        <v>219800</v>
      </c>
      <c r="I40" s="211">
        <f t="shared" si="119"/>
        <v>219800</v>
      </c>
      <c r="W40" s="583">
        <f t="shared" si="115"/>
        <v>182153.84615384616</v>
      </c>
      <c r="X40" s="583">
        <f t="shared" si="115"/>
        <v>182153.84615384616</v>
      </c>
      <c r="Y40" s="583">
        <f t="shared" si="133"/>
        <v>182153.84615384616</v>
      </c>
      <c r="Z40" s="583">
        <f t="shared" si="134"/>
        <v>169076.92307692309</v>
      </c>
      <c r="AA40" s="583">
        <f t="shared" si="135"/>
        <v>169076.92307692309</v>
      </c>
      <c r="AB40" s="583">
        <f t="shared" si="136"/>
        <v>169076.92307692309</v>
      </c>
      <c r="AC40" s="32"/>
      <c r="AQ40" s="78">
        <v>8500</v>
      </c>
      <c r="AR40" s="78">
        <v>6800</v>
      </c>
      <c r="AS40" s="78">
        <v>4800</v>
      </c>
      <c r="AT40" s="78">
        <v>0</v>
      </c>
      <c r="AU40" s="78">
        <v>0</v>
      </c>
      <c r="AV40" s="78">
        <v>0</v>
      </c>
      <c r="BF40" s="984"/>
      <c r="BG40" s="984"/>
      <c r="BH40" s="984"/>
      <c r="BI40" s="1000"/>
      <c r="BJ40" s="255">
        <v>11783</v>
      </c>
      <c r="BK40" s="255">
        <v>30500</v>
      </c>
      <c r="BL40" s="255">
        <v>129351</v>
      </c>
      <c r="BM40" s="255">
        <v>145866.85966227387</v>
      </c>
      <c r="BN40" s="255">
        <v>176065.65382620462</v>
      </c>
      <c r="BO40" s="255">
        <v>192256.92713914512</v>
      </c>
      <c r="CR40" s="252">
        <f t="shared" si="167"/>
        <v>2246474.269230769</v>
      </c>
      <c r="CS40" s="252">
        <f t="shared" si="168"/>
        <v>5763092.307692308</v>
      </c>
      <c r="CT40" s="252">
        <f t="shared" si="163"/>
        <v>24182666.953846153</v>
      </c>
      <c r="CU40" s="252">
        <f t="shared" si="164"/>
        <v>24662719.810590614</v>
      </c>
      <c r="CV40" s="252">
        <f t="shared" si="165"/>
        <v>29768639.008461367</v>
      </c>
      <c r="CW40" s="1536">
        <f t="shared" si="166"/>
        <v>32506209.680910848</v>
      </c>
      <c r="CY40" s="278">
        <f t="shared" si="126"/>
        <v>18.3</v>
      </c>
      <c r="CZ40" s="5">
        <v>18.3</v>
      </c>
      <c r="DA40" s="278">
        <f t="shared" ref="DA40:DC40" si="170">CZ40</f>
        <v>18.3</v>
      </c>
      <c r="DB40" s="278">
        <f t="shared" si="170"/>
        <v>18.3</v>
      </c>
      <c r="DC40" s="1554">
        <f t="shared" si="170"/>
        <v>18.3</v>
      </c>
      <c r="DE40" s="252">
        <f t="shared" si="128"/>
        <v>0.55815000000000003</v>
      </c>
      <c r="DF40" s="252">
        <f t="shared" si="129"/>
        <v>2.3671233000000003</v>
      </c>
      <c r="DG40" s="252">
        <f t="shared" si="130"/>
        <v>2.6693635318196116</v>
      </c>
      <c r="DH40" s="252">
        <f t="shared" si="131"/>
        <v>3.2220014650195448</v>
      </c>
      <c r="DI40" s="1536">
        <f t="shared" si="132"/>
        <v>3.5183017666463559</v>
      </c>
    </row>
    <row r="41" spans="1:114" ht="14.5">
      <c r="A41" s="1957"/>
      <c r="B41" s="6" t="s">
        <v>182</v>
      </c>
      <c r="C41" s="991">
        <v>0.1</v>
      </c>
      <c r="D41" s="78">
        <v>255000</v>
      </c>
      <c r="E41" s="78">
        <v>243700</v>
      </c>
      <c r="F41" s="78">
        <v>290800</v>
      </c>
      <c r="G41" s="992">
        <v>299800</v>
      </c>
      <c r="H41" s="211">
        <f t="shared" si="119"/>
        <v>299800</v>
      </c>
      <c r="I41" s="211">
        <f t="shared" si="119"/>
        <v>299800</v>
      </c>
      <c r="W41" s="583">
        <f t="shared" si="115"/>
        <v>196153.84615384619</v>
      </c>
      <c r="X41" s="583">
        <f t="shared" si="115"/>
        <v>187461.5384615385</v>
      </c>
      <c r="Y41" s="583">
        <f t="shared" si="133"/>
        <v>223692.30769230772</v>
      </c>
      <c r="Z41" s="583">
        <f t="shared" si="134"/>
        <v>230615.38461538462</v>
      </c>
      <c r="AA41" s="583">
        <f t="shared" si="135"/>
        <v>230615.38461538462</v>
      </c>
      <c r="AB41" s="583">
        <f t="shared" si="136"/>
        <v>230615.38461538462</v>
      </c>
      <c r="AC41" s="32"/>
      <c r="AQ41" s="78">
        <v>22500</v>
      </c>
      <c r="AR41" s="78">
        <v>18000</v>
      </c>
      <c r="AS41" s="78">
        <v>12600</v>
      </c>
      <c r="AT41" s="78">
        <v>0</v>
      </c>
      <c r="AU41" s="78">
        <v>0</v>
      </c>
      <c r="AV41" s="78">
        <v>0</v>
      </c>
      <c r="BF41" s="984"/>
      <c r="BG41" s="984"/>
      <c r="BH41" s="984"/>
      <c r="BI41" s="1000"/>
      <c r="BJ41" s="255">
        <v>28773</v>
      </c>
      <c r="BK41" s="255">
        <v>87082</v>
      </c>
      <c r="BL41" s="255">
        <v>144665</v>
      </c>
      <c r="BM41" s="986">
        <v>129554</v>
      </c>
      <c r="BN41" s="986">
        <v>121689</v>
      </c>
      <c r="BO41" s="986">
        <v>109617</v>
      </c>
      <c r="CR41" s="252">
        <f t="shared" si="167"/>
        <v>6291327.115384616</v>
      </c>
      <c r="CS41" s="252">
        <f t="shared" si="168"/>
        <v>17892001.692307699</v>
      </c>
      <c r="CT41" s="252">
        <f t="shared" si="163"/>
        <v>34183226.692307696</v>
      </c>
      <c r="CU41" s="252">
        <f t="shared" si="164"/>
        <v>29877145.53846154</v>
      </c>
      <c r="CV41" s="252">
        <f t="shared" si="165"/>
        <v>28063355.53846154</v>
      </c>
      <c r="CW41" s="1536">
        <f t="shared" si="166"/>
        <v>25279366.615384616</v>
      </c>
      <c r="CY41" s="278">
        <v>85.4</v>
      </c>
      <c r="CZ41" s="5">
        <v>85.4</v>
      </c>
      <c r="DA41" s="278">
        <f t="shared" ref="DA41:DC41" si="171">CZ41</f>
        <v>85.4</v>
      </c>
      <c r="DB41" s="278">
        <f t="shared" si="171"/>
        <v>85.4</v>
      </c>
      <c r="DC41" s="1554">
        <f t="shared" si="171"/>
        <v>85.4</v>
      </c>
      <c r="DE41" s="252">
        <f t="shared" si="128"/>
        <v>7.4368028000000006</v>
      </c>
      <c r="DF41" s="252">
        <f t="shared" si="129"/>
        <v>12.354391</v>
      </c>
      <c r="DG41" s="252">
        <f t="shared" si="130"/>
        <v>11.063911600000001</v>
      </c>
      <c r="DH41" s="252">
        <f t="shared" si="131"/>
        <v>10.392240600000001</v>
      </c>
      <c r="DI41" s="1536">
        <f t="shared" si="132"/>
        <v>9.3612918000000001</v>
      </c>
    </row>
    <row r="42" spans="1:114" ht="14.5">
      <c r="A42" s="1957"/>
      <c r="B42" s="6" t="s">
        <v>183</v>
      </c>
      <c r="C42" s="991">
        <v>0.1</v>
      </c>
      <c r="D42" s="78"/>
      <c r="E42" s="78"/>
      <c r="F42" s="78">
        <v>262800</v>
      </c>
      <c r="G42" s="992">
        <v>239800</v>
      </c>
      <c r="H42" s="211">
        <f t="shared" si="119"/>
        <v>239800</v>
      </c>
      <c r="I42" s="211">
        <f t="shared" si="119"/>
        <v>239800</v>
      </c>
      <c r="W42" s="583">
        <f t="shared" si="115"/>
        <v>0</v>
      </c>
      <c r="X42" s="583">
        <f t="shared" si="115"/>
        <v>0</v>
      </c>
      <c r="Y42" s="583">
        <f t="shared" si="133"/>
        <v>202153.84615384616</v>
      </c>
      <c r="Z42" s="583">
        <f t="shared" si="134"/>
        <v>184461.53846153847</v>
      </c>
      <c r="AA42" s="583">
        <f t="shared" si="135"/>
        <v>184461.53846153847</v>
      </c>
      <c r="AB42" s="583">
        <f t="shared" si="136"/>
        <v>184461.53846153847</v>
      </c>
      <c r="AC42" s="32"/>
      <c r="AQ42" s="78"/>
      <c r="AR42" s="78"/>
      <c r="AS42" s="78">
        <v>12600</v>
      </c>
      <c r="AT42" s="78">
        <v>0</v>
      </c>
      <c r="AU42" s="78">
        <v>0</v>
      </c>
      <c r="AV42" s="78">
        <v>0</v>
      </c>
      <c r="BF42" s="984"/>
      <c r="BG42" s="984"/>
      <c r="BH42" s="984"/>
      <c r="BI42" s="1000"/>
      <c r="BJ42" s="255">
        <v>0</v>
      </c>
      <c r="BK42" s="255">
        <v>0</v>
      </c>
      <c r="BL42" s="255">
        <v>51200</v>
      </c>
      <c r="BM42" s="255">
        <v>85348.073199893784</v>
      </c>
      <c r="BN42" s="255">
        <v>119549.66859337047</v>
      </c>
      <c r="BO42" s="255">
        <v>144169.7647565066</v>
      </c>
      <c r="CR42" s="252">
        <f t="shared" si="167"/>
        <v>0</v>
      </c>
      <c r="CS42" s="252">
        <f t="shared" si="168"/>
        <v>0</v>
      </c>
      <c r="CT42" s="252">
        <f t="shared" si="163"/>
        <v>10995396.923076924</v>
      </c>
      <c r="CU42" s="252">
        <f t="shared" si="164"/>
        <v>15743436.887180408</v>
      </c>
      <c r="CV42" s="252">
        <f t="shared" si="165"/>
        <v>22052315.791300185</v>
      </c>
      <c r="CW42" s="1536">
        <f t="shared" si="166"/>
        <v>26593776.606623296</v>
      </c>
      <c r="CY42" s="278"/>
      <c r="CZ42" s="5">
        <v>82.5</v>
      </c>
      <c r="DA42" s="278">
        <v>82.5</v>
      </c>
      <c r="DB42" s="278">
        <v>82.5</v>
      </c>
      <c r="DC42" s="1554">
        <v>82.5</v>
      </c>
      <c r="DE42" s="252">
        <f>CY42*BK42/1000000</f>
        <v>0</v>
      </c>
      <c r="DF42" s="252">
        <f t="shared" ref="DF42" si="172">CZ42*BL42/1000000</f>
        <v>4.2240000000000002</v>
      </c>
      <c r="DG42" s="252">
        <f t="shared" si="130"/>
        <v>7.0412160389912373</v>
      </c>
      <c r="DH42" s="252">
        <f t="shared" si="131"/>
        <v>9.8628476589530631</v>
      </c>
      <c r="DI42" s="1536">
        <f t="shared" si="132"/>
        <v>11.894005592411794</v>
      </c>
    </row>
    <row r="43" spans="1:114" ht="14.5">
      <c r="A43" s="1957"/>
      <c r="B43" s="6" t="s">
        <v>184</v>
      </c>
      <c r="C43" s="991">
        <v>0.1</v>
      </c>
      <c r="D43" s="78"/>
      <c r="E43" s="78"/>
      <c r="F43" s="78">
        <v>345800</v>
      </c>
      <c r="G43" s="78">
        <v>349800</v>
      </c>
      <c r="H43" s="78">
        <v>349800</v>
      </c>
      <c r="I43" s="78">
        <v>349800</v>
      </c>
      <c r="W43" s="583">
        <f t="shared" si="115"/>
        <v>0</v>
      </c>
      <c r="X43" s="583">
        <f t="shared" si="115"/>
        <v>0</v>
      </c>
      <c r="Y43" s="583">
        <f t="shared" si="133"/>
        <v>266000</v>
      </c>
      <c r="Z43" s="583">
        <f t="shared" si="134"/>
        <v>269076.92307692312</v>
      </c>
      <c r="AA43" s="583">
        <f t="shared" si="135"/>
        <v>269076.92307692312</v>
      </c>
      <c r="AB43" s="583">
        <f t="shared" si="136"/>
        <v>269076.92307692312</v>
      </c>
      <c r="AC43" s="32"/>
      <c r="AQ43" s="78"/>
      <c r="AR43" s="78"/>
      <c r="AS43" s="78">
        <v>0</v>
      </c>
      <c r="AT43" s="78">
        <v>0</v>
      </c>
      <c r="AU43" s="78">
        <v>0</v>
      </c>
      <c r="AV43" s="78">
        <v>0</v>
      </c>
      <c r="BJ43" s="255">
        <v>0</v>
      </c>
      <c r="BK43" s="255">
        <v>0</v>
      </c>
      <c r="BL43" s="255">
        <v>9803</v>
      </c>
      <c r="BM43" s="255">
        <v>118711.8081086132</v>
      </c>
      <c r="BN43" s="255">
        <v>195097.42142035035</v>
      </c>
      <c r="BO43" s="255">
        <v>235201.26503761689</v>
      </c>
      <c r="CR43" s="252">
        <f t="shared" si="167"/>
        <v>0</v>
      </c>
      <c r="CS43" s="252">
        <f t="shared" si="168"/>
        <v>0</v>
      </c>
      <c r="CT43" s="252">
        <f t="shared" si="163"/>
        <v>2607598</v>
      </c>
      <c r="CU43" s="252">
        <f t="shared" si="164"/>
        <v>31942608.058763772</v>
      </c>
      <c r="CV43" s="252">
        <f t="shared" si="165"/>
        <v>52496213.856029667</v>
      </c>
      <c r="CW43" s="1536">
        <f t="shared" si="166"/>
        <v>63287232.70012185</v>
      </c>
      <c r="CY43" s="278"/>
      <c r="CZ43" s="608">
        <v>20.39</v>
      </c>
      <c r="DA43" s="612">
        <v>20.39</v>
      </c>
      <c r="DB43" s="612">
        <v>20.39</v>
      </c>
      <c r="DC43" s="1544">
        <v>20.39</v>
      </c>
      <c r="DE43" s="252">
        <f t="shared" ref="DE43:DE45" si="173">CY43*BK43/1000000</f>
        <v>0</v>
      </c>
      <c r="DF43" s="252">
        <f t="shared" ref="DF43:DF45" si="174">CZ43*BL43/1000000</f>
        <v>0.19988317000000003</v>
      </c>
      <c r="DG43" s="252">
        <f>DA43*BM43/1000000</f>
        <v>2.4205337673346232</v>
      </c>
      <c r="DH43" s="252">
        <f t="shared" ref="DH43:DH45" si="175">DB43*BN43/1000000</f>
        <v>3.9780364227609439</v>
      </c>
      <c r="DI43" s="1536">
        <f t="shared" ref="DI43:DI45" si="176">DC43*BO43/1000000</f>
        <v>4.7957537941170081</v>
      </c>
    </row>
    <row r="44" spans="1:114" s="5" customFormat="1" ht="14.5">
      <c r="A44" s="1957"/>
      <c r="B44" s="1078" t="s">
        <v>185</v>
      </c>
      <c r="C44" s="1083">
        <v>0.1</v>
      </c>
      <c r="D44" s="213"/>
      <c r="E44" s="213"/>
      <c r="F44" s="213"/>
      <c r="G44" s="213">
        <v>73800</v>
      </c>
      <c r="H44" s="213">
        <v>73800</v>
      </c>
      <c r="I44" s="213">
        <v>73800</v>
      </c>
      <c r="W44" s="1084"/>
      <c r="X44" s="1084"/>
      <c r="Y44" s="1084"/>
      <c r="Z44" s="1084">
        <f t="shared" si="134"/>
        <v>56769.230769230773</v>
      </c>
      <c r="AA44" s="1084">
        <f t="shared" si="135"/>
        <v>56769.230769230773</v>
      </c>
      <c r="AB44" s="1084">
        <f t="shared" si="136"/>
        <v>56769.230769230773</v>
      </c>
      <c r="AC44" s="285"/>
      <c r="AQ44" s="213"/>
      <c r="AR44" s="213"/>
      <c r="AS44" s="213"/>
      <c r="AT44" s="213">
        <v>0</v>
      </c>
      <c r="AU44" s="213">
        <v>0</v>
      </c>
      <c r="AV44" s="213">
        <v>0</v>
      </c>
      <c r="BJ44" s="986"/>
      <c r="BK44" s="986"/>
      <c r="BL44" s="986"/>
      <c r="BM44" s="986">
        <v>233994.70511650637</v>
      </c>
      <c r="BN44" s="986">
        <v>419987.95076782542</v>
      </c>
      <c r="BO44" s="986">
        <v>549978.8820205871</v>
      </c>
      <c r="CQ44" s="1537"/>
      <c r="CR44" s="626"/>
      <c r="CS44" s="626"/>
      <c r="CT44" s="626"/>
      <c r="CU44" s="626">
        <f t="shared" si="164"/>
        <v>13283699.413537057</v>
      </c>
      <c r="CV44" s="626">
        <f t="shared" si="165"/>
        <v>23842392.897435013</v>
      </c>
      <c r="CW44" s="1546">
        <f t="shared" si="166"/>
        <v>31221878.071630254</v>
      </c>
      <c r="CY44" s="851"/>
      <c r="CZ44" s="1085">
        <v>30.08</v>
      </c>
      <c r="DA44" s="1089">
        <v>30.08</v>
      </c>
      <c r="DB44" s="1089">
        <v>30.08</v>
      </c>
      <c r="DC44" s="1558">
        <v>30.08</v>
      </c>
      <c r="DE44" s="626">
        <f t="shared" ref="DE44" si="177">CY44*BK44/1000000</f>
        <v>0</v>
      </c>
      <c r="DF44" s="626">
        <f t="shared" ref="DF44" si="178">CZ44*BL44/1000000</f>
        <v>0</v>
      </c>
      <c r="DG44" s="626">
        <f>DA44*BM44/1000000</f>
        <v>7.0385607299045114</v>
      </c>
      <c r="DH44" s="626">
        <f t="shared" ref="DH44" si="179">DB44*BN44/1000000</f>
        <v>12.633237559096187</v>
      </c>
      <c r="DI44" s="1546">
        <f t="shared" ref="DI44" si="180">DC44*BO44/1000000</f>
        <v>16.54336477117926</v>
      </c>
    </row>
    <row r="45" spans="1:114" ht="14.5">
      <c r="A45" s="1957"/>
      <c r="B45" s="6" t="s">
        <v>186</v>
      </c>
      <c r="C45" s="991">
        <v>0.1</v>
      </c>
      <c r="D45" s="238">
        <v>300000</v>
      </c>
      <c r="E45" s="238">
        <v>300000</v>
      </c>
      <c r="F45" s="238">
        <v>300000</v>
      </c>
      <c r="G45" s="238">
        <v>300000</v>
      </c>
      <c r="H45" s="238">
        <v>300000</v>
      </c>
      <c r="I45" s="238">
        <v>300000</v>
      </c>
      <c r="W45" s="583">
        <f t="shared" ref="W45:Y46" si="181">D45/1.17*(1-$C45)</f>
        <v>230769.23076923081</v>
      </c>
      <c r="X45" s="583">
        <f t="shared" si="181"/>
        <v>230769.23076923081</v>
      </c>
      <c r="Y45" s="583">
        <f t="shared" si="133"/>
        <v>230769.23076923081</v>
      </c>
      <c r="Z45" s="583">
        <f t="shared" si="134"/>
        <v>230769.23076923081</v>
      </c>
      <c r="AA45" s="583">
        <f t="shared" si="135"/>
        <v>230769.23076923081</v>
      </c>
      <c r="AB45" s="583">
        <f t="shared" si="136"/>
        <v>230769.23076923081</v>
      </c>
      <c r="AC45" s="32"/>
      <c r="AQ45" s="78">
        <v>0</v>
      </c>
      <c r="AR45" s="78">
        <v>0</v>
      </c>
      <c r="AS45" s="78">
        <v>0</v>
      </c>
      <c r="AT45" s="78">
        <v>0</v>
      </c>
      <c r="AU45" s="78">
        <v>0</v>
      </c>
      <c r="AV45" s="78">
        <v>0</v>
      </c>
      <c r="BJ45" s="255">
        <v>48834</v>
      </c>
      <c r="BK45" s="255">
        <v>37673</v>
      </c>
      <c r="BL45" s="255">
        <v>25738</v>
      </c>
      <c r="BM45" s="255">
        <f>AVERAGE(BJ45:BL45)</f>
        <v>37415</v>
      </c>
      <c r="BN45" s="255">
        <f t="shared" ref="BN45:BO45" si="182">AVERAGE(BK45:BM45)</f>
        <v>33608.666666666664</v>
      </c>
      <c r="BO45" s="255">
        <f t="shared" si="182"/>
        <v>32253.888888888887</v>
      </c>
      <c r="CH45" s="976">
        <v>91250</v>
      </c>
      <c r="CI45" s="976">
        <v>182500</v>
      </c>
      <c r="CJ45" s="976">
        <v>273750.00000000006</v>
      </c>
      <c r="CR45" s="252">
        <f>(W45+AQ45)*BJ45*10^(-3)</f>
        <v>11269384.615384618</v>
      </c>
      <c r="CS45" s="252">
        <f t="shared" ref="CS45" si="183">(X45+AR45)*BK45*10^(-3)</f>
        <v>8693769.2307692319</v>
      </c>
      <c r="CT45" s="252">
        <f>(Y45+AS45)*BL45*10^(-3)</f>
        <v>5939538.4615384629</v>
      </c>
      <c r="CU45" s="252">
        <f>(Z45+AT45)*BM45*10^(-3)</f>
        <v>8634230.7692307699</v>
      </c>
      <c r="CV45" s="252">
        <f t="shared" ref="CV45:CW45" si="184">(AA45+AU45)*BN45*10^(-3)</f>
        <v>7755846.153846154</v>
      </c>
      <c r="CW45" s="1536">
        <f t="shared" si="184"/>
        <v>7443205.1282051289</v>
      </c>
      <c r="CY45" s="278"/>
      <c r="CZ45" s="5">
        <v>50.1</v>
      </c>
      <c r="DA45" s="278">
        <v>50.1</v>
      </c>
      <c r="DB45" s="278">
        <v>50.1</v>
      </c>
      <c r="DC45" s="1554">
        <v>50.1</v>
      </c>
      <c r="DE45" s="252">
        <f t="shared" si="173"/>
        <v>0</v>
      </c>
      <c r="DF45" s="252">
        <f t="shared" si="174"/>
        <v>1.2894738000000001</v>
      </c>
      <c r="DG45" s="252">
        <f t="shared" ref="DG45" si="185">DA45*BM45/1000000</f>
        <v>1.8744915</v>
      </c>
      <c r="DH45" s="252">
        <f t="shared" si="175"/>
        <v>1.6837941999999999</v>
      </c>
      <c r="DI45" s="1536">
        <f t="shared" si="176"/>
        <v>1.6159198333333333</v>
      </c>
    </row>
    <row r="46" spans="1:114" ht="14.5">
      <c r="A46" s="1957"/>
      <c r="B46" s="586" t="s">
        <v>187</v>
      </c>
      <c r="C46" s="991">
        <v>0.1</v>
      </c>
      <c r="F46" s="78">
        <v>244800</v>
      </c>
      <c r="G46" s="78">
        <v>244800</v>
      </c>
      <c r="H46" s="78">
        <v>244800</v>
      </c>
      <c r="I46" s="78">
        <v>244800</v>
      </c>
      <c r="W46" s="583">
        <f t="shared" si="181"/>
        <v>0</v>
      </c>
      <c r="X46" s="583">
        <f t="shared" si="181"/>
        <v>0</v>
      </c>
      <c r="Y46" s="583">
        <f t="shared" si="181"/>
        <v>188307.69230769234</v>
      </c>
      <c r="Z46" s="583">
        <f t="shared" ref="Z46" si="186">G46/1.17*(1-$C46)</f>
        <v>188307.69230769234</v>
      </c>
      <c r="AA46" s="583">
        <f t="shared" si="116"/>
        <v>188307.69230769234</v>
      </c>
      <c r="AB46" s="583">
        <f t="shared" si="117"/>
        <v>188307.69230769234</v>
      </c>
      <c r="AC46" s="32"/>
      <c r="AQ46" s="78"/>
      <c r="AR46" s="78"/>
      <c r="AS46" s="78"/>
      <c r="AT46" s="78"/>
      <c r="AU46" s="78"/>
      <c r="AV46" s="32"/>
      <c r="BJ46" s="558"/>
      <c r="BK46" s="558"/>
      <c r="CG46" s="255">
        <v>55916</v>
      </c>
      <c r="CH46" s="986">
        <v>250000</v>
      </c>
      <c r="CI46" s="986">
        <f>CH46*(1+100%)</f>
        <v>500000</v>
      </c>
      <c r="CJ46" s="986">
        <f>CI46*(1+50%)</f>
        <v>750000</v>
      </c>
      <c r="CR46" s="252">
        <f>(W46+AQ46)*BJ46*10^(-3)</f>
        <v>0</v>
      </c>
      <c r="CS46" s="252">
        <f t="shared" ref="CS46" si="187">(X46+AR46)*BK46*10^(-3)</f>
        <v>0</v>
      </c>
      <c r="CT46" s="252">
        <f>(Y46+AS46)*CG46*10^(-3)</f>
        <v>10529412.923076926</v>
      </c>
      <c r="CU46" s="252">
        <f>(Z46+AT46)*CH46*10^(-3)</f>
        <v>47076923.076923087</v>
      </c>
      <c r="CV46" s="252">
        <f>(AA46+AU46)*CI46*10^(-3)</f>
        <v>94153846.153846174</v>
      </c>
      <c r="CW46" s="1536">
        <f>(AB46+AV46)*CJ46*10^(-3)</f>
        <v>141230769.23076925</v>
      </c>
      <c r="CY46" s="278">
        <f t="shared" ref="CY46" si="188">CZ46</f>
        <v>49.9</v>
      </c>
      <c r="CZ46" s="5">
        <v>49.9</v>
      </c>
      <c r="DA46" s="278">
        <f t="shared" ref="DA46" si="189">CZ46</f>
        <v>49.9</v>
      </c>
      <c r="DB46" s="278">
        <f t="shared" ref="DB46:DC46" si="190">DA46</f>
        <v>49.9</v>
      </c>
      <c r="DC46" s="1554">
        <f t="shared" si="190"/>
        <v>49.9</v>
      </c>
      <c r="DE46" s="252">
        <f>CY46*BK46/1000000</f>
        <v>0</v>
      </c>
      <c r="DF46" s="252">
        <f>CZ46*CG46/1000000</f>
        <v>2.7902084</v>
      </c>
      <c r="DG46" s="252">
        <f>DA46*CH46/1000000</f>
        <v>12.475</v>
      </c>
      <c r="DH46" s="252">
        <f>DB46*CI46/1000000</f>
        <v>24.95</v>
      </c>
      <c r="DI46" s="1536">
        <f>DC46*CJ46/1000000</f>
        <v>37.424999999999997</v>
      </c>
    </row>
    <row r="47" spans="1:114" ht="14">
      <c r="A47" s="1957"/>
      <c r="B47" s="586" t="s">
        <v>188</v>
      </c>
      <c r="C47" s="988"/>
      <c r="W47" s="75"/>
      <c r="X47" s="75"/>
      <c r="Y47" s="75"/>
      <c r="Z47" s="75"/>
      <c r="AA47" s="75"/>
      <c r="AB47" s="75"/>
      <c r="AC47" s="32"/>
      <c r="AQ47" s="78"/>
      <c r="AR47" s="78"/>
      <c r="AS47" s="78"/>
      <c r="AT47" s="78"/>
      <c r="AU47" s="78"/>
      <c r="AV47" s="32"/>
      <c r="BJ47" s="558"/>
      <c r="BK47" s="558"/>
      <c r="BL47" s="255"/>
      <c r="BM47" s="255"/>
      <c r="BN47" s="255"/>
      <c r="BO47" s="255"/>
      <c r="CR47" s="252"/>
      <c r="CS47" s="252">
        <f>'Earning Forecast'!G81-'Price&amp;Q'!CS48</f>
        <v>25311824.548430756</v>
      </c>
      <c r="CT47" s="252">
        <f>305260725.987654-CT48</f>
        <v>23111383.677506268</v>
      </c>
      <c r="CU47" s="252"/>
      <c r="CV47" s="252"/>
      <c r="CW47" s="1536"/>
    </row>
    <row r="48" spans="1:114" ht="14">
      <c r="A48" s="1957"/>
      <c r="B48" s="511" t="s">
        <v>165</v>
      </c>
      <c r="C48" s="58"/>
      <c r="BJ48" s="252">
        <f t="shared" ref="BJ48:BO48" si="191">SUM(BJ26:BJ45)</f>
        <v>189689</v>
      </c>
      <c r="BK48" s="252">
        <f t="shared" si="191"/>
        <v>601292.43599999999</v>
      </c>
      <c r="BL48" s="252">
        <f t="shared" si="191"/>
        <v>1828669.6398</v>
      </c>
      <c r="BM48" s="252">
        <f t="shared" si="191"/>
        <v>3022968.7497859839</v>
      </c>
      <c r="BN48" s="252">
        <f t="shared" si="191"/>
        <v>4032590.6738067409</v>
      </c>
      <c r="BO48" s="252">
        <f t="shared" si="191"/>
        <v>4739139.4435398718</v>
      </c>
      <c r="BQ48" s="32"/>
      <c r="CG48" s="255">
        <v>55916</v>
      </c>
      <c r="CH48" s="986">
        <v>250000</v>
      </c>
      <c r="CI48" s="986">
        <f>CH48*(1+100%)</f>
        <v>500000</v>
      </c>
      <c r="CJ48" s="986">
        <f>CI48*(1+50%)</f>
        <v>750000</v>
      </c>
      <c r="CL48" s="252">
        <f t="shared" ref="CL48:CQ48" si="192">CE48+BJ48</f>
        <v>189689</v>
      </c>
      <c r="CM48" s="252">
        <f t="shared" si="192"/>
        <v>601292.43599999999</v>
      </c>
      <c r="CN48" s="252">
        <f t="shared" si="192"/>
        <v>1884585.6398</v>
      </c>
      <c r="CO48" s="252">
        <f t="shared" si="192"/>
        <v>3272968.7497859839</v>
      </c>
      <c r="CP48" s="252">
        <f t="shared" si="192"/>
        <v>4532590.6738067409</v>
      </c>
      <c r="CQ48" s="1536">
        <f t="shared" si="192"/>
        <v>5489139.4435398718</v>
      </c>
      <c r="CR48" s="252">
        <f t="shared" ref="CR48:CW48" si="193">SUM(CR26:CR46)</f>
        <v>32853375.623076923</v>
      </c>
      <c r="CS48" s="252">
        <f t="shared" si="193"/>
        <v>84347633.451569244</v>
      </c>
      <c r="CT48" s="252">
        <f>SUM(CT26:CT46)</f>
        <v>282149342.3101477</v>
      </c>
      <c r="CU48" s="252">
        <f>SUM(CU26:CU46)</f>
        <v>431751295.24960929</v>
      </c>
      <c r="CV48" s="252">
        <f>SUM(CV26:CV46)</f>
        <v>594287534.98316085</v>
      </c>
      <c r="CW48" s="1536">
        <f t="shared" si="193"/>
        <v>718237299.28548455</v>
      </c>
      <c r="CX48" t="s">
        <v>189</v>
      </c>
      <c r="DE48" s="626">
        <f>SUM(DE26:DE46)</f>
        <v>23.181525774000001</v>
      </c>
      <c r="DF48" s="626">
        <f>SUM(DF26:DF46)</f>
        <v>72.741065725700011</v>
      </c>
      <c r="DG48" s="626">
        <f>SUM(DG26:DG46)</f>
        <v>115.53381276443896</v>
      </c>
      <c r="DH48" s="626">
        <f>SUM(DH26:DH46)</f>
        <v>160.54349955304434</v>
      </c>
      <c r="DI48" s="1546">
        <f>SUM(DI26:DI46)</f>
        <v>195.45236418677058</v>
      </c>
      <c r="DJ48" t="s">
        <v>190</v>
      </c>
    </row>
    <row r="49" spans="1:113" s="7" customFormat="1" ht="14">
      <c r="A49" s="953"/>
      <c r="B49" s="957" t="s">
        <v>191</v>
      </c>
      <c r="C49" s="990"/>
      <c r="W49" s="583">
        <f>CR49/CL49/1000000*1000</f>
        <v>1234.6658227848102</v>
      </c>
      <c r="X49" s="583">
        <f>CS49/CM49/1000000*1000</f>
        <v>1236.7187962087978</v>
      </c>
      <c r="Y49" s="958">
        <f>X49*0.9</f>
        <v>1113.0469165879181</v>
      </c>
      <c r="Z49" s="958">
        <f>Y49*0.9</f>
        <v>1001.7422249291263</v>
      </c>
      <c r="AA49" s="958">
        <f>Z49*0.9</f>
        <v>901.56800243621376</v>
      </c>
      <c r="AB49" s="958">
        <f>AA49*0.9</f>
        <v>811.41120219259244</v>
      </c>
      <c r="BJ49" s="841">
        <f>'Capacity Detail'!BY77</f>
        <v>9.48</v>
      </c>
      <c r="BK49" s="841">
        <f>'Capacity Detail'!BZ77</f>
        <v>12.453956426647245</v>
      </c>
      <c r="BL49" s="841">
        <f>'Capacity Detail'!CA77</f>
        <v>17.098934274299992</v>
      </c>
      <c r="BM49" s="841">
        <f>'Capacity Detail'!CB77</f>
        <v>27.737345130297868</v>
      </c>
      <c r="BN49" s="841">
        <f>'Capacity Detail'!CC77</f>
        <v>21.027868868008284</v>
      </c>
      <c r="BO49" s="841">
        <f>'Capacity Detail'!CD77</f>
        <v>33.201907716687941</v>
      </c>
      <c r="CG49" s="845"/>
      <c r="CH49" s="845"/>
      <c r="CI49" s="845"/>
      <c r="CJ49" s="845"/>
      <c r="CL49" s="584">
        <f t="shared" ref="CL49" si="194">BX49+BQ49+BJ49+CE49</f>
        <v>9.48</v>
      </c>
      <c r="CM49" s="584">
        <f>BY49+BR49+BK49+CF49</f>
        <v>12.453956426647245</v>
      </c>
      <c r="CN49" s="584">
        <f>BZ49+BS49+BL49+CG49</f>
        <v>17.098934274299992</v>
      </c>
      <c r="CO49" s="584">
        <f>CA49+BT49+BM49+CH49</f>
        <v>27.737345130297868</v>
      </c>
      <c r="CP49" s="584">
        <f>CB49+BU49+BN49+CI49</f>
        <v>21.027868868008284</v>
      </c>
      <c r="CQ49" s="1538">
        <f>CC49+BV49+BO49+CJ49</f>
        <v>33.201907716687941</v>
      </c>
      <c r="CR49" s="841">
        <f>'Earning Forecast'!F90</f>
        <v>11704632</v>
      </c>
      <c r="CS49" s="841">
        <f>'Earning Forecast'!G90</f>
        <v>15402042</v>
      </c>
      <c r="CT49" s="584">
        <f>CN49*Y49*10^6/1000</f>
        <v>19031916.070949078</v>
      </c>
      <c r="CU49" s="584">
        <f>CO49*Z49*10^6/1000</f>
        <v>27785669.824451655</v>
      </c>
      <c r="CV49" s="584">
        <f>CP49*AA49*10^6/1000</f>
        <v>18958053.730820876</v>
      </c>
      <c r="CW49" s="1538">
        <f>CQ49*AB49*10^6/1000</f>
        <v>26940399.855485272</v>
      </c>
      <c r="DC49" s="1522"/>
      <c r="DE49" s="584"/>
      <c r="DF49" s="584"/>
      <c r="DG49" s="584"/>
      <c r="DH49" s="584"/>
      <c r="DI49" s="1538"/>
    </row>
    <row r="50" spans="1:113" ht="14">
      <c r="A50" s="953"/>
      <c r="B50" s="511"/>
      <c r="C50" s="58"/>
      <c r="BJ50" s="252"/>
      <c r="BK50" s="252"/>
      <c r="BL50" s="252"/>
      <c r="BM50" s="252"/>
      <c r="BN50" s="252"/>
      <c r="BO50" s="252"/>
      <c r="CR50" s="252"/>
      <c r="CS50" s="252"/>
      <c r="CT50" s="252"/>
      <c r="CU50" s="252"/>
      <c r="CV50" s="252"/>
      <c r="CW50" s="1536"/>
      <c r="DE50" s="252"/>
      <c r="DF50" s="252"/>
      <c r="DG50" s="252"/>
      <c r="DH50" s="252"/>
      <c r="DI50" s="1536"/>
    </row>
    <row r="51" spans="1:113" s="7" customFormat="1" ht="14">
      <c r="A51" s="1957" t="s">
        <v>57</v>
      </c>
      <c r="B51" s="585" t="s">
        <v>192</v>
      </c>
      <c r="D51" s="1474">
        <v>478000</v>
      </c>
      <c r="E51" s="1474">
        <v>478000</v>
      </c>
      <c r="F51" s="1474">
        <f>496000</f>
        <v>496000</v>
      </c>
      <c r="G51" s="1475">
        <v>498000</v>
      </c>
      <c r="H51" s="1475">
        <v>498000</v>
      </c>
      <c r="I51" s="1475">
        <v>498000</v>
      </c>
      <c r="W51" s="583">
        <f t="shared" ref="W51:W54" si="195">D51/1.17</f>
        <v>408547.00854700856</v>
      </c>
      <c r="X51" s="583">
        <f t="shared" ref="X51:X54" si="196">E51/1.17</f>
        <v>408547.00854700856</v>
      </c>
      <c r="Y51" s="583">
        <f t="shared" ref="Y51:Y57" si="197">F51/1.17</f>
        <v>423931.62393162394</v>
      </c>
      <c r="Z51" s="583">
        <f t="shared" ref="Z51:Z57" si="198">G51/1.17</f>
        <v>425641.02564102568</v>
      </c>
      <c r="AA51" s="583">
        <f t="shared" ref="AA51:AA57" si="199">H51/1.17</f>
        <v>425641.02564102568</v>
      </c>
      <c r="AB51" s="583">
        <f t="shared" ref="AB51" si="200">I51/1.17</f>
        <v>425641.02564102568</v>
      </c>
      <c r="AQ51" s="1475">
        <v>22500</v>
      </c>
      <c r="AR51" s="1475">
        <v>18000</v>
      </c>
      <c r="AS51" s="1478">
        <v>18000</v>
      </c>
      <c r="AT51" s="1478">
        <v>0</v>
      </c>
      <c r="AU51" s="1478">
        <v>0</v>
      </c>
      <c r="AV51" s="1478">
        <v>0</v>
      </c>
      <c r="BJ51" s="1436">
        <v>10861</v>
      </c>
      <c r="BK51" s="1436">
        <v>20943</v>
      </c>
      <c r="BL51" s="1472">
        <v>14380</v>
      </c>
      <c r="BM51" s="1472">
        <v>15302.922234921059</v>
      </c>
      <c r="BN51" s="1472">
        <v>17627.460201691862</v>
      </c>
      <c r="BO51" s="1472">
        <v>21313.269047240032</v>
      </c>
      <c r="CQ51" s="1522"/>
      <c r="CR51" s="589">
        <f>((W51+AQ51)*BJ51)/1000</f>
        <v>4681601.55982906</v>
      </c>
      <c r="CS51" s="589">
        <f t="shared" ref="CS51" si="201">((X51+AR51)*BK51)/1000</f>
        <v>8933174</v>
      </c>
      <c r="CT51" s="589">
        <f>((Y51+AS51)*BL51)/1000</f>
        <v>6354976.752136752</v>
      </c>
      <c r="CU51" s="589">
        <f>((Z51+AT51)*BM51)/1000</f>
        <v>6513551.5153766563</v>
      </c>
      <c r="CV51" s="589">
        <f>((AA51+AU51)*BN51)/1000</f>
        <v>7502970.2396944854</v>
      </c>
      <c r="CW51" s="589">
        <f>((AB51+AV51)*BO51)/1000</f>
        <v>9071801.6970303729</v>
      </c>
      <c r="CY51" s="1486">
        <v>75</v>
      </c>
      <c r="CZ51" s="1486">
        <v>75</v>
      </c>
      <c r="DA51" s="1487">
        <v>75</v>
      </c>
      <c r="DB51" s="1487">
        <v>75</v>
      </c>
      <c r="DC51" s="1559">
        <v>75</v>
      </c>
      <c r="DE51" s="584">
        <f>CY51*BK51/1000000</f>
        <v>1.5707249999999999</v>
      </c>
      <c r="DF51" s="584">
        <f>CZ51*BL51/1000000</f>
        <v>1.0785</v>
      </c>
      <c r="DG51" s="584">
        <f>DA51*BM51/1000000</f>
        <v>1.1477191676190794</v>
      </c>
      <c r="DH51" s="584">
        <f>DB51*BN51/1000000</f>
        <v>1.3220595151268895</v>
      </c>
      <c r="DI51" s="584">
        <f>DC51*BO51/1000000</f>
        <v>1.5984951785430024</v>
      </c>
    </row>
    <row r="52" spans="1:113" ht="14">
      <c r="A52" s="1957"/>
      <c r="B52" s="6" t="s">
        <v>193</v>
      </c>
      <c r="D52" s="1476"/>
      <c r="E52" s="1476"/>
      <c r="F52" s="1476">
        <v>438000</v>
      </c>
      <c r="G52" s="1477">
        <v>438000</v>
      </c>
      <c r="H52" s="1477">
        <v>438000</v>
      </c>
      <c r="I52" s="1477">
        <v>438000</v>
      </c>
      <c r="W52" s="583"/>
      <c r="X52" s="583"/>
      <c r="Y52" s="583">
        <f t="shared" si="197"/>
        <v>374358.97435897437</v>
      </c>
      <c r="Z52" s="583">
        <f t="shared" si="198"/>
        <v>374358.97435897437</v>
      </c>
      <c r="AA52" s="583">
        <f t="shared" si="199"/>
        <v>374358.97435897437</v>
      </c>
      <c r="AB52" s="583">
        <f t="shared" ref="AB52:AB57" si="202">I52/1.17</f>
        <v>374358.97435897437</v>
      </c>
      <c r="AQ52" s="1477"/>
      <c r="AR52" s="1477"/>
      <c r="AS52" s="1479">
        <v>18000</v>
      </c>
      <c r="AT52" s="1479">
        <v>0</v>
      </c>
      <c r="AU52" s="1479">
        <v>0</v>
      </c>
      <c r="AV52" s="1479">
        <v>0</v>
      </c>
      <c r="BJ52" s="1437">
        <v>0</v>
      </c>
      <c r="BK52" s="1437">
        <v>0</v>
      </c>
      <c r="BL52" s="1473">
        <v>14158</v>
      </c>
      <c r="BM52" s="1473">
        <v>7250.3787735201722</v>
      </c>
      <c r="BN52" s="1473">
        <v>16299.923656142684</v>
      </c>
      <c r="BO52" s="1473">
        <v>18808.949131223486</v>
      </c>
      <c r="BP52" s="1473"/>
      <c r="BQ52" s="1473"/>
      <c r="CR52" s="589">
        <f>((W52+AQ52)*BJ52)/1000</f>
        <v>0</v>
      </c>
      <c r="CS52" s="589">
        <f t="shared" ref="CS52:CS57" si="203">((X52+AR52)*BK52)/1000</f>
        <v>0</v>
      </c>
      <c r="CT52" s="589">
        <f t="shared" ref="CT52:CT57" si="204">((Y52+AS52)*BL52)/1000</f>
        <v>5555018.3589743599</v>
      </c>
      <c r="CU52" s="589">
        <f t="shared" ref="CU52:CU57" si="205">((Z52+AT52)*BM52)/1000</f>
        <v>2714244.3613690902</v>
      </c>
      <c r="CV52" s="589">
        <f t="shared" ref="CV52:CW57" si="206">((AA52+AU52)*BN52)/1000</f>
        <v>6102022.7020431589</v>
      </c>
      <c r="CW52" s="589">
        <f t="shared" si="206"/>
        <v>7041298.9055349464</v>
      </c>
      <c r="CY52" s="1485"/>
      <c r="CZ52" s="1485">
        <v>75</v>
      </c>
      <c r="DA52" s="1485">
        <v>75</v>
      </c>
      <c r="DB52" s="1485">
        <v>75</v>
      </c>
      <c r="DC52" s="1560">
        <v>75</v>
      </c>
      <c r="DE52" s="584"/>
      <c r="DF52" s="584">
        <f t="shared" ref="DF52:DI54" si="207">CZ52*BL52/1000000</f>
        <v>1.06185</v>
      </c>
      <c r="DG52" s="584">
        <f t="shared" si="207"/>
        <v>0.543778408014013</v>
      </c>
      <c r="DH52" s="584">
        <f t="shared" si="207"/>
        <v>1.2224942742107012</v>
      </c>
      <c r="DI52" s="584">
        <f t="shared" si="207"/>
        <v>1.4106711848417615</v>
      </c>
    </row>
    <row r="53" spans="1:113" ht="14">
      <c r="A53" s="1957"/>
      <c r="B53" s="6" t="s">
        <v>194</v>
      </c>
      <c r="D53" s="981">
        <v>368000</v>
      </c>
      <c r="E53" s="981">
        <v>368000</v>
      </c>
      <c r="F53" s="981">
        <f>386000</f>
        <v>386000</v>
      </c>
      <c r="G53" s="984">
        <v>338000</v>
      </c>
      <c r="H53" s="984">
        <v>338000</v>
      </c>
      <c r="I53" s="984">
        <v>338000</v>
      </c>
      <c r="W53" s="583">
        <f t="shared" si="195"/>
        <v>314529.91452991456</v>
      </c>
      <c r="X53" s="583">
        <f t="shared" si="196"/>
        <v>314529.91452991456</v>
      </c>
      <c r="Y53" s="583">
        <f t="shared" si="197"/>
        <v>329914.52991452994</v>
      </c>
      <c r="Z53" s="583">
        <f t="shared" si="198"/>
        <v>288888.88888888893</v>
      </c>
      <c r="AA53" s="583">
        <f t="shared" si="199"/>
        <v>288888.88888888893</v>
      </c>
      <c r="AB53" s="583">
        <f t="shared" si="202"/>
        <v>288888.88888888893</v>
      </c>
      <c r="AQ53" s="984">
        <v>22500</v>
      </c>
      <c r="AR53" s="984">
        <v>18000</v>
      </c>
      <c r="AS53" s="1479">
        <v>18000</v>
      </c>
      <c r="AT53" s="1479">
        <v>0</v>
      </c>
      <c r="AU53" s="1479">
        <v>0</v>
      </c>
      <c r="AV53" s="1479">
        <v>0</v>
      </c>
      <c r="BJ53" s="979">
        <v>27960.999999999996</v>
      </c>
      <c r="BK53" s="979">
        <v>41474</v>
      </c>
      <c r="BL53" s="985">
        <v>42012</v>
      </c>
      <c r="BM53" s="1473">
        <v>60028.69380010743</v>
      </c>
      <c r="BN53" s="1473">
        <v>73634.338689264579</v>
      </c>
      <c r="BO53" s="1473">
        <v>110382</v>
      </c>
      <c r="BQ53" s="976"/>
      <c r="BR53" s="976"/>
      <c r="BS53" s="976"/>
      <c r="CR53" s="589">
        <f t="shared" ref="CR53:CR57" si="208">((W53+AQ53)*BJ53)/1000</f>
        <v>9423693.44017094</v>
      </c>
      <c r="CS53" s="589">
        <f t="shared" si="203"/>
        <v>13791345.675213676</v>
      </c>
      <c r="CT53" s="589">
        <f t="shared" si="204"/>
        <v>14616585.230769232</v>
      </c>
      <c r="CU53" s="589">
        <f t="shared" si="205"/>
        <v>17341622.653364372</v>
      </c>
      <c r="CV53" s="589">
        <f t="shared" si="206"/>
        <v>21272142.28800977</v>
      </c>
      <c r="CW53" s="589">
        <f t="shared" si="206"/>
        <v>31888133.33333334</v>
      </c>
      <c r="CY53" s="1485">
        <v>75</v>
      </c>
      <c r="CZ53" s="1485">
        <v>75</v>
      </c>
      <c r="DA53" s="1485">
        <v>75</v>
      </c>
      <c r="DB53" s="1485">
        <v>75</v>
      </c>
      <c r="DC53" s="1560">
        <v>75</v>
      </c>
      <c r="DE53" s="584">
        <f>CY53*BK53/1000000</f>
        <v>3.1105499999999999</v>
      </c>
      <c r="DF53" s="584">
        <f t="shared" si="207"/>
        <v>3.1509</v>
      </c>
      <c r="DG53" s="584">
        <f t="shared" si="207"/>
        <v>4.5021520350080566</v>
      </c>
      <c r="DH53" s="584">
        <f t="shared" si="207"/>
        <v>5.5225754016948434</v>
      </c>
      <c r="DI53" s="584">
        <f t="shared" si="207"/>
        <v>8.2786500000000007</v>
      </c>
    </row>
    <row r="54" spans="1:113" ht="14">
      <c r="A54" s="1957"/>
      <c r="B54" s="6" t="s">
        <v>195</v>
      </c>
      <c r="D54" s="981">
        <v>378000</v>
      </c>
      <c r="E54" s="981">
        <v>378000</v>
      </c>
      <c r="F54" s="981">
        <f>396000</f>
        <v>396000</v>
      </c>
      <c r="G54" s="984">
        <v>358000</v>
      </c>
      <c r="H54" s="984">
        <v>358000</v>
      </c>
      <c r="I54" s="984">
        <v>358000</v>
      </c>
      <c r="W54" s="583">
        <f t="shared" si="195"/>
        <v>323076.92307692312</v>
      </c>
      <c r="X54" s="583">
        <f t="shared" si="196"/>
        <v>323076.92307692312</v>
      </c>
      <c r="Y54" s="583">
        <f t="shared" si="197"/>
        <v>338461.5384615385</v>
      </c>
      <c r="Z54" s="583">
        <f t="shared" si="198"/>
        <v>305982.905982906</v>
      </c>
      <c r="AA54" s="583">
        <f t="shared" si="199"/>
        <v>305982.905982906</v>
      </c>
      <c r="AB54" s="583">
        <f t="shared" si="202"/>
        <v>305982.905982906</v>
      </c>
      <c r="AQ54" s="984">
        <v>22500</v>
      </c>
      <c r="AR54" s="984">
        <v>18000</v>
      </c>
      <c r="AS54" s="1479">
        <v>18000</v>
      </c>
      <c r="AT54" s="1479">
        <v>0</v>
      </c>
      <c r="AU54" s="1479">
        <v>0</v>
      </c>
      <c r="AV54" s="1479">
        <v>0</v>
      </c>
      <c r="BJ54" s="979">
        <v>4906</v>
      </c>
      <c r="BK54" s="979">
        <v>29905</v>
      </c>
      <c r="BL54" s="985">
        <v>17076</v>
      </c>
      <c r="BM54" s="1473">
        <v>13046.806403701336</v>
      </c>
      <c r="BN54" s="1473">
        <v>19758.707752311431</v>
      </c>
      <c r="BO54" s="1473">
        <v>34200.208864648528</v>
      </c>
      <c r="CR54" s="589">
        <f t="shared" si="208"/>
        <v>1695400.3846153847</v>
      </c>
      <c r="CS54" s="589">
        <f t="shared" si="203"/>
        <v>10199905.384615386</v>
      </c>
      <c r="CT54" s="589">
        <f t="shared" si="204"/>
        <v>6086937.2307692319</v>
      </c>
      <c r="CU54" s="589">
        <f t="shared" si="205"/>
        <v>3992099.7372009214</v>
      </c>
      <c r="CV54" s="589">
        <f t="shared" si="206"/>
        <v>6045826.8165192241</v>
      </c>
      <c r="CW54" s="589">
        <f t="shared" si="206"/>
        <v>10464679.293627499</v>
      </c>
      <c r="CY54" s="1485">
        <v>75</v>
      </c>
      <c r="CZ54" s="1485">
        <v>75</v>
      </c>
      <c r="DA54" s="1485">
        <v>75</v>
      </c>
      <c r="DB54" s="1485">
        <v>75</v>
      </c>
      <c r="DC54" s="1560">
        <v>75</v>
      </c>
      <c r="DE54" s="584">
        <f>CY54*BK54/1000000</f>
        <v>2.2428750000000002</v>
      </c>
      <c r="DF54" s="584">
        <f t="shared" si="207"/>
        <v>1.2806999999999999</v>
      </c>
      <c r="DG54" s="584">
        <f t="shared" si="207"/>
        <v>0.97851048027760013</v>
      </c>
      <c r="DH54" s="584">
        <f t="shared" si="207"/>
        <v>1.4819030814233574</v>
      </c>
      <c r="DI54" s="584">
        <f t="shared" si="207"/>
        <v>2.5650156648486395</v>
      </c>
    </row>
    <row r="55" spans="1:113" ht="14">
      <c r="A55" s="1957"/>
      <c r="B55" s="6" t="s">
        <v>196</v>
      </c>
      <c r="D55" s="981"/>
      <c r="E55" s="981"/>
      <c r="F55" s="981"/>
      <c r="G55" s="984">
        <v>458000</v>
      </c>
      <c r="H55" s="984">
        <v>458000</v>
      </c>
      <c r="I55" s="984">
        <v>458000</v>
      </c>
      <c r="W55" s="583"/>
      <c r="X55" s="583"/>
      <c r="Y55" s="583"/>
      <c r="Z55" s="583">
        <f t="shared" si="198"/>
        <v>391452.9914529915</v>
      </c>
      <c r="AA55" s="583">
        <f t="shared" si="199"/>
        <v>391452.9914529915</v>
      </c>
      <c r="AB55" s="583">
        <f t="shared" si="202"/>
        <v>391452.9914529915</v>
      </c>
      <c r="AS55" s="1479"/>
      <c r="AT55" s="1479">
        <v>0</v>
      </c>
      <c r="AU55" s="1479">
        <v>0</v>
      </c>
      <c r="AV55" s="1479">
        <v>0</v>
      </c>
      <c r="BJ55" s="979">
        <v>0</v>
      </c>
      <c r="BK55" s="979">
        <v>0</v>
      </c>
      <c r="BL55" s="985">
        <v>0</v>
      </c>
      <c r="BM55" s="1473">
        <v>3815.1961171623402</v>
      </c>
      <c r="BN55" s="1473">
        <v>4814.9295929984564</v>
      </c>
      <c r="BO55" s="1473">
        <v>5556.0852735037988</v>
      </c>
      <c r="CR55" s="589">
        <f t="shared" si="208"/>
        <v>0</v>
      </c>
      <c r="CS55" s="589">
        <f t="shared" si="203"/>
        <v>0</v>
      </c>
      <c r="CT55" s="589">
        <f t="shared" si="204"/>
        <v>0</v>
      </c>
      <c r="CU55" s="589">
        <f t="shared" si="205"/>
        <v>1493469.9330430359</v>
      </c>
      <c r="CV55" s="589">
        <f t="shared" si="206"/>
        <v>1884818.5928147805</v>
      </c>
      <c r="CW55" s="589">
        <f t="shared" si="206"/>
        <v>2174946.2010809747</v>
      </c>
      <c r="CY55" s="1485"/>
      <c r="CZ55" s="1485"/>
      <c r="DA55" s="212">
        <v>75</v>
      </c>
      <c r="DB55" s="212">
        <v>75</v>
      </c>
      <c r="DC55" s="1561">
        <v>75</v>
      </c>
      <c r="DE55" s="584"/>
      <c r="DF55" s="584"/>
      <c r="DG55" s="1488">
        <f t="shared" ref="DG55:DI57" si="209">DA55*BM55/1000000</f>
        <v>0.28613970878717554</v>
      </c>
      <c r="DH55" s="1488">
        <f t="shared" si="209"/>
        <v>0.36111971947488419</v>
      </c>
      <c r="DI55" s="1488">
        <f t="shared" si="209"/>
        <v>0.41670639551278488</v>
      </c>
    </row>
    <row r="56" spans="1:113" ht="14">
      <c r="A56" s="1957"/>
      <c r="B56" s="6" t="s">
        <v>197</v>
      </c>
      <c r="D56" s="981"/>
      <c r="E56" s="981"/>
      <c r="F56" s="981">
        <f>458000</f>
        <v>458000</v>
      </c>
      <c r="G56" s="984">
        <v>428000</v>
      </c>
      <c r="H56" s="984">
        <v>428000</v>
      </c>
      <c r="I56" s="984">
        <v>428000</v>
      </c>
      <c r="W56" s="583"/>
      <c r="X56" s="583"/>
      <c r="Y56" s="583">
        <f t="shared" si="197"/>
        <v>391452.9914529915</v>
      </c>
      <c r="Z56" s="583">
        <f t="shared" si="198"/>
        <v>365811.96581196581</v>
      </c>
      <c r="AA56" s="583">
        <f t="shared" si="199"/>
        <v>365811.96581196581</v>
      </c>
      <c r="AB56" s="583">
        <f t="shared" si="202"/>
        <v>365811.96581196581</v>
      </c>
      <c r="AS56" s="1479">
        <v>18000</v>
      </c>
      <c r="AT56" s="1479">
        <v>0</v>
      </c>
      <c r="AU56" s="1479">
        <v>0</v>
      </c>
      <c r="AV56" s="1479">
        <v>0</v>
      </c>
      <c r="BJ56" s="979">
        <v>0</v>
      </c>
      <c r="BK56" s="979">
        <v>0</v>
      </c>
      <c r="BL56" s="985">
        <v>23046</v>
      </c>
      <c r="BM56" s="1473">
        <v>7814.0669352204559</v>
      </c>
      <c r="BN56" s="1473">
        <v>10742.594875950739</v>
      </c>
      <c r="BO56" s="1473">
        <v>10958</v>
      </c>
      <c r="CR56" s="589">
        <f t="shared" si="208"/>
        <v>0</v>
      </c>
      <c r="CS56" s="589">
        <f t="shared" si="203"/>
        <v>0</v>
      </c>
      <c r="CT56" s="589">
        <f t="shared" si="204"/>
        <v>9436253.6410256419</v>
      </c>
      <c r="CU56" s="589">
        <f t="shared" si="205"/>
        <v>2858479.1865592781</v>
      </c>
      <c r="CV56" s="589">
        <f t="shared" si="206"/>
        <v>3929769.7494930909</v>
      </c>
      <c r="CW56" s="1547">
        <f t="shared" ref="CW56:CW57" si="210">((AB56+AV56)*BO56)/1000</f>
        <v>4008567.5213675215</v>
      </c>
      <c r="CY56" s="1485"/>
      <c r="CZ56" s="1485">
        <v>75</v>
      </c>
      <c r="DA56" s="1485">
        <v>75</v>
      </c>
      <c r="DB56" s="1485">
        <v>75</v>
      </c>
      <c r="DC56" s="1560">
        <v>75</v>
      </c>
      <c r="DE56" s="584"/>
      <c r="DF56" s="584">
        <f>CZ56*BL56/1000000</f>
        <v>1.72845</v>
      </c>
      <c r="DG56" s="584">
        <f t="shared" si="209"/>
        <v>0.58605502014153421</v>
      </c>
      <c r="DH56" s="584">
        <f t="shared" si="209"/>
        <v>0.80569461569630541</v>
      </c>
      <c r="DI56" s="584">
        <f t="shared" si="209"/>
        <v>0.82184999999999997</v>
      </c>
    </row>
    <row r="57" spans="1:113" ht="14">
      <c r="A57" s="1957"/>
      <c r="B57" s="6" t="s">
        <v>198</v>
      </c>
      <c r="D57" s="981"/>
      <c r="E57" s="981"/>
      <c r="F57" s="981">
        <v>298000</v>
      </c>
      <c r="G57" s="984">
        <v>298000</v>
      </c>
      <c r="H57" s="984">
        <v>298000</v>
      </c>
      <c r="I57" s="984">
        <v>298000</v>
      </c>
      <c r="W57" s="583"/>
      <c r="X57" s="583"/>
      <c r="Y57" s="583">
        <f t="shared" si="197"/>
        <v>254700.85470085472</v>
      </c>
      <c r="Z57" s="583">
        <f t="shared" si="198"/>
        <v>254700.85470085472</v>
      </c>
      <c r="AA57" s="583">
        <f t="shared" si="199"/>
        <v>254700.85470085472</v>
      </c>
      <c r="AB57" s="583">
        <f t="shared" si="202"/>
        <v>254700.85470085472</v>
      </c>
      <c r="AS57" s="1479">
        <v>18000</v>
      </c>
      <c r="AT57" s="1479">
        <v>0</v>
      </c>
      <c r="AU57" s="1479">
        <v>0</v>
      </c>
      <c r="AV57" s="1479">
        <v>0</v>
      </c>
      <c r="BJ57" s="1450">
        <v>0</v>
      </c>
      <c r="BK57" s="1450">
        <v>0</v>
      </c>
      <c r="BL57" s="1450">
        <v>11813</v>
      </c>
      <c r="BM57" s="1473">
        <v>47172.171706140885</v>
      </c>
      <c r="BN57" s="1473">
        <v>89707.553054348769</v>
      </c>
      <c r="BO57" s="1473">
        <v>117420</v>
      </c>
      <c r="CR57" s="589">
        <f t="shared" si="208"/>
        <v>0</v>
      </c>
      <c r="CS57" s="589">
        <f t="shared" si="203"/>
        <v>0</v>
      </c>
      <c r="CT57" s="589">
        <f t="shared" si="204"/>
        <v>3221415.1965811974</v>
      </c>
      <c r="CU57" s="589">
        <f t="shared" si="205"/>
        <v>12014792.45164956</v>
      </c>
      <c r="CV57" s="589">
        <f t="shared" si="206"/>
        <v>22848590.436064903</v>
      </c>
      <c r="CW57" s="1547">
        <f t="shared" si="210"/>
        <v>29906974.35897436</v>
      </c>
      <c r="CY57" s="1485"/>
      <c r="CZ57" s="1485">
        <v>75</v>
      </c>
      <c r="DA57" s="1485">
        <v>75</v>
      </c>
      <c r="DB57" s="1485">
        <v>75</v>
      </c>
      <c r="DC57" s="1560">
        <v>75</v>
      </c>
      <c r="DE57" s="584"/>
      <c r="DF57" s="584">
        <f>CZ57*BL57/1000000</f>
        <v>0.88597499999999996</v>
      </c>
      <c r="DG57" s="584">
        <f t="shared" si="209"/>
        <v>3.5379128779605664</v>
      </c>
      <c r="DH57" s="584">
        <f t="shared" si="209"/>
        <v>6.7280664790761575</v>
      </c>
      <c r="DI57" s="1538">
        <f t="shared" si="209"/>
        <v>8.8064999999999998</v>
      </c>
    </row>
    <row r="58" spans="1:113" ht="14">
      <c r="A58" s="1957"/>
      <c r="B58" s="6" t="s">
        <v>199</v>
      </c>
    </row>
    <row r="59" spans="1:113" ht="14">
      <c r="A59" s="1957"/>
      <c r="B59" s="6" t="s">
        <v>200</v>
      </c>
      <c r="DF59" s="61"/>
    </row>
    <row r="60" spans="1:113" ht="14">
      <c r="A60" s="1957"/>
      <c r="B60" s="6" t="s">
        <v>201</v>
      </c>
    </row>
    <row r="61" spans="1:113" ht="14">
      <c r="A61" s="1957"/>
      <c r="B61" s="6" t="s">
        <v>202</v>
      </c>
      <c r="CU61" s="19"/>
    </row>
    <row r="62" spans="1:113" ht="14">
      <c r="A62" s="1957"/>
      <c r="B62" s="6" t="s">
        <v>203</v>
      </c>
    </row>
    <row r="63" spans="1:113" ht="14">
      <c r="A63" s="1957"/>
      <c r="B63" s="6" t="s">
        <v>204</v>
      </c>
      <c r="W63" s="1480">
        <f t="shared" ref="W63:AA63" si="211">(BJ51*D51+D52*BJ52+D53*BJ53+D54*BJ54+D55*BJ55+D56*BJ56+D57*BJ57)/BJ65</f>
        <v>396443.33150384191</v>
      </c>
      <c r="X63" s="1480">
        <f t="shared" si="211"/>
        <v>396192.41350923938</v>
      </c>
      <c r="Y63" s="1480">
        <f t="shared" si="211"/>
        <v>411378.97701759398</v>
      </c>
      <c r="Z63" s="1480">
        <f t="shared" si="211"/>
        <v>355539.59796778212</v>
      </c>
      <c r="AA63" s="1480">
        <f t="shared" si="211"/>
        <v>350046.67972214503</v>
      </c>
      <c r="AB63" s="1480" t="e">
        <f>(#REF!*I51+I52*#REF!+I53*BO53+I54*#REF!+I55*#REF!+I56*BO56+I57*BO57)/BO65</f>
        <v>#REF!</v>
      </c>
    </row>
    <row r="64" spans="1:113" ht="14">
      <c r="A64" s="1957"/>
      <c r="B64" s="586" t="s">
        <v>205</v>
      </c>
      <c r="W64" s="1480"/>
      <c r="X64" s="1480"/>
      <c r="Y64" s="1480"/>
      <c r="Z64" s="1480"/>
      <c r="AA64" s="1480"/>
      <c r="AB64" s="1480"/>
      <c r="CS64" s="980">
        <f>BY65*(AR51+X51)/1000</f>
        <v>85309.401709401718</v>
      </c>
      <c r="CT64" s="980">
        <f>BZ65*(AS51+Y51)/1000</f>
        <v>596607.69230769225</v>
      </c>
      <c r="CU64" s="980">
        <f>CA65*(AT51+Z51)/1000</f>
        <v>632076.92307692324</v>
      </c>
      <c r="CV64" s="980">
        <f>CB65*(AU51+AA51)/1000</f>
        <v>764813.07692307723</v>
      </c>
      <c r="CW64" s="1548">
        <f>CC65*(AV51+AB51)/1000</f>
        <v>1051617.9807692312</v>
      </c>
      <c r="DE64" s="1489">
        <f>CY51*BY65/1000000</f>
        <v>1.4999999999999999E-2</v>
      </c>
      <c r="DF64" s="1489">
        <f>CZ51*BZ65/1000000</f>
        <v>0.10125000000000001</v>
      </c>
      <c r="DG64" s="1489">
        <f>DA51*CA65/1000000</f>
        <v>0.11137500000000002</v>
      </c>
      <c r="DH64" s="1489">
        <f>DB51*CB65/1000000</f>
        <v>0.13476375000000007</v>
      </c>
      <c r="DI64" s="1564">
        <f>DC51*CC65/1000000</f>
        <v>0.18530015625000007</v>
      </c>
    </row>
    <row r="65" spans="1:114" ht="14">
      <c r="A65" s="1957"/>
      <c r="B65" s="511" t="s">
        <v>165</v>
      </c>
      <c r="C65" s="58"/>
      <c r="W65" s="233"/>
      <c r="X65" s="233"/>
      <c r="Y65" s="233"/>
      <c r="Z65" s="233"/>
      <c r="AA65" s="233"/>
      <c r="AB65" s="233"/>
      <c r="BJ65" s="1471">
        <f>SUM(BJ51:BJ57)</f>
        <v>43728</v>
      </c>
      <c r="BK65" s="1471">
        <f t="shared" ref="BK65:BN65" si="212">SUM(BK51:BK57)</f>
        <v>92322</v>
      </c>
      <c r="BL65" s="1471">
        <f t="shared" si="212"/>
        <v>122485</v>
      </c>
      <c r="BM65" s="1471">
        <f>SUM(BM51:BM57)</f>
        <v>154430.23597077368</v>
      </c>
      <c r="BN65" s="1471">
        <f t="shared" si="212"/>
        <v>232585.50782270852</v>
      </c>
      <c r="BO65" s="1471">
        <f>SUM(BO51:BO57)</f>
        <v>318638.51231661584</v>
      </c>
      <c r="BP65" t="s">
        <v>206</v>
      </c>
      <c r="BY65" s="981">
        <v>200</v>
      </c>
      <c r="BZ65" s="981">
        <v>1350</v>
      </c>
      <c r="CA65" s="1481">
        <f>BZ65*1.1</f>
        <v>1485.0000000000002</v>
      </c>
      <c r="CB65" s="1481">
        <f>CA65*1.1*1.1</f>
        <v>1796.8500000000006</v>
      </c>
      <c r="CC65" s="1481">
        <f>CB65*1.1*1.25</f>
        <v>2470.6687500000007</v>
      </c>
      <c r="CL65" s="1617">
        <f>BJ65+BX65</f>
        <v>43728</v>
      </c>
      <c r="CM65" s="1617">
        <f>BK65+BY65</f>
        <v>92522</v>
      </c>
      <c r="CN65" s="1617">
        <f t="shared" ref="CN65:CQ65" si="213">BL65+BZ65</f>
        <v>123835</v>
      </c>
      <c r="CO65" s="1617">
        <f t="shared" si="213"/>
        <v>155915.23597077368</v>
      </c>
      <c r="CP65" s="1617">
        <f t="shared" si="213"/>
        <v>234382.35782270852</v>
      </c>
      <c r="CQ65" s="1618">
        <f t="shared" si="213"/>
        <v>321109.18106661586</v>
      </c>
      <c r="CR65" s="907">
        <f t="shared" ref="CR65:CV65" si="214">SUM(CR51:CR57)+CR64</f>
        <v>15800695.384615384</v>
      </c>
      <c r="CS65" s="907">
        <f t="shared" si="214"/>
        <v>33009734.461538464</v>
      </c>
      <c r="CT65" s="907">
        <f t="shared" si="214"/>
        <v>45867794.102564111</v>
      </c>
      <c r="CU65" s="907">
        <f t="shared" si="214"/>
        <v>47560336.761639833</v>
      </c>
      <c r="CV65" s="907">
        <f t="shared" si="214"/>
        <v>70350953.901562482</v>
      </c>
      <c r="CW65" s="1549">
        <f>SUM(CW51:CW57)+CW64</f>
        <v>95608019.291718259</v>
      </c>
      <c r="CX65" s="233"/>
      <c r="CY65" s="233"/>
      <c r="CZ65" s="233"/>
      <c r="DA65" s="233"/>
      <c r="DB65" s="233"/>
      <c r="DC65" s="1528"/>
      <c r="DE65" s="252">
        <f>SUM(DE51:DE57,DE64)</f>
        <v>6.9391499999999988</v>
      </c>
      <c r="DF65" s="252">
        <f>SUM(DF51:DF57,DF64)</f>
        <v>9.2876250000000002</v>
      </c>
      <c r="DG65" s="252">
        <f>SUM(DG51:DG57,DG64)</f>
        <v>11.693642697808027</v>
      </c>
      <c r="DH65" s="252">
        <f>SUM(DH51:DH57,DH64)</f>
        <v>17.578676836703139</v>
      </c>
      <c r="DI65" s="1536">
        <f>SUM(DI51:DI57,DI64)</f>
        <v>24.08318857999619</v>
      </c>
      <c r="DJ65" t="s">
        <v>190</v>
      </c>
    </row>
    <row r="66" spans="1:114" s="7" customFormat="1" ht="14.25" customHeight="1">
      <c r="A66" s="1957" t="s">
        <v>63</v>
      </c>
      <c r="B66" s="585" t="s">
        <v>207</v>
      </c>
      <c r="D66" s="53">
        <v>328000</v>
      </c>
      <c r="E66" s="53">
        <v>338000</v>
      </c>
      <c r="F66" s="53">
        <v>339800</v>
      </c>
      <c r="G66" s="53">
        <v>339800</v>
      </c>
      <c r="H66" s="53">
        <v>339800</v>
      </c>
      <c r="I66" s="53">
        <v>339800</v>
      </c>
      <c r="W66" s="75">
        <f t="shared" ref="W66:AB66" si="215">D66/1.17</f>
        <v>280341.88034188037</v>
      </c>
      <c r="X66" s="75">
        <f t="shared" si="215"/>
        <v>288888.88888888893</v>
      </c>
      <c r="Y66" s="75">
        <f t="shared" si="215"/>
        <v>290427.35042735044</v>
      </c>
      <c r="Z66" s="75">
        <f t="shared" si="215"/>
        <v>290427.35042735044</v>
      </c>
      <c r="AA66" s="75">
        <f t="shared" si="215"/>
        <v>290427.35042735044</v>
      </c>
      <c r="AB66" s="75">
        <f t="shared" si="215"/>
        <v>290427.35042735044</v>
      </c>
      <c r="AQ66" s="7">
        <v>8500</v>
      </c>
      <c r="AR66" s="7">
        <v>8500</v>
      </c>
      <c r="AS66" s="7">
        <v>8500</v>
      </c>
      <c r="AT66" s="7">
        <v>0</v>
      </c>
      <c r="AU66" s="7">
        <v>0</v>
      </c>
      <c r="AV66" s="7">
        <v>0</v>
      </c>
      <c r="BJ66" s="946">
        <v>33457</v>
      </c>
      <c r="BK66" s="946">
        <v>90491</v>
      </c>
      <c r="BL66" s="946">
        <f>SUM(BL67:BL69)</f>
        <v>94273</v>
      </c>
      <c r="BM66" s="946">
        <f>SUM(BM67:BM69)</f>
        <v>271195.09551088576</v>
      </c>
      <c r="BN66" s="946">
        <f>SUM(BN67:BN69)</f>
        <v>410574.81734903064</v>
      </c>
      <c r="BO66" s="946">
        <f t="shared" ref="BO66" si="216">SUM(BO67:BO69)</f>
        <v>555604.27920739434</v>
      </c>
      <c r="CL66" s="1002">
        <f>BJ66+BQ66+BX66+CE66</f>
        <v>33457</v>
      </c>
      <c r="CM66" s="1002">
        <f t="shared" ref="CM66:CQ66" si="217">BK66+BR66+BY66+CF66</f>
        <v>90491</v>
      </c>
      <c r="CN66" s="1002">
        <f t="shared" si="217"/>
        <v>94273</v>
      </c>
      <c r="CO66" s="1002">
        <f t="shared" si="217"/>
        <v>271195.09551088576</v>
      </c>
      <c r="CP66" s="1002">
        <f>BN66+BU66+CB66+CI66</f>
        <v>410574.81734903064</v>
      </c>
      <c r="CQ66" s="1540">
        <f t="shared" si="217"/>
        <v>555604.27920739434</v>
      </c>
      <c r="CR66" s="583">
        <f>(W66+AQ66)*BJ66*10^(-3)</f>
        <v>9663782.7905982919</v>
      </c>
      <c r="CS66" s="583">
        <f t="shared" ref="CS66:CV68" si="218">(X66+AR66)*BK66*10^(-3)</f>
        <v>26911017.944444451</v>
      </c>
      <c r="CT66" s="75">
        <f>(Y66+AS66)*BL66*10^(-3)</f>
        <v>28180778.106837608</v>
      </c>
      <c r="CU66" s="75">
        <f>(Z66+AT66)*BM66*10^(-3)</f>
        <v>78762473.038118795</v>
      </c>
      <c r="CV66" s="75">
        <f t="shared" si="218"/>
        <v>119242156.35487232</v>
      </c>
      <c r="CW66" s="1249">
        <f>(AB66+AV66)*BO66*10^(-3)</f>
        <v>161362678.69630137</v>
      </c>
      <c r="CX66" s="278">
        <v>40.5</v>
      </c>
      <c r="CY66" s="278">
        <v>40.5</v>
      </c>
      <c r="CZ66" s="278">
        <v>42.8</v>
      </c>
      <c r="DA66" s="278">
        <v>42.8</v>
      </c>
      <c r="DB66" s="278">
        <v>42.8</v>
      </c>
      <c r="DC66" s="1554">
        <v>42.8</v>
      </c>
      <c r="DD66" s="925">
        <f>CX66*CL66/1000000</f>
        <v>1.3550085000000001</v>
      </c>
      <c r="DE66" s="925">
        <f>CY66*CM66/1000000</f>
        <v>3.6648855</v>
      </c>
      <c r="DF66" s="925">
        <f t="shared" ref="DF66:DI66" si="219">CZ66*CN66/1000000</f>
        <v>4.0348844000000001</v>
      </c>
      <c r="DG66" s="925">
        <f>DA66*CO66/1000000</f>
        <v>11.607150087865909</v>
      </c>
      <c r="DH66" s="925">
        <f>DB66*CP66/1000000</f>
        <v>17.57260218253851</v>
      </c>
      <c r="DI66" s="1541">
        <f t="shared" si="219"/>
        <v>23.779863150076476</v>
      </c>
    </row>
    <row r="67" spans="1:114" ht="14.25" customHeight="1">
      <c r="A67" s="1957"/>
      <c r="B67" s="6" t="s">
        <v>208</v>
      </c>
      <c r="F67" s="976">
        <v>349800</v>
      </c>
      <c r="G67" s="976">
        <v>349800</v>
      </c>
      <c r="H67" s="976">
        <v>0</v>
      </c>
      <c r="I67" s="976">
        <v>0</v>
      </c>
      <c r="W67" s="75"/>
      <c r="X67" s="75"/>
      <c r="Y67" s="75">
        <f>F67/1.17</f>
        <v>298974.358974359</v>
      </c>
      <c r="Z67" s="75">
        <f>G67/1.17</f>
        <v>298974.358974359</v>
      </c>
      <c r="AA67" s="75">
        <v>0</v>
      </c>
      <c r="AB67" s="75">
        <v>0</v>
      </c>
      <c r="AT67" s="7">
        <v>0</v>
      </c>
      <c r="AU67" s="7">
        <v>0</v>
      </c>
      <c r="AV67" s="7">
        <v>0</v>
      </c>
      <c r="BJ67" s="85">
        <f>'[1]CN SUV 30-35'!$B$67</f>
        <v>33457</v>
      </c>
      <c r="BK67" s="85">
        <f>'[1]CN SUV 30-35'!$C$67</f>
        <v>90491</v>
      </c>
      <c r="BL67" s="85">
        <f>'[1]CN SUV 30-35'!$D$67</f>
        <v>78791</v>
      </c>
      <c r="BM67" s="85">
        <f>'[1]CN SUV 30-35'!$E$67</f>
        <v>28047.914921540556</v>
      </c>
      <c r="BN67" s="85">
        <f>'[1]CN SUV 30-35'!$F$67</f>
        <v>0</v>
      </c>
      <c r="BO67" s="85">
        <f>'[1]CN SUV 30-35'!$G$67</f>
        <v>0</v>
      </c>
      <c r="CL67" s="1002">
        <f t="shared" ref="CL67:CL70" si="220">BJ67+BQ67+BX67+CE67</f>
        <v>33457</v>
      </c>
      <c r="CM67" s="1002">
        <f>BK67+BR67+BY67+CF67</f>
        <v>90491</v>
      </c>
      <c r="CN67" s="1002">
        <f t="shared" ref="CN67:CN70" si="221">BL67+BS67+BZ67+CG67</f>
        <v>78791</v>
      </c>
      <c r="CO67" s="1002">
        <f t="shared" ref="CO67:CO70" si="222">BM67+BT67+CA67+CH67</f>
        <v>28047.914921540556</v>
      </c>
      <c r="CP67" s="1002">
        <f t="shared" ref="CP67:CP70" si="223">BN67+BU67+CB67+CI67</f>
        <v>0</v>
      </c>
      <c r="CQ67" s="1539">
        <f t="shared" ref="CQ67:CQ70" si="224">BO67+BV67+CC67+CJ67</f>
        <v>0</v>
      </c>
      <c r="CR67" s="75"/>
      <c r="CS67" s="75"/>
      <c r="CT67" s="75"/>
      <c r="CU67" s="583">
        <f>(Z67+AT67)*BM67*10^(-3)</f>
        <v>8385607.3842349462</v>
      </c>
      <c r="CV67" s="583">
        <f t="shared" si="218"/>
        <v>0</v>
      </c>
      <c r="CW67" s="1550">
        <f t="shared" ref="CW67:CW69" si="225">(AB67+AV67)*BO67*10^(-3)</f>
        <v>0</v>
      </c>
      <c r="CX67" s="278">
        <v>40.5</v>
      </c>
      <c r="CY67" s="278">
        <v>40.5</v>
      </c>
      <c r="CZ67" s="278">
        <v>40.5</v>
      </c>
      <c r="DA67" s="278"/>
      <c r="DB67" s="278"/>
      <c r="DC67" s="1554"/>
      <c r="DD67" s="925">
        <f t="shared" ref="DD67" si="226">CX67*CL67/1000000</f>
        <v>1.3550085000000001</v>
      </c>
      <c r="DE67" s="925">
        <f t="shared" ref="DE67" si="227">CY67*CM67/1000000</f>
        <v>3.6648855</v>
      </c>
      <c r="DF67" s="925">
        <f t="shared" ref="DF67:DF69" si="228">CZ67*CN67/1000000</f>
        <v>3.1910354999999999</v>
      </c>
      <c r="DG67" s="925"/>
      <c r="DH67" s="925"/>
      <c r="DI67" s="1541"/>
    </row>
    <row r="68" spans="1:114" ht="14.25" customHeight="1">
      <c r="A68" s="1958"/>
      <c r="B68" s="6" t="s">
        <v>209</v>
      </c>
      <c r="F68" s="976">
        <v>339800</v>
      </c>
      <c r="G68" s="977">
        <f>319800*CA!I280+339800*CA!I281+379800*CA!I282</f>
        <v>337800</v>
      </c>
      <c r="H68" s="977">
        <f>319800*CA!J280+339800*CA!J281+379800*CA!J282</f>
        <v>337800</v>
      </c>
      <c r="I68" s="977">
        <f>319800</f>
        <v>319800</v>
      </c>
      <c r="W68" s="75"/>
      <c r="X68" s="75"/>
      <c r="Y68" s="75">
        <f>F68/1.17</f>
        <v>290427.35042735044</v>
      </c>
      <c r="Z68" s="75">
        <f>G68/1.17</f>
        <v>288717.94871794875</v>
      </c>
      <c r="AA68" s="75">
        <f t="shared" ref="Z68:AB70" si="229">H68/1.17</f>
        <v>288717.94871794875</v>
      </c>
      <c r="AB68" s="75">
        <f t="shared" si="229"/>
        <v>273333.33333333337</v>
      </c>
      <c r="AT68" s="7">
        <v>0</v>
      </c>
      <c r="AU68" s="7">
        <v>0</v>
      </c>
      <c r="AV68" s="7">
        <v>0</v>
      </c>
      <c r="BJ68" s="19"/>
      <c r="BK68" s="19"/>
      <c r="BL68" s="85">
        <f>'[1]CN SUV 30-35'!$D$66</f>
        <v>15482</v>
      </c>
      <c r="BM68" s="85">
        <f>'[1]CN SUV 30-35'!$E$66</f>
        <v>117334.94069479479</v>
      </c>
      <c r="BN68" s="85">
        <f>'[1]CN SUV 30-35'!$F$66</f>
        <v>199899.98935575079</v>
      </c>
      <c r="BO68" s="85">
        <f>'[1]CN SUV 30-35'!$G$66</f>
        <v>277802.13960369717</v>
      </c>
      <c r="CL68" s="1002"/>
      <c r="CM68" s="1002"/>
      <c r="CN68" s="1002">
        <f t="shared" si="221"/>
        <v>15482</v>
      </c>
      <c r="CO68" s="1002">
        <f>BM68+BT68+CA68+CH68</f>
        <v>117334.94069479479</v>
      </c>
      <c r="CP68" s="1002">
        <f t="shared" si="223"/>
        <v>199899.98935575079</v>
      </c>
      <c r="CQ68" s="1539">
        <f t="shared" si="224"/>
        <v>277802.13960369717</v>
      </c>
      <c r="CR68" s="75"/>
      <c r="CS68" s="75"/>
      <c r="CT68" s="75"/>
      <c r="CU68" s="583">
        <f>(Z68+AT68)*BM68*10^(-3)</f>
        <v>33876703.390343323</v>
      </c>
      <c r="CV68" s="583">
        <f t="shared" si="218"/>
        <v>57714714.875532158</v>
      </c>
      <c r="CW68" s="1550">
        <f t="shared" si="225"/>
        <v>75932584.825010583</v>
      </c>
      <c r="CX68" s="278"/>
      <c r="CY68" s="278"/>
      <c r="CZ68" s="278">
        <v>42.8</v>
      </c>
      <c r="DA68" s="278">
        <v>42.8</v>
      </c>
      <c r="DB68" s="278">
        <v>42.8</v>
      </c>
      <c r="DC68" s="1554">
        <v>42.8</v>
      </c>
      <c r="DD68" s="925"/>
      <c r="DE68" s="925"/>
      <c r="DF68" s="925">
        <f t="shared" si="228"/>
        <v>0.66262959999999993</v>
      </c>
      <c r="DG68" s="925">
        <f t="shared" ref="DG68:DG69" si="230">DA68*CO68/1000000</f>
        <v>5.0219354617372165</v>
      </c>
      <c r="DH68" s="925">
        <f t="shared" ref="DH68:DH69" si="231">DB68*CP68/1000000</f>
        <v>8.5557195444261342</v>
      </c>
      <c r="DI68" s="1541">
        <f t="shared" ref="DI68:DI69" si="232">DC68*CQ68/1000000</f>
        <v>11.889931575038238</v>
      </c>
    </row>
    <row r="69" spans="1:114" ht="14.25" customHeight="1">
      <c r="A69" s="1958"/>
      <c r="B69" s="6" t="s">
        <v>210</v>
      </c>
      <c r="F69" s="976">
        <v>319800</v>
      </c>
      <c r="G69" s="977">
        <f>339800*CA!I219+359800*CA!I220+399800*CA!I221</f>
        <v>357800</v>
      </c>
      <c r="H69" s="977">
        <f>339800*CA!J219+359800*CA!J220+399800*CA!J221</f>
        <v>357800</v>
      </c>
      <c r="I69" s="977">
        <f>339800*CA!K219+359800*CA!K220+399800*CA!K221</f>
        <v>357800</v>
      </c>
      <c r="W69" s="75"/>
      <c r="X69" s="75"/>
      <c r="Y69" s="75">
        <f>F69/1.17</f>
        <v>273333.33333333337</v>
      </c>
      <c r="Z69" s="75">
        <f t="shared" si="229"/>
        <v>305811.96581196581</v>
      </c>
      <c r="AA69" s="75">
        <f t="shared" si="229"/>
        <v>305811.96581196581</v>
      </c>
      <c r="AB69" s="75">
        <f t="shared" si="229"/>
        <v>305811.96581196581</v>
      </c>
      <c r="AT69" s="7">
        <v>0</v>
      </c>
      <c r="AU69" s="7">
        <v>0</v>
      </c>
      <c r="AV69" s="7">
        <v>0</v>
      </c>
      <c r="BJ69" s="19"/>
      <c r="BK69" s="19"/>
      <c r="BL69" s="19"/>
      <c r="BM69" s="85">
        <f>'[1]CN SUV 30-35'!$E$65</f>
        <v>125812.23989455041</v>
      </c>
      <c r="BN69" s="85">
        <f>'[1]CN SUV 30-35'!$F$65</f>
        <v>210674.82799327988</v>
      </c>
      <c r="BO69" s="85">
        <f>'[1]CN SUV 30-35'!$G$66</f>
        <v>277802.13960369717</v>
      </c>
      <c r="CL69" s="1002"/>
      <c r="CM69" s="1002"/>
      <c r="CN69" s="1002"/>
      <c r="CO69" s="1002">
        <f t="shared" si="222"/>
        <v>125812.23989455041</v>
      </c>
      <c r="CP69" s="1002">
        <f>BN69+BU69+CB69+CI69</f>
        <v>210674.82799327988</v>
      </c>
      <c r="CQ69" s="1539">
        <f t="shared" si="224"/>
        <v>277802.13960369717</v>
      </c>
      <c r="CR69" s="75"/>
      <c r="CS69" s="75"/>
      <c r="CT69" s="75"/>
      <c r="CU69" s="583">
        <f>(Z69+AT69)*BM69*10^(-3)</f>
        <v>38474888.405359097</v>
      </c>
      <c r="CV69" s="583">
        <f>(AA69+AU69)*BN69*10^(-3)</f>
        <v>64426883.295722686</v>
      </c>
      <c r="CW69" s="1550">
        <f t="shared" si="225"/>
        <v>84955218.418976799</v>
      </c>
      <c r="CX69" s="278"/>
      <c r="CY69" s="278"/>
      <c r="CZ69" s="278">
        <v>40.9</v>
      </c>
      <c r="DA69" s="278">
        <v>40.9</v>
      </c>
      <c r="DB69" s="278">
        <v>40.9</v>
      </c>
      <c r="DC69" s="1554">
        <v>40.9</v>
      </c>
      <c r="DD69" s="925"/>
      <c r="DE69" s="925"/>
      <c r="DF69" s="925">
        <f t="shared" si="228"/>
        <v>0</v>
      </c>
      <c r="DG69" s="925">
        <f t="shared" si="230"/>
        <v>5.1457206116871115</v>
      </c>
      <c r="DH69" s="925">
        <f t="shared" si="231"/>
        <v>8.6166004649251455</v>
      </c>
      <c r="DI69" s="1541">
        <f t="shared" si="232"/>
        <v>11.362107509791214</v>
      </c>
    </row>
    <row r="70" spans="1:114" ht="14.25" customHeight="1">
      <c r="A70" s="1957"/>
      <c r="B70" s="6" t="s">
        <v>211</v>
      </c>
      <c r="D70" s="19"/>
      <c r="E70" s="19"/>
      <c r="F70" s="19">
        <v>459800</v>
      </c>
      <c r="G70" s="75">
        <f>429800*CA!I341+459800*CA!I342</f>
        <v>435800</v>
      </c>
      <c r="H70" s="75">
        <f>429800*CA!J341+459800*CA!J342</f>
        <v>435800</v>
      </c>
      <c r="I70" s="75">
        <f>429800</f>
        <v>429800</v>
      </c>
      <c r="W70" s="19"/>
      <c r="X70" s="19"/>
      <c r="Y70" s="75">
        <f>F70/1.17</f>
        <v>392991.452991453</v>
      </c>
      <c r="Z70" s="75">
        <f t="shared" si="229"/>
        <v>372478.6324786325</v>
      </c>
      <c r="AA70" s="75">
        <f t="shared" si="229"/>
        <v>372478.6324786325</v>
      </c>
      <c r="AB70" s="75">
        <f t="shared" si="229"/>
        <v>367350.42735042737</v>
      </c>
      <c r="AS70">
        <v>0</v>
      </c>
      <c r="AT70">
        <v>0</v>
      </c>
      <c r="AU70">
        <v>0</v>
      </c>
      <c r="AV70">
        <v>0</v>
      </c>
      <c r="BJ70" s="19"/>
      <c r="BK70" s="19"/>
      <c r="BL70" s="85">
        <f>'[1]CN SUV 40-50'!$D$41</f>
        <v>38973</v>
      </c>
      <c r="BM70" s="85">
        <f>'[1]CN SUV 40-50'!$E$41</f>
        <v>90865.774295692565</v>
      </c>
      <c r="BN70" s="85">
        <f>'[1]CN SUV 40-50'!$F$41</f>
        <v>143955.51359488393</v>
      </c>
      <c r="BO70" s="85">
        <f>'[1]CN SUV 40-50'!$G$41</f>
        <v>178780.27984995913</v>
      </c>
      <c r="CL70" s="1002">
        <f t="shared" si="220"/>
        <v>0</v>
      </c>
      <c r="CM70" s="1002">
        <f t="shared" ref="CM70" si="233">BK70+BR70+BY70+CF70</f>
        <v>0</v>
      </c>
      <c r="CN70" s="1002">
        <f t="shared" si="221"/>
        <v>38973</v>
      </c>
      <c r="CO70" s="1002">
        <f t="shared" si="222"/>
        <v>90865.774295692565</v>
      </c>
      <c r="CP70" s="1002">
        <f t="shared" si="223"/>
        <v>143955.51359488393</v>
      </c>
      <c r="CQ70" s="1539">
        <f t="shared" si="224"/>
        <v>178780.27984995913</v>
      </c>
      <c r="CT70" s="583">
        <f>(Y70+AS70)*BL70*10^(-3)</f>
        <v>15316055.897435898</v>
      </c>
      <c r="CU70" s="583">
        <f>(Z70+AT70)*BM70*10^(-3)</f>
        <v>33845559.348771639</v>
      </c>
      <c r="CV70" s="583">
        <f>(AA70+AU70)*BN70*10^(-3)</f>
        <v>53620352.841581561</v>
      </c>
      <c r="CW70" s="1550">
        <f>(AB70+AV70)*BO70*10^(-3)</f>
        <v>65675012.204711489</v>
      </c>
      <c r="CX70" s="278"/>
      <c r="CY70" s="278"/>
      <c r="CZ70" s="278">
        <v>44.5</v>
      </c>
      <c r="DA70" s="278">
        <v>44.5</v>
      </c>
      <c r="DB70" s="278">
        <v>44.5</v>
      </c>
      <c r="DC70" s="1554">
        <v>44.5</v>
      </c>
      <c r="DD70" s="916">
        <f t="shared" ref="DD70" si="234">CX70*CL70/1000000</f>
        <v>0</v>
      </c>
      <c r="DE70" s="916">
        <f t="shared" ref="DE70" si="235">CY70*CM70/1000000</f>
        <v>0</v>
      </c>
      <c r="DF70" s="916">
        <f t="shared" ref="DF70" si="236">CZ70*CN70/1000000</f>
        <v>1.7342985</v>
      </c>
      <c r="DG70" s="916">
        <f t="shared" ref="DG70" si="237">DA70*CO70/1000000</f>
        <v>4.0435269561583187</v>
      </c>
      <c r="DH70" s="916">
        <f t="shared" ref="DH70" si="238">DB70*CP70/1000000</f>
        <v>6.4060203549723349</v>
      </c>
      <c r="DI70" s="1542">
        <f t="shared" ref="DI70" si="239">DC70*CQ70/1000000</f>
        <v>7.9557224533231814</v>
      </c>
    </row>
    <row r="71" spans="1:114" ht="14.25" customHeight="1">
      <c r="A71" s="1957"/>
      <c r="F71" s="975"/>
      <c r="G71" s="975"/>
      <c r="H71" s="975"/>
      <c r="I71" s="975"/>
      <c r="Y71" s="75"/>
      <c r="Z71" s="75"/>
      <c r="AA71" s="75"/>
      <c r="AB71" s="75"/>
      <c r="BJ71" s="979"/>
      <c r="BK71" s="979"/>
      <c r="BL71" s="979"/>
      <c r="BM71" s="979"/>
      <c r="BN71" s="979"/>
      <c r="BO71" s="979"/>
      <c r="CL71" s="1002"/>
      <c r="CM71" s="1002"/>
      <c r="CN71" s="1002"/>
      <c r="CO71" s="1002"/>
      <c r="CP71" s="1002"/>
      <c r="CQ71" s="1539"/>
      <c r="DD71" s="916"/>
      <c r="DE71" s="916"/>
      <c r="DF71" s="916"/>
      <c r="DG71" s="916"/>
      <c r="DH71" s="916"/>
      <c r="DI71" s="1542"/>
    </row>
    <row r="72" spans="1:114" ht="14.25" customHeight="1">
      <c r="A72" s="1957"/>
      <c r="BJ72" s="255"/>
      <c r="BK72" s="255"/>
      <c r="BL72" s="255"/>
      <c r="BM72" s="255"/>
      <c r="BN72" s="255"/>
      <c r="BO72" s="255"/>
      <c r="CL72" s="1002"/>
      <c r="CM72" s="1002"/>
      <c r="CN72" s="1002"/>
      <c r="CO72" s="1002"/>
      <c r="CP72" s="1002"/>
      <c r="CQ72" s="1539"/>
      <c r="CW72" s="1255" t="s">
        <v>212</v>
      </c>
      <c r="CX72" s="278"/>
      <c r="CY72" s="278"/>
      <c r="CZ72" s="278"/>
      <c r="DA72" s="278"/>
      <c r="DB72" s="278"/>
      <c r="DC72" s="1554"/>
      <c r="DD72" s="916"/>
      <c r="DE72" s="916"/>
      <c r="DF72" s="916"/>
      <c r="DG72" s="916"/>
      <c r="DH72" s="916"/>
      <c r="DI72" s="1542"/>
    </row>
    <row r="73" spans="1:114" ht="14.25" customHeight="1">
      <c r="A73" s="1957"/>
      <c r="B73" s="6" t="s">
        <v>188</v>
      </c>
      <c r="CL73" s="358"/>
      <c r="CM73" s="358"/>
      <c r="CN73" s="358"/>
      <c r="CO73" s="358"/>
      <c r="CP73" s="358"/>
      <c r="CQ73" s="1540"/>
      <c r="CR73" s="19">
        <f>'Earning Forecast'!F268-'Price&amp;Q'!CR74</f>
        <v>-381079.7905982919</v>
      </c>
      <c r="CS73" s="19">
        <f>'Earning Forecast'!G268-'Price&amp;Q'!CS74</f>
        <v>-782548.94444445148</v>
      </c>
      <c r="CT73" s="19">
        <f>'Earning Forecast'!H268-'Price&amp;Q'!CT74</f>
        <v>609599.99572649598</v>
      </c>
    </row>
    <row r="74" spans="1:114" ht="14.25" customHeight="1">
      <c r="A74" s="1957"/>
      <c r="B74" s="511" t="s">
        <v>165</v>
      </c>
      <c r="C74" s="58"/>
      <c r="BJ74" s="303">
        <f t="shared" ref="BJ74:BN74" si="240">BJ66+BJ70</f>
        <v>33457</v>
      </c>
      <c r="BK74" s="303">
        <f t="shared" si="240"/>
        <v>90491</v>
      </c>
      <c r="BL74" s="303">
        <f t="shared" si="240"/>
        <v>133246</v>
      </c>
      <c r="BM74" s="303">
        <f t="shared" si="240"/>
        <v>362060.86980657832</v>
      </c>
      <c r="BN74" s="303">
        <f t="shared" si="240"/>
        <v>554530.3309439146</v>
      </c>
      <c r="BO74" s="303">
        <f>BO66+BO70</f>
        <v>734384.55905735353</v>
      </c>
      <c r="CL74" s="358">
        <f>SUM(CL67:CL70)</f>
        <v>33457</v>
      </c>
      <c r="CM74" s="358">
        <f>SUM(CM67:CM70)</f>
        <v>90491</v>
      </c>
      <c r="CN74" s="358">
        <f>SUM(CN67:CN70)</f>
        <v>133246</v>
      </c>
      <c r="CO74" s="358">
        <f>SUM(CO67:CO70)</f>
        <v>362060.86980657832</v>
      </c>
      <c r="CP74" s="358">
        <f>SUM(CP67:CP71)</f>
        <v>554530.3309439146</v>
      </c>
      <c r="CQ74" s="1540">
        <f>SUM(CQ67:CQ71)</f>
        <v>734384.55905735353</v>
      </c>
      <c r="CR74" s="75">
        <f t="shared" ref="CR74:CT74" si="241">SUM(CR66:CR70)</f>
        <v>9663782.7905982919</v>
      </c>
      <c r="CS74" s="75">
        <f t="shared" si="241"/>
        <v>26911017.944444451</v>
      </c>
      <c r="CT74" s="75">
        <f t="shared" si="241"/>
        <v>43496834.004273504</v>
      </c>
      <c r="CU74" s="75">
        <f>SUM(CU67:CU70)</f>
        <v>114582758.52870899</v>
      </c>
      <c r="CV74" s="75">
        <f>SUM(CV67:CV70)</f>
        <v>175761951.0128364</v>
      </c>
      <c r="CW74" s="1249">
        <f>SUM(CW67:CW70)</f>
        <v>226562815.44869888</v>
      </c>
      <c r="DD74" s="916">
        <f t="shared" ref="DD74:DI74" si="242">SUM(DD66:DD70)</f>
        <v>2.7100170000000001</v>
      </c>
      <c r="DE74" s="916">
        <f t="shared" si="242"/>
        <v>7.329771</v>
      </c>
      <c r="DF74" s="916">
        <f t="shared" si="242"/>
        <v>9.6228479999999994</v>
      </c>
      <c r="DG74" s="916">
        <f t="shared" si="242"/>
        <v>25.818333117448553</v>
      </c>
      <c r="DH74" s="916">
        <f t="shared" si="242"/>
        <v>41.150942546862119</v>
      </c>
      <c r="DI74" s="1542">
        <f t="shared" si="242"/>
        <v>54.987624688229111</v>
      </c>
    </row>
    <row r="75" spans="1:114" s="7" customFormat="1" ht="14.25" customHeight="1">
      <c r="A75" s="1957" t="s">
        <v>213</v>
      </c>
      <c r="B75" s="585" t="s">
        <v>214</v>
      </c>
      <c r="D75" s="7">
        <v>162900</v>
      </c>
      <c r="E75" s="7">
        <v>162900</v>
      </c>
      <c r="F75" s="7">
        <v>185400</v>
      </c>
      <c r="G75" s="7">
        <v>185400</v>
      </c>
      <c r="H75" s="7">
        <v>185400</v>
      </c>
      <c r="I75" s="7">
        <v>185400</v>
      </c>
      <c r="W75" s="925">
        <f t="shared" ref="W75:AB76" si="243">D75/1.17</f>
        <v>139230.76923076925</v>
      </c>
      <c r="X75" s="925">
        <f t="shared" si="243"/>
        <v>139230.76923076925</v>
      </c>
      <c r="Y75" s="925">
        <f t="shared" si="243"/>
        <v>158461.53846153847</v>
      </c>
      <c r="Z75" s="925">
        <f t="shared" si="243"/>
        <v>158461.53846153847</v>
      </c>
      <c r="AA75" s="925">
        <f t="shared" si="243"/>
        <v>158461.53846153847</v>
      </c>
      <c r="AB75" s="925">
        <f t="shared" si="243"/>
        <v>158461.53846153847</v>
      </c>
      <c r="AQ75" s="7">
        <v>7400</v>
      </c>
      <c r="AR75" s="7">
        <v>7400</v>
      </c>
      <c r="AS75" s="7">
        <v>7400</v>
      </c>
      <c r="AT75" s="7">
        <v>0</v>
      </c>
      <c r="AU75" s="7">
        <v>0</v>
      </c>
      <c r="AV75" s="7">
        <v>0</v>
      </c>
      <c r="BJ75" s="946">
        <v>11691</v>
      </c>
      <c r="BK75" s="946">
        <v>29721</v>
      </c>
      <c r="BL75" s="946">
        <v>17336</v>
      </c>
      <c r="BM75" s="946">
        <v>0</v>
      </c>
      <c r="BN75" s="946">
        <v>0</v>
      </c>
      <c r="BO75" s="946">
        <v>0</v>
      </c>
      <c r="CL75" s="940">
        <f>BJ75+BQ75+BX75+CE75</f>
        <v>11691</v>
      </c>
      <c r="CM75" s="940">
        <f t="shared" ref="CM75:CQ78" si="244">BK75+BR75+BY75+CF75</f>
        <v>29721</v>
      </c>
      <c r="CN75" s="940">
        <f t="shared" si="244"/>
        <v>17336</v>
      </c>
      <c r="CO75" s="925">
        <f t="shared" si="244"/>
        <v>0</v>
      </c>
      <c r="CP75" s="925">
        <f t="shared" si="244"/>
        <v>0</v>
      </c>
      <c r="CQ75" s="1541">
        <f t="shared" si="244"/>
        <v>0</v>
      </c>
      <c r="CR75" s="950">
        <f>(W75+AQ75)*BJ75/1000</f>
        <v>1714260.3230769234</v>
      </c>
      <c r="CS75" s="950">
        <f t="shared" ref="CS75:CV76" si="245">(X75+AR75)*BK75/1000</f>
        <v>4358013.0923076924</v>
      </c>
      <c r="CT75" s="950">
        <f t="shared" si="245"/>
        <v>2875375.6307692309</v>
      </c>
      <c r="CU75" s="950">
        <f t="shared" si="245"/>
        <v>0</v>
      </c>
      <c r="CV75" s="950">
        <f t="shared" si="245"/>
        <v>0</v>
      </c>
      <c r="CW75" s="1551">
        <f>(AB75+AV75)*BO75/1000</f>
        <v>0</v>
      </c>
      <c r="CX75" s="942">
        <v>57.5</v>
      </c>
      <c r="CY75" s="942">
        <v>66</v>
      </c>
      <c r="CZ75" s="942">
        <v>66.2</v>
      </c>
      <c r="DA75" s="942">
        <v>66.2</v>
      </c>
      <c r="DB75" s="942">
        <v>66.2</v>
      </c>
      <c r="DC75" s="1562">
        <v>66.2</v>
      </c>
      <c r="DD75" s="925">
        <f>CX75*CL75/1000000</f>
        <v>0.67223250000000001</v>
      </c>
      <c r="DE75" s="925">
        <f t="shared" ref="DE75:DI78" si="246">CY75*CM75/1000000</f>
        <v>1.9615860000000001</v>
      </c>
      <c r="DF75" s="925">
        <f t="shared" si="246"/>
        <v>1.1476431999999999</v>
      </c>
      <c r="DG75" s="925">
        <f t="shared" si="246"/>
        <v>0</v>
      </c>
      <c r="DH75" s="925">
        <f t="shared" si="246"/>
        <v>0</v>
      </c>
      <c r="DI75" s="1541">
        <f t="shared" si="246"/>
        <v>0</v>
      </c>
    </row>
    <row r="76" spans="1:114" ht="14.25" customHeight="1">
      <c r="A76" s="1958"/>
      <c r="B76" s="6" t="s">
        <v>215</v>
      </c>
      <c r="D76">
        <v>229900</v>
      </c>
      <c r="E76">
        <v>229900</v>
      </c>
      <c r="F76">
        <v>262900</v>
      </c>
      <c r="G76">
        <v>262900</v>
      </c>
      <c r="H76">
        <v>262900</v>
      </c>
      <c r="I76">
        <v>262900</v>
      </c>
      <c r="W76" s="916">
        <f t="shared" si="243"/>
        <v>196495.7264957265</v>
      </c>
      <c r="X76" s="916">
        <f t="shared" si="243"/>
        <v>196495.7264957265</v>
      </c>
      <c r="Y76" s="916">
        <f t="shared" si="243"/>
        <v>224700.85470085472</v>
      </c>
      <c r="Z76" s="916">
        <f t="shared" si="243"/>
        <v>224700.85470085472</v>
      </c>
      <c r="AA76" s="916">
        <f t="shared" si="243"/>
        <v>224700.85470085472</v>
      </c>
      <c r="AB76" s="916">
        <f t="shared" si="243"/>
        <v>224700.85470085472</v>
      </c>
      <c r="AQ76">
        <v>7400</v>
      </c>
      <c r="AR76">
        <v>7400</v>
      </c>
      <c r="AS76">
        <v>7400</v>
      </c>
      <c r="AT76">
        <v>0</v>
      </c>
      <c r="AU76">
        <v>0</v>
      </c>
      <c r="AV76">
        <v>0</v>
      </c>
      <c r="BJ76" s="85">
        <v>15315</v>
      </c>
      <c r="BK76" s="85">
        <v>60569</v>
      </c>
      <c r="BL76" s="85">
        <v>59066</v>
      </c>
      <c r="BM76" s="85">
        <v>62494.401846710978</v>
      </c>
      <c r="BN76" s="85">
        <v>60887.371541181783</v>
      </c>
      <c r="BO76" s="85">
        <v>47782.370236646202</v>
      </c>
      <c r="CL76" s="75">
        <f>BJ76+BQ76+BX76+CE76</f>
        <v>15315</v>
      </c>
      <c r="CM76" s="75">
        <f t="shared" si="244"/>
        <v>60569</v>
      </c>
      <c r="CN76" s="75">
        <f t="shared" si="244"/>
        <v>59066</v>
      </c>
      <c r="CO76" s="75">
        <f t="shared" si="244"/>
        <v>62494.401846710978</v>
      </c>
      <c r="CP76" s="75">
        <f t="shared" si="244"/>
        <v>60887.371541181783</v>
      </c>
      <c r="CQ76" s="1249">
        <f t="shared" si="244"/>
        <v>47782.370236646202</v>
      </c>
      <c r="CR76" s="249">
        <f>(W76+AQ76)*BJ77/1000</f>
        <v>0</v>
      </c>
      <c r="CS76" s="249">
        <f>(X76+AR76)*BK77/1000</f>
        <v>1603639.8888888888</v>
      </c>
      <c r="CT76" s="249">
        <f>(Y76+AS76)*BL77/1000</f>
        <v>8844498.068562394</v>
      </c>
      <c r="CU76" s="249">
        <f>(Z76+AT76)*BM76/1000</f>
        <v>14042545.50897463</v>
      </c>
      <c r="CV76" s="249">
        <f t="shared" si="245"/>
        <v>13681444.425792044</v>
      </c>
      <c r="CW76" s="1552">
        <f t="shared" ref="CW76" si="247">(AB76+AV76)*BO76/1000</f>
        <v>10736739.431807084</v>
      </c>
      <c r="CX76" s="943">
        <v>70.8</v>
      </c>
      <c r="CY76" s="943">
        <v>70.8</v>
      </c>
      <c r="CZ76" s="943">
        <v>70.8</v>
      </c>
      <c r="DA76" s="943">
        <v>86.2</v>
      </c>
      <c r="DB76" s="943">
        <v>86.2</v>
      </c>
      <c r="DC76" s="1563">
        <v>86.2</v>
      </c>
      <c r="DD76" s="916">
        <f t="shared" ref="DD76:DD78" si="248">CX76*CL76/1000000</f>
        <v>1.0843020000000001</v>
      </c>
      <c r="DE76" s="916">
        <f t="shared" si="246"/>
        <v>4.2882851999999998</v>
      </c>
      <c r="DF76" s="916">
        <f t="shared" si="246"/>
        <v>4.1818727999999998</v>
      </c>
      <c r="DG76" s="916">
        <f t="shared" si="246"/>
        <v>5.3870174391864865</v>
      </c>
      <c r="DH76" s="916">
        <f t="shared" si="246"/>
        <v>5.2484914268498697</v>
      </c>
      <c r="DI76" s="1542">
        <f t="shared" si="246"/>
        <v>4.118840314398903</v>
      </c>
    </row>
    <row r="77" spans="1:114" ht="14.25" customHeight="1">
      <c r="A77" s="1958"/>
      <c r="B77" s="6" t="s">
        <v>216</v>
      </c>
      <c r="E77">
        <v>179900</v>
      </c>
      <c r="F77">
        <v>202900</v>
      </c>
      <c r="G77">
        <v>202900</v>
      </c>
      <c r="H77">
        <v>202900</v>
      </c>
      <c r="I77">
        <v>202900</v>
      </c>
      <c r="W77" s="916"/>
      <c r="X77" s="916">
        <f>E77/1.17</f>
        <v>153760.68376068378</v>
      </c>
      <c r="Y77" s="916">
        <f>F77/1.17</f>
        <v>173418.80341880344</v>
      </c>
      <c r="Z77" s="916">
        <f>G77/1.17</f>
        <v>173418.80341880344</v>
      </c>
      <c r="AA77" s="916">
        <f>H77/1.17</f>
        <v>173418.80341880344</v>
      </c>
      <c r="AB77" s="916">
        <f>I77/1.17</f>
        <v>173418.80341880344</v>
      </c>
      <c r="AR77">
        <v>7400</v>
      </c>
      <c r="AS77">
        <v>7400</v>
      </c>
      <c r="AT77">
        <v>0</v>
      </c>
      <c r="AU77">
        <v>0</v>
      </c>
      <c r="AV77">
        <v>0</v>
      </c>
      <c r="BJ77" s="85">
        <v>0</v>
      </c>
      <c r="BK77" s="85">
        <v>7865</v>
      </c>
      <c r="BL77" s="85">
        <v>38106.271000000001</v>
      </c>
      <c r="BM77" s="85">
        <v>0</v>
      </c>
      <c r="BN77" s="85">
        <v>0</v>
      </c>
      <c r="BO77" s="85">
        <v>0</v>
      </c>
      <c r="CL77" s="75">
        <f>BJ77+BQ77+BX77+CE77</f>
        <v>0</v>
      </c>
      <c r="CM77" s="75">
        <f t="shared" si="244"/>
        <v>7865</v>
      </c>
      <c r="CN77" s="75">
        <f t="shared" si="244"/>
        <v>38106.271000000001</v>
      </c>
      <c r="CO77" s="75">
        <f t="shared" si="244"/>
        <v>0</v>
      </c>
      <c r="CP77" s="75">
        <f t="shared" si="244"/>
        <v>0</v>
      </c>
      <c r="CQ77" s="1249">
        <f t="shared" si="244"/>
        <v>0</v>
      </c>
      <c r="CR77" s="249"/>
      <c r="CS77" s="249">
        <f>(X77+AR77)*BK77/1000</f>
        <v>1267528.777777778</v>
      </c>
      <c r="CT77" s="249">
        <f t="shared" ref="CT77:CW77" si="249">(Y77+AS77)*BL77/1000</f>
        <v>6890330.324972651</v>
      </c>
      <c r="CU77" s="249">
        <f t="shared" si="249"/>
        <v>0</v>
      </c>
      <c r="CV77" s="249">
        <f t="shared" si="249"/>
        <v>0</v>
      </c>
      <c r="CW77" s="1552">
        <f t="shared" si="249"/>
        <v>0</v>
      </c>
      <c r="CX77" s="943"/>
      <c r="CY77" s="943">
        <v>66.2</v>
      </c>
      <c r="CZ77" s="943">
        <v>66.2</v>
      </c>
      <c r="DA77" s="943">
        <v>66.2</v>
      </c>
      <c r="DB77" s="943">
        <v>66.2</v>
      </c>
      <c r="DC77" s="1563">
        <v>66.2</v>
      </c>
      <c r="DD77" s="916">
        <f t="shared" si="248"/>
        <v>0</v>
      </c>
      <c r="DE77" s="916">
        <f t="shared" si="246"/>
        <v>0.52066299999999999</v>
      </c>
      <c r="DF77" s="916">
        <f t="shared" si="246"/>
        <v>2.5226351402000002</v>
      </c>
      <c r="DG77" s="916">
        <f t="shared" si="246"/>
        <v>0</v>
      </c>
      <c r="DH77" s="916">
        <f t="shared" si="246"/>
        <v>0</v>
      </c>
      <c r="DI77" s="1542">
        <f t="shared" si="246"/>
        <v>0</v>
      </c>
    </row>
    <row r="78" spans="1:114" ht="14.25" customHeight="1">
      <c r="A78" s="1958"/>
      <c r="B78" s="6" t="s">
        <v>217</v>
      </c>
      <c r="F78">
        <v>389900</v>
      </c>
      <c r="G78">
        <v>389900</v>
      </c>
      <c r="H78">
        <v>389900</v>
      </c>
      <c r="I78">
        <v>389900</v>
      </c>
      <c r="W78" s="916"/>
      <c r="X78" s="916"/>
      <c r="Y78" s="916">
        <f>F78/1.17</f>
        <v>333247.86324786325</v>
      </c>
      <c r="Z78" s="916">
        <f>G78/1.17</f>
        <v>333247.86324786325</v>
      </c>
      <c r="AA78" s="916">
        <f>H78/1.17</f>
        <v>333247.86324786325</v>
      </c>
      <c r="AB78" s="916">
        <f>I78/1.17</f>
        <v>333247.86324786325</v>
      </c>
      <c r="AS78">
        <v>7400</v>
      </c>
      <c r="AT78">
        <v>0</v>
      </c>
      <c r="AU78">
        <v>0</v>
      </c>
      <c r="AV78">
        <v>0</v>
      </c>
      <c r="BJ78" s="85">
        <v>0</v>
      </c>
      <c r="BK78" s="85">
        <v>0</v>
      </c>
      <c r="BL78" s="85">
        <v>6373</v>
      </c>
      <c r="BM78" s="85">
        <v>15891.343570733481</v>
      </c>
      <c r="BN78" s="85">
        <v>12650.382542872718</v>
      </c>
      <c r="BO78" s="85">
        <v>8475.4854271660879</v>
      </c>
      <c r="CL78" s="297">
        <f>BJ78+BQ78+BX78+CE78</f>
        <v>0</v>
      </c>
      <c r="CM78" s="297">
        <f t="shared" si="244"/>
        <v>0</v>
      </c>
      <c r="CN78" s="297">
        <f t="shared" si="244"/>
        <v>6373</v>
      </c>
      <c r="CO78" s="916">
        <f t="shared" si="244"/>
        <v>15891.343570733481</v>
      </c>
      <c r="CP78" s="916">
        <f t="shared" si="244"/>
        <v>12650.382542872718</v>
      </c>
      <c r="CQ78" s="1542">
        <f t="shared" si="244"/>
        <v>8475.4854271660879</v>
      </c>
      <c r="CR78" s="249"/>
      <c r="CS78" s="249"/>
      <c r="CT78" s="249">
        <f t="shared" ref="CT78" si="250">(Y78+AS78)*BL78/1000</f>
        <v>2170948.8324786322</v>
      </c>
      <c r="CU78" s="249">
        <f t="shared" ref="CU78" si="251">(Z78+AT78)*BM78/1000</f>
        <v>5295756.2890846021</v>
      </c>
      <c r="CV78" s="249">
        <f t="shared" ref="CV78" si="252">(AA78+AU78)*BN78/1000</f>
        <v>4215712.9516804041</v>
      </c>
      <c r="CW78" s="1552">
        <f t="shared" ref="CW78" si="253">(AB78+AV78)*BO78/1000</f>
        <v>2824437.4085915023</v>
      </c>
      <c r="CX78" s="943"/>
      <c r="CY78" s="943"/>
      <c r="CZ78" s="943">
        <v>98</v>
      </c>
      <c r="DA78" s="943">
        <v>98</v>
      </c>
      <c r="DB78" s="943">
        <v>98</v>
      </c>
      <c r="DC78" s="1563">
        <v>98</v>
      </c>
      <c r="DD78" s="916">
        <f t="shared" si="248"/>
        <v>0</v>
      </c>
      <c r="DE78" s="916">
        <f t="shared" si="246"/>
        <v>0</v>
      </c>
      <c r="DF78" s="916">
        <f t="shared" si="246"/>
        <v>0.62455400000000005</v>
      </c>
      <c r="DG78" s="916">
        <f t="shared" si="246"/>
        <v>1.5573516699318812</v>
      </c>
      <c r="DH78" s="916">
        <f t="shared" si="246"/>
        <v>1.2397374892015265</v>
      </c>
      <c r="DI78" s="1542">
        <f t="shared" si="246"/>
        <v>0.83059757186227667</v>
      </c>
    </row>
    <row r="79" spans="1:114" s="233" customFormat="1" ht="14.25" customHeight="1">
      <c r="A79" s="1959"/>
      <c r="B79" s="562" t="s">
        <v>165</v>
      </c>
      <c r="C79" s="561"/>
      <c r="BJ79" s="303">
        <f>SUM(BJ75:BJ78)</f>
        <v>27006</v>
      </c>
      <c r="BK79" s="303">
        <f t="shared" ref="BK79:BL79" si="254">SUM(BK75:BK78)</f>
        <v>98155</v>
      </c>
      <c r="BL79" s="303">
        <f t="shared" si="254"/>
        <v>120881.27100000001</v>
      </c>
      <c r="BM79" s="303">
        <f t="shared" ref="BM79" si="255">SUM(BM75:BM78)</f>
        <v>78385.745417444457</v>
      </c>
      <c r="BN79" s="303">
        <f t="shared" ref="BN79" si="256">SUM(BN75:BN78)</f>
        <v>73537.754084054497</v>
      </c>
      <c r="BO79" s="303">
        <f t="shared" ref="BO79" si="257">SUM(BO75:BO78)</f>
        <v>56257.85566381229</v>
      </c>
      <c r="CL79" s="939">
        <f>SUM(CL75:CL78)</f>
        <v>27006</v>
      </c>
      <c r="CM79" s="939">
        <f t="shared" ref="CM79:CQ79" si="258">SUM(CM75:CM78)</f>
        <v>98155</v>
      </c>
      <c r="CN79" s="939">
        <f t="shared" si="258"/>
        <v>120881.27100000001</v>
      </c>
      <c r="CO79" s="941">
        <f t="shared" si="258"/>
        <v>78385.745417444457</v>
      </c>
      <c r="CP79" s="941">
        <f t="shared" si="258"/>
        <v>73537.754084054497</v>
      </c>
      <c r="CQ79" s="1543">
        <f t="shared" si="258"/>
        <v>56257.85566381229</v>
      </c>
      <c r="CR79" s="951">
        <f>SUM(CR75:CR78)</f>
        <v>1714260.3230769234</v>
      </c>
      <c r="CS79" s="951">
        <f t="shared" ref="CS79:CW79" si="259">SUM(CS75:CS78)</f>
        <v>7229181.7589743594</v>
      </c>
      <c r="CT79" s="951">
        <f t="shared" si="259"/>
        <v>20781152.856782906</v>
      </c>
      <c r="CU79" s="951">
        <f t="shared" si="259"/>
        <v>19338301.798059233</v>
      </c>
      <c r="CV79" s="951">
        <f t="shared" si="259"/>
        <v>17897157.377472449</v>
      </c>
      <c r="CW79" s="1553">
        <f t="shared" si="259"/>
        <v>13561176.840398587</v>
      </c>
      <c r="DC79" s="1528"/>
      <c r="DD79" s="941">
        <f>SUM(DD75:DD78)</f>
        <v>1.7565345000000001</v>
      </c>
      <c r="DE79" s="941">
        <f t="shared" ref="DE79:DI79" si="260">SUM(DE75:DE78)</f>
        <v>6.7705341999999993</v>
      </c>
      <c r="DF79" s="941">
        <f t="shared" si="260"/>
        <v>8.4767051402</v>
      </c>
      <c r="DG79" s="941">
        <f t="shared" si="260"/>
        <v>6.9443691091183677</v>
      </c>
      <c r="DH79" s="941">
        <f t="shared" si="260"/>
        <v>6.488228916051396</v>
      </c>
      <c r="DI79" s="1543">
        <f t="shared" si="260"/>
        <v>4.9494378862611796</v>
      </c>
    </row>
    <row r="81" spans="62:67" ht="14.25" customHeight="1">
      <c r="BJ81" s="945"/>
      <c r="BK81" s="945"/>
      <c r="BL81" s="945"/>
      <c r="BM81" s="945"/>
      <c r="BN81" s="945"/>
      <c r="BO81" s="945"/>
    </row>
  </sheetData>
  <mergeCells count="16">
    <mergeCell ref="A75:A79"/>
    <mergeCell ref="A66:A74"/>
    <mergeCell ref="DD1:DI1"/>
    <mergeCell ref="CR1:CV1"/>
    <mergeCell ref="A51:A65"/>
    <mergeCell ref="A4:A5"/>
    <mergeCell ref="B4:B5"/>
    <mergeCell ref="A26:A48"/>
    <mergeCell ref="W1:AO1"/>
    <mergeCell ref="AQ1:BG1"/>
    <mergeCell ref="BJ1:CP1"/>
    <mergeCell ref="A6:A25"/>
    <mergeCell ref="W2:AB2"/>
    <mergeCell ref="CX1:DC1"/>
    <mergeCell ref="BJ2:BP2"/>
    <mergeCell ref="C1:T1"/>
  </mergeCells>
  <phoneticPr fontId="4" type="noConversion"/>
  <conditionalFormatting sqref="BM26:BM45">
    <cfRule type="dataBar" priority="1">
      <dataBar>
        <cfvo type="min"/>
        <cfvo type="max"/>
        <color rgb="FF638EC6"/>
      </dataBar>
      <extLst>
        <ext xmlns:x14="http://schemas.microsoft.com/office/spreadsheetml/2009/9/main" uri="{B025F937-C7B1-47D3-B67F-A62EFF666E3E}">
          <x14:id>{8088A363-B0A0-408E-B479-4D7F2775BB12}</x14:id>
        </ext>
      </extLst>
    </cfRule>
  </conditionalFormatting>
  <pageMargins left="0.7" right="0.7" top="0.75" bottom="0.75" header="0.3" footer="0.3"/>
  <pageSetup paperSize="9" orientation="portrait" horizontalDpi="0" verticalDpi="0"/>
  <ignoredErrors>
    <ignoredError sqref="BL66 BN66:BO66" formulaRange="1"/>
  </ignoredErrors>
  <legacyDrawing r:id="rId1"/>
  <extLst>
    <ext xmlns:x14="http://schemas.microsoft.com/office/spreadsheetml/2009/9/main" uri="{78C0D931-6437-407d-A8EE-F0AAD7539E65}">
      <x14:conditionalFormattings>
        <x14:conditionalFormatting xmlns:xm="http://schemas.microsoft.com/office/excel/2006/main">
          <x14:cfRule type="dataBar" id="{8088A363-B0A0-408E-B479-4D7F2775BB12}">
            <x14:dataBar minLength="0" maxLength="100" border="1" negativeBarBorderColorSameAsPositive="0">
              <x14:cfvo type="autoMin"/>
              <x14:cfvo type="autoMax"/>
              <x14:borderColor rgb="FF638EC6"/>
              <x14:negativeFillColor rgb="FFFF0000"/>
              <x14:negativeBorderColor rgb="FFFF0000"/>
              <x14:axisColor rgb="FF000000"/>
            </x14:dataBar>
          </x14:cfRule>
          <xm:sqref>BM26:BM45</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85026-2725-4A2F-B24C-811C88DD6F52}">
  <dimension ref="A1:S457"/>
  <sheetViews>
    <sheetView zoomScale="131" zoomScaleNormal="180" workbookViewId="0">
      <pane xSplit="1" ySplit="1" topLeftCell="B2" activePane="bottomRight" state="frozen"/>
      <selection pane="topRight" activeCell="B1" sqref="B1"/>
      <selection pane="bottomLeft" activeCell="A2" sqref="A2"/>
      <selection pane="bottomRight" activeCell="G10" sqref="G10"/>
    </sheetView>
  </sheetViews>
  <sheetFormatPr defaultColWidth="8.83203125" defaultRowHeight="14" outlineLevelCol="1"/>
  <cols>
    <col min="1" max="1" width="55.1640625" style="320" bestFit="1" customWidth="1"/>
    <col min="2" max="2" width="13.1640625" style="320" customWidth="1" outlineLevel="1"/>
    <col min="3" max="3" width="14.4140625" style="320" customWidth="1" outlineLevel="1"/>
    <col min="4" max="4" width="14.1640625" style="320" customWidth="1"/>
    <col min="5" max="5" width="12.1640625" style="320" bestFit="1" customWidth="1"/>
    <col min="6" max="6" width="12.4140625" style="320" customWidth="1"/>
    <col min="7" max="7" width="13" style="320" customWidth="1"/>
    <col min="8" max="8" width="13.75" style="320" customWidth="1"/>
    <col min="9" max="11" width="13.1640625" style="320" customWidth="1"/>
    <col min="12" max="12" width="11.75" style="320" bestFit="1" customWidth="1"/>
    <col min="13" max="15" width="8.83203125" style="320"/>
  </cols>
  <sheetData>
    <row r="1" spans="1:15" ht="14.5">
      <c r="A1" s="1807" t="s">
        <v>218</v>
      </c>
      <c r="B1" s="1808">
        <v>2016</v>
      </c>
      <c r="C1" s="1808">
        <v>2017</v>
      </c>
      <c r="D1" s="1808">
        <v>2018</v>
      </c>
      <c r="E1" s="1808">
        <v>2019</v>
      </c>
      <c r="F1" s="1808">
        <v>2020</v>
      </c>
      <c r="G1" s="1809">
        <v>2021</v>
      </c>
      <c r="H1" s="1810">
        <v>2022</v>
      </c>
      <c r="I1" s="1811" t="s">
        <v>219</v>
      </c>
      <c r="J1" s="1811" t="s">
        <v>12</v>
      </c>
      <c r="K1" s="1811" t="s">
        <v>13</v>
      </c>
    </row>
    <row r="2" spans="1:15" ht="15.5">
      <c r="A2" s="318" t="s">
        <v>220</v>
      </c>
    </row>
    <row r="3" spans="1:15">
      <c r="A3" s="617" t="s">
        <v>221</v>
      </c>
      <c r="B3" s="1812"/>
      <c r="C3" s="1812"/>
      <c r="D3" s="1812"/>
      <c r="E3" s="1812"/>
      <c r="F3" s="1812"/>
      <c r="G3" s="1812"/>
      <c r="H3" s="1812"/>
      <c r="I3" s="1812"/>
      <c r="J3" s="1812"/>
      <c r="K3" s="1812"/>
    </row>
    <row r="4" spans="1:15">
      <c r="A4" s="320" t="s">
        <v>222</v>
      </c>
      <c r="B4" s="1813">
        <f>'Fin Sta as rep'!C52</f>
        <v>5982957</v>
      </c>
      <c r="C4" s="1813">
        <f>'Fin Sta as rep'!D52</f>
        <v>10027522</v>
      </c>
      <c r="D4" s="1813">
        <f>'Fin Sta as rep'!E52</f>
        <v>11330000</v>
      </c>
      <c r="E4" s="1813">
        <f>'Fin Sta as rep'!F52</f>
        <v>10396000</v>
      </c>
      <c r="F4" s="1813">
        <f>'Fin Sta as rep'!G52</f>
        <v>12747000</v>
      </c>
      <c r="G4" s="1813">
        <f>'Fin Sta as rep'!I52</f>
        <v>18884000</v>
      </c>
      <c r="H4" s="1813">
        <f>'Model 21A-Tesla'!I48</f>
        <v>33031517.191780824</v>
      </c>
      <c r="I4" s="1813">
        <f>'Model 21A-Tesla'!J48</f>
        <v>41915478.979840584</v>
      </c>
      <c r="J4" s="1813">
        <f>'Model 21A-Tesla'!K48</f>
        <v>52778006.188313514</v>
      </c>
      <c r="K4" s="1813">
        <f>'Model 21A-Tesla'!L48</f>
        <v>65393431.192870006</v>
      </c>
      <c r="L4" s="320" t="s">
        <v>223</v>
      </c>
    </row>
    <row r="5" spans="1:15">
      <c r="A5" s="320" t="s">
        <v>224</v>
      </c>
      <c r="B5" s="1813">
        <f>'Fin Sta as rep'!C53</f>
        <v>954494</v>
      </c>
      <c r="C5" s="1813">
        <f>'Fin Sta as rep'!D53</f>
        <v>1723794</v>
      </c>
      <c r="D5" s="1813">
        <f>'Fin Sta as rep'!E53</f>
        <v>2699000</v>
      </c>
      <c r="E5" s="1813">
        <f>'Fin Sta as rep'!F53</f>
        <v>3734000</v>
      </c>
      <c r="F5" s="1813">
        <f>'Fin Sta as rep'!G53</f>
        <v>5117000</v>
      </c>
      <c r="G5" s="1813">
        <f>'Fin Sta as rep'!I53</f>
        <v>6731000</v>
      </c>
      <c r="H5" s="1813">
        <f>-'Model 20A'!I49</f>
        <v>15956232.808219181</v>
      </c>
      <c r="I5" s="1814">
        <f>-'Model 21A-Tesla'!J49</f>
        <v>21711425.148209419</v>
      </c>
      <c r="J5" s="1814">
        <f>-'Model 21A-Tesla'!K49</f>
        <v>27664313.951479856</v>
      </c>
      <c r="K5" s="1814">
        <f>-'Model 21A-Tesla'!L49</f>
        <v>33573839.039251566</v>
      </c>
      <c r="L5" s="320" t="s">
        <v>223</v>
      </c>
    </row>
    <row r="6" spans="1:15">
      <c r="A6" s="320" t="s">
        <v>225</v>
      </c>
      <c r="B6" s="1815">
        <f>B4+B5</f>
        <v>6937451</v>
      </c>
      <c r="C6" s="1815">
        <f t="shared" ref="C6:G6" si="0">C4+C5</f>
        <v>11751316</v>
      </c>
      <c r="D6" s="1815">
        <f t="shared" si="0"/>
        <v>14029000</v>
      </c>
      <c r="E6" s="1815">
        <f t="shared" si="0"/>
        <v>14130000</v>
      </c>
      <c r="F6" s="1815">
        <f t="shared" si="0"/>
        <v>17864000</v>
      </c>
      <c r="G6" s="1815">
        <f t="shared" si="0"/>
        <v>25615000</v>
      </c>
      <c r="H6" s="1815">
        <f t="shared" ref="H6" si="1">H4+H5</f>
        <v>48987750.000000007</v>
      </c>
      <c r="I6" s="1815">
        <f>I4+I5</f>
        <v>63626904.128049999</v>
      </c>
      <c r="J6" s="1815">
        <f>J4+J5</f>
        <v>80442320.139793366</v>
      </c>
      <c r="K6" s="1815">
        <f t="shared" ref="K6" si="2">K4+K5</f>
        <v>98967270.232121572</v>
      </c>
      <c r="L6" s="320" t="s">
        <v>226</v>
      </c>
    </row>
    <row r="7" spans="1:15">
      <c r="A7" s="320" t="s">
        <v>227</v>
      </c>
      <c r="B7" s="1815"/>
      <c r="C7" s="1815">
        <f>C5-B5</f>
        <v>769300</v>
      </c>
      <c r="D7" s="1815">
        <f t="shared" ref="D7:G7" si="3">D5-C5</f>
        <v>975206</v>
      </c>
      <c r="E7" s="1815">
        <f t="shared" si="3"/>
        <v>1035000</v>
      </c>
      <c r="F7" s="1815">
        <f t="shared" si="3"/>
        <v>1383000</v>
      </c>
      <c r="G7" s="1815">
        <f t="shared" si="3"/>
        <v>1614000</v>
      </c>
      <c r="H7" s="1815">
        <f>H6*H8</f>
        <v>3489179.1778923152</v>
      </c>
      <c r="I7" s="1815">
        <f>I6*I8</f>
        <v>4488958.0694672782</v>
      </c>
      <c r="J7" s="1815">
        <f>J6*J8</f>
        <v>5491173.9524754379</v>
      </c>
      <c r="K7" s="1815">
        <f>K6*K8</f>
        <v>6928997.2744975379</v>
      </c>
    </row>
    <row r="8" spans="1:15">
      <c r="A8" s="320" t="s">
        <v>228</v>
      </c>
      <c r="B8" s="1816"/>
      <c r="C8" s="1816">
        <f>C7/C6</f>
        <v>6.5465008344597314E-2</v>
      </c>
      <c r="D8" s="1816">
        <f t="shared" ref="D8:G8" si="4">D7/D6</f>
        <v>6.9513579014897714E-2</v>
      </c>
      <c r="E8" s="1816">
        <f t="shared" si="4"/>
        <v>7.32484076433121E-2</v>
      </c>
      <c r="F8" s="1816">
        <f t="shared" si="4"/>
        <v>7.7418271383788623E-2</v>
      </c>
      <c r="G8" s="1816">
        <f t="shared" si="4"/>
        <v>6.3009955104430998E-2</v>
      </c>
      <c r="H8" s="1817">
        <f>AVERAGE(E8:G8)</f>
        <v>7.1225544710510583E-2</v>
      </c>
      <c r="I8" s="1817">
        <f t="shared" ref="I8:K8" si="5">AVERAGE(F8:H8)</f>
        <v>7.0551257066243392E-2</v>
      </c>
      <c r="J8" s="1817">
        <f t="shared" si="5"/>
        <v>6.8262252293728329E-2</v>
      </c>
      <c r="K8" s="1817">
        <f t="shared" si="5"/>
        <v>7.0013018023494092E-2</v>
      </c>
      <c r="L8" s="320" t="s">
        <v>229</v>
      </c>
    </row>
    <row r="9" spans="1:15" s="618" customFormat="1" ht="13">
      <c r="A9" s="1818" t="s">
        <v>230</v>
      </c>
      <c r="B9" s="1819"/>
      <c r="C9" s="1819"/>
      <c r="D9" s="1819"/>
      <c r="E9" s="1820"/>
      <c r="F9" s="1820"/>
      <c r="G9" s="1820"/>
      <c r="H9" s="1820"/>
      <c r="I9" s="1820"/>
      <c r="J9" s="1820"/>
      <c r="K9" s="1820"/>
      <c r="L9" s="1819"/>
      <c r="M9" s="1819"/>
      <c r="N9" s="1819"/>
      <c r="O9" s="1819"/>
    </row>
    <row r="10" spans="1:15" s="383" customFormat="1">
      <c r="A10" s="1806" t="s">
        <v>231</v>
      </c>
      <c r="B10" s="1821">
        <f>'Earning Forecast'!B8-B50</f>
        <v>4268090</v>
      </c>
      <c r="C10" s="1821">
        <f>'Earning Forecast'!C8-C50</f>
        <v>6724750</v>
      </c>
      <c r="D10" s="1821">
        <f>'Earning Forecast'!D8-D50</f>
        <v>13685520</v>
      </c>
      <c r="E10" s="1821">
        <f>'Earning Forecast'!E8-E50</f>
        <v>15939000</v>
      </c>
      <c r="F10" s="1821">
        <f>'Earning Forecast'!F8-F50</f>
        <v>19696000</v>
      </c>
      <c r="G10" s="1821">
        <f>'Earning Forecast'!G8-G50</f>
        <v>32415000</v>
      </c>
      <c r="H10" s="1822">
        <v>49599000</v>
      </c>
      <c r="I10" s="1821"/>
      <c r="J10" s="1821"/>
      <c r="K10" s="1821"/>
      <c r="L10" s="1806"/>
      <c r="M10" s="1806"/>
      <c r="N10" s="1806"/>
      <c r="O10" s="1806"/>
    </row>
    <row r="11" spans="1:15" s="64" customFormat="1">
      <c r="A11" s="392" t="s">
        <v>232</v>
      </c>
      <c r="B11" s="1823"/>
      <c r="C11" s="1823"/>
      <c r="D11" s="1823"/>
      <c r="E11" s="1823">
        <f t="shared" ref="E11:K11" si="6">E12+E13</f>
        <v>15417482.498591997</v>
      </c>
      <c r="F11" s="1823">
        <f t="shared" si="6"/>
        <v>19271771.342766754</v>
      </c>
      <c r="G11" s="1823">
        <f>G12+G13</f>
        <v>31429372.094101451</v>
      </c>
      <c r="H11" s="1823">
        <f t="shared" si="6"/>
        <v>49547450.446945287</v>
      </c>
      <c r="I11" s="1823">
        <f>I12+I13</f>
        <v>66832341.160870507</v>
      </c>
      <c r="J11" s="1823">
        <f>J12+J13</f>
        <v>75933120.770040348</v>
      </c>
      <c r="K11" s="1823">
        <f t="shared" si="6"/>
        <v>80413331.19586736</v>
      </c>
      <c r="L11" s="320" t="s">
        <v>233</v>
      </c>
      <c r="M11" s="392"/>
      <c r="N11" s="392"/>
      <c r="O11" s="392"/>
    </row>
    <row r="12" spans="1:15" s="64" customFormat="1">
      <c r="A12" s="392" t="s">
        <v>234</v>
      </c>
      <c r="B12" s="1823">
        <f>B54</f>
        <v>0</v>
      </c>
      <c r="C12" s="1823">
        <f>C54</f>
        <v>769300</v>
      </c>
      <c r="D12" s="1823">
        <f>D54</f>
        <v>975206</v>
      </c>
      <c r="E12" s="1823">
        <f t="shared" ref="E12:H12" si="7">E54</f>
        <v>1035000</v>
      </c>
      <c r="F12" s="1823">
        <f t="shared" si="7"/>
        <v>1383000</v>
      </c>
      <c r="G12" s="1823">
        <f>G54</f>
        <v>1614000</v>
      </c>
      <c r="H12" s="1823">
        <f t="shared" si="7"/>
        <v>3489179.1778923152</v>
      </c>
      <c r="I12" s="1823">
        <f>I54</f>
        <v>4488958.0694672782</v>
      </c>
      <c r="J12" s="1823">
        <f>J54</f>
        <v>5491173.9524754379</v>
      </c>
      <c r="K12" s="1823">
        <f t="shared" ref="K12" si="8">K54</f>
        <v>6928997.2744975379</v>
      </c>
      <c r="L12" s="320" t="s">
        <v>235</v>
      </c>
      <c r="M12" s="392"/>
      <c r="N12" s="392"/>
      <c r="O12" s="392"/>
    </row>
    <row r="13" spans="1:15" s="64" customFormat="1">
      <c r="A13" s="392" t="s">
        <v>236</v>
      </c>
      <c r="B13" s="1824"/>
      <c r="C13" s="1824"/>
      <c r="D13" s="1824"/>
      <c r="E13" s="1824">
        <f t="shared" ref="E13:K13" si="9">E14+E26</f>
        <v>14382482.498591997</v>
      </c>
      <c r="F13" s="1824">
        <f t="shared" si="9"/>
        <v>17888771.342766754</v>
      </c>
      <c r="G13" s="1824">
        <f>G14+G26</f>
        <v>29815372.094101451</v>
      </c>
      <c r="H13" s="1824">
        <f t="shared" si="9"/>
        <v>46058271.269052975</v>
      </c>
      <c r="I13" s="1824">
        <f>I14+I26</f>
        <v>62343383.091403231</v>
      </c>
      <c r="J13" s="1824">
        <f t="shared" si="9"/>
        <v>70441946.817564905</v>
      </c>
      <c r="K13" s="1824">
        <f t="shared" si="9"/>
        <v>73484333.921369821</v>
      </c>
      <c r="L13" s="320" t="s">
        <v>237</v>
      </c>
      <c r="M13" s="392"/>
      <c r="N13" s="392"/>
      <c r="O13" s="392"/>
    </row>
    <row r="14" spans="1:15" s="64" customFormat="1">
      <c r="A14" s="392" t="s">
        <v>238</v>
      </c>
      <c r="B14" s="1824">
        <f>B15+B24</f>
        <v>0</v>
      </c>
      <c r="C14" s="1824">
        <f>C15+C24</f>
        <v>0</v>
      </c>
      <c r="D14" s="1824">
        <f>D15+D24</f>
        <v>0</v>
      </c>
      <c r="E14" s="1824">
        <f t="shared" ref="E14:K14" si="10">E15+E24+E22</f>
        <v>13536482.498591997</v>
      </c>
      <c r="F14" s="1824">
        <f t="shared" si="10"/>
        <v>16889888.989825577</v>
      </c>
      <c r="G14" s="1824">
        <f t="shared" si="10"/>
        <v>28563666.211748511</v>
      </c>
      <c r="H14" s="1824">
        <f t="shared" si="10"/>
        <v>43936977.151405916</v>
      </c>
      <c r="I14" s="1824">
        <f>I15+I24+I22</f>
        <v>60063441.914932646</v>
      </c>
      <c r="J14" s="1824">
        <f t="shared" si="10"/>
        <v>68003358.582270786</v>
      </c>
      <c r="K14" s="1824">
        <f t="shared" si="10"/>
        <v>70887098.627252176</v>
      </c>
      <c r="L14" s="320" t="s">
        <v>239</v>
      </c>
      <c r="M14" s="392"/>
      <c r="N14" s="392"/>
      <c r="O14" s="392"/>
    </row>
    <row r="15" spans="1:15">
      <c r="A15" s="320" t="s">
        <v>240</v>
      </c>
      <c r="B15" s="1815">
        <f>B21/1000*B16*1000000</f>
        <v>0</v>
      </c>
      <c r="C15" s="1815">
        <f>C21/1000*C16*1000000</f>
        <v>0</v>
      </c>
      <c r="D15" s="1815">
        <f>D21/1000*D16*1000000</f>
        <v>0</v>
      </c>
      <c r="E15" s="1815">
        <f>E16*1000000*E21/1000</f>
        <v>7368826.4985919977</v>
      </c>
      <c r="F15" s="1815">
        <f t="shared" ref="F15:J15" si="11">F16*1000000*F21/1000</f>
        <v>6387196.9898255765</v>
      </c>
      <c r="G15" s="1815">
        <f t="shared" si="11"/>
        <v>10627494.211748512</v>
      </c>
      <c r="H15" s="1815">
        <f t="shared" si="11"/>
        <v>16688316.140835218</v>
      </c>
      <c r="I15" s="1815">
        <f>I16*1000000*I21/1000</f>
        <v>22325505.101148829</v>
      </c>
      <c r="J15" s="1815">
        <f t="shared" si="11"/>
        <v>25204389.809852205</v>
      </c>
      <c r="K15" s="1815">
        <f t="shared" ref="K15" si="12">K16*1000000*K21/1000</f>
        <v>26181730.353700463</v>
      </c>
      <c r="L15" s="320" t="s">
        <v>241</v>
      </c>
    </row>
    <row r="16" spans="1:15">
      <c r="A16" s="320" t="s">
        <v>242</v>
      </c>
      <c r="B16" s="1825"/>
      <c r="C16" s="1825"/>
      <c r="D16" s="1825"/>
      <c r="E16" s="1826">
        <f>E17*E41/1000000</f>
        <v>23.983629575754154</v>
      </c>
      <c r="F16" s="1826">
        <f>F17*F41/1000000</f>
        <v>32.792552599971188</v>
      </c>
      <c r="G16" s="1825">
        <f>'Price&amp;Q'!DE25</f>
        <v>59.189894666666667</v>
      </c>
      <c r="H16" s="1825">
        <f>'Price&amp;Q'!DF25</f>
        <v>87.787944629458082</v>
      </c>
      <c r="I16" s="1825">
        <f>'Price&amp;Q'!DG25</f>
        <v>115.38898000087056</v>
      </c>
      <c r="J16" s="1825">
        <f>'Price&amp;Q'!DH25</f>
        <v>137.12467886895709</v>
      </c>
      <c r="K16" s="1825">
        <f>'Price&amp;Q'!DI25</f>
        <v>149.93885021282389</v>
      </c>
      <c r="L16" s="320" t="s">
        <v>243</v>
      </c>
    </row>
    <row r="17" spans="1:15">
      <c r="A17" s="1806" t="s">
        <v>244</v>
      </c>
      <c r="B17" s="1825"/>
      <c r="C17" s="1825"/>
      <c r="D17" s="1825"/>
      <c r="E17" s="1827">
        <f>F17</f>
        <v>65.233885957944807</v>
      </c>
      <c r="F17" s="1827">
        <f>G17</f>
        <v>65.233885957944807</v>
      </c>
      <c r="G17" s="1826">
        <f>G16*1000000/G56</f>
        <v>65.233885957944807</v>
      </c>
      <c r="H17" s="1826">
        <f t="shared" ref="H17:J17" si="13">H16*1000000/H56</f>
        <v>67.904492930397225</v>
      </c>
      <c r="I17" s="1826">
        <f t="shared" si="13"/>
        <v>67.268053697412029</v>
      </c>
      <c r="J17" s="1826">
        <f t="shared" si="13"/>
        <v>66.962029005897719</v>
      </c>
      <c r="K17" s="1826">
        <f t="shared" ref="K17" si="14">K16*1000000/K56</f>
        <v>1965.5089495028367</v>
      </c>
    </row>
    <row r="18" spans="1:15" s="383" customFormat="1">
      <c r="A18" s="1806" t="s">
        <v>245</v>
      </c>
      <c r="B18" s="1821"/>
      <c r="C18" s="1821"/>
      <c r="D18" s="1821"/>
      <c r="E18" s="1821">
        <f t="shared" ref="E18:H18" si="15">E92/6.8</f>
        <v>140.4151346522861</v>
      </c>
      <c r="F18" s="1821">
        <f t="shared" si="15"/>
        <v>130.43677959372727</v>
      </c>
      <c r="G18" s="1821">
        <f t="shared" si="15"/>
        <v>115.28071086201597</v>
      </c>
      <c r="H18" s="1821">
        <f t="shared" si="15"/>
        <v>120.29411764705883</v>
      </c>
      <c r="I18" s="1821">
        <f>1.04*1000/6.8</f>
        <v>152.94117647058823</v>
      </c>
      <c r="J18" s="1828">
        <f>I18*0.95</f>
        <v>145.29411764705881</v>
      </c>
      <c r="K18" s="1828">
        <f>J18*0.95</f>
        <v>138.02941176470586</v>
      </c>
      <c r="L18" s="1829">
        <v>6.8</v>
      </c>
      <c r="M18" s="1806"/>
      <c r="N18" s="1806"/>
      <c r="O18" s="1806"/>
    </row>
    <row r="19" spans="1:15" s="383" customFormat="1">
      <c r="A19" s="1806" t="s">
        <v>246</v>
      </c>
      <c r="B19" s="1821"/>
      <c r="C19" s="1821"/>
      <c r="D19" s="1821"/>
      <c r="E19" s="1821">
        <v>578.45690395161296</v>
      </c>
      <c r="F19" s="1821">
        <v>309.2753568358209</v>
      </c>
      <c r="G19" s="1821">
        <v>234.34385911068722</v>
      </c>
      <c r="H19" s="1830">
        <v>250</v>
      </c>
      <c r="I19" s="1828">
        <f t="shared" ref="I19:K20" si="16">H19*$L19</f>
        <v>237.5</v>
      </c>
      <c r="J19" s="1828">
        <f t="shared" si="16"/>
        <v>225.625</v>
      </c>
      <c r="K19" s="1828">
        <f t="shared" si="16"/>
        <v>214.34375</v>
      </c>
      <c r="L19" s="1829">
        <v>0.95</v>
      </c>
      <c r="M19" s="1806"/>
      <c r="N19" s="1806"/>
      <c r="O19" s="1806"/>
    </row>
    <row r="20" spans="1:15" s="383" customFormat="1">
      <c r="A20" s="1806" t="s">
        <v>247</v>
      </c>
      <c r="B20" s="1821"/>
      <c r="C20" s="1821"/>
      <c r="D20" s="1821"/>
      <c r="E20" s="1821">
        <v>202.85998806666657</v>
      </c>
      <c r="F20" s="1821">
        <v>144.61538461538461</v>
      </c>
      <c r="G20" s="1821">
        <v>189.02282608695651</v>
      </c>
      <c r="H20" s="1830">
        <v>200</v>
      </c>
      <c r="I20" s="1828">
        <f t="shared" si="16"/>
        <v>190</v>
      </c>
      <c r="J20" s="1828">
        <f t="shared" si="16"/>
        <v>180.5</v>
      </c>
      <c r="K20" s="1828">
        <f t="shared" si="16"/>
        <v>171.47499999999999</v>
      </c>
      <c r="L20" s="1829">
        <v>0.95</v>
      </c>
      <c r="M20" s="1806"/>
      <c r="N20" s="1806"/>
      <c r="O20" s="1806"/>
    </row>
    <row r="21" spans="1:15" s="64" customFormat="1">
      <c r="A21" s="392" t="s">
        <v>248</v>
      </c>
      <c r="B21" s="1824"/>
      <c r="C21" s="1824"/>
      <c r="D21" s="1824"/>
      <c r="E21" s="1824">
        <f>AVERAGE(E18:E20)</f>
        <v>307.24400889018852</v>
      </c>
      <c r="F21" s="1824">
        <f t="shared" ref="F21:J21" si="17">AVERAGE(F18:F20)</f>
        <v>194.77584034831094</v>
      </c>
      <c r="G21" s="1824">
        <f t="shared" si="17"/>
        <v>179.54913201988657</v>
      </c>
      <c r="H21" s="1824">
        <f t="shared" si="17"/>
        <v>190.09803921568627</v>
      </c>
      <c r="I21" s="1824">
        <f>AVERAGE(I18:I20)</f>
        <v>193.48039215686276</v>
      </c>
      <c r="J21" s="1824">
        <f t="shared" si="17"/>
        <v>183.80637254901958</v>
      </c>
      <c r="K21" s="1824">
        <f t="shared" ref="K21" si="18">AVERAGE(K18:K20)</f>
        <v>174.61605392156864</v>
      </c>
      <c r="L21" s="392" t="s">
        <v>249</v>
      </c>
      <c r="M21" s="392"/>
      <c r="N21" s="392"/>
      <c r="O21" s="392"/>
    </row>
    <row r="22" spans="1:15">
      <c r="A22" s="320" t="s">
        <v>250</v>
      </c>
      <c r="B22" s="1815"/>
      <c r="C22" s="1815"/>
      <c r="D22" s="1815"/>
      <c r="E22" s="1815">
        <f>E23*E41/1000</f>
        <v>367656</v>
      </c>
      <c r="F22" s="1815">
        <f t="shared" ref="F22:J22" si="19">F23*F41/1000</f>
        <v>502692</v>
      </c>
      <c r="G22" s="1815">
        <f t="shared" si="19"/>
        <v>936172</v>
      </c>
      <c r="H22" s="1815">
        <f t="shared" si="19"/>
        <v>1939222.4470207356</v>
      </c>
      <c r="I22" s="1815">
        <f>I23*I41/1000</f>
        <v>2573041.1463943515</v>
      </c>
      <c r="J22" s="1815">
        <f t="shared" si="19"/>
        <v>2866916.568487369</v>
      </c>
      <c r="K22" s="1815">
        <f t="shared" ref="K22" si="20">K23*K41/1000</f>
        <v>3145101.2855765023</v>
      </c>
    </row>
    <row r="23" spans="1:15" ht="15.5">
      <c r="A23" s="320" t="s">
        <v>251</v>
      </c>
      <c r="B23" s="1815"/>
      <c r="C23" s="1815"/>
      <c r="D23" s="1815"/>
      <c r="E23" s="1831">
        <v>1000</v>
      </c>
      <c r="F23" s="1831">
        <v>1000</v>
      </c>
      <c r="G23" s="1831">
        <v>1000</v>
      </c>
      <c r="H23" s="1832">
        <v>1500</v>
      </c>
      <c r="I23" s="1833">
        <v>1500</v>
      </c>
      <c r="J23" s="1833">
        <f>I23-100</f>
        <v>1400</v>
      </c>
      <c r="K23" s="1833">
        <f>J23</f>
        <v>1400</v>
      </c>
      <c r="L23" s="320" t="s">
        <v>252</v>
      </c>
    </row>
    <row r="24" spans="1:15">
      <c r="A24" s="320" t="s">
        <v>253</v>
      </c>
      <c r="B24" s="1815"/>
      <c r="C24" s="1815"/>
      <c r="D24" s="1834"/>
      <c r="E24" s="1831">
        <v>5800000</v>
      </c>
      <c r="F24" s="1831">
        <v>10000000</v>
      </c>
      <c r="G24" s="1831">
        <v>17000000</v>
      </c>
      <c r="H24" s="1815">
        <f>H25*H41</f>
        <v>25309438.563549962</v>
      </c>
      <c r="I24" s="1815">
        <f>I25*I41</f>
        <v>35164895.667389467</v>
      </c>
      <c r="J24" s="1815">
        <f>J25*J41</f>
        <v>39932052.203931212</v>
      </c>
      <c r="K24" s="1815">
        <f>K25*K41</f>
        <v>41560266.98797521</v>
      </c>
      <c r="L24" s="320" t="s">
        <v>254</v>
      </c>
    </row>
    <row r="25" spans="1:15" ht="15.5">
      <c r="A25" s="320" t="s">
        <v>255</v>
      </c>
      <c r="B25" s="1815"/>
      <c r="C25" s="1815"/>
      <c r="D25" s="1815"/>
      <c r="E25" s="1815">
        <f>E24/E41</f>
        <v>15.775616337010684</v>
      </c>
      <c r="F25" s="1815">
        <f t="shared" ref="F25" si="21">F24/F41</f>
        <v>19.892896644466195</v>
      </c>
      <c r="G25" s="1815">
        <f>G24/G41</f>
        <v>18.159056241801721</v>
      </c>
      <c r="H25" s="1832">
        <v>19.577000000000002</v>
      </c>
      <c r="I25" s="1099">
        <v>20.5</v>
      </c>
      <c r="J25" s="613">
        <f>I25-1</f>
        <v>19.5</v>
      </c>
      <c r="K25" s="613">
        <f>J25-1</f>
        <v>18.5</v>
      </c>
      <c r="L25" s="434">
        <v>-1</v>
      </c>
    </row>
    <row r="26" spans="1:15" s="64" customFormat="1">
      <c r="A26" s="392" t="s">
        <v>256</v>
      </c>
      <c r="B26" s="1835"/>
      <c r="C26" s="1835"/>
      <c r="D26" s="1835"/>
      <c r="E26" s="1824">
        <f>E27*E35+E28*E36+E29*E37+E30*E38+E31*E39</f>
        <v>846000</v>
      </c>
      <c r="F26" s="1824">
        <f t="shared" ref="F26" si="22">F27*F35+F28*F36+F29*F37+F30*F38+F31*F39</f>
        <v>998882.3529411765</v>
      </c>
      <c r="G26" s="1824">
        <f>G27*G35+G28*G36+G29*G37+G30*G38+G31*G39</f>
        <v>1251705.8823529412</v>
      </c>
      <c r="H26" s="1824">
        <f t="shared" ref="H26:J26" si="23">H27*H35+H28*H36+H29*H37+H30*H38+H31*H39</f>
        <v>2121294.1176470588</v>
      </c>
      <c r="I26" s="1824">
        <f>I27*I35+I28*I36+I29*I37+I30*I38+I31*I39</f>
        <v>2279941.176470588</v>
      </c>
      <c r="J26" s="1824">
        <f t="shared" si="23"/>
        <v>2438588.2352941176</v>
      </c>
      <c r="K26" s="1824">
        <f t="shared" ref="K26" si="24">K27*K35+K28*K36+K29*K37+K30*K38+K31*K39</f>
        <v>2597235.2941176472</v>
      </c>
      <c r="L26" s="320"/>
      <c r="M26" s="392"/>
      <c r="N26" s="392"/>
      <c r="O26" s="392"/>
    </row>
    <row r="27" spans="1:15" s="64" customFormat="1">
      <c r="A27" s="320" t="s">
        <v>257</v>
      </c>
      <c r="B27" s="1835"/>
      <c r="C27" s="1835"/>
      <c r="D27" s="1836">
        <v>7000</v>
      </c>
      <c r="E27" s="1831">
        <f>D27+1000</f>
        <v>8000</v>
      </c>
      <c r="F27" s="1831">
        <f t="shared" ref="F27:G28" si="25">E27+1000</f>
        <v>9000</v>
      </c>
      <c r="G27" s="1831">
        <f t="shared" si="25"/>
        <v>10000</v>
      </c>
      <c r="H27" s="1831">
        <f t="shared" ref="H27:K27" si="26">G27+1000</f>
        <v>11000</v>
      </c>
      <c r="I27" s="1831">
        <f t="shared" si="26"/>
        <v>12000</v>
      </c>
      <c r="J27" s="1831">
        <f t="shared" si="26"/>
        <v>13000</v>
      </c>
      <c r="K27" s="1831">
        <f t="shared" si="26"/>
        <v>14000</v>
      </c>
      <c r="L27" s="320"/>
      <c r="M27" s="392"/>
      <c r="N27" s="392"/>
      <c r="O27" s="392"/>
    </row>
    <row r="28" spans="1:15">
      <c r="A28" s="320" t="s">
        <v>258</v>
      </c>
      <c r="B28" s="1837"/>
      <c r="C28" s="1837"/>
      <c r="D28" s="1837"/>
      <c r="E28" s="1831">
        <v>10000</v>
      </c>
      <c r="F28" s="1831">
        <f>E28</f>
        <v>10000</v>
      </c>
      <c r="G28" s="1831">
        <f t="shared" si="25"/>
        <v>11000</v>
      </c>
      <c r="H28" s="1831">
        <f t="shared" ref="H28:K29" si="27">G28+1000</f>
        <v>12000</v>
      </c>
      <c r="I28" s="1831">
        <f t="shared" si="27"/>
        <v>13000</v>
      </c>
      <c r="J28" s="1831">
        <f t="shared" si="27"/>
        <v>14000</v>
      </c>
      <c r="K28" s="1831">
        <f t="shared" si="27"/>
        <v>15000</v>
      </c>
    </row>
    <row r="29" spans="1:15">
      <c r="A29" s="320" t="s">
        <v>259</v>
      </c>
      <c r="B29" s="1837"/>
      <c r="C29" s="1837"/>
      <c r="D29" s="1837"/>
      <c r="E29" s="1837"/>
      <c r="F29" s="1836">
        <v>6000</v>
      </c>
      <c r="G29" s="1836">
        <v>15000</v>
      </c>
      <c r="H29" s="1836">
        <v>19000</v>
      </c>
      <c r="I29" s="1831">
        <f t="shared" si="27"/>
        <v>20000</v>
      </c>
      <c r="J29" s="1831">
        <f t="shared" si="27"/>
        <v>21000</v>
      </c>
      <c r="K29" s="1831">
        <f t="shared" si="27"/>
        <v>22000</v>
      </c>
    </row>
    <row r="30" spans="1:15">
      <c r="A30" s="320" t="s">
        <v>260</v>
      </c>
      <c r="B30" s="1837"/>
      <c r="C30" s="1837"/>
      <c r="D30" s="1837"/>
      <c r="E30" s="1837"/>
      <c r="F30" s="1837"/>
      <c r="G30" s="1837"/>
      <c r="H30" s="1836">
        <v>7500</v>
      </c>
      <c r="I30" s="1831">
        <f>H30+500</f>
        <v>8000</v>
      </c>
      <c r="J30" s="1831">
        <f>I30+500</f>
        <v>8500</v>
      </c>
      <c r="K30" s="1831">
        <f>J30+500</f>
        <v>9000</v>
      </c>
      <c r="L30" s="454" t="s">
        <v>261</v>
      </c>
    </row>
    <row r="31" spans="1:15">
      <c r="A31" s="320" t="s">
        <v>262</v>
      </c>
      <c r="B31" s="1837"/>
      <c r="C31" s="1837"/>
      <c r="D31" s="1837"/>
      <c r="E31" s="1815"/>
      <c r="F31" s="1815"/>
      <c r="G31" s="1815"/>
      <c r="H31" s="1831">
        <f>H30</f>
        <v>7500</v>
      </c>
      <c r="I31" s="1831">
        <f>I30</f>
        <v>8000</v>
      </c>
      <c r="J31" s="1831">
        <f>J30</f>
        <v>8500</v>
      </c>
      <c r="K31" s="1831">
        <f>K30</f>
        <v>9000</v>
      </c>
      <c r="L31" s="320" t="s">
        <v>263</v>
      </c>
    </row>
    <row r="32" spans="1:15">
      <c r="A32" s="320" t="s">
        <v>264</v>
      </c>
      <c r="B32" s="1837"/>
      <c r="C32" s="1837"/>
      <c r="D32" s="1837"/>
      <c r="E32" s="1815">
        <f>SUM(E27:E31)</f>
        <v>18000</v>
      </c>
      <c r="F32" s="1815">
        <f t="shared" ref="F32:G32" si="28">SUM(F27:F31)</f>
        <v>25000</v>
      </c>
      <c r="G32" s="1815">
        <f t="shared" si="28"/>
        <v>36000</v>
      </c>
      <c r="H32" s="1815">
        <f t="shared" ref="H32" si="29">SUM(H27:H31)</f>
        <v>57000</v>
      </c>
      <c r="I32" s="1815">
        <f t="shared" ref="I32" si="30">SUM(I27:I31)</f>
        <v>61000</v>
      </c>
      <c r="J32" s="1815">
        <f t="shared" ref="J32:K32" si="31">SUM(J27:J31)</f>
        <v>65000</v>
      </c>
      <c r="K32" s="1815">
        <f t="shared" si="31"/>
        <v>69000</v>
      </c>
    </row>
    <row r="33" spans="1:12">
      <c r="A33" s="320" t="s">
        <v>265</v>
      </c>
      <c r="B33" s="1837"/>
      <c r="C33" s="1837"/>
      <c r="D33" s="1837"/>
      <c r="E33" s="1836">
        <v>48016</v>
      </c>
      <c r="F33" s="1836">
        <v>70757</v>
      </c>
      <c r="G33" s="1836">
        <v>99290</v>
      </c>
      <c r="H33" s="1815"/>
      <c r="I33" s="1815"/>
      <c r="J33" s="1815"/>
      <c r="K33" s="1815"/>
    </row>
    <row r="34" spans="1:12">
      <c r="A34" s="320" t="s">
        <v>266</v>
      </c>
      <c r="B34" s="1838"/>
      <c r="C34" s="1838"/>
      <c r="D34" s="1838"/>
      <c r="E34" s="1839"/>
      <c r="F34" s="1839"/>
      <c r="G34" s="1839"/>
      <c r="H34" s="1839"/>
      <c r="I34" s="1839"/>
      <c r="J34" s="1839"/>
      <c r="K34" s="1839"/>
    </row>
    <row r="35" spans="1:12">
      <c r="A35" s="320" t="s">
        <v>267</v>
      </c>
      <c r="B35" s="1838"/>
      <c r="C35" s="1838"/>
      <c r="D35" s="1838"/>
      <c r="E35" s="1831">
        <f t="shared" ref="E35:G36" si="32">F35</f>
        <v>47</v>
      </c>
      <c r="F35" s="1831">
        <f t="shared" si="32"/>
        <v>47</v>
      </c>
      <c r="G35" s="1831">
        <f>H35</f>
        <v>47</v>
      </c>
      <c r="H35" s="1831">
        <f t="shared" ref="H35:K36" si="33">H38</f>
        <v>47</v>
      </c>
      <c r="I35" s="1831">
        <f>I38</f>
        <v>47</v>
      </c>
      <c r="J35" s="1831">
        <f t="shared" si="33"/>
        <v>47</v>
      </c>
      <c r="K35" s="1831">
        <f t="shared" si="33"/>
        <v>47</v>
      </c>
    </row>
    <row r="36" spans="1:12">
      <c r="A36" s="320" t="s">
        <v>268</v>
      </c>
      <c r="B36" s="1837"/>
      <c r="C36" s="1837"/>
      <c r="D36" s="1837"/>
      <c r="E36" s="1831">
        <f t="shared" si="32"/>
        <v>47</v>
      </c>
      <c r="F36" s="1831">
        <f t="shared" si="32"/>
        <v>47</v>
      </c>
      <c r="G36" s="1831">
        <f t="shared" si="32"/>
        <v>47</v>
      </c>
      <c r="H36" s="1831">
        <f>H39</f>
        <v>47</v>
      </c>
      <c r="I36" s="1831">
        <f t="shared" si="33"/>
        <v>47</v>
      </c>
      <c r="J36" s="1831">
        <f t="shared" si="33"/>
        <v>47</v>
      </c>
      <c r="K36" s="1831">
        <f t="shared" si="33"/>
        <v>47</v>
      </c>
    </row>
    <row r="37" spans="1:12">
      <c r="A37" s="320" t="s">
        <v>269</v>
      </c>
      <c r="B37" s="1837"/>
      <c r="C37" s="1837"/>
      <c r="D37" s="1837"/>
      <c r="E37" s="1837"/>
      <c r="F37" s="1831">
        <f t="shared" ref="F37:G37" si="34">120/6.8</f>
        <v>17.647058823529413</v>
      </c>
      <c r="G37" s="1831">
        <f t="shared" si="34"/>
        <v>17.647058823529413</v>
      </c>
      <c r="H37" s="1831">
        <f>120/6.8</f>
        <v>17.647058823529413</v>
      </c>
      <c r="I37" s="1831">
        <f t="shared" ref="I37:K37" si="35">120/6.8</f>
        <v>17.647058823529413</v>
      </c>
      <c r="J37" s="1831">
        <f t="shared" si="35"/>
        <v>17.647058823529413</v>
      </c>
      <c r="K37" s="1831">
        <f t="shared" si="35"/>
        <v>17.647058823529413</v>
      </c>
    </row>
    <row r="38" spans="1:12">
      <c r="A38" s="320" t="s">
        <v>270</v>
      </c>
      <c r="B38" s="1837"/>
      <c r="C38" s="1837"/>
      <c r="D38" s="1837"/>
      <c r="E38" s="1837"/>
      <c r="F38" s="1837"/>
      <c r="G38" s="1837"/>
      <c r="H38" s="1831">
        <f>H39</f>
        <v>47</v>
      </c>
      <c r="I38" s="1831">
        <f>I39</f>
        <v>47</v>
      </c>
      <c r="J38" s="1831">
        <f>J39</f>
        <v>47</v>
      </c>
      <c r="K38" s="1831">
        <f>K39</f>
        <v>47</v>
      </c>
    </row>
    <row r="39" spans="1:12">
      <c r="A39" s="320" t="s">
        <v>271</v>
      </c>
      <c r="B39" s="1837"/>
      <c r="C39" s="1837"/>
      <c r="D39" s="1837"/>
      <c r="E39" s="1815"/>
      <c r="F39" s="1815"/>
      <c r="G39" s="1815"/>
      <c r="H39" s="1839">
        <v>47</v>
      </c>
      <c r="I39" s="1815">
        <f>H39</f>
        <v>47</v>
      </c>
      <c r="J39" s="1815">
        <f>I39</f>
        <v>47</v>
      </c>
      <c r="K39" s="1815">
        <f>J39</f>
        <v>47</v>
      </c>
      <c r="L39" s="320" t="s">
        <v>272</v>
      </c>
    </row>
    <row r="40" spans="1:12">
      <c r="B40" s="1837"/>
      <c r="C40" s="1837"/>
      <c r="D40" s="1837"/>
      <c r="E40" s="1815"/>
      <c r="F40" s="1815"/>
      <c r="G40" s="1815"/>
      <c r="H40" s="1839"/>
      <c r="I40" s="1815"/>
      <c r="J40" s="1815"/>
      <c r="K40" s="1815"/>
    </row>
    <row r="41" spans="1:12">
      <c r="A41" s="320" t="s">
        <v>273</v>
      </c>
      <c r="B41" s="1837"/>
      <c r="C41" s="1837"/>
      <c r="D41" s="1837"/>
      <c r="E41" s="1813">
        <f>'Capacity Detail'!BX7</f>
        <v>367656</v>
      </c>
      <c r="F41" s="1813">
        <f>'Capacity Detail'!BY7</f>
        <v>502692</v>
      </c>
      <c r="G41" s="1813">
        <f>'Capacity Detail'!BZ7</f>
        <v>936172</v>
      </c>
      <c r="H41" s="1813">
        <f>'Capacity Detail'!CA7</f>
        <v>1292814.9646804903</v>
      </c>
      <c r="I41" s="1814">
        <f>'Price&amp;Q'!CO17</f>
        <v>1715360.7642629009</v>
      </c>
      <c r="J41" s="1813">
        <f>'Price&amp;Q'!CP17</f>
        <v>2047797.5489195492</v>
      </c>
      <c r="K41" s="1813">
        <f>'Price&amp;Q'!CQ17</f>
        <v>2246500.9182689302</v>
      </c>
      <c r="L41" s="320" t="s">
        <v>274</v>
      </c>
    </row>
    <row r="42" spans="1:12">
      <c r="A42" s="320" t="s">
        <v>275</v>
      </c>
      <c r="E42" s="1815">
        <f>E11/E41</f>
        <v>41.934532548338659</v>
      </c>
      <c r="F42" s="1815">
        <f t="shared" ref="F42:J42" si="36">F11/F41</f>
        <v>38.337135547744452</v>
      </c>
      <c r="G42" s="1815">
        <f t="shared" si="36"/>
        <v>33.572219735370695</v>
      </c>
      <c r="H42" s="1815">
        <f t="shared" si="36"/>
        <v>38.325245143794085</v>
      </c>
      <c r="I42" s="1815">
        <f>I11/I41</f>
        <v>38.961099351942273</v>
      </c>
      <c r="J42" s="1815">
        <f t="shared" si="36"/>
        <v>37.080384635729189</v>
      </c>
      <c r="K42" s="1815">
        <f>K11/K41</f>
        <v>35.794924694636173</v>
      </c>
    </row>
    <row r="43" spans="1:12">
      <c r="A43" s="320" t="s">
        <v>276</v>
      </c>
      <c r="E43" s="1815">
        <f>E15/E41</f>
        <v>20.042720637204336</v>
      </c>
      <c r="F43" s="1815">
        <f t="shared" ref="F43:K43" si="37">F15/F41</f>
        <v>12.705984956644579</v>
      </c>
      <c r="G43" s="1815">
        <f>G15/G41</f>
        <v>11.352074417680205</v>
      </c>
      <c r="H43" s="1815">
        <f t="shared" si="37"/>
        <v>12.908510960003941</v>
      </c>
      <c r="I43" s="1815">
        <f t="shared" si="37"/>
        <v>13.015049409004181</v>
      </c>
      <c r="J43" s="1815">
        <f t="shared" si="37"/>
        <v>12.308047650096292</v>
      </c>
      <c r="K43" s="1815">
        <f t="shared" si="37"/>
        <v>11.654448988106859</v>
      </c>
    </row>
    <row r="44" spans="1:12">
      <c r="A44" s="320" t="s">
        <v>277</v>
      </c>
      <c r="E44" s="1816">
        <f>E43/E42</f>
        <v>0.47795264235032897</v>
      </c>
      <c r="F44" s="1816">
        <f t="shared" ref="F44:K44" si="38">F43/F42</f>
        <v>0.33142760342177235</v>
      </c>
      <c r="G44" s="1816">
        <f t="shared" si="38"/>
        <v>0.33813892876794194</v>
      </c>
      <c r="H44" s="1816">
        <f t="shared" si="38"/>
        <v>0.33681483083988012</v>
      </c>
      <c r="I44" s="1816">
        <f t="shared" si="38"/>
        <v>0.33405241703877536</v>
      </c>
      <c r="J44" s="1816">
        <f t="shared" si="38"/>
        <v>0.3319288020069982</v>
      </c>
      <c r="K44" s="1816">
        <f t="shared" si="38"/>
        <v>0.3255894260856837</v>
      </c>
    </row>
    <row r="45" spans="1:12">
      <c r="A45" s="320" t="s">
        <v>278</v>
      </c>
      <c r="E45" s="1815"/>
      <c r="F45" s="1815">
        <f>'Price&amp;Q'!CR25/'Price&amp;Q'!CL17</f>
        <v>64.593689945016493</v>
      </c>
      <c r="G45" s="1815">
        <f>'Price&amp;Q'!CS25/'Price&amp;Q'!CM17</f>
        <v>50.889384012750455</v>
      </c>
      <c r="H45" s="1815">
        <f>'Price&amp;Q'!CT25/'Price&amp;Q'!CN17</f>
        <v>55.276278471653782</v>
      </c>
      <c r="I45" s="1815">
        <f>'Price&amp;Q'!CU25/'Price&amp;Q'!CO17</f>
        <v>48.926601068955883</v>
      </c>
      <c r="J45" s="1815">
        <f>'Price&amp;Q'!CV25/'Price&amp;Q'!CP17</f>
        <v>46.526694809043633</v>
      </c>
      <c r="K45" s="1815">
        <f>'Price&amp;Q'!CW25/'Price&amp;Q'!CQ17</f>
        <v>45.775644219165009</v>
      </c>
    </row>
    <row r="46" spans="1:12">
      <c r="A46" s="320" t="s">
        <v>279</v>
      </c>
      <c r="E46" s="1840"/>
      <c r="F46" s="1840">
        <f t="shared" ref="F46" si="39">F45-F42</f>
        <v>26.256554397272041</v>
      </c>
      <c r="G46" s="1840">
        <f t="shared" ref="G46:J46" si="40">G45-G42</f>
        <v>17.31716427737976</v>
      </c>
      <c r="H46" s="1840">
        <f t="shared" si="40"/>
        <v>16.951033327859697</v>
      </c>
      <c r="I46" s="1840">
        <f t="shared" si="40"/>
        <v>9.9655017170136091</v>
      </c>
      <c r="J46" s="1840">
        <f t="shared" si="40"/>
        <v>9.4463101733144441</v>
      </c>
      <c r="K46" s="1840">
        <f t="shared" ref="K46" si="41">K45-K42</f>
        <v>9.9807195245288369</v>
      </c>
    </row>
    <row r="47" spans="1:12">
      <c r="A47" s="320" t="s">
        <v>280</v>
      </c>
      <c r="E47" s="1840"/>
      <c r="F47" s="1841">
        <f>F46/F45</f>
        <v>0.40648791576425147</v>
      </c>
      <c r="G47" s="1841">
        <f t="shared" ref="G47:J47" si="42">G46/G45</f>
        <v>0.34029031031385454</v>
      </c>
      <c r="H47" s="1841">
        <f t="shared" si="42"/>
        <v>0.30666017678003327</v>
      </c>
      <c r="I47" s="1841">
        <f t="shared" si="42"/>
        <v>0.20368268997407954</v>
      </c>
      <c r="J47" s="1841">
        <f t="shared" si="42"/>
        <v>0.20302989954657849</v>
      </c>
      <c r="K47" s="1841">
        <f t="shared" ref="K47" si="43">K46/K45</f>
        <v>0.21803558846147669</v>
      </c>
    </row>
    <row r="48" spans="1:12">
      <c r="A48" s="617" t="s">
        <v>281</v>
      </c>
      <c r="B48" s="1812"/>
      <c r="C48" s="1812"/>
      <c r="D48" s="1812"/>
      <c r="E48" s="1812"/>
      <c r="F48" s="1812"/>
      <c r="G48" s="1812"/>
      <c r="H48" s="1812"/>
      <c r="I48" s="1812"/>
      <c r="J48" s="1812"/>
      <c r="K48" s="1812"/>
    </row>
    <row r="49" spans="1:15">
      <c r="A49" s="320" t="s">
        <v>282</v>
      </c>
      <c r="B49" s="1813">
        <f>'Fin Sta as rep'!C55</f>
        <v>3134080</v>
      </c>
      <c r="C49" s="1813">
        <f>'Fin Sta as rep'!D55</f>
        <v>4116604</v>
      </c>
      <c r="D49" s="1813">
        <f>'Fin Sta as rep'!E55</f>
        <v>2090000</v>
      </c>
      <c r="E49" s="1813">
        <f>'Fin Sta as rep'!F55</f>
        <v>2447000</v>
      </c>
      <c r="F49" s="1813">
        <f>'Fin Sta as rep'!G55</f>
        <v>3091000</v>
      </c>
      <c r="G49" s="1813">
        <f>'Fin Sta as rep'!I55</f>
        <v>4511000</v>
      </c>
      <c r="H49" s="1842">
        <v>5035000</v>
      </c>
      <c r="I49" s="1815">
        <f>'Price&amp;Q'!BT19*'Price&amp;Q'!BT18</f>
        <v>5565666.8113303324</v>
      </c>
      <c r="J49" s="1815">
        <f>'Price&amp;Q'!BU19*'Price&amp;Q'!BU18</f>
        <v>6143519.3844207218</v>
      </c>
      <c r="K49" s="1815">
        <f>'Price&amp;Q'!BV19*'Price&amp;Q'!BV18</f>
        <v>6449071.6936168605</v>
      </c>
    </row>
    <row r="50" spans="1:15">
      <c r="A50" s="1843" t="s">
        <v>283</v>
      </c>
      <c r="B50" s="1813">
        <f>-'Fin Sta as rep'!C15</f>
        <v>481994</v>
      </c>
      <c r="C50" s="1813">
        <f>-'Fin Sta as rep'!D15</f>
        <v>708000</v>
      </c>
      <c r="D50" s="1813">
        <f>-'Fin Sta as rep'!E15</f>
        <v>488000</v>
      </c>
      <c r="E50" s="1813">
        <f>-'Fin Sta as rep'!F15</f>
        <v>459000</v>
      </c>
      <c r="F50" s="1813">
        <f>-'Fin Sta as rep'!G15</f>
        <v>563000</v>
      </c>
      <c r="G50" s="1813">
        <f>-'Fin Sta as rep'!I15</f>
        <v>978000</v>
      </c>
      <c r="H50" s="1842">
        <v>1509000</v>
      </c>
      <c r="I50" s="1815">
        <f>I49*I51</f>
        <v>1437348.6342245173</v>
      </c>
      <c r="J50" s="1815">
        <f>J49*J51</f>
        <v>1713903.1042606297</v>
      </c>
      <c r="K50" s="1815">
        <f>K49*K51</f>
        <v>1732317.8247738839</v>
      </c>
    </row>
    <row r="51" spans="1:15">
      <c r="A51" s="320" t="s">
        <v>284</v>
      </c>
      <c r="B51" s="437">
        <f>B50/B49</f>
        <v>0.15379122421890953</v>
      </c>
      <c r="C51" s="437">
        <f t="shared" ref="C51:H51" si="44">C50/C49</f>
        <v>0.1719864237609447</v>
      </c>
      <c r="D51" s="437">
        <f t="shared" si="44"/>
        <v>0.23349282296650717</v>
      </c>
      <c r="E51" s="437">
        <f t="shared" si="44"/>
        <v>0.18757662443808745</v>
      </c>
      <c r="F51" s="437">
        <f t="shared" si="44"/>
        <v>0.18214170171465546</v>
      </c>
      <c r="G51" s="437">
        <f t="shared" si="44"/>
        <v>0.2168033695411217</v>
      </c>
      <c r="H51" s="437">
        <f t="shared" si="44"/>
        <v>0.29970208540218468</v>
      </c>
      <c r="I51" s="1844">
        <f>AVERAGE(G51:H51)</f>
        <v>0.25825272747165318</v>
      </c>
      <c r="J51" s="1844">
        <f>AVERAGE(H51:I51)</f>
        <v>0.27897740643691893</v>
      </c>
      <c r="K51" s="1844">
        <f>AVERAGE(I51:J51)</f>
        <v>0.26861506695428605</v>
      </c>
      <c r="L51" s="320" t="s">
        <v>229</v>
      </c>
      <c r="M51" s="434" t="s">
        <v>285</v>
      </c>
    </row>
    <row r="52" spans="1:15" s="627" customFormat="1" ht="15">
      <c r="A52" s="1845" t="s">
        <v>286</v>
      </c>
      <c r="B52" s="1846"/>
      <c r="C52" s="1846"/>
      <c r="D52" s="1846"/>
      <c r="E52" s="1847"/>
      <c r="F52" s="1847"/>
      <c r="G52" s="1847"/>
      <c r="H52" s="1847"/>
      <c r="I52" s="1847"/>
      <c r="J52" s="1847"/>
      <c r="K52" s="1847"/>
      <c r="L52" s="1846"/>
      <c r="M52" s="1846"/>
      <c r="N52" s="1846"/>
      <c r="O52" s="1846"/>
    </row>
    <row r="53" spans="1:15" s="64" customFormat="1">
      <c r="A53" s="392" t="s">
        <v>287</v>
      </c>
      <c r="B53" s="1824">
        <f>'Earning Forecast'!B5-'Earning Forecast'!B7</f>
        <v>4750084</v>
      </c>
      <c r="C53" s="1824">
        <f>'Earning Forecast'!C5-'Earning Forecast'!C7</f>
        <v>7432750</v>
      </c>
      <c r="D53" s="1824">
        <f>'Earning Forecast'!D5-'Earning Forecast'!D7</f>
        <v>14173520</v>
      </c>
      <c r="E53" s="1824">
        <f>'Earning Forecast'!E5-'Earning Forecast'!E7</f>
        <v>16398000</v>
      </c>
      <c r="F53" s="1824">
        <f>'Earning Forecast'!F5-'Earning Forecast'!F7</f>
        <v>20259000</v>
      </c>
      <c r="G53" s="1824">
        <f>'Earning Forecast'!G5-'Earning Forecast'!G7</f>
        <v>33393000</v>
      </c>
      <c r="H53" s="1824">
        <f>H70*H57+H71*H58+H72*H59+H73*H60</f>
        <v>48098544.426909789</v>
      </c>
      <c r="I53" s="1824">
        <f t="shared" ref="I53:J53" si="45">I70*I57+I71*I58+I72*I59+I73*I60</f>
        <v>58903888.841888487</v>
      </c>
      <c r="J53" s="1824">
        <f t="shared" si="45"/>
        <v>64142944.476252809</v>
      </c>
      <c r="K53" s="1824">
        <f t="shared" ref="K53" si="46">K70*K57+K71*K58+K72*K59+K73*K60</f>
        <v>2391305.8950000005</v>
      </c>
      <c r="L53" s="320" t="s">
        <v>288</v>
      </c>
      <c r="M53" s="392"/>
      <c r="N53" s="392"/>
      <c r="O53" s="392"/>
    </row>
    <row r="54" spans="1:15">
      <c r="A54" s="320" t="s">
        <v>234</v>
      </c>
      <c r="B54" s="1815"/>
      <c r="C54" s="1813">
        <f>C7</f>
        <v>769300</v>
      </c>
      <c r="D54" s="1813">
        <f t="shared" ref="D54:G54" si="47">D7</f>
        <v>975206</v>
      </c>
      <c r="E54" s="1813">
        <f t="shared" si="47"/>
        <v>1035000</v>
      </c>
      <c r="F54" s="1813">
        <f t="shared" si="47"/>
        <v>1383000</v>
      </c>
      <c r="G54" s="1813">
        <f t="shared" si="47"/>
        <v>1614000</v>
      </c>
      <c r="H54" s="1813">
        <f t="shared" ref="H54" si="48">H7</f>
        <v>3489179.1778923152</v>
      </c>
      <c r="I54" s="1813">
        <f>I7</f>
        <v>4488958.0694672782</v>
      </c>
      <c r="J54" s="1813">
        <f>J7</f>
        <v>5491173.9524754379</v>
      </c>
      <c r="K54" s="1813">
        <f t="shared" ref="K54" si="49">K7</f>
        <v>6928997.2744975379</v>
      </c>
      <c r="L54" s="320" t="s">
        <v>235</v>
      </c>
    </row>
    <row r="55" spans="1:15">
      <c r="A55" s="320" t="s">
        <v>236</v>
      </c>
      <c r="B55" s="1815">
        <f>B53-B54</f>
        <v>4750084</v>
      </c>
      <c r="C55" s="1815">
        <f>C53-C54</f>
        <v>6663450</v>
      </c>
      <c r="D55" s="1815">
        <f t="shared" ref="D55:G55" si="50">D53-D54</f>
        <v>13198314</v>
      </c>
      <c r="E55" s="1815">
        <f t="shared" si="50"/>
        <v>15363000</v>
      </c>
      <c r="F55" s="1815">
        <f t="shared" si="50"/>
        <v>18876000</v>
      </c>
      <c r="G55" s="1815">
        <f t="shared" si="50"/>
        <v>31779000</v>
      </c>
      <c r="H55" s="1815">
        <f t="shared" ref="H55:J55" si="51">H53-H54</f>
        <v>44609365.249017477</v>
      </c>
      <c r="I55" s="1815">
        <f t="shared" si="51"/>
        <v>54414930.772421211</v>
      </c>
      <c r="J55" s="1815">
        <f t="shared" si="51"/>
        <v>58651770.523777373</v>
      </c>
      <c r="K55" s="1815">
        <f t="shared" ref="K55" si="52">K53-K54</f>
        <v>-4537691.3794975374</v>
      </c>
      <c r="L55" s="320" t="s">
        <v>289</v>
      </c>
    </row>
    <row r="56" spans="1:15">
      <c r="A56" s="320" t="s">
        <v>273</v>
      </c>
      <c r="B56" s="1813">
        <f>'Capacity Detail'!BC7</f>
        <v>83940</v>
      </c>
      <c r="C56" s="1813">
        <f>'Capacity Detail'!BD7</f>
        <v>101027</v>
      </c>
      <c r="D56" s="1813">
        <f>'Capacity Detail'!BE7</f>
        <v>214459</v>
      </c>
      <c r="E56" s="1813">
        <f>'Capacity Detail'!BF7</f>
        <v>365232</v>
      </c>
      <c r="F56" s="1813">
        <f>'Capacity Detail'!BO7</f>
        <v>479381</v>
      </c>
      <c r="G56" s="1813">
        <f>'Capacity Detail'!BP7</f>
        <v>907348.9</v>
      </c>
      <c r="H56" s="1813">
        <f>'Capacity Detail'!BQ7</f>
        <v>1292814.9646804903</v>
      </c>
      <c r="I56" s="1813">
        <f>'Capacity Detail'!BR7</f>
        <v>1715360.7642629009</v>
      </c>
      <c r="J56" s="1813">
        <f>'Capacity Detail'!BS7</f>
        <v>2047797.5489195492</v>
      </c>
      <c r="K56" s="1814">
        <f>'Capacity Detail'!BU7</f>
        <v>76285</v>
      </c>
    </row>
    <row r="57" spans="1:15">
      <c r="A57" s="427" t="s">
        <v>290</v>
      </c>
      <c r="B57" s="1813">
        <f>'Capacity Detail'!BC3</f>
        <v>83940</v>
      </c>
      <c r="C57" s="1813">
        <f>'Capacity Detail'!BD3</f>
        <v>101027</v>
      </c>
      <c r="D57" s="1813">
        <f>'Capacity Detail'!BE3</f>
        <v>214459</v>
      </c>
      <c r="E57" s="1813">
        <f>'Capacity Detail'!BF3</f>
        <v>365232</v>
      </c>
      <c r="F57" s="1813">
        <f>'Capacity Detail'!BO3</f>
        <v>335320.3967418492</v>
      </c>
      <c r="G57" s="1813">
        <f>'Capacity Detail'!BP3</f>
        <v>433458.52357414161</v>
      </c>
      <c r="H57" s="1813">
        <f>'Capacity Detail'!BQ3</f>
        <v>503568.37575569662</v>
      </c>
      <c r="I57" s="1813">
        <f>'Capacity Detail'!BR3</f>
        <v>558630.19879038609</v>
      </c>
      <c r="J57" s="1813">
        <f>'Capacity Detail'!BS3</f>
        <v>641375.71802009654</v>
      </c>
      <c r="K57" s="1813">
        <f>'Capacity Detail'!BU3</f>
        <v>76285</v>
      </c>
    </row>
    <row r="58" spans="1:15">
      <c r="A58" s="427" t="s">
        <v>291</v>
      </c>
      <c r="B58" s="1813">
        <f>'Capacity Detail'!BC4</f>
        <v>0</v>
      </c>
      <c r="C58" s="1813">
        <f>'Capacity Detail'!BD4</f>
        <v>0</v>
      </c>
      <c r="D58" s="1813">
        <f>'Capacity Detail'!BE4</f>
        <v>0</v>
      </c>
      <c r="E58" s="1813">
        <f>'Capacity Detail'!BF4</f>
        <v>0</v>
      </c>
      <c r="F58" s="1813">
        <f>'Capacity Detail'!BO4</f>
        <v>144060.60325815078</v>
      </c>
      <c r="G58" s="1813">
        <f>'Capacity Detail'!BP4</f>
        <v>473740.19539982936</v>
      </c>
      <c r="H58" s="1813">
        <f>'Capacity Detail'!BQ4</f>
        <v>653670.48775979853</v>
      </c>
      <c r="I58" s="1813">
        <f>'Capacity Detail'!BR4</f>
        <v>763938.73338856222</v>
      </c>
      <c r="J58" s="1813">
        <f>'Capacity Detail'!BS4</f>
        <v>838722.09279551089</v>
      </c>
      <c r="K58" s="1813">
        <f>'Capacity Detail'!BU4</f>
        <v>0</v>
      </c>
    </row>
    <row r="59" spans="1:15">
      <c r="A59" s="427" t="s">
        <v>292</v>
      </c>
      <c r="B59" s="1813">
        <f>'Capacity Detail'!BC5</f>
        <v>0</v>
      </c>
      <c r="C59" s="1813">
        <f>'Capacity Detail'!BD5</f>
        <v>0</v>
      </c>
      <c r="D59" s="1813">
        <f>'Capacity Detail'!BE5</f>
        <v>0</v>
      </c>
      <c r="E59" s="1813">
        <f>'Capacity Detail'!BF5</f>
        <v>0</v>
      </c>
      <c r="F59" s="1813">
        <f>'Capacity Detail'!BO5</f>
        <v>0</v>
      </c>
      <c r="G59" s="1813">
        <f>'Capacity Detail'!BP5</f>
        <v>150.18102602904918</v>
      </c>
      <c r="H59" s="1813">
        <f>'Capacity Detail'!BQ5</f>
        <v>67788.050582497614</v>
      </c>
      <c r="I59" s="1813">
        <f>'Capacity Detail'!BR5</f>
        <v>178252.37112399787</v>
      </c>
      <c r="J59" s="1813">
        <f>'Capacity Detail'!BS5</f>
        <v>332528.64149657311</v>
      </c>
      <c r="K59" s="1813">
        <f>'Capacity Detail'!BU5</f>
        <v>0</v>
      </c>
    </row>
    <row r="60" spans="1:15">
      <c r="A60" s="427" t="s">
        <v>293</v>
      </c>
      <c r="B60" s="1813">
        <f>'Capacity Detail'!BC6</f>
        <v>0</v>
      </c>
      <c r="C60" s="1813">
        <f>'Capacity Detail'!BD6</f>
        <v>0</v>
      </c>
      <c r="D60" s="1813">
        <f>'Capacity Detail'!BE6</f>
        <v>0</v>
      </c>
      <c r="E60" s="1813">
        <f>'Capacity Detail'!BF6</f>
        <v>0</v>
      </c>
      <c r="F60" s="1813">
        <f>'Capacity Detail'!BO6</f>
        <v>0</v>
      </c>
      <c r="G60" s="1813">
        <f>'Capacity Detail'!BP6</f>
        <v>0</v>
      </c>
      <c r="H60" s="1813">
        <f>'Capacity Detail'!BQ6</f>
        <v>67788.050582497614</v>
      </c>
      <c r="I60" s="1813">
        <f>'Capacity Detail'!BR6</f>
        <v>214539.46095995457</v>
      </c>
      <c r="J60" s="1813">
        <f>'Capacity Detail'!BS6</f>
        <v>235171.09660736873</v>
      </c>
      <c r="K60" s="1813">
        <f>'Capacity Detail'!BU6</f>
        <v>0</v>
      </c>
    </row>
    <row r="61" spans="1:15">
      <c r="A61" s="320" t="s">
        <v>275</v>
      </c>
      <c r="B61" s="1840">
        <f>B53/B56</f>
        <v>56.589039790326424</v>
      </c>
      <c r="C61" s="1840">
        <f t="shared" ref="C61:J61" si="53">C53/C56</f>
        <v>73.571916418383211</v>
      </c>
      <c r="D61" s="1840">
        <f t="shared" si="53"/>
        <v>66.089648837306896</v>
      </c>
      <c r="E61" s="1840">
        <f t="shared" si="53"/>
        <v>44.897489814693124</v>
      </c>
      <c r="F61" s="1840">
        <f t="shared" si="53"/>
        <v>42.260748757251541</v>
      </c>
      <c r="G61" s="1840">
        <f t="shared" si="53"/>
        <v>36.802821935420873</v>
      </c>
      <c r="H61" s="1840">
        <f t="shared" si="53"/>
        <v>37.204507791876459</v>
      </c>
      <c r="I61" s="1840">
        <f t="shared" si="53"/>
        <v>34.339067366508047</v>
      </c>
      <c r="J61" s="1840">
        <f t="shared" si="53"/>
        <v>31.322893471620599</v>
      </c>
      <c r="K61" s="1840">
        <f t="shared" ref="K61" si="54">K53/K56</f>
        <v>31.347000000000005</v>
      </c>
    </row>
    <row r="62" spans="1:15">
      <c r="A62" s="320" t="s">
        <v>294</v>
      </c>
      <c r="B62" s="1840"/>
      <c r="C62" s="1840">
        <f>C54/C56</f>
        <v>7.6147960446217349</v>
      </c>
      <c r="D62" s="1840">
        <f t="shared" ref="D62:G62" si="55">D54/D56</f>
        <v>4.5472840962608236</v>
      </c>
      <c r="E62" s="1840">
        <f t="shared" si="55"/>
        <v>2.8338152188198187</v>
      </c>
      <c r="F62" s="1840">
        <f t="shared" si="55"/>
        <v>2.884970409757583</v>
      </c>
      <c r="G62" s="1840">
        <f t="shared" si="55"/>
        <v>1.7788085707713979</v>
      </c>
      <c r="H62" s="1840">
        <f t="shared" ref="H62:I62" si="56">H54/H56</f>
        <v>2.6989006727305638</v>
      </c>
      <c r="I62" s="1840">
        <f t="shared" si="56"/>
        <v>2.6169177720444163</v>
      </c>
      <c r="J62" s="1840">
        <f t="shared" ref="J62:K62" si="57">J54/J56</f>
        <v>2.6815023562132247</v>
      </c>
      <c r="K62" s="1840">
        <f t="shared" si="57"/>
        <v>90.830402759356858</v>
      </c>
    </row>
    <row r="63" spans="1:15">
      <c r="A63" s="320" t="s">
        <v>295</v>
      </c>
      <c r="B63" s="1840"/>
      <c r="C63" s="1840">
        <f>C61-C62</f>
        <v>65.95712037376147</v>
      </c>
      <c r="D63" s="1840">
        <f t="shared" ref="D63:G63" si="58">D61-D62</f>
        <v>61.542364741046072</v>
      </c>
      <c r="E63" s="1840">
        <f t="shared" si="58"/>
        <v>42.063674595873309</v>
      </c>
      <c r="F63" s="1840">
        <f t="shared" si="58"/>
        <v>39.375778347493956</v>
      </c>
      <c r="G63" s="1840">
        <f t="shared" si="58"/>
        <v>35.024013364649477</v>
      </c>
      <c r="H63" s="1840">
        <f t="shared" ref="H63:I63" si="59">H61-H62</f>
        <v>34.505607119145893</v>
      </c>
      <c r="I63" s="1840">
        <f t="shared" si="59"/>
        <v>31.72214959446363</v>
      </c>
      <c r="J63" s="1840">
        <f t="shared" ref="J63:K63" si="60">J61-J62</f>
        <v>28.641391115407373</v>
      </c>
      <c r="K63" s="1840">
        <f t="shared" si="60"/>
        <v>-59.483402759356849</v>
      </c>
    </row>
    <row r="64" spans="1:15">
      <c r="A64" s="320" t="s">
        <v>296</v>
      </c>
      <c r="B64" s="1840"/>
      <c r="C64" s="1840"/>
      <c r="D64" s="1840"/>
      <c r="E64" s="1840"/>
      <c r="F64" s="1840"/>
      <c r="G64" s="1840"/>
      <c r="H64" s="1840"/>
      <c r="I64" s="1840"/>
      <c r="J64" s="1840"/>
      <c r="K64" s="1840"/>
    </row>
    <row r="65" spans="1:12">
      <c r="A65" s="427" t="s">
        <v>290</v>
      </c>
      <c r="B65" s="546"/>
      <c r="C65" s="1816">
        <f>B70/C70-1</f>
        <v>-0.23083368566179308</v>
      </c>
      <c r="D65" s="1816">
        <f t="shared" ref="D65:G65" si="61">C70/D70-1</f>
        <v>0.11321391038853057</v>
      </c>
      <c r="E65" s="1816">
        <f t="shared" si="61"/>
        <v>0.47201211270565158</v>
      </c>
      <c r="F65" s="1816">
        <f t="shared" si="61"/>
        <v>0</v>
      </c>
      <c r="G65" s="1816">
        <f t="shared" si="61"/>
        <v>4.4127670109142425E-2</v>
      </c>
      <c r="H65" s="438">
        <v>0</v>
      </c>
      <c r="I65" s="440">
        <v>0.1</v>
      </c>
      <c r="J65" s="440">
        <v>0.1</v>
      </c>
      <c r="K65" s="440">
        <v>0.1</v>
      </c>
      <c r="L65" s="320" t="s">
        <v>297</v>
      </c>
    </row>
    <row r="66" spans="1:12">
      <c r="A66" s="427" t="s">
        <v>291</v>
      </c>
      <c r="F66" s="1840"/>
      <c r="G66" s="1840"/>
      <c r="H66" s="438">
        <v>0</v>
      </c>
      <c r="I66" s="440">
        <v>0.1</v>
      </c>
      <c r="J66" s="440">
        <v>0.1</v>
      </c>
      <c r="K66" s="440">
        <v>0.1</v>
      </c>
    </row>
    <row r="67" spans="1:12">
      <c r="A67" s="427" t="s">
        <v>292</v>
      </c>
      <c r="H67" s="438">
        <v>0</v>
      </c>
      <c r="I67" s="440">
        <v>0.1</v>
      </c>
      <c r="J67" s="440">
        <v>0.1</v>
      </c>
      <c r="K67" s="440">
        <v>0.1</v>
      </c>
    </row>
    <row r="68" spans="1:12">
      <c r="A68" s="427" t="s">
        <v>293</v>
      </c>
      <c r="H68" s="438">
        <v>0</v>
      </c>
      <c r="I68" s="440">
        <v>0.1</v>
      </c>
      <c r="J68" s="440">
        <v>0.1</v>
      </c>
      <c r="K68" s="440">
        <v>0.1</v>
      </c>
    </row>
    <row r="69" spans="1:12">
      <c r="A69" s="320" t="s">
        <v>298</v>
      </c>
      <c r="B69" s="1840"/>
      <c r="C69" s="1840"/>
      <c r="D69" s="1840"/>
      <c r="E69" s="1840"/>
      <c r="F69" s="1840"/>
      <c r="G69" s="1840"/>
      <c r="H69" s="1840"/>
      <c r="I69" s="1840"/>
      <c r="J69" s="1840"/>
      <c r="K69" s="1840"/>
    </row>
    <row r="70" spans="1:12">
      <c r="A70" s="427" t="s">
        <v>290</v>
      </c>
      <c r="B70" s="546">
        <f>B61</f>
        <v>56.589039790326424</v>
      </c>
      <c r="C70" s="546">
        <f t="shared" ref="C70:E70" si="62">C61</f>
        <v>73.571916418383211</v>
      </c>
      <c r="D70" s="546">
        <f t="shared" si="62"/>
        <v>66.089648837306896</v>
      </c>
      <c r="E70" s="546">
        <f t="shared" si="62"/>
        <v>44.897489814693124</v>
      </c>
      <c r="F70" s="438">
        <f>E70</f>
        <v>44.897489814693124</v>
      </c>
      <c r="G70" s="438">
        <v>43</v>
      </c>
      <c r="H70" s="1840">
        <f>G70*(1-H65)</f>
        <v>43</v>
      </c>
      <c r="I70" s="1840">
        <f t="shared" ref="I70:K70" si="63">H70*(1-I65)</f>
        <v>38.700000000000003</v>
      </c>
      <c r="J70" s="1840">
        <f t="shared" si="63"/>
        <v>34.830000000000005</v>
      </c>
      <c r="K70" s="1840">
        <f t="shared" si="63"/>
        <v>31.347000000000005</v>
      </c>
    </row>
    <row r="71" spans="1:12">
      <c r="A71" s="427" t="s">
        <v>291</v>
      </c>
      <c r="F71" s="1840">
        <f>(F53-F70*F57)/F58</f>
        <v>36.123379917399689</v>
      </c>
      <c r="G71" s="1840">
        <f>(G53-G70*G57)/G58</f>
        <v>31.144250856441527</v>
      </c>
      <c r="H71" s="1840">
        <f t="shared" ref="H71:K71" si="64">G71*(1-H66)</f>
        <v>31.144250856441527</v>
      </c>
      <c r="I71" s="1840">
        <f t="shared" si="64"/>
        <v>28.029825770797373</v>
      </c>
      <c r="J71" s="1840">
        <f t="shared" si="64"/>
        <v>25.226843193717638</v>
      </c>
      <c r="K71" s="1840">
        <f t="shared" si="64"/>
        <v>22.704158874345875</v>
      </c>
    </row>
    <row r="72" spans="1:12">
      <c r="A72" s="427" t="s">
        <v>292</v>
      </c>
      <c r="H72" s="438">
        <f>F70</f>
        <v>44.897489814693124</v>
      </c>
      <c r="I72" s="1840">
        <f t="shared" ref="I72:K72" si="65">H72*(1-I67)</f>
        <v>40.407740833223812</v>
      </c>
      <c r="J72" s="1840">
        <f t="shared" si="65"/>
        <v>36.36696674990143</v>
      </c>
      <c r="K72" s="1840">
        <f t="shared" si="65"/>
        <v>32.730270074911289</v>
      </c>
    </row>
    <row r="73" spans="1:12">
      <c r="A73" s="427" t="s">
        <v>293</v>
      </c>
      <c r="H73" s="438">
        <f>E70</f>
        <v>44.897489814693124</v>
      </c>
      <c r="I73" s="1840">
        <f t="shared" ref="I73:K73" si="66">H73*(1-I68)</f>
        <v>40.407740833223812</v>
      </c>
      <c r="J73" s="1840">
        <f t="shared" si="66"/>
        <v>36.36696674990143</v>
      </c>
      <c r="K73" s="1840">
        <f t="shared" si="66"/>
        <v>32.730270074911289</v>
      </c>
    </row>
    <row r="74" spans="1:12">
      <c r="A74" s="320" t="str">
        <f>A61</f>
        <v>Unit cost</v>
      </c>
      <c r="B74" s="546">
        <f t="shared" ref="B74:J74" si="67">B61</f>
        <v>56.589039790326424</v>
      </c>
      <c r="C74" s="546">
        <f t="shared" si="67"/>
        <v>73.571916418383211</v>
      </c>
      <c r="D74" s="546">
        <f t="shared" si="67"/>
        <v>66.089648837306896</v>
      </c>
      <c r="E74" s="546">
        <f t="shared" si="67"/>
        <v>44.897489814693124</v>
      </c>
      <c r="F74" s="546">
        <f t="shared" si="67"/>
        <v>42.260748757251541</v>
      </c>
      <c r="G74" s="546">
        <f t="shared" si="67"/>
        <v>36.802821935420873</v>
      </c>
      <c r="H74" s="546">
        <f t="shared" si="67"/>
        <v>37.204507791876459</v>
      </c>
      <c r="I74" s="546">
        <f t="shared" si="67"/>
        <v>34.339067366508047</v>
      </c>
      <c r="J74" s="546">
        <f t="shared" si="67"/>
        <v>31.322893471620599</v>
      </c>
      <c r="K74" s="546">
        <f t="shared" ref="K74" si="68">K61</f>
        <v>31.347000000000005</v>
      </c>
    </row>
    <row r="75" spans="1:12">
      <c r="A75" s="320" t="s">
        <v>278</v>
      </c>
      <c r="B75" s="546"/>
      <c r="C75" s="546"/>
      <c r="D75" s="546"/>
      <c r="E75" s="546"/>
      <c r="F75" s="546">
        <f>'Price&amp;Q'!CR17/F56</f>
        <v>59.103276265709219</v>
      </c>
      <c r="G75" s="546">
        <f>'Price&amp;Q'!CS17/G56</f>
        <v>47.465122408421628</v>
      </c>
      <c r="H75" s="546">
        <f>'Price&amp;Q'!CT17/H56</f>
        <v>53.98929126430739</v>
      </c>
      <c r="I75" s="546">
        <f>'Price&amp;Q'!CU17/I56</f>
        <v>46.251397814356849</v>
      </c>
      <c r="J75" s="546">
        <f>'Price&amp;Q'!CV17/J56</f>
        <v>44.00071661022487</v>
      </c>
      <c r="K75" s="546">
        <f>'Price&amp;Q'!CW17/K56</f>
        <v>1274.1502089722571</v>
      </c>
      <c r="L75" s="546"/>
    </row>
    <row r="76" spans="1:12">
      <c r="A76" s="320" t="s">
        <v>279</v>
      </c>
      <c r="E76" s="1840"/>
      <c r="F76" s="1840">
        <f t="shared" ref="F76:J76" si="69">F75-F74</f>
        <v>16.842527508457678</v>
      </c>
      <c r="G76" s="1840">
        <f t="shared" si="69"/>
        <v>10.662300473000755</v>
      </c>
      <c r="H76" s="1840">
        <f t="shared" si="69"/>
        <v>16.784783472430931</v>
      </c>
      <c r="I76" s="1840">
        <f t="shared" si="69"/>
        <v>11.912330447848802</v>
      </c>
      <c r="J76" s="1840">
        <f t="shared" si="69"/>
        <v>12.677823138604271</v>
      </c>
      <c r="K76" s="1840">
        <f t="shared" ref="K76" si="70">K75-K74</f>
        <v>1242.8032089722572</v>
      </c>
    </row>
    <row r="77" spans="1:12">
      <c r="E77" s="1840"/>
      <c r="F77" s="1840"/>
      <c r="G77" s="1840"/>
      <c r="H77" s="1840"/>
      <c r="I77" s="1840"/>
      <c r="J77" s="1840"/>
      <c r="K77" s="1840"/>
    </row>
    <row r="78" spans="1:12" ht="15.5">
      <c r="A78" s="318" t="s">
        <v>25</v>
      </c>
    </row>
    <row r="79" spans="1:12" ht="14.5">
      <c r="A79" s="319" t="s">
        <v>221</v>
      </c>
      <c r="B79" s="1812"/>
      <c r="C79" s="1812"/>
      <c r="D79" s="1812"/>
      <c r="E79" s="1812"/>
      <c r="F79" s="1812"/>
      <c r="G79" s="1812"/>
      <c r="H79" s="1812"/>
      <c r="I79" s="1812"/>
      <c r="J79" s="1812"/>
      <c r="K79" s="1812"/>
    </row>
    <row r="80" spans="1:12">
      <c r="A80" s="320" t="s">
        <v>299</v>
      </c>
      <c r="B80" s="1813">
        <f>('Fin Sta as rep'!C264+'Fin Sta as rep'!C265+'Fin Sta as rep'!C273)/1000</f>
        <v>50820999</v>
      </c>
      <c r="C80" s="1813">
        <f>('Fin Sta as rep'!D264+'Fin Sta as rep'!D265+'Fin Sta as rep'!D273)/1000</f>
        <v>53342993</v>
      </c>
      <c r="D80" s="1813">
        <f>('Fin Sta as rep'!E264+'Fin Sta as rep'!E265+'Fin Sta as rep'!E273)/1000</f>
        <v>54992459</v>
      </c>
      <c r="E80" s="1813">
        <f>('Fin Sta as rep'!F264+'Fin Sta as rep'!F265+'Fin Sta as rep'!F273)/1000</f>
        <v>62093668</v>
      </c>
      <c r="F80" s="1813">
        <f>('Fin Sta as rep'!G264+'Fin Sta as rep'!G265+'Fin Sta as rep'!G273)/1000</f>
        <v>66388794</v>
      </c>
      <c r="G80" s="1813">
        <f>('Fin Sta as rep'!I264+'Fin Sta as rep'!I265+'Fin Sta as rep'!I273)/1000</f>
        <v>78326307</v>
      </c>
      <c r="H80" s="1813">
        <f>('Fin Sta as rep'!J264+'Fin Sta as rep'!J265+'Fin Sta as rep'!J273)/1000</f>
        <v>155103866</v>
      </c>
      <c r="I80" s="1831">
        <f>H80*1.1</f>
        <v>170614252.60000002</v>
      </c>
      <c r="J80" s="1831">
        <f>I80*1.1</f>
        <v>187675677.86000004</v>
      </c>
      <c r="K80" s="1831">
        <f>J80*1.1</f>
        <v>206443245.64600006</v>
      </c>
      <c r="L80" s="1848">
        <v>1.1000000000000001</v>
      </c>
    </row>
    <row r="81" spans="1:15">
      <c r="A81" s="320" t="s">
        <v>224</v>
      </c>
      <c r="B81" s="1849">
        <v>23197484</v>
      </c>
      <c r="C81" s="1849">
        <v>28090162</v>
      </c>
      <c r="D81" s="1849">
        <v>33273987</v>
      </c>
      <c r="E81" s="1849">
        <v>39549992</v>
      </c>
      <c r="F81" s="1849">
        <v>45541670</v>
      </c>
      <c r="G81" s="1849">
        <v>51120858</v>
      </c>
      <c r="H81" s="1837">
        <v>62034948</v>
      </c>
      <c r="I81" s="1831">
        <f t="shared" ref="I81:K81" si="71">H81*1.1</f>
        <v>68238442.800000012</v>
      </c>
      <c r="J81" s="1831">
        <f t="shared" si="71"/>
        <v>75062287.080000013</v>
      </c>
      <c r="K81" s="1831">
        <f t="shared" si="71"/>
        <v>82568515.788000017</v>
      </c>
      <c r="L81" s="1848">
        <v>1.1000000000000001</v>
      </c>
    </row>
    <row r="82" spans="1:15">
      <c r="A82" s="320" t="s">
        <v>300</v>
      </c>
      <c r="B82" s="1815">
        <f>B80+B81</f>
        <v>74018483</v>
      </c>
      <c r="C82" s="1815">
        <f t="shared" ref="C82:J82" si="72">C80+C81</f>
        <v>81433155</v>
      </c>
      <c r="D82" s="1815">
        <f>D80+D81</f>
        <v>88266446</v>
      </c>
      <c r="E82" s="1815">
        <f t="shared" si="72"/>
        <v>101643660</v>
      </c>
      <c r="F82" s="1815">
        <f t="shared" si="72"/>
        <v>111930464</v>
      </c>
      <c r="G82" s="1815">
        <f>G80+G81</f>
        <v>129447165</v>
      </c>
      <c r="H82" s="1815">
        <f>H80+H81</f>
        <v>217138814</v>
      </c>
      <c r="I82" s="1815">
        <f>I80+I81</f>
        <v>238852695.40000004</v>
      </c>
      <c r="J82" s="1815">
        <f t="shared" si="72"/>
        <v>262737964.94000006</v>
      </c>
      <c r="K82" s="1815">
        <f t="shared" ref="K82" si="73">K80+K81</f>
        <v>289011761.43400007</v>
      </c>
      <c r="L82" s="320" t="s">
        <v>301</v>
      </c>
    </row>
    <row r="83" spans="1:15">
      <c r="A83" s="320" t="s">
        <v>227</v>
      </c>
      <c r="C83" s="1815">
        <f t="shared" ref="C83:H83" si="74">C81-B81</f>
        <v>4892678</v>
      </c>
      <c r="D83" s="1815">
        <f>D81-C81</f>
        <v>5183825</v>
      </c>
      <c r="E83" s="1815">
        <f>E81-D81</f>
        <v>6276005</v>
      </c>
      <c r="F83" s="1815">
        <f t="shared" si="74"/>
        <v>5991678</v>
      </c>
      <c r="G83" s="1815">
        <f t="shared" si="74"/>
        <v>5579188</v>
      </c>
      <c r="H83" s="1815">
        <f t="shared" si="74"/>
        <v>10914090</v>
      </c>
      <c r="I83" s="1815">
        <f>I82*I84</f>
        <v>11695316.299578864</v>
      </c>
      <c r="J83" s="1815">
        <f>J82*J84</f>
        <v>12464977.982146075</v>
      </c>
      <c r="K83" s="1815">
        <f>K82*K84</f>
        <v>14129820.764283702</v>
      </c>
      <c r="L83" s="320" t="s">
        <v>302</v>
      </c>
    </row>
    <row r="84" spans="1:15">
      <c r="A84" s="320" t="s">
        <v>228</v>
      </c>
      <c r="C84" s="1816">
        <f>C83/C82</f>
        <v>6.0082137306358814E-2</v>
      </c>
      <c r="D84" s="1816">
        <f>D83/D82</f>
        <v>5.8729282019579672E-2</v>
      </c>
      <c r="E84" s="1816">
        <f>E83/E82</f>
        <v>6.1745169349470497E-2</v>
      </c>
      <c r="F84" s="1816">
        <f t="shared" ref="F84" si="75">F83/F82</f>
        <v>5.3530359706183299E-2</v>
      </c>
      <c r="G84" s="1816">
        <f>G83/G82</f>
        <v>4.3100117333585486E-2</v>
      </c>
      <c r="H84" s="1816">
        <f>H83/H82</f>
        <v>5.0263192466363939E-2</v>
      </c>
      <c r="I84" s="1817">
        <f t="shared" ref="I84" si="76">AVERAGE(F84:H84)</f>
        <v>4.8964556502044239E-2</v>
      </c>
      <c r="J84" s="1817">
        <f t="shared" ref="J84:K84" si="77">AVERAGE(G84:I84)</f>
        <v>4.744262210066455E-2</v>
      </c>
      <c r="K84" s="1817">
        <f t="shared" si="77"/>
        <v>4.8890123689690902E-2</v>
      </c>
      <c r="L84" s="320" t="s">
        <v>229</v>
      </c>
    </row>
    <row r="85" spans="1:15" s="383" customFormat="1">
      <c r="A85" s="1806" t="s">
        <v>231</v>
      </c>
      <c r="B85" s="1821">
        <f>'Earning Forecast'!B84</f>
        <v>40310556.960000001</v>
      </c>
      <c r="C85" s="1821">
        <f>'Earning Forecast'!C84</f>
        <v>42332355.338</v>
      </c>
      <c r="D85" s="1821">
        <f>'Earning Forecast'!D84</f>
        <v>58168509.488799997</v>
      </c>
      <c r="E85" s="1821">
        <f>'Earning Forecast'!E84</f>
        <v>47941491.925200008</v>
      </c>
      <c r="F85" s="1821">
        <f>'Earning Forecast'!F84</f>
        <v>62809855.076799996</v>
      </c>
      <c r="G85" s="1821">
        <f>'Earning Forecast'!G84</f>
        <v>92763974.565099999</v>
      </c>
      <c r="H85" s="1821">
        <f>'Earning Forecast'!H84</f>
        <v>241883546.30563271</v>
      </c>
      <c r="I85" s="1806"/>
      <c r="J85" s="1806"/>
      <c r="K85" s="1806"/>
      <c r="L85" s="1806"/>
      <c r="M85" s="1806"/>
      <c r="N85" s="1806"/>
      <c r="O85" s="1806"/>
    </row>
    <row r="86" spans="1:15" s="64" customFormat="1">
      <c r="A86" s="392" t="s">
        <v>287</v>
      </c>
      <c r="B86" s="1824">
        <f t="shared" ref="B86:F86" si="78">B87+B88</f>
        <v>0</v>
      </c>
      <c r="C86" s="1824">
        <f>C87+C88</f>
        <v>4892678</v>
      </c>
      <c r="D86" s="1824">
        <f>D87+D88</f>
        <v>58168509.488799997</v>
      </c>
      <c r="E86" s="1824">
        <f>E87+E88</f>
        <v>47941491.925200008</v>
      </c>
      <c r="F86" s="1824">
        <f t="shared" si="78"/>
        <v>62809855.076799996</v>
      </c>
      <c r="G86" s="1824">
        <f>G87+G88</f>
        <v>92763974.565099999</v>
      </c>
      <c r="H86" s="1824">
        <f>H87+H88</f>
        <v>241883546.30563271</v>
      </c>
      <c r="I86" s="1824">
        <f>I87+I88</f>
        <v>339731524.54625851</v>
      </c>
      <c r="J86" s="1824">
        <f>J87+J88</f>
        <v>464843737.18609267</v>
      </c>
      <c r="K86" s="1824">
        <f>K87+K88</f>
        <v>556050088.05808425</v>
      </c>
      <c r="L86" s="320" t="s">
        <v>233</v>
      </c>
      <c r="M86" s="392"/>
      <c r="N86" s="392"/>
      <c r="O86" s="392"/>
    </row>
    <row r="87" spans="1:15" s="64" customFormat="1">
      <c r="A87" s="392" t="s">
        <v>234</v>
      </c>
      <c r="B87" s="392"/>
      <c r="C87" s="1823">
        <f t="shared" ref="C87:F87" si="79">C83</f>
        <v>4892678</v>
      </c>
      <c r="D87" s="1823">
        <f>D83</f>
        <v>5183825</v>
      </c>
      <c r="E87" s="1823">
        <f>E83</f>
        <v>6276005</v>
      </c>
      <c r="F87" s="1823">
        <f t="shared" si="79"/>
        <v>5991678</v>
      </c>
      <c r="G87" s="1823">
        <f>G83</f>
        <v>5579188</v>
      </c>
      <c r="H87" s="1823">
        <f>H83</f>
        <v>10914090</v>
      </c>
      <c r="I87" s="1823">
        <f>I83</f>
        <v>11695316.299578864</v>
      </c>
      <c r="J87" s="1823">
        <f t="shared" ref="J87" si="80">J83</f>
        <v>12464977.982146075</v>
      </c>
      <c r="K87" s="1823">
        <f t="shared" ref="K87" si="81">K83</f>
        <v>14129820.764283702</v>
      </c>
      <c r="L87" s="320" t="s">
        <v>235</v>
      </c>
      <c r="M87" s="392"/>
      <c r="N87" s="392"/>
      <c r="O87" s="392"/>
    </row>
    <row r="88" spans="1:15" s="64" customFormat="1">
      <c r="A88" s="392" t="s">
        <v>236</v>
      </c>
      <c r="B88" s="1824">
        <f t="shared" ref="B88:K88" si="82">B89+B100+B96</f>
        <v>0</v>
      </c>
      <c r="C88" s="1824">
        <f t="shared" si="82"/>
        <v>0</v>
      </c>
      <c r="D88" s="1824">
        <f>D89+D100+D96</f>
        <v>52984684.488799997</v>
      </c>
      <c r="E88" s="1824">
        <f>E89+E100+E96</f>
        <v>41665486.925200008</v>
      </c>
      <c r="F88" s="1824">
        <f t="shared" si="82"/>
        <v>56818177.076799996</v>
      </c>
      <c r="G88" s="1824">
        <f t="shared" si="82"/>
        <v>87184786.565099999</v>
      </c>
      <c r="H88" s="1824">
        <f>H89+H100+H96</f>
        <v>230969456.30563271</v>
      </c>
      <c r="I88" s="1824">
        <f>I89+I100+I96</f>
        <v>328036208.24667966</v>
      </c>
      <c r="J88" s="1824">
        <f>J89+J100+J96</f>
        <v>452378759.20394659</v>
      </c>
      <c r="K88" s="1824">
        <f t="shared" si="82"/>
        <v>541920267.29380059</v>
      </c>
      <c r="L88" s="320" t="s">
        <v>237</v>
      </c>
      <c r="M88" s="392"/>
      <c r="N88" s="392"/>
      <c r="O88" s="392"/>
    </row>
    <row r="89" spans="1:15" s="64" customFormat="1">
      <c r="A89" s="392" t="s">
        <v>238</v>
      </c>
      <c r="B89" s="1824">
        <f t="shared" ref="B89:G89" si="83">B90+B94</f>
        <v>0</v>
      </c>
      <c r="C89" s="1824">
        <f t="shared" si="83"/>
        <v>0</v>
      </c>
      <c r="D89" s="1824">
        <f t="shared" si="83"/>
        <v>28995600.488799997</v>
      </c>
      <c r="E89" s="1824">
        <f>E90+E94</f>
        <v>21814317.425200008</v>
      </c>
      <c r="F89" s="1824">
        <f t="shared" si="83"/>
        <v>36155980.376799993</v>
      </c>
      <c r="G89" s="1824">
        <f t="shared" si="83"/>
        <v>66855198.065099999</v>
      </c>
      <c r="H89" s="1824">
        <f>H90+H94</f>
        <v>206516326.30563271</v>
      </c>
      <c r="I89" s="1824">
        <f>I90+I94</f>
        <v>297007034.24667966</v>
      </c>
      <c r="J89" s="1824">
        <f>J90+J94</f>
        <v>418246667.80394661</v>
      </c>
      <c r="K89" s="1824">
        <f>K90+K94</f>
        <v>504374966.75380063</v>
      </c>
      <c r="L89" s="320" t="s">
        <v>239</v>
      </c>
      <c r="M89" s="392"/>
      <c r="N89" s="392"/>
      <c r="O89" s="392"/>
    </row>
    <row r="90" spans="1:15">
      <c r="A90" s="320" t="s">
        <v>240</v>
      </c>
      <c r="B90" s="1815">
        <f t="shared" ref="B90:K90" si="84">B93/1000*B91*1000000</f>
        <v>0</v>
      </c>
      <c r="C90" s="1815">
        <f t="shared" si="84"/>
        <v>0</v>
      </c>
      <c r="D90" s="1815">
        <f t="shared" si="84"/>
        <v>12794962.683897903</v>
      </c>
      <c r="E90" s="1815">
        <f t="shared" si="84"/>
        <v>12683563.664458059</v>
      </c>
      <c r="F90" s="1815">
        <f t="shared" si="84"/>
        <v>10331999.999999998</v>
      </c>
      <c r="G90" s="1815">
        <f t="shared" si="84"/>
        <v>16354982.552968334</v>
      </c>
      <c r="H90" s="1815">
        <f>H93/1000*H91*1000000</f>
        <v>53551972.587260351</v>
      </c>
      <c r="I90" s="1815">
        <f>I93/1000*I91*1000000</f>
        <v>67899221.761660784</v>
      </c>
      <c r="J90" s="1815">
        <f>J93/1000*J91*1000000</f>
        <v>89633843.952957943</v>
      </c>
      <c r="K90" s="1815">
        <f t="shared" si="84"/>
        <v>103667787.37538999</v>
      </c>
      <c r="L90" s="320" t="s">
        <v>241</v>
      </c>
    </row>
    <row r="91" spans="1:15">
      <c r="A91" s="320" t="s">
        <v>242</v>
      </c>
      <c r="B91" s="1825">
        <f>'Capacity Detail'!BU77</f>
        <v>7.35</v>
      </c>
      <c r="C91" s="1825">
        <f>'Capacity Detail'!BV77</f>
        <v>5.66</v>
      </c>
      <c r="D91" s="1825">
        <f>'Capacity Detail'!BM77</f>
        <v>14.144815465729348</v>
      </c>
      <c r="E91" s="1825">
        <f>'Capacity Detail'!BN77</f>
        <v>14.759646302250804</v>
      </c>
      <c r="F91" s="1825">
        <f>'Capacity Detail'!BO77</f>
        <v>12.6</v>
      </c>
      <c r="G91" s="1825">
        <f>'Capacity Detail'!BP77</f>
        <v>23.181525774000001</v>
      </c>
      <c r="H91" s="1825">
        <f>'Capacity Detail'!BQ77</f>
        <v>72.741065725700011</v>
      </c>
      <c r="I91" s="1825">
        <f>'Capacity Detail'!BR77</f>
        <v>115.53381276443896</v>
      </c>
      <c r="J91" s="1825">
        <f>'Capacity Detail'!BS77</f>
        <v>160.54349955304434</v>
      </c>
      <c r="K91" s="1825">
        <f>'Capacity Detail'!BT77</f>
        <v>195.45236418677058</v>
      </c>
      <c r="L91" s="320" t="s">
        <v>303</v>
      </c>
    </row>
    <row r="92" spans="1:15" s="383" customFormat="1">
      <c r="A92" s="1850" t="s">
        <v>304</v>
      </c>
      <c r="B92" s="1830"/>
      <c r="C92" s="1830"/>
      <c r="D92" s="1830">
        <f>E92/L92</f>
        <v>1005.0767533005743</v>
      </c>
      <c r="E92" s="1821">
        <v>954.82291563554554</v>
      </c>
      <c r="F92" s="1821">
        <v>886.97010123734538</v>
      </c>
      <c r="G92" s="1821">
        <v>783.90883386170856</v>
      </c>
      <c r="H92" s="1821">
        <v>818</v>
      </c>
      <c r="I92" s="1821">
        <v>653</v>
      </c>
      <c r="J92" s="1828">
        <f>L92*I92</f>
        <v>620.35</v>
      </c>
      <c r="K92" s="1828">
        <f>L92*J92</f>
        <v>589.33249999999998</v>
      </c>
      <c r="L92" s="1851">
        <v>0.95</v>
      </c>
      <c r="M92" s="1806"/>
      <c r="N92" s="1806"/>
      <c r="O92" s="1806"/>
    </row>
    <row r="93" spans="1:15">
      <c r="A93" s="1852" t="s">
        <v>305</v>
      </c>
      <c r="B93" s="1815"/>
      <c r="C93" s="1815"/>
      <c r="D93" s="1815">
        <f>D92*$L93</f>
        <v>904.5690779705169</v>
      </c>
      <c r="E93" s="1815">
        <f>E92*$L93</f>
        <v>859.34062407199099</v>
      </c>
      <c r="F93" s="1815">
        <v>820</v>
      </c>
      <c r="G93" s="1815">
        <f>G92*$L93</f>
        <v>705.51795047553776</v>
      </c>
      <c r="H93" s="1815">
        <f>H92*$L93</f>
        <v>736.2</v>
      </c>
      <c r="I93" s="1815">
        <f>I92*$L93</f>
        <v>587.70000000000005</v>
      </c>
      <c r="J93" s="1815">
        <f>J92*$L93</f>
        <v>558.31500000000005</v>
      </c>
      <c r="K93" s="1815">
        <f>K92*$L93</f>
        <v>530.39925000000005</v>
      </c>
      <c r="L93" s="1853">
        <v>0.9</v>
      </c>
    </row>
    <row r="94" spans="1:15">
      <c r="A94" s="320" t="s">
        <v>253</v>
      </c>
      <c r="B94" s="1815"/>
      <c r="C94" s="1815"/>
      <c r="D94" s="1815">
        <f>D85-D90-D96-D100-D87</f>
        <v>16200637.804902092</v>
      </c>
      <c r="E94" s="1815">
        <f>E85-E90-E96-E100-E87</f>
        <v>9130753.7607419491</v>
      </c>
      <c r="F94" s="1815">
        <f>F85-F90-F96-F100-F87</f>
        <v>25823980.376799997</v>
      </c>
      <c r="G94" s="1815">
        <f>G85-G90-G96-G100-G87</f>
        <v>50500215.512131661</v>
      </c>
      <c r="H94" s="1815">
        <f>H85-H90-H96-H100-H87</f>
        <v>152964353.71837234</v>
      </c>
      <c r="I94" s="1815">
        <f>I95*I106</f>
        <v>229107812.48501888</v>
      </c>
      <c r="J94" s="1815">
        <f>J95*J106</f>
        <v>328612823.85098869</v>
      </c>
      <c r="K94" s="1815">
        <f>K95*K106</f>
        <v>400707179.37841064</v>
      </c>
      <c r="L94" s="439">
        <v>2</v>
      </c>
    </row>
    <row r="95" spans="1:15" ht="15.5">
      <c r="A95" s="320" t="s">
        <v>306</v>
      </c>
      <c r="B95" s="1815"/>
      <c r="C95" s="1815"/>
      <c r="D95" s="1815">
        <f>D94/D106</f>
        <v>65.374974496297952</v>
      </c>
      <c r="E95" s="1815">
        <f t="shared" ref="E95:F95" si="85">E94/E106</f>
        <v>39.784379322292004</v>
      </c>
      <c r="F95" s="1815">
        <f t="shared" si="85"/>
        <v>136.13852346103357</v>
      </c>
      <c r="G95" s="1815">
        <f>G94/G106</f>
        <v>83.180094037794333</v>
      </c>
      <c r="H95" s="1815">
        <f>H94/H106</f>
        <v>82.347412487300389</v>
      </c>
      <c r="I95" s="613">
        <v>70</v>
      </c>
      <c r="J95" s="1099">
        <v>72.5</v>
      </c>
      <c r="K95" s="1099">
        <v>73</v>
      </c>
      <c r="L95" s="1829">
        <v>1</v>
      </c>
    </row>
    <row r="96" spans="1:15" s="64" customFormat="1">
      <c r="A96" s="392" t="s">
        <v>307</v>
      </c>
      <c r="B96" s="1824">
        <f>B99*B5</f>
        <v>0</v>
      </c>
      <c r="C96" s="1824">
        <f>C99*C5</f>
        <v>0</v>
      </c>
      <c r="D96" s="1824">
        <f t="shared" ref="D96:G96" si="86">D99*D107</f>
        <v>18555568</v>
      </c>
      <c r="E96" s="1824">
        <f t="shared" si="86"/>
        <v>15652777.5</v>
      </c>
      <c r="F96" s="1824">
        <f t="shared" si="86"/>
        <v>16728451.5</v>
      </c>
      <c r="G96" s="1824">
        <f t="shared" si="86"/>
        <v>11303890.5</v>
      </c>
      <c r="H96" s="1824">
        <f>H99*H107</f>
        <v>546940</v>
      </c>
      <c r="I96" s="1824">
        <f>I99*I107</f>
        <v>0</v>
      </c>
      <c r="J96" s="1824">
        <f t="shared" ref="J96" si="87">J99*J107</f>
        <v>0</v>
      </c>
      <c r="K96" s="1824">
        <f t="shared" ref="K96" si="88">K99*K107</f>
        <v>0</v>
      </c>
      <c r="L96" s="320"/>
      <c r="M96" s="392"/>
      <c r="N96" s="392"/>
      <c r="O96" s="392"/>
    </row>
    <row r="97" spans="1:15" s="64" customFormat="1">
      <c r="A97" s="1806" t="s">
        <v>308</v>
      </c>
      <c r="B97" s="1824"/>
      <c r="C97" s="1824"/>
      <c r="D97" s="1813">
        <v>57</v>
      </c>
      <c r="E97" s="1813">
        <v>58</v>
      </c>
      <c r="F97" s="1813">
        <v>59</v>
      </c>
      <c r="G97" s="1813">
        <v>64</v>
      </c>
      <c r="H97" s="1813">
        <v>74</v>
      </c>
      <c r="I97" s="1824"/>
      <c r="J97" s="1824"/>
      <c r="K97" s="1824"/>
      <c r="L97" s="320"/>
      <c r="M97" s="392"/>
      <c r="N97" s="392"/>
      <c r="O97" s="392"/>
    </row>
    <row r="98" spans="1:15" s="64" customFormat="1">
      <c r="A98" s="1806" t="s">
        <v>309</v>
      </c>
      <c r="B98" s="1824"/>
      <c r="C98" s="1824"/>
      <c r="D98" s="1813">
        <v>79</v>
      </c>
      <c r="E98" s="1813">
        <v>77</v>
      </c>
      <c r="F98" s="1813">
        <v>82</v>
      </c>
      <c r="G98" s="1813">
        <v>97</v>
      </c>
      <c r="H98" s="1813">
        <v>110</v>
      </c>
      <c r="I98" s="1824"/>
      <c r="J98" s="1824"/>
      <c r="K98" s="1824"/>
      <c r="L98" s="320"/>
      <c r="M98" s="392"/>
      <c r="N98" s="392"/>
      <c r="O98" s="392"/>
    </row>
    <row r="99" spans="1:15">
      <c r="A99" s="320" t="s">
        <v>310</v>
      </c>
      <c r="B99" s="1815"/>
      <c r="C99" s="1815"/>
      <c r="D99" s="1831">
        <f>AVERAGE(D97:D98)</f>
        <v>68</v>
      </c>
      <c r="E99" s="1831">
        <f t="shared" ref="E99" si="89">AVERAGE(E97:E98)</f>
        <v>67.5</v>
      </c>
      <c r="F99" s="1831">
        <f>AVERAGE(F97:F98)</f>
        <v>70.5</v>
      </c>
      <c r="G99" s="1831">
        <f>AVERAGE(G97:G98)</f>
        <v>80.5</v>
      </c>
      <c r="H99" s="1831">
        <f>AVERAGE(H97:H98)</f>
        <v>92</v>
      </c>
      <c r="I99" s="1831">
        <f t="shared" ref="I99:K99" si="90">$L99</f>
        <v>90</v>
      </c>
      <c r="J99" s="1831">
        <f t="shared" si="90"/>
        <v>90</v>
      </c>
      <c r="K99" s="1831">
        <f t="shared" si="90"/>
        <v>90</v>
      </c>
      <c r="L99" s="438">
        <v>90</v>
      </c>
    </row>
    <row r="100" spans="1:15" s="64" customFormat="1">
      <c r="A100" s="392" t="s">
        <v>311</v>
      </c>
      <c r="B100" s="1835"/>
      <c r="C100" s="1835"/>
      <c r="D100" s="1824">
        <f>D103*D104</f>
        <v>5433516</v>
      </c>
      <c r="E100" s="1824">
        <f>E103*E104</f>
        <v>4198392</v>
      </c>
      <c r="F100" s="1824">
        <f t="shared" ref="F100" si="91">F103*F104</f>
        <v>3933745.1999999997</v>
      </c>
      <c r="G100" s="1824">
        <f>G103*G104</f>
        <v>9025698</v>
      </c>
      <c r="H100" s="1824">
        <f>H103*H104</f>
        <v>23906190</v>
      </c>
      <c r="I100" s="1824">
        <f>I103*I104</f>
        <v>31029174</v>
      </c>
      <c r="J100" s="1824">
        <f t="shared" ref="J100" si="92">J103*J104</f>
        <v>34132091.399999999</v>
      </c>
      <c r="K100" s="1824">
        <f t="shared" ref="K100" si="93">K103*K104</f>
        <v>37545300.539999999</v>
      </c>
      <c r="L100" s="320"/>
      <c r="M100" s="392"/>
      <c r="N100" s="392"/>
      <c r="O100" s="392"/>
    </row>
    <row r="101" spans="1:15">
      <c r="A101" s="320" t="s">
        <v>312</v>
      </c>
      <c r="B101" s="1837"/>
      <c r="C101" s="1837"/>
      <c r="D101" s="1831">
        <f>E101</f>
        <v>151326</v>
      </c>
      <c r="E101" s="1837">
        <v>151326</v>
      </c>
      <c r="F101" s="1837">
        <v>148468</v>
      </c>
      <c r="G101" s="1837">
        <v>216614</v>
      </c>
      <c r="H101" s="1837">
        <v>442076</v>
      </c>
      <c r="I101" s="1831">
        <v>550000</v>
      </c>
      <c r="J101" s="1831">
        <f>I101*1.1</f>
        <v>605000</v>
      </c>
      <c r="K101" s="1831">
        <f>J101*1.1</f>
        <v>665500</v>
      </c>
    </row>
    <row r="102" spans="1:15">
      <c r="A102" s="320" t="s">
        <v>313</v>
      </c>
      <c r="B102" s="1854">
        <v>77000</v>
      </c>
      <c r="C102" s="1854">
        <v>68000</v>
      </c>
      <c r="D102" s="1854">
        <v>69000</v>
      </c>
      <c r="E102" s="1837">
        <f>0.886*99000</f>
        <v>87714</v>
      </c>
      <c r="F102" s="1837">
        <f>0.886*100300</f>
        <v>88865.8</v>
      </c>
      <c r="G102" s="1837">
        <v>79861</v>
      </c>
      <c r="H102" s="1831">
        <v>79861</v>
      </c>
      <c r="I102" s="1831">
        <v>79861</v>
      </c>
      <c r="J102" s="1831">
        <f>I102*1.1</f>
        <v>87847.1</v>
      </c>
      <c r="K102" s="1831">
        <f>J102*1.1</f>
        <v>96631.810000000012</v>
      </c>
    </row>
    <row r="103" spans="1:15">
      <c r="A103" s="320" t="s">
        <v>314</v>
      </c>
      <c r="B103" s="1837"/>
      <c r="C103" s="1837"/>
      <c r="D103" s="1815">
        <f t="shared" ref="D103" si="94">D101-D102</f>
        <v>82326</v>
      </c>
      <c r="E103" s="1815">
        <f>E101-E102</f>
        <v>63612</v>
      </c>
      <c r="F103" s="1815">
        <f>F101-F102</f>
        <v>59602.2</v>
      </c>
      <c r="G103" s="1815">
        <f>G101-G102</f>
        <v>136753</v>
      </c>
      <c r="H103" s="1815">
        <f>H101-H102</f>
        <v>362215</v>
      </c>
      <c r="I103" s="1815">
        <f t="shared" ref="I103:J103" si="95">I101-I102</f>
        <v>470139</v>
      </c>
      <c r="J103" s="1815">
        <f t="shared" si="95"/>
        <v>517152.9</v>
      </c>
      <c r="K103" s="1815">
        <f t="shared" ref="K103" si="96">K101-K102</f>
        <v>568868.18999999994</v>
      </c>
      <c r="L103" s="320" t="s">
        <v>315</v>
      </c>
    </row>
    <row r="104" spans="1:15">
      <c r="A104" s="320" t="s">
        <v>316</v>
      </c>
      <c r="B104" s="1838"/>
      <c r="C104" s="1838"/>
      <c r="D104" s="1831">
        <f t="shared" ref="D104:F104" si="97">5.5*12</f>
        <v>66</v>
      </c>
      <c r="E104" s="1839">
        <f t="shared" si="97"/>
        <v>66</v>
      </c>
      <c r="F104" s="1839">
        <f t="shared" si="97"/>
        <v>66</v>
      </c>
      <c r="G104" s="1839">
        <f>5.5*12</f>
        <v>66</v>
      </c>
      <c r="H104" s="1839">
        <f>5.5*12</f>
        <v>66</v>
      </c>
      <c r="I104" s="1839">
        <f t="shared" ref="I104:K104" si="98">5.5*12</f>
        <v>66</v>
      </c>
      <c r="J104" s="1839">
        <f t="shared" si="98"/>
        <v>66</v>
      </c>
      <c r="K104" s="1839">
        <f t="shared" si="98"/>
        <v>66</v>
      </c>
    </row>
    <row r="105" spans="1:15">
      <c r="A105" s="320" t="s">
        <v>273</v>
      </c>
      <c r="B105" s="1813">
        <f>'Capacity Detail'!BU26</f>
        <v>422000</v>
      </c>
      <c r="C105" s="1813">
        <f>'Capacity Detail'!BV26</f>
        <v>355000</v>
      </c>
      <c r="D105" s="1813">
        <f>'Capacity Detail'!BW26</f>
        <v>520687</v>
      </c>
      <c r="E105" s="1813">
        <f>'Capacity Detail'!BX26</f>
        <v>461399</v>
      </c>
      <c r="F105" s="1813">
        <f>'Capacity Detail'!BY26</f>
        <v>426972</v>
      </c>
      <c r="G105" s="1813">
        <f>'Capacity Detail'!BZ26</f>
        <v>747540</v>
      </c>
      <c r="H105" s="1813">
        <f>'Capacity Detail'!CA26</f>
        <v>1863494</v>
      </c>
      <c r="I105" s="1814">
        <f>'Price&amp;Q'!BM48+'Price&amp;Q'!CH46</f>
        <v>3272968.7497859839</v>
      </c>
      <c r="J105" s="1814">
        <f>'Price&amp;Q'!BN48+'Price&amp;Q'!CI46</f>
        <v>4532590.6738067409</v>
      </c>
      <c r="K105" s="1814">
        <f>'Price&amp;Q'!BO48+'Price&amp;Q'!CJ46</f>
        <v>5489139.4435398718</v>
      </c>
    </row>
    <row r="106" spans="1:15">
      <c r="A106" s="320" t="s">
        <v>317</v>
      </c>
      <c r="B106" s="1837"/>
      <c r="C106" s="1837"/>
      <c r="D106" s="1837">
        <v>247811</v>
      </c>
      <c r="E106" s="1837">
        <v>229506</v>
      </c>
      <c r="F106" s="1837">
        <v>189689</v>
      </c>
      <c r="G106" s="1837">
        <v>607119</v>
      </c>
      <c r="H106" s="1837">
        <v>1857549</v>
      </c>
      <c r="I106" s="1814">
        <f>I105</f>
        <v>3272968.7497859839</v>
      </c>
      <c r="J106" s="1814">
        <f>J105</f>
        <v>4532590.6738067409</v>
      </c>
      <c r="K106" s="1814">
        <f>K105</f>
        <v>5489139.4435398718</v>
      </c>
    </row>
    <row r="107" spans="1:15">
      <c r="A107" s="320" t="s">
        <v>318</v>
      </c>
      <c r="D107" s="1815">
        <f t="shared" ref="D107:F107" si="99">D105-D106</f>
        <v>272876</v>
      </c>
      <c r="E107" s="1815">
        <f t="shared" si="99"/>
        <v>231893</v>
      </c>
      <c r="F107" s="1815">
        <f t="shared" si="99"/>
        <v>237283</v>
      </c>
      <c r="G107" s="1815">
        <f>G105-G106</f>
        <v>140421</v>
      </c>
      <c r="H107" s="1815">
        <f>H105-H106</f>
        <v>5945</v>
      </c>
      <c r="I107" s="1815">
        <f>I105-I106</f>
        <v>0</v>
      </c>
      <c r="J107" s="1815">
        <f t="shared" ref="J107" si="100">J105-J106</f>
        <v>0</v>
      </c>
      <c r="K107" s="1815">
        <f t="shared" ref="K107" si="101">K105-K106</f>
        <v>0</v>
      </c>
    </row>
    <row r="108" spans="1:15">
      <c r="A108" s="320" t="s">
        <v>275</v>
      </c>
      <c r="D108" s="1815">
        <f>D85/D105</f>
        <v>111.71492564400494</v>
      </c>
      <c r="E108" s="1815">
        <f>E85/E105</f>
        <v>103.90462902000223</v>
      </c>
      <c r="F108" s="1815">
        <f>F85/F105</f>
        <v>147.10532558762634</v>
      </c>
      <c r="G108" s="1815">
        <f>G85/G105</f>
        <v>124.09232223707093</v>
      </c>
      <c r="H108" s="1815">
        <f>H86/H105</f>
        <v>129.80108672506202</v>
      </c>
      <c r="I108" s="1815">
        <f>I86/I105</f>
        <v>103.79919593441679</v>
      </c>
      <c r="J108" s="1815">
        <f>J86/J105</f>
        <v>102.55586057491688</v>
      </c>
      <c r="K108" s="1815">
        <f>K86/K105</f>
        <v>101.30004780849492</v>
      </c>
    </row>
    <row r="109" spans="1:15">
      <c r="A109" s="320" t="s">
        <v>276</v>
      </c>
      <c r="D109" s="1815">
        <f t="shared" ref="D109:K109" si="102">D90/D105</f>
        <v>24.573232448472698</v>
      </c>
      <c r="E109" s="1815">
        <f t="shared" si="102"/>
        <v>27.489360974900375</v>
      </c>
      <c r="F109" s="1815">
        <f t="shared" si="102"/>
        <v>24.198308085776112</v>
      </c>
      <c r="G109" s="1815">
        <f t="shared" si="102"/>
        <v>21.878404570950497</v>
      </c>
      <c r="H109" s="1815">
        <f t="shared" si="102"/>
        <v>28.737400059919889</v>
      </c>
      <c r="I109" s="1815">
        <f t="shared" si="102"/>
        <v>20.745453730989837</v>
      </c>
      <c r="J109" s="1815">
        <f t="shared" si="102"/>
        <v>19.775411106707786</v>
      </c>
      <c r="K109" s="1815">
        <f t="shared" si="102"/>
        <v>18.885981753915154</v>
      </c>
    </row>
    <row r="110" spans="1:15">
      <c r="A110" s="320" t="s">
        <v>277</v>
      </c>
      <c r="D110" s="1816">
        <f>D109/D108</f>
        <v>0.21996373632990368</v>
      </c>
      <c r="E110" s="1816">
        <f t="shared" ref="E110:K110" si="103">E109/E108</f>
        <v>0.26456339081494162</v>
      </c>
      <c r="F110" s="1816">
        <f t="shared" si="103"/>
        <v>0.16449647889438163</v>
      </c>
      <c r="G110" s="1816">
        <f t="shared" si="103"/>
        <v>0.17630747959694976</v>
      </c>
      <c r="H110" s="1816">
        <f t="shared" si="103"/>
        <v>0.22139568153839859</v>
      </c>
      <c r="I110" s="1816">
        <f t="shared" si="103"/>
        <v>0.19986141071937966</v>
      </c>
      <c r="J110" s="1816">
        <f t="shared" si="103"/>
        <v>0.19282575365121998</v>
      </c>
      <c r="K110" s="1816">
        <f t="shared" si="103"/>
        <v>0.18643605963166576</v>
      </c>
    </row>
    <row r="111" spans="1:15">
      <c r="A111" s="320" t="s">
        <v>278</v>
      </c>
      <c r="D111" s="1815">
        <f>'Earning Forecast'!D81/CA!D105</f>
        <v>137.83492193966816</v>
      </c>
      <c r="E111" s="1815">
        <f>'Earning Forecast'!E81/CA!E105</f>
        <v>129.03653237219848</v>
      </c>
      <c r="F111" s="1815">
        <f>'Earning Forecast'!F81/CA!F105</f>
        <v>191.95143709657776</v>
      </c>
      <c r="G111" s="1815">
        <f>'Earning Forecast'!G81/CA!G105</f>
        <v>146.69376621986783</v>
      </c>
      <c r="H111" s="1815">
        <f>'Earning Forecast'!H81/CA!H105</f>
        <v>164.02481517464017</v>
      </c>
      <c r="I111" s="1815">
        <f>'Earning Forecast'!I81/CA!I105</f>
        <v>131.91427363241434</v>
      </c>
      <c r="J111" s="1815">
        <f>'Earning Forecast'!J81/CA!J105</f>
        <v>131.11431800305112</v>
      </c>
      <c r="K111" s="1815">
        <f>'Earning Forecast'!K81/CA!K105</f>
        <v>130.84697641098785</v>
      </c>
    </row>
    <row r="112" spans="1:15">
      <c r="A112" s="320" t="s">
        <v>279</v>
      </c>
      <c r="D112" s="1840">
        <f t="shared" ref="D112:K112" si="104">D111-D108</f>
        <v>26.119996295663228</v>
      </c>
      <c r="E112" s="1840">
        <f t="shared" si="104"/>
        <v>25.131903352196247</v>
      </c>
      <c r="F112" s="1840">
        <f t="shared" si="104"/>
        <v>44.846111508951424</v>
      </c>
      <c r="G112" s="1840">
        <f t="shared" si="104"/>
        <v>22.601443982796894</v>
      </c>
      <c r="H112" s="1840">
        <f t="shared" si="104"/>
        <v>34.223728449578147</v>
      </c>
      <c r="I112" s="1840">
        <f t="shared" si="104"/>
        <v>28.115077697997549</v>
      </c>
      <c r="J112" s="1840">
        <f t="shared" si="104"/>
        <v>28.558457428134247</v>
      </c>
      <c r="K112" s="1840">
        <f t="shared" si="104"/>
        <v>29.546928602492926</v>
      </c>
    </row>
    <row r="113" spans="1:12">
      <c r="A113" s="320" t="s">
        <v>280</v>
      </c>
      <c r="E113" s="1840"/>
      <c r="F113" s="1841">
        <f t="shared" ref="F113:K113" si="105">F112/F111</f>
        <v>0.2336325905514722</v>
      </c>
      <c r="G113" s="1841">
        <f t="shared" si="105"/>
        <v>0.15407228654093832</v>
      </c>
      <c r="H113" s="1841">
        <f t="shared" si="105"/>
        <v>0.20864969982218562</v>
      </c>
      <c r="I113" s="1841">
        <f t="shared" si="105"/>
        <v>0.21313142940347463</v>
      </c>
      <c r="J113" s="1841">
        <f t="shared" si="105"/>
        <v>0.2178134155223968</v>
      </c>
      <c r="K113" s="1841">
        <f t="shared" si="105"/>
        <v>0.225812849581534</v>
      </c>
    </row>
    <row r="114" spans="1:12">
      <c r="E114" s="1840"/>
      <c r="F114" s="1841"/>
      <c r="G114" s="1841"/>
      <c r="H114" s="1841"/>
      <c r="I114" s="1841"/>
      <c r="J114" s="1841"/>
      <c r="K114" s="1841"/>
    </row>
    <row r="115" spans="1:12">
      <c r="E115" s="1840"/>
      <c r="F115" s="1841"/>
      <c r="G115" s="1841"/>
      <c r="H115" s="1841"/>
      <c r="I115" s="1841"/>
      <c r="J115" s="1841"/>
      <c r="K115" s="1841"/>
    </row>
    <row r="116" spans="1:12" ht="15.5">
      <c r="A116" s="318" t="s">
        <v>57</v>
      </c>
      <c r="E116" s="1840"/>
      <c r="F116" s="1841"/>
      <c r="G116" s="1137"/>
      <c r="H116" s="1841"/>
      <c r="I116" s="1841"/>
      <c r="J116" s="1841"/>
      <c r="K116" s="1841"/>
    </row>
    <row r="117" spans="1:12" ht="14.5">
      <c r="A117" s="319" t="s">
        <v>319</v>
      </c>
      <c r="E117" s="1840"/>
      <c r="F117" s="1841"/>
      <c r="G117" s="1841"/>
      <c r="H117" s="1841"/>
      <c r="I117" s="1841"/>
      <c r="J117" s="1841"/>
      <c r="K117" s="1841"/>
    </row>
    <row r="118" spans="1:12">
      <c r="A118" s="320" t="s">
        <v>299</v>
      </c>
      <c r="D118" s="411">
        <f>'Fin Sta as rep'!C914+'Fin Sta as rep'!C917</f>
        <v>4856627</v>
      </c>
      <c r="E118" s="411">
        <f>'Fin Sta as rep'!D914+'Fin Sta as rep'!D917</f>
        <v>5534586</v>
      </c>
      <c r="F118" s="411">
        <f>'Fin Sta as rep'!E914+'Fin Sta as rep'!E917</f>
        <v>4996841</v>
      </c>
      <c r="G118" s="411">
        <f>'Fin Sta as rep'!F914+'Fin Sta as rep'!F917</f>
        <v>7399516</v>
      </c>
      <c r="H118" s="411">
        <f>'Fin Sta as rep'!G914+'Fin Sta as rep'!G917</f>
        <v>15658666</v>
      </c>
      <c r="I118" s="411">
        <f>'Model 22A NIO '!G44</f>
        <v>23900663</v>
      </c>
      <c r="J118" s="411">
        <f>'Model 22A NIO '!H44</f>
        <v>36812082.593306467</v>
      </c>
      <c r="K118" s="411">
        <f>'Model 22A NIO '!I44</f>
        <v>53792795.867196418</v>
      </c>
    </row>
    <row r="119" spans="1:12">
      <c r="A119" s="320" t="s">
        <v>224</v>
      </c>
      <c r="C119" s="1855">
        <f>-'Fin Sta as rep'!I961</f>
        <v>221428</v>
      </c>
      <c r="D119" s="1855">
        <f>-'Fin Sta as rep'!J961</f>
        <v>677829</v>
      </c>
      <c r="E119" s="1855">
        <f>-'Fin Sta as rep'!K961</f>
        <v>1548977</v>
      </c>
      <c r="F119" s="1855">
        <f>-'Fin Sta as rep'!L961</f>
        <v>2470028</v>
      </c>
      <c r="G119" s="1855">
        <f>-'Fin Sta as rep'!M961</f>
        <v>4178047</v>
      </c>
      <c r="H119" s="1855">
        <f>-'Fin Sta as rep'!N961</f>
        <v>7030362</v>
      </c>
      <c r="I119" s="1178">
        <f>H119+I121</f>
        <v>10630198.885278616</v>
      </c>
      <c r="J119" s="1178">
        <f>I119+J121</f>
        <v>14862030.688155301</v>
      </c>
      <c r="K119" s="1178">
        <f>J119+K121</f>
        <v>20240453.338918269</v>
      </c>
    </row>
    <row r="120" spans="1:12">
      <c r="A120" s="320" t="s">
        <v>300</v>
      </c>
      <c r="D120" s="1178">
        <f t="shared" ref="D120:I120" si="106">D118+D119</f>
        <v>5534456</v>
      </c>
      <c r="E120" s="1178">
        <f t="shared" si="106"/>
        <v>7083563</v>
      </c>
      <c r="F120" s="1178">
        <f t="shared" si="106"/>
        <v>7466869</v>
      </c>
      <c r="G120" s="1178">
        <f t="shared" si="106"/>
        <v>11577563</v>
      </c>
      <c r="H120" s="1178">
        <f t="shared" si="106"/>
        <v>22689028</v>
      </c>
      <c r="I120" s="1178">
        <f t="shared" si="106"/>
        <v>34530861.885278612</v>
      </c>
      <c r="J120" s="1178">
        <f>J118+J119</f>
        <v>51674113.281461768</v>
      </c>
      <c r="K120" s="1178">
        <f>K118+K119</f>
        <v>74033249.20611468</v>
      </c>
    </row>
    <row r="121" spans="1:12">
      <c r="A121" s="320" t="s">
        <v>227</v>
      </c>
      <c r="D121" s="411">
        <f>D119-C119</f>
        <v>456401</v>
      </c>
      <c r="E121" s="411">
        <f>E119-D119</f>
        <v>871148</v>
      </c>
      <c r="F121" s="411">
        <f>F119-E119</f>
        <v>921051</v>
      </c>
      <c r="G121" s="411">
        <f>G119-F119</f>
        <v>1708019</v>
      </c>
      <c r="H121" s="411">
        <f>H119-G119</f>
        <v>2852315</v>
      </c>
      <c r="I121" s="411">
        <f>'Model 22A NIO '!G76</f>
        <v>3599836.8852786166</v>
      </c>
      <c r="J121" s="411">
        <f>'Model 22A NIO '!H76</f>
        <v>4231831.8028766848</v>
      </c>
      <c r="K121" s="411">
        <f>'Model 22A NIO '!I76</f>
        <v>5378422.6507629668</v>
      </c>
    </row>
    <row r="122" spans="1:12">
      <c r="A122" s="320" t="s">
        <v>228</v>
      </c>
      <c r="D122" s="437">
        <f t="shared" ref="D122:H122" si="107">D121/D120</f>
        <v>8.2465376904252194E-2</v>
      </c>
      <c r="E122" s="437">
        <f t="shared" si="107"/>
        <v>0.12298161250206993</v>
      </c>
      <c r="F122" s="437">
        <f t="shared" si="107"/>
        <v>0.12335170203200298</v>
      </c>
      <c r="G122" s="437">
        <f t="shared" si="107"/>
        <v>0.14752837017600337</v>
      </c>
      <c r="H122" s="437">
        <f t="shared" si="107"/>
        <v>0.12571340649762519</v>
      </c>
      <c r="I122" s="437">
        <f>I121/I120</f>
        <v>0.10424984169924004</v>
      </c>
      <c r="J122" s="437">
        <f>J121/J120</f>
        <v>8.189461868124337E-2</v>
      </c>
      <c r="K122" s="437">
        <f>K121/K120</f>
        <v>7.2648745103554679E-2</v>
      </c>
    </row>
    <row r="123" spans="1:12">
      <c r="A123" s="1806" t="s">
        <v>231</v>
      </c>
      <c r="D123" s="411">
        <f>'Earning Forecast'!D215</f>
        <v>4930135</v>
      </c>
      <c r="E123" s="411">
        <f>'Earning Forecast'!E215</f>
        <v>8096035</v>
      </c>
      <c r="F123" s="411">
        <f>'Earning Forecast'!F215</f>
        <v>13255770</v>
      </c>
      <c r="G123" s="411">
        <f>'Earning Forecast'!G215</f>
        <v>26516643</v>
      </c>
      <c r="H123" s="411">
        <f>'Earning Forecast'!H215</f>
        <v>39271801</v>
      </c>
      <c r="I123" s="1841"/>
      <c r="J123" s="1841"/>
      <c r="K123" s="1841"/>
    </row>
    <row r="124" spans="1:12">
      <c r="A124" s="392" t="s">
        <v>287</v>
      </c>
      <c r="D124" s="1178">
        <f>D125+D127</f>
        <v>456401</v>
      </c>
      <c r="E124" s="1178">
        <f t="shared" ref="E124:H124" si="108">E125+E127</f>
        <v>871148</v>
      </c>
      <c r="F124" s="1178">
        <f t="shared" si="108"/>
        <v>13255770</v>
      </c>
      <c r="G124" s="1178">
        <f t="shared" si="108"/>
        <v>26516643</v>
      </c>
      <c r="H124" s="1178">
        <f t="shared" si="108"/>
        <v>39271801</v>
      </c>
      <c r="I124" s="1867">
        <f>I125+I127</f>
        <v>43978917.074891157</v>
      </c>
      <c r="J124" s="1867">
        <f>J125+J127</f>
        <v>58445282.09503682</v>
      </c>
      <c r="K124" s="1867">
        <f>K125+K127</f>
        <v>73582190.722301513</v>
      </c>
    </row>
    <row r="125" spans="1:12">
      <c r="A125" s="392" t="s">
        <v>234</v>
      </c>
      <c r="D125" s="411">
        <f t="shared" ref="D125:J125" si="109">D121</f>
        <v>456401</v>
      </c>
      <c r="E125" s="411">
        <f t="shared" si="109"/>
        <v>871148</v>
      </c>
      <c r="F125" s="411">
        <f t="shared" si="109"/>
        <v>921051</v>
      </c>
      <c r="G125" s="411">
        <f t="shared" si="109"/>
        <v>1708019</v>
      </c>
      <c r="H125" s="411">
        <f t="shared" si="109"/>
        <v>2852315</v>
      </c>
      <c r="I125" s="411">
        <f>I121</f>
        <v>3599836.8852786166</v>
      </c>
      <c r="J125" s="411">
        <f t="shared" si="109"/>
        <v>4231831.8028766848</v>
      </c>
      <c r="K125" s="411">
        <f t="shared" ref="K125" si="110">K121</f>
        <v>5378422.6507629668</v>
      </c>
    </row>
    <row r="126" spans="1:12">
      <c r="A126" s="392" t="s">
        <v>320</v>
      </c>
      <c r="D126" s="411"/>
      <c r="E126" s="411"/>
      <c r="F126" s="437">
        <f t="shared" ref="F126:J126" si="111">F125/F124</f>
        <v>6.9483025127925424E-2</v>
      </c>
      <c r="G126" s="437">
        <f t="shared" si="111"/>
        <v>6.4413093316525782E-2</v>
      </c>
      <c r="H126" s="437">
        <f t="shared" si="111"/>
        <v>7.2630104231787077E-2</v>
      </c>
      <c r="I126" s="437">
        <f t="shared" si="111"/>
        <v>8.185369546841044E-2</v>
      </c>
      <c r="J126" s="437">
        <f t="shared" si="111"/>
        <v>7.2406730726277943E-2</v>
      </c>
      <c r="K126" s="437">
        <f t="shared" ref="K126" si="112">K125/K124</f>
        <v>7.3094081570105496E-2</v>
      </c>
    </row>
    <row r="127" spans="1:12">
      <c r="A127" s="392" t="s">
        <v>236</v>
      </c>
      <c r="D127" s="1178">
        <f>D128+D132+D135</f>
        <v>0</v>
      </c>
      <c r="E127" s="1178">
        <f t="shared" ref="E127:H127" si="113">E128+E132+E135</f>
        <v>0</v>
      </c>
      <c r="F127" s="1178">
        <f>F128+F132+F135</f>
        <v>12334719</v>
      </c>
      <c r="G127" s="1178">
        <f>G128+G132+G135</f>
        <v>24808624</v>
      </c>
      <c r="H127" s="1178">
        <f t="shared" si="113"/>
        <v>36419486</v>
      </c>
      <c r="I127" s="1178">
        <f>I128+I132+I135</f>
        <v>40379080.189612538</v>
      </c>
      <c r="J127" s="1178">
        <f>J128+J132+J135</f>
        <v>54213450.292160138</v>
      </c>
      <c r="K127" s="1178">
        <f>K128+K132+K135</f>
        <v>68203768.071538553</v>
      </c>
    </row>
    <row r="128" spans="1:12">
      <c r="A128" s="392" t="s">
        <v>321</v>
      </c>
      <c r="D128" s="1855"/>
      <c r="E128" s="1178"/>
      <c r="F128" s="1867"/>
      <c r="G128" s="1178">
        <f>G131/1000*G130*1000000</f>
        <v>5439660.984491474</v>
      </c>
      <c r="H128" s="1178">
        <f>H131/1000*H130*1000000</f>
        <v>7597277.2499999991</v>
      </c>
      <c r="I128" s="1178">
        <f>I131/1000*I130*1000000</f>
        <v>7635948.681668641</v>
      </c>
      <c r="J128" s="1178">
        <f>J131/1000*J130*1000000</f>
        <v>10904932.175648794</v>
      </c>
      <c r="K128" s="1178">
        <f>K131/1000*K130*1000000</f>
        <v>14193005.733820606</v>
      </c>
      <c r="L128" s="1873"/>
    </row>
    <row r="129" spans="1:12">
      <c r="A129" s="392" t="s">
        <v>322</v>
      </c>
      <c r="D129" s="1855"/>
      <c r="E129" s="1178"/>
      <c r="F129" s="437">
        <f t="shared" ref="F129:J129" si="114">F128/F124</f>
        <v>0</v>
      </c>
      <c r="G129" s="437">
        <f t="shared" si="114"/>
        <v>0.20514138929620443</v>
      </c>
      <c r="H129" s="437">
        <f t="shared" si="114"/>
        <v>0.19345375196823794</v>
      </c>
      <c r="I129" s="437">
        <f t="shared" si="114"/>
        <v>0.17362748311117979</v>
      </c>
      <c r="J129" s="437">
        <f t="shared" si="114"/>
        <v>0.18658361778315108</v>
      </c>
      <c r="K129" s="437">
        <f t="shared" ref="K129" si="115">K128/K124</f>
        <v>0.19288642529528477</v>
      </c>
    </row>
    <row r="130" spans="1:12">
      <c r="A130" s="320" t="s">
        <v>242</v>
      </c>
      <c r="D130" s="1855"/>
      <c r="E130" s="1178"/>
      <c r="F130" s="411">
        <f>'Price&amp;Q'!DD65</f>
        <v>0</v>
      </c>
      <c r="G130" s="411">
        <f>'Price&amp;Q'!DE65</f>
        <v>6.9391499999999988</v>
      </c>
      <c r="H130" s="411">
        <f>'Price&amp;Q'!DF65</f>
        <v>9.2876250000000002</v>
      </c>
      <c r="I130" s="411">
        <f>'Price&amp;Q'!DG65</f>
        <v>11.693642697808027</v>
      </c>
      <c r="J130" s="411">
        <f>'Price&amp;Q'!DH65</f>
        <v>17.578676836703139</v>
      </c>
      <c r="K130" s="411">
        <f>'Price&amp;Q'!DI65</f>
        <v>24.08318857999619</v>
      </c>
    </row>
    <row r="131" spans="1:12">
      <c r="A131" s="1806" t="s">
        <v>323</v>
      </c>
      <c r="D131" s="1855"/>
      <c r="E131" s="1178"/>
      <c r="F131" s="411">
        <f t="shared" ref="F131:K131" si="116">F92</f>
        <v>886.97010123734538</v>
      </c>
      <c r="G131" s="411">
        <f t="shared" si="116"/>
        <v>783.90883386170856</v>
      </c>
      <c r="H131" s="411">
        <f t="shared" si="116"/>
        <v>818</v>
      </c>
      <c r="I131" s="411">
        <f t="shared" si="116"/>
        <v>653</v>
      </c>
      <c r="J131" s="411">
        <f t="shared" si="116"/>
        <v>620.35</v>
      </c>
      <c r="K131" s="411">
        <f t="shared" si="116"/>
        <v>589.33249999999998</v>
      </c>
      <c r="L131" s="1856"/>
    </row>
    <row r="132" spans="1:12">
      <c r="A132" s="392" t="s">
        <v>324</v>
      </c>
      <c r="D132" s="1855"/>
      <c r="E132" s="1178"/>
      <c r="F132" s="1855">
        <v>531565</v>
      </c>
      <c r="G132" s="1855">
        <v>715118</v>
      </c>
      <c r="H132" s="1855">
        <v>1126523</v>
      </c>
      <c r="I132" s="1178">
        <f>I133*I134*1000</f>
        <v>1066294.9888090957</v>
      </c>
      <c r="J132" s="1178">
        <f t="shared" ref="J132:K132" si="117">J133*J134*1000</f>
        <v>0</v>
      </c>
      <c r="K132" s="1178">
        <f t="shared" si="117"/>
        <v>0</v>
      </c>
    </row>
    <row r="133" spans="1:12">
      <c r="A133" s="320" t="s">
        <v>325</v>
      </c>
      <c r="D133" s="1855"/>
      <c r="E133" s="1178"/>
      <c r="F133" s="1178"/>
      <c r="G133" s="1855">
        <f>H133/(1+46.2%)</f>
        <v>92.886456908344741</v>
      </c>
      <c r="H133" s="1855">
        <v>135.80000000000001</v>
      </c>
      <c r="I133" s="1857">
        <f>136-136*1.96%</f>
        <v>133.33439999999999</v>
      </c>
      <c r="J133" s="1178"/>
      <c r="K133" s="1178"/>
    </row>
    <row r="134" spans="1:12">
      <c r="A134" s="320" t="s">
        <v>326</v>
      </c>
      <c r="D134" s="1855"/>
      <c r="E134" s="1178"/>
      <c r="F134" s="1178"/>
      <c r="G134" s="1858">
        <f>G132/G133/1000</f>
        <v>7.6988403240058902</v>
      </c>
      <c r="H134" s="1858">
        <f>H132/H133/1000</f>
        <v>8.2954565537555229</v>
      </c>
      <c r="I134" s="1859">
        <f>AVERAGE(G134:H134)</f>
        <v>7.997148438880707</v>
      </c>
      <c r="J134" s="1841"/>
      <c r="K134" s="1841"/>
      <c r="L134" s="1860" t="s">
        <v>285</v>
      </c>
    </row>
    <row r="135" spans="1:12">
      <c r="A135" s="392" t="s">
        <v>327</v>
      </c>
      <c r="D135" s="1855"/>
      <c r="E135" s="1178"/>
      <c r="F135" s="1178">
        <f>F123-F125-F128-F132</f>
        <v>11803154</v>
      </c>
      <c r="G135" s="1178">
        <f>G123-G125-G128-G132</f>
        <v>18653845.015508525</v>
      </c>
      <c r="H135" s="1178">
        <f>H123-H125-H128-H132</f>
        <v>27695685.75</v>
      </c>
      <c r="I135" s="1178">
        <f>(I137+I140+I143+I147+I150)*I151/1000</f>
        <v>31676836.519134801</v>
      </c>
      <c r="J135" s="1178">
        <f>(J137+J140+J143+J147+J150)*J151/1000</f>
        <v>43308518.116511345</v>
      </c>
      <c r="K135" s="1178">
        <f>(K137+K140+K143+K147+K150)*K151/1000</f>
        <v>54010762.33771795</v>
      </c>
    </row>
    <row r="136" spans="1:12">
      <c r="A136" s="320" t="s">
        <v>306</v>
      </c>
      <c r="D136" s="1855"/>
      <c r="E136" s="1178"/>
      <c r="F136" s="1861">
        <f>F135/F151</f>
        <v>269.92210940358581</v>
      </c>
      <c r="G136" s="1861">
        <f>G135/G151</f>
        <v>201.61523762465711</v>
      </c>
      <c r="H136" s="1861">
        <f>H135/H151</f>
        <v>223.64990309686277</v>
      </c>
      <c r="I136" s="1862">
        <f>H136*0.95</f>
        <v>212.46740794201963</v>
      </c>
      <c r="J136" s="1862">
        <f>I136*0.95</f>
        <v>201.84403754491865</v>
      </c>
      <c r="K136" s="1862">
        <f>J136*0.95</f>
        <v>191.75183566767271</v>
      </c>
      <c r="L136" s="1863">
        <v>0.95</v>
      </c>
    </row>
    <row r="137" spans="1:12">
      <c r="A137" s="392" t="s">
        <v>328</v>
      </c>
      <c r="D137" s="1855"/>
      <c r="E137" s="1178"/>
      <c r="F137" s="1007">
        <f>F138*F139</f>
        <v>6925.2077562326886</v>
      </c>
      <c r="G137" s="1007">
        <f t="shared" ref="G137:K137" si="118">G138*G139</f>
        <v>6578.9473684210534</v>
      </c>
      <c r="H137" s="1007">
        <f t="shared" si="118"/>
        <v>6250</v>
      </c>
      <c r="I137" s="1007">
        <f>I138*I139</f>
        <v>5937.5</v>
      </c>
      <c r="J137" s="1007">
        <f t="shared" si="118"/>
        <v>5640.625</v>
      </c>
      <c r="K137" s="1007">
        <f t="shared" si="118"/>
        <v>5358.59375</v>
      </c>
      <c r="L137" s="1863"/>
    </row>
    <row r="138" spans="1:12">
      <c r="A138" s="320" t="s">
        <v>329</v>
      </c>
      <c r="D138" s="1855"/>
      <c r="E138" s="1178"/>
      <c r="F138" s="1864">
        <v>5</v>
      </c>
      <c r="G138" s="1864">
        <v>5</v>
      </c>
      <c r="H138" s="1864">
        <v>5</v>
      </c>
      <c r="I138" s="1864">
        <v>5</v>
      </c>
      <c r="J138" s="1864">
        <v>5</v>
      </c>
      <c r="K138" s="1864">
        <v>5</v>
      </c>
      <c r="L138" s="1863"/>
    </row>
    <row r="139" spans="1:12">
      <c r="A139" s="1806" t="s">
        <v>330</v>
      </c>
      <c r="D139" s="1855"/>
      <c r="E139" s="1178"/>
      <c r="F139" s="546">
        <f>G139/0.95</f>
        <v>1385.0415512465377</v>
      </c>
      <c r="G139" s="546">
        <f>H139/0.95</f>
        <v>1315.7894736842106</v>
      </c>
      <c r="H139" s="546">
        <f>H310</f>
        <v>1250</v>
      </c>
      <c r="I139" s="546">
        <f t="shared" ref="I139:K139" si="119">I310</f>
        <v>1187.5</v>
      </c>
      <c r="J139" s="546">
        <f t="shared" si="119"/>
        <v>1128.125</v>
      </c>
      <c r="K139" s="546">
        <f t="shared" si="119"/>
        <v>1071.71875</v>
      </c>
      <c r="L139" s="1863">
        <v>0.95</v>
      </c>
    </row>
    <row r="140" spans="1:12">
      <c r="A140" s="392" t="s">
        <v>331</v>
      </c>
      <c r="D140" s="1855"/>
      <c r="E140" s="1178"/>
      <c r="F140" s="1007">
        <f>F141*F142</f>
        <v>318.75750221687309</v>
      </c>
      <c r="G140" s="1007">
        <f t="shared" ref="G140:K140" si="120">G141*G142</f>
        <v>312.69129116820977</v>
      </c>
      <c r="H140" s="1007">
        <f t="shared" si="120"/>
        <v>306.74052498352927</v>
      </c>
      <c r="I140" s="1007">
        <f>I141*I142</f>
        <v>306.74052498352927</v>
      </c>
      <c r="J140" s="1007">
        <f t="shared" si="120"/>
        <v>306.74052498352927</v>
      </c>
      <c r="K140" s="1007">
        <f t="shared" si="120"/>
        <v>306.74052498352927</v>
      </c>
      <c r="L140" s="477" t="s">
        <v>332</v>
      </c>
    </row>
    <row r="141" spans="1:12">
      <c r="A141" s="320" t="s">
        <v>333</v>
      </c>
      <c r="D141" s="1855"/>
      <c r="E141" s="1178"/>
      <c r="F141" s="1864">
        <v>12</v>
      </c>
      <c r="G141" s="1864">
        <v>12</v>
      </c>
      <c r="H141" s="1864">
        <v>12</v>
      </c>
      <c r="I141" s="1864">
        <v>12</v>
      </c>
      <c r="J141" s="1864">
        <v>12</v>
      </c>
      <c r="K141" s="1864">
        <v>12</v>
      </c>
      <c r="L141" s="1863"/>
    </row>
    <row r="142" spans="1:12">
      <c r="A142" s="1806" t="s">
        <v>334</v>
      </c>
      <c r="D142" s="1855"/>
      <c r="E142" s="1178"/>
      <c r="F142" s="1869">
        <f>F377/0.9</f>
        <v>26.563125184739423</v>
      </c>
      <c r="G142" s="1869">
        <f>G377/0.9</f>
        <v>26.057607597350813</v>
      </c>
      <c r="H142" s="1869">
        <f>H377/0.9</f>
        <v>25.561710415294105</v>
      </c>
      <c r="I142" s="1869">
        <f t="shared" ref="I142:K142" si="121">I377/0.9</f>
        <v>25.561710415294105</v>
      </c>
      <c r="J142" s="1869">
        <f t="shared" si="121"/>
        <v>25.561710415294105</v>
      </c>
      <c r="K142" s="1869">
        <f t="shared" si="121"/>
        <v>25.561710415294105</v>
      </c>
      <c r="L142" s="1863"/>
    </row>
    <row r="143" spans="1:12">
      <c r="A143" s="392" t="s">
        <v>335</v>
      </c>
      <c r="D143" s="1855"/>
      <c r="E143" s="1178"/>
      <c r="F143" s="1916">
        <f>F144*F145</f>
        <v>5087.516557948351</v>
      </c>
      <c r="G143" s="1916">
        <f t="shared" ref="G143:K143" si="122">G144*G145</f>
        <v>4833.1407300509336</v>
      </c>
      <c r="H143" s="1916">
        <f t="shared" si="122"/>
        <v>4591.4836935483872</v>
      </c>
      <c r="I143" s="1916">
        <f t="shared" si="122"/>
        <v>4361.9095088709682</v>
      </c>
      <c r="J143" s="1916">
        <f t="shared" si="122"/>
        <v>4143.8140334274194</v>
      </c>
      <c r="K143" s="1916">
        <f t="shared" si="122"/>
        <v>3936.6233317560482</v>
      </c>
      <c r="L143" s="1863"/>
    </row>
    <row r="144" spans="1:12">
      <c r="A144" s="320" t="s">
        <v>333</v>
      </c>
      <c r="D144" s="1855"/>
      <c r="E144" s="1178"/>
      <c r="F144" s="1864">
        <v>1</v>
      </c>
      <c r="G144" s="1864">
        <v>1</v>
      </c>
      <c r="H144" s="1864">
        <v>1</v>
      </c>
      <c r="I144" s="1864">
        <v>1</v>
      </c>
      <c r="J144" s="1864">
        <v>1</v>
      </c>
      <c r="K144" s="1864">
        <v>1</v>
      </c>
      <c r="L144" s="1865" t="s">
        <v>336</v>
      </c>
    </row>
    <row r="145" spans="1:13">
      <c r="A145" s="1806" t="s">
        <v>337</v>
      </c>
      <c r="D145" s="1855"/>
      <c r="E145" s="1178"/>
      <c r="F145" s="1007">
        <f>F146*0.9</f>
        <v>5087.516557948351</v>
      </c>
      <c r="G145" s="1007">
        <f t="shared" ref="G145:K145" si="123">G146*0.9</f>
        <v>4833.1407300509336</v>
      </c>
      <c r="H145" s="1007">
        <f t="shared" si="123"/>
        <v>4591.4836935483872</v>
      </c>
      <c r="I145" s="1007">
        <f t="shared" si="123"/>
        <v>4361.9095088709682</v>
      </c>
      <c r="J145" s="1007">
        <f t="shared" si="123"/>
        <v>4143.8140334274194</v>
      </c>
      <c r="K145" s="1007">
        <f t="shared" si="123"/>
        <v>3936.6233317560482</v>
      </c>
      <c r="L145" s="1863">
        <v>0.9</v>
      </c>
      <c r="M145" s="1865" t="s">
        <v>338</v>
      </c>
    </row>
    <row r="146" spans="1:13">
      <c r="A146" s="1806" t="s">
        <v>339</v>
      </c>
      <c r="F146" s="1840">
        <f>G146/0.95</f>
        <v>5652.7961754981679</v>
      </c>
      <c r="G146" s="1840">
        <f>H146/0.95</f>
        <v>5370.1563667232595</v>
      </c>
      <c r="H146" s="1840">
        <f>1202670000*26.3%/62000</f>
        <v>5101.6485483870965</v>
      </c>
      <c r="I146" s="1007">
        <f>H146*0.95</f>
        <v>4846.5661209677419</v>
      </c>
      <c r="J146" s="1007">
        <f t="shared" ref="J146:K146" si="124">I146*0.95</f>
        <v>4604.2378149193546</v>
      </c>
      <c r="K146" s="1007">
        <f t="shared" si="124"/>
        <v>4374.0259241733866</v>
      </c>
      <c r="L146" s="1863">
        <v>0.95</v>
      </c>
    </row>
    <row r="147" spans="1:13">
      <c r="A147" s="392" t="s">
        <v>340</v>
      </c>
      <c r="D147" s="1855"/>
      <c r="E147" s="1178"/>
      <c r="F147" s="1916">
        <f>F148*F149</f>
        <v>13892.16</v>
      </c>
      <c r="G147" s="1916">
        <f>G148*G149</f>
        <v>13892.16</v>
      </c>
      <c r="H147" s="1916">
        <f t="shared" ref="H147:K147" si="125">H148*H149</f>
        <v>13892.16</v>
      </c>
      <c r="I147" s="1916">
        <f>I148*I149</f>
        <v>13812.32</v>
      </c>
      <c r="J147" s="1916">
        <f t="shared" si="125"/>
        <v>13812.32</v>
      </c>
      <c r="K147" s="1916">
        <f t="shared" si="125"/>
        <v>13812.32</v>
      </c>
      <c r="L147" s="1863"/>
    </row>
    <row r="148" spans="1:13">
      <c r="A148" s="320" t="s">
        <v>341</v>
      </c>
      <c r="D148" s="1855"/>
      <c r="E148" s="1178"/>
      <c r="F148" s="1864">
        <v>4</v>
      </c>
      <c r="G148" s="1864">
        <v>4</v>
      </c>
      <c r="H148" s="1864">
        <v>4</v>
      </c>
      <c r="I148" s="1864">
        <v>4</v>
      </c>
      <c r="J148" s="1864">
        <v>4</v>
      </c>
      <c r="K148" s="1864">
        <v>4</v>
      </c>
      <c r="L148" s="1863"/>
    </row>
    <row r="149" spans="1:13">
      <c r="A149" s="1806" t="s">
        <v>342</v>
      </c>
      <c r="D149" s="1855"/>
      <c r="E149" s="1178"/>
      <c r="F149" s="546">
        <f>G149</f>
        <v>3473.04</v>
      </c>
      <c r="G149" s="546">
        <f>H149</f>
        <v>3473.04</v>
      </c>
      <c r="H149" s="546">
        <f>H363</f>
        <v>3473.04</v>
      </c>
      <c r="I149" s="546">
        <f t="shared" ref="I149:K149" si="126">I363</f>
        <v>3453.08</v>
      </c>
      <c r="J149" s="546">
        <f t="shared" si="126"/>
        <v>3453.08</v>
      </c>
      <c r="K149" s="546">
        <f t="shared" si="126"/>
        <v>3453.08</v>
      </c>
      <c r="L149" s="1863"/>
    </row>
    <row r="150" spans="1:13">
      <c r="A150" s="392" t="s">
        <v>343</v>
      </c>
      <c r="D150" s="1855"/>
      <c r="E150" s="1178"/>
      <c r="F150" s="1868">
        <f>F135/F151*1000-F137-F140-F143-F147</f>
        <v>243698.46758718789</v>
      </c>
      <c r="G150" s="1840">
        <f>G135/G151*1000-G137-G140-G143-G147</f>
        <v>175998.29823501687</v>
      </c>
      <c r="H150" s="1840">
        <f>H135/H151*1000-H137-H140-H143-H147</f>
        <v>198609.51887833085</v>
      </c>
      <c r="I150" s="1928">
        <f>H150*$L$150</f>
        <v>178748.56699049778</v>
      </c>
      <c r="J150" s="1928">
        <f t="shared" ref="J150:K150" si="127">I150*$L$150</f>
        <v>160873.71029144802</v>
      </c>
      <c r="K150" s="1928">
        <f t="shared" si="127"/>
        <v>144786.33926230323</v>
      </c>
      <c r="L150" s="1863">
        <v>0.9</v>
      </c>
    </row>
    <row r="151" spans="1:13">
      <c r="A151" s="320" t="s">
        <v>344</v>
      </c>
      <c r="E151" s="1866"/>
      <c r="F151" s="1178">
        <f>'Price&amp;Q'!CL65</f>
        <v>43728</v>
      </c>
      <c r="G151" s="1178">
        <f>'Price&amp;Q'!CM65</f>
        <v>92522</v>
      </c>
      <c r="H151" s="1178">
        <f>'Price&amp;Q'!CN65</f>
        <v>123835</v>
      </c>
      <c r="I151" s="1178">
        <f>'Price&amp;Q'!CO65</f>
        <v>155915.23597077368</v>
      </c>
      <c r="J151" s="1178">
        <f>'Price&amp;Q'!CP65</f>
        <v>234382.35782270852</v>
      </c>
      <c r="K151" s="1178">
        <f>'Price&amp;Q'!CQ65</f>
        <v>321109.18106661586</v>
      </c>
    </row>
    <row r="152" spans="1:13">
      <c r="A152" s="320" t="s">
        <v>275</v>
      </c>
      <c r="E152" s="1927"/>
      <c r="F152" s="1178">
        <f>F123/F151</f>
        <v>303.1414654226125</v>
      </c>
      <c r="G152" s="1178">
        <f>G123/G151</f>
        <v>286.59824690343919</v>
      </c>
      <c r="H152" s="1178">
        <f>H123/H151</f>
        <v>317.13006016069772</v>
      </c>
      <c r="I152" s="1178">
        <f>I124/I151</f>
        <v>282.0694000882313</v>
      </c>
      <c r="J152" s="1178">
        <f>J124/J151</f>
        <v>249.35870872689998</v>
      </c>
      <c r="K152" s="1178">
        <f>K124/K151</f>
        <v>229.15006814157857</v>
      </c>
    </row>
    <row r="153" spans="1:13">
      <c r="A153" s="320" t="s">
        <v>276</v>
      </c>
      <c r="E153" s="392"/>
      <c r="F153" s="1867">
        <f t="shared" ref="F153:K153" si="128">F128/F151</f>
        <v>0</v>
      </c>
      <c r="G153" s="1178">
        <f t="shared" si="128"/>
        <v>58.793162539628135</v>
      </c>
      <c r="H153" s="1178">
        <f t="shared" si="128"/>
        <v>61.349999999999994</v>
      </c>
      <c r="I153" s="1178">
        <f t="shared" si="128"/>
        <v>48.975000000000001</v>
      </c>
      <c r="J153" s="1178">
        <f t="shared" si="128"/>
        <v>46.526250000000005</v>
      </c>
      <c r="K153" s="1178">
        <f t="shared" si="128"/>
        <v>44.199937500000004</v>
      </c>
    </row>
    <row r="154" spans="1:13">
      <c r="A154" s="320" t="s">
        <v>277</v>
      </c>
      <c r="E154" s="1840"/>
      <c r="F154" s="1841">
        <f t="shared" ref="F154" si="129">F153/F152</f>
        <v>0</v>
      </c>
      <c r="G154" s="1841">
        <f>G153/G152</f>
        <v>0.20514138929620443</v>
      </c>
      <c r="H154" s="1841">
        <f>H153/H152</f>
        <v>0.19345375196823794</v>
      </c>
      <c r="I154" s="1841">
        <f t="shared" ref="I154:K154" si="130">I153/I152</f>
        <v>0.17362748311117981</v>
      </c>
      <c r="J154" s="1841">
        <f t="shared" si="130"/>
        <v>0.18658361778315108</v>
      </c>
      <c r="K154" s="1841">
        <f t="shared" si="130"/>
        <v>0.19288642529528474</v>
      </c>
    </row>
    <row r="155" spans="1:13">
      <c r="A155" s="320" t="s">
        <v>345</v>
      </c>
      <c r="E155" s="1840"/>
      <c r="F155" s="1007">
        <f t="shared" ref="F155:K155" si="131">F132/F151</f>
        <v>12.156169959751189</v>
      </c>
      <c r="G155" s="1007">
        <f t="shared" si="131"/>
        <v>7.7291671170100082</v>
      </c>
      <c r="H155" s="1007">
        <f t="shared" si="131"/>
        <v>9.0969677393305606</v>
      </c>
      <c r="I155" s="1007">
        <f t="shared" si="131"/>
        <v>6.8389402880997006</v>
      </c>
      <c r="J155" s="1007">
        <f t="shared" si="131"/>
        <v>0</v>
      </c>
      <c r="K155" s="1007">
        <f t="shared" si="131"/>
        <v>0</v>
      </c>
    </row>
    <row r="156" spans="1:13">
      <c r="A156" s="320" t="s">
        <v>346</v>
      </c>
      <c r="E156" s="1840"/>
      <c r="F156" s="1916">
        <f>F147/1000</f>
        <v>13.892160000000001</v>
      </c>
      <c r="G156" s="1916">
        <f>G147/1000</f>
        <v>13.892160000000001</v>
      </c>
      <c r="H156" s="1916">
        <f t="shared" ref="H156:K156" si="132">H147/1000</f>
        <v>13.892160000000001</v>
      </c>
      <c r="I156" s="1916">
        <f t="shared" si="132"/>
        <v>13.81232</v>
      </c>
      <c r="J156" s="1916">
        <f t="shared" si="132"/>
        <v>13.81232</v>
      </c>
      <c r="K156" s="1916">
        <f t="shared" si="132"/>
        <v>13.81232</v>
      </c>
    </row>
    <row r="157" spans="1:13">
      <c r="A157" s="320" t="s">
        <v>347</v>
      </c>
      <c r="E157" s="1840"/>
      <c r="F157" s="1007">
        <f t="shared" ref="F157:K157" si="133">(F143+F140+F137)/1000</f>
        <v>12.331481816397913</v>
      </c>
      <c r="G157" s="1007">
        <f t="shared" si="133"/>
        <v>11.724779389640196</v>
      </c>
      <c r="H157" s="1007">
        <f t="shared" si="133"/>
        <v>11.148224218531915</v>
      </c>
      <c r="I157" s="1007">
        <f t="shared" si="133"/>
        <v>10.606150033854497</v>
      </c>
      <c r="J157" s="1007">
        <f t="shared" si="133"/>
        <v>10.09117955841095</v>
      </c>
      <c r="K157" s="1007">
        <f t="shared" si="133"/>
        <v>9.6019576067395782</v>
      </c>
    </row>
    <row r="158" spans="1:13">
      <c r="A158" s="320" t="s">
        <v>348</v>
      </c>
      <c r="E158" s="1840"/>
      <c r="F158" s="1926">
        <f>F150/1000</f>
        <v>243.69846758718788</v>
      </c>
      <c r="G158" s="1019">
        <f t="shared" ref="G158:K158" si="134">G150/1000</f>
        <v>175.99829823501688</v>
      </c>
      <c r="H158" s="1019">
        <f t="shared" si="134"/>
        <v>198.60951887833085</v>
      </c>
      <c r="I158" s="1019">
        <f t="shared" si="134"/>
        <v>178.74856699049778</v>
      </c>
      <c r="J158" s="1019">
        <f t="shared" si="134"/>
        <v>160.87371029144802</v>
      </c>
      <c r="K158" s="1019">
        <f t="shared" si="134"/>
        <v>144.78633926230322</v>
      </c>
      <c r="L158" s="1873"/>
    </row>
    <row r="159" spans="1:13">
      <c r="A159" s="320" t="s">
        <v>278</v>
      </c>
      <c r="E159" s="1840"/>
      <c r="F159" s="1178">
        <f>'Earning Forecast'!F230/F151</f>
        <v>371.79685784851813</v>
      </c>
      <c r="G159" s="1178">
        <f>'Earning Forecast'!G230/G151</f>
        <v>390.57113983701174</v>
      </c>
      <c r="H159" s="1178">
        <f>'Earning Forecast'!H230/H151</f>
        <v>397.85651067953324</v>
      </c>
      <c r="I159" s="1178">
        <f>'Earning Forecast'!I230/I151</f>
        <v>329.74186893195326</v>
      </c>
      <c r="J159" s="1178">
        <f>'Earning Forecast'!J230/J151</f>
        <v>325.47654769393785</v>
      </c>
      <c r="K159" s="1178">
        <f>'Earning Forecast'!K230/K151</f>
        <v>322.35763537088587</v>
      </c>
    </row>
    <row r="160" spans="1:13">
      <c r="A160" s="320" t="s">
        <v>279</v>
      </c>
      <c r="E160" s="1840"/>
      <c r="F160" s="1869">
        <f t="shared" ref="F160:K160" si="135">F159-F152</f>
        <v>68.655392425905632</v>
      </c>
      <c r="G160" s="1869">
        <f t="shared" si="135"/>
        <v>103.97289293357255</v>
      </c>
      <c r="H160" s="1869">
        <f t="shared" si="135"/>
        <v>80.72645051883552</v>
      </c>
      <c r="I160" s="1869">
        <f t="shared" si="135"/>
        <v>47.672468843721958</v>
      </c>
      <c r="J160" s="1869">
        <f t="shared" si="135"/>
        <v>76.117838967037869</v>
      </c>
      <c r="K160" s="1869">
        <f t="shared" si="135"/>
        <v>93.207567229307301</v>
      </c>
    </row>
    <row r="161" spans="1:12">
      <c r="A161" s="320" t="s">
        <v>280</v>
      </c>
      <c r="E161" s="1840"/>
      <c r="F161" s="1841">
        <f t="shared" ref="F161:K161" si="136">F160/F159</f>
        <v>0.18465834494458805</v>
      </c>
      <c r="G161" s="1841">
        <f t="shared" si="136"/>
        <v>0.26620731111100843</v>
      </c>
      <c r="H161" s="1841">
        <f t="shared" si="136"/>
        <v>0.20290342963335173</v>
      </c>
      <c r="I161" s="1841">
        <f t="shared" si="136"/>
        <v>0.14457511567498219</v>
      </c>
      <c r="J161" s="1841">
        <f t="shared" si="136"/>
        <v>0.23386581769515186</v>
      </c>
      <c r="K161" s="1841">
        <f t="shared" si="136"/>
        <v>0.28914335198565444</v>
      </c>
    </row>
    <row r="162" spans="1:12">
      <c r="E162" s="1840"/>
      <c r="F162" s="1841"/>
      <c r="G162" s="1841"/>
      <c r="H162" s="1841"/>
      <c r="I162" s="1841"/>
      <c r="J162" s="1841"/>
      <c r="K162" s="1841"/>
    </row>
    <row r="163" spans="1:12">
      <c r="E163" s="1840"/>
      <c r="F163" s="1841"/>
      <c r="G163" s="1841"/>
      <c r="H163" s="1841"/>
      <c r="I163" s="1841"/>
      <c r="J163" s="1841"/>
      <c r="K163" s="1841"/>
    </row>
    <row r="164" spans="1:12" ht="15.5">
      <c r="A164" s="318" t="s">
        <v>63</v>
      </c>
    </row>
    <row r="165" spans="1:12" ht="14.5">
      <c r="A165" s="319" t="s">
        <v>221</v>
      </c>
      <c r="B165" s="1870"/>
      <c r="C165" s="1870"/>
      <c r="D165" s="1812"/>
      <c r="E165" s="1812"/>
      <c r="F165" s="1812"/>
      <c r="G165" s="1812"/>
      <c r="H165" s="1812"/>
      <c r="I165" s="1812"/>
      <c r="J165" s="1812"/>
      <c r="K165" s="1812"/>
    </row>
    <row r="166" spans="1:12">
      <c r="A166" s="320" t="s">
        <v>299</v>
      </c>
      <c r="D166" s="415">
        <f>'Fin Sta as rep'!C505</f>
        <v>0</v>
      </c>
      <c r="E166" s="415">
        <f>'Fin Sta as rep'!D505</f>
        <v>2795122</v>
      </c>
      <c r="F166" s="415">
        <f>'Fin Sta as rep'!E505</f>
        <v>2478687</v>
      </c>
      <c r="G166" s="415">
        <f>'Fin Sta as rep'!F505</f>
        <v>4498269</v>
      </c>
      <c r="H166" s="415">
        <f>'Fin Sta as rep'!G505</f>
        <v>11187898</v>
      </c>
      <c r="I166" s="443">
        <f>H166*110%</f>
        <v>12306687.800000001</v>
      </c>
      <c r="J166" s="443">
        <f t="shared" ref="J166:K166" si="137">I166*110%</f>
        <v>13537356.580000002</v>
      </c>
      <c r="K166" s="443">
        <f t="shared" si="137"/>
        <v>14891092.238000004</v>
      </c>
      <c r="L166" s="1871">
        <v>0.1</v>
      </c>
    </row>
    <row r="167" spans="1:12">
      <c r="A167" s="320" t="s">
        <v>224</v>
      </c>
      <c r="E167" s="443">
        <v>300000</v>
      </c>
      <c r="F167" s="415">
        <v>498691</v>
      </c>
      <c r="G167" s="415">
        <v>983222</v>
      </c>
      <c r="H167" s="1831">
        <f>G167*1.1</f>
        <v>1081544.2000000002</v>
      </c>
      <c r="I167" s="1831">
        <f t="shared" ref="I167" si="138">H167*1.1</f>
        <v>1189698.6200000003</v>
      </c>
      <c r="J167" s="1831">
        <f>I167*1.1</f>
        <v>1308668.4820000005</v>
      </c>
      <c r="K167" s="1831">
        <f>J167*1.1</f>
        <v>1439535.3302000007</v>
      </c>
      <c r="L167" s="1848">
        <v>1.1000000000000001</v>
      </c>
    </row>
    <row r="168" spans="1:12">
      <c r="A168" s="320" t="s">
        <v>300</v>
      </c>
      <c r="D168" s="541">
        <f>SUM(D166:D167)</f>
        <v>0</v>
      </c>
      <c r="E168" s="541">
        <f t="shared" ref="E168" si="139">SUM(E166:E167)</f>
        <v>3095122</v>
      </c>
      <c r="F168" s="541">
        <f>SUM(F166:F167)</f>
        <v>2977378</v>
      </c>
      <c r="G168" s="541">
        <f>SUM(G166:G167)</f>
        <v>5481491</v>
      </c>
      <c r="H168" s="1815">
        <f>H166+H167</f>
        <v>12269442.199999999</v>
      </c>
      <c r="I168" s="1815">
        <f>I166+I167</f>
        <v>13496386.420000002</v>
      </c>
      <c r="J168" s="1815">
        <f t="shared" ref="J168" si="140">J166+J167</f>
        <v>14846025.062000003</v>
      </c>
      <c r="K168" s="1815">
        <f>K166+K167</f>
        <v>16330627.568200003</v>
      </c>
      <c r="L168" s="320" t="s">
        <v>301</v>
      </c>
    </row>
    <row r="169" spans="1:12">
      <c r="A169" s="320" t="s">
        <v>227</v>
      </c>
      <c r="F169" s="541">
        <f>F167-E167</f>
        <v>198691</v>
      </c>
      <c r="G169" s="541">
        <f t="shared" ref="G169" si="141">G167-F167</f>
        <v>484531</v>
      </c>
      <c r="H169" s="1815">
        <f>H168*H170</f>
        <v>951664.34131433722</v>
      </c>
      <c r="I169" s="1815">
        <f>I168*I170</f>
        <v>1046830.7754457712</v>
      </c>
      <c r="J169" s="1815">
        <f>J168*J170</f>
        <v>1205109.1580982716</v>
      </c>
      <c r="K169" s="1815">
        <f>K168*K170</f>
        <v>1286316.8501622884</v>
      </c>
      <c r="L169" s="320" t="s">
        <v>302</v>
      </c>
    </row>
    <row r="170" spans="1:12">
      <c r="A170" s="320" t="s">
        <v>228</v>
      </c>
      <c r="F170" s="437">
        <f>F169/F168</f>
        <v>6.6733548780168322E-2</v>
      </c>
      <c r="G170" s="437">
        <f t="shared" ref="G170" si="142">G169/G168</f>
        <v>8.8394015423905653E-2</v>
      </c>
      <c r="H170" s="1817">
        <f>AVERAGE(E170:G170)</f>
        <v>7.7563782102036988E-2</v>
      </c>
      <c r="I170" s="1817">
        <f t="shared" ref="I170" si="143">AVERAGE(F170:H170)</f>
        <v>7.7563782102036988E-2</v>
      </c>
      <c r="J170" s="1817">
        <f t="shared" ref="J170" si="144">AVERAGE(G170:I170)</f>
        <v>8.117385987599321E-2</v>
      </c>
      <c r="K170" s="1817">
        <f t="shared" ref="K170" si="145">AVERAGE(H170:J170)</f>
        <v>7.87671413600224E-2</v>
      </c>
      <c r="L170" s="320" t="s">
        <v>229</v>
      </c>
    </row>
    <row r="171" spans="1:12">
      <c r="A171" s="320" t="s">
        <v>349</v>
      </c>
      <c r="D171" s="415">
        <f>-'Fin Sta as rep'!C434</f>
        <v>793717</v>
      </c>
      <c r="E171" s="415">
        <f>-'Fin Sta as rep'!D434</f>
        <v>1169140</v>
      </c>
      <c r="F171" s="415">
        <f>-'Fin Sta as rep'!E434</f>
        <v>1099857</v>
      </c>
      <c r="G171" s="415">
        <f>-'Fin Sta as rep'!F434</f>
        <v>3286389</v>
      </c>
      <c r="H171" s="415">
        <f>-'Fin Sta as rep'!G434</f>
        <v>6780032</v>
      </c>
      <c r="I171" s="1817"/>
      <c r="J171" s="1817"/>
      <c r="K171" s="1817"/>
    </row>
    <row r="172" spans="1:12">
      <c r="A172" s="1806" t="s">
        <v>231</v>
      </c>
      <c r="E172" s="415">
        <f>'Earning Forecast'!E270</f>
        <v>279555</v>
      </c>
      <c r="F172" s="415">
        <f>'Earning Forecast'!F270</f>
        <v>7763628</v>
      </c>
      <c r="G172" s="415">
        <f>'Earning Forecast'!G270</f>
        <v>20755578</v>
      </c>
      <c r="H172" s="415">
        <f>'Earning Forecast'!H270</f>
        <v>35688343</v>
      </c>
      <c r="I172" s="415"/>
      <c r="J172" s="415"/>
      <c r="K172" s="415"/>
    </row>
    <row r="173" spans="1:12">
      <c r="A173" s="392" t="s">
        <v>287</v>
      </c>
      <c r="F173" s="541">
        <f t="shared" ref="F173:G173" si="146">F174+F175</f>
        <v>7763628</v>
      </c>
      <c r="G173" s="541">
        <f t="shared" si="146"/>
        <v>20755578</v>
      </c>
      <c r="H173" s="541">
        <f>H174+H175</f>
        <v>35688343.000000007</v>
      </c>
      <c r="I173" s="541">
        <f>I174+I175</f>
        <v>89544614.760840952</v>
      </c>
      <c r="J173" s="541">
        <f>J174+J175</f>
        <v>138140543.14314756</v>
      </c>
      <c r="K173" s="543">
        <f>K174+K175</f>
        <v>176242076.31886134</v>
      </c>
    </row>
    <row r="174" spans="1:12">
      <c r="A174" s="392" t="s">
        <v>234</v>
      </c>
      <c r="F174" s="415">
        <f>F169</f>
        <v>198691</v>
      </c>
      <c r="G174" s="415">
        <f>G169</f>
        <v>484531</v>
      </c>
      <c r="H174" s="415">
        <f>H169</f>
        <v>951664.34131433722</v>
      </c>
      <c r="I174" s="415">
        <f>I169</f>
        <v>1046830.7754457712</v>
      </c>
      <c r="J174" s="415">
        <f t="shared" ref="J174" si="147">J169</f>
        <v>1205109.1580982716</v>
      </c>
      <c r="K174" s="415">
        <f>K169</f>
        <v>1286316.8501622884</v>
      </c>
      <c r="L174" s="320" t="s">
        <v>235</v>
      </c>
    </row>
    <row r="175" spans="1:12">
      <c r="A175" s="392" t="s">
        <v>236</v>
      </c>
      <c r="F175" s="541">
        <f>F177+F401</f>
        <v>7564937</v>
      </c>
      <c r="G175" s="541">
        <f>G177+G401</f>
        <v>20271047</v>
      </c>
      <c r="H175" s="543">
        <f>H343+H401+H283+H177-H208</f>
        <v>34736678.658685669</v>
      </c>
      <c r="I175" s="541">
        <f>I343+I401+I222+I283</f>
        <v>88497783.985395178</v>
      </c>
      <c r="J175" s="541">
        <f>J343+J401+J222+J283</f>
        <v>136935433.98504928</v>
      </c>
      <c r="K175" s="541">
        <f>K343+K401+K222+K283</f>
        <v>174955759.46869904</v>
      </c>
      <c r="L175" s="320" t="s">
        <v>237</v>
      </c>
    </row>
    <row r="176" spans="1:12">
      <c r="A176" s="392" t="s">
        <v>350</v>
      </c>
      <c r="F176" s="541"/>
      <c r="G176" s="541"/>
      <c r="H176" s="541"/>
      <c r="I176" s="541"/>
      <c r="J176" s="541"/>
      <c r="K176" s="541"/>
    </row>
    <row r="177" spans="1:13">
      <c r="A177" s="392" t="s">
        <v>351</v>
      </c>
      <c r="F177" s="541">
        <f>F178+F183+F208</f>
        <v>7432937</v>
      </c>
      <c r="G177" s="541">
        <f>G178+G183+G208</f>
        <v>20105607</v>
      </c>
      <c r="H177" s="541">
        <f>H178+H183+H208</f>
        <v>18382125.331021219</v>
      </c>
      <c r="I177" s="1137">
        <f t="shared" ref="I177:K177" si="148">I178+I183</f>
        <v>0</v>
      </c>
      <c r="J177" s="1137">
        <f t="shared" si="148"/>
        <v>0</v>
      </c>
      <c r="K177" s="1137">
        <f t="shared" si="148"/>
        <v>0</v>
      </c>
    </row>
    <row r="178" spans="1:13">
      <c r="A178" s="392" t="s">
        <v>352</v>
      </c>
      <c r="F178" s="541">
        <f>F180/1000*F182*1000000</f>
        <v>1111106.97</v>
      </c>
      <c r="G178" s="541">
        <f t="shared" ref="G178:K178" si="149">G180/1000*G182*1000000</f>
        <v>2441995.700760433</v>
      </c>
      <c r="H178" s="541">
        <f t="shared" si="149"/>
        <v>2251380.5620419499</v>
      </c>
      <c r="I178" s="1137">
        <f t="shared" si="149"/>
        <v>0</v>
      </c>
      <c r="J178" s="1137">
        <f t="shared" si="149"/>
        <v>0</v>
      </c>
      <c r="K178" s="1137">
        <f t="shared" si="149"/>
        <v>0</v>
      </c>
    </row>
    <row r="179" spans="1:13">
      <c r="A179" s="392" t="s">
        <v>353</v>
      </c>
      <c r="F179" s="541">
        <f>F178/'Price&amp;Q'!BJ67</f>
        <v>33.21</v>
      </c>
      <c r="G179" s="541">
        <f>G178/'Price&amp;Q'!BK67</f>
        <v>26.986061605689329</v>
      </c>
      <c r="H179" s="541">
        <f>H178/'Price&amp;Q'!BL67</f>
        <v>28.574082852634817</v>
      </c>
      <c r="I179" s="1137"/>
      <c r="J179" s="1137"/>
      <c r="K179" s="1137"/>
    </row>
    <row r="180" spans="1:13">
      <c r="A180" s="320" t="s">
        <v>354</v>
      </c>
      <c r="F180" s="541">
        <f>'Price&amp;Q'!DD67</f>
        <v>1.3550085000000001</v>
      </c>
      <c r="G180" s="541">
        <f>'Price&amp;Q'!DE67</f>
        <v>3.6648855</v>
      </c>
      <c r="H180" s="541">
        <f>'Price&amp;Q'!DF67</f>
        <v>3.1910354999999999</v>
      </c>
      <c r="I180" s="1137">
        <f>'Price&amp;Q'!DG67</f>
        <v>0</v>
      </c>
      <c r="J180" s="1137">
        <f>'Price&amp;Q'!DH67</f>
        <v>0</v>
      </c>
      <c r="K180" s="1137">
        <f>'Price&amp;Q'!DI67</f>
        <v>0</v>
      </c>
    </row>
    <row r="181" spans="1:13">
      <c r="A181" s="1806" t="s">
        <v>304</v>
      </c>
      <c r="D181" s="1830">
        <f>E181/$L181</f>
        <v>1060.9143507061617</v>
      </c>
      <c r="E181" s="1821">
        <v>954.82291563554554</v>
      </c>
      <c r="F181" s="1821">
        <v>886.97010123734538</v>
      </c>
      <c r="G181" s="1821">
        <v>783.90883386170901</v>
      </c>
      <c r="H181" s="1821">
        <v>830.03871757835361</v>
      </c>
      <c r="I181" s="1828">
        <f>H181*$L181</f>
        <v>747.03484582051829</v>
      </c>
      <c r="J181" s="1828">
        <f>I181*$L181</f>
        <v>672.33136123846646</v>
      </c>
      <c r="K181" s="1828">
        <f>J181*$L181</f>
        <v>605.09822511461982</v>
      </c>
      <c r="L181" s="1851">
        <v>0.9</v>
      </c>
    </row>
    <row r="182" spans="1:13">
      <c r="A182" s="320" t="s">
        <v>305</v>
      </c>
      <c r="D182" s="1815">
        <f>D181*$L182</f>
        <v>901.77719810023746</v>
      </c>
      <c r="E182" s="1815">
        <f>E181*$L182</f>
        <v>811.59947829021371</v>
      </c>
      <c r="F182" s="1815">
        <v>820</v>
      </c>
      <c r="G182" s="1815">
        <f>G181*$L182</f>
        <v>666.32250878245259</v>
      </c>
      <c r="H182" s="1815">
        <f>H181*$L182</f>
        <v>705.53290994160056</v>
      </c>
      <c r="I182" s="1815">
        <f>I181*$L182</f>
        <v>634.97961894744049</v>
      </c>
      <c r="J182" s="1815">
        <f>J181*$L182</f>
        <v>571.48165705269651</v>
      </c>
      <c r="K182" s="1815">
        <f>K181*$L182</f>
        <v>514.33349134742684</v>
      </c>
      <c r="L182" s="1853">
        <v>0.85</v>
      </c>
    </row>
    <row r="183" spans="1:13">
      <c r="A183" s="392" t="s">
        <v>355</v>
      </c>
      <c r="D183" s="1815"/>
      <c r="E183" s="1815"/>
      <c r="F183" s="1815">
        <f>F172-F174-F178-F401-F208</f>
        <v>6050042.7100740746</v>
      </c>
      <c r="G183" s="1815">
        <f>G172-G174-G178-G401-G208</f>
        <v>16987643.492420815</v>
      </c>
      <c r="H183" s="1815">
        <f>(H207+H190+H186+H184)*'Price&amp;Q'!BL67</f>
        <v>15519005.456570879</v>
      </c>
      <c r="I183" s="1815">
        <v>0</v>
      </c>
      <c r="J183" s="1815">
        <v>0</v>
      </c>
      <c r="K183" s="1815">
        <v>0</v>
      </c>
      <c r="L183" s="1853"/>
    </row>
    <row r="184" spans="1:13">
      <c r="A184" s="392" t="s">
        <v>356</v>
      </c>
      <c r="D184" s="1815"/>
      <c r="E184" s="1815"/>
      <c r="F184" s="1872">
        <f>F185/1000</f>
        <v>7.6692454552182028</v>
      </c>
      <c r="G184" s="1872">
        <f t="shared" ref="G184" si="150">G185/1000</f>
        <v>8.8280946902887383</v>
      </c>
      <c r="H184" s="1872">
        <f>H185/1000</f>
        <v>8.4952117998660128</v>
      </c>
      <c r="I184" s="1815"/>
      <c r="J184" s="1815"/>
      <c r="K184" s="1815"/>
      <c r="L184" s="1873"/>
      <c r="M184" s="1874" t="s">
        <v>357</v>
      </c>
    </row>
    <row r="185" spans="1:13">
      <c r="A185" s="1806" t="s">
        <v>358</v>
      </c>
      <c r="D185" s="1815"/>
      <c r="E185" s="1815"/>
      <c r="F185" s="1815">
        <f>2953602817.45/385123</f>
        <v>7669.2454552182026</v>
      </c>
      <c r="G185" s="1815">
        <f>5442891156.54/616542</f>
        <v>8828.094690288739</v>
      </c>
      <c r="H185" s="1815">
        <f>4311404940.55/507510</f>
        <v>8495.2117998660124</v>
      </c>
      <c r="I185" s="1815"/>
      <c r="J185" s="1815"/>
      <c r="K185" s="1815"/>
      <c r="L185" s="1873"/>
      <c r="M185" s="1874" t="s">
        <v>359</v>
      </c>
    </row>
    <row r="186" spans="1:13">
      <c r="A186" s="392" t="s">
        <v>360</v>
      </c>
      <c r="D186" s="1815"/>
      <c r="E186" s="1815"/>
      <c r="F186" s="1872">
        <f>F187*F188/1000</f>
        <v>7.4074074074074066</v>
      </c>
      <c r="G186" s="1872">
        <f t="shared" ref="G186" si="151">G187*G188/1000</f>
        <v>6.6666666666666661</v>
      </c>
      <c r="H186" s="1872">
        <f>H187*H188/1000</f>
        <v>6</v>
      </c>
      <c r="I186" s="1815"/>
      <c r="J186" s="1815"/>
      <c r="K186" s="1815"/>
      <c r="L186" s="1873"/>
    </row>
    <row r="187" spans="1:13">
      <c r="A187" s="320" t="s">
        <v>361</v>
      </c>
      <c r="D187" s="1815"/>
      <c r="E187" s="1815"/>
      <c r="F187" s="1836">
        <v>2</v>
      </c>
      <c r="G187" s="1836">
        <v>2</v>
      </c>
      <c r="H187" s="1836">
        <v>2</v>
      </c>
      <c r="I187" s="1815"/>
      <c r="J187" s="1815"/>
      <c r="K187" s="1815"/>
      <c r="L187" s="1873"/>
    </row>
    <row r="188" spans="1:13">
      <c r="A188" s="1806" t="s">
        <v>362</v>
      </c>
      <c r="D188" s="1815"/>
      <c r="E188" s="1815"/>
      <c r="F188" s="1815">
        <f>G188/I188</f>
        <v>3703.7037037037035</v>
      </c>
      <c r="G188" s="1815">
        <f>H188/I188</f>
        <v>3333.333333333333</v>
      </c>
      <c r="H188" s="1815">
        <f>H189/I189</f>
        <v>3000</v>
      </c>
      <c r="I188" s="1851">
        <v>0.9</v>
      </c>
      <c r="L188" s="1873"/>
    </row>
    <row r="189" spans="1:13">
      <c r="A189" s="1806" t="s">
        <v>363</v>
      </c>
      <c r="H189" s="1875">
        <v>2550</v>
      </c>
      <c r="I189" s="1853">
        <v>0.85</v>
      </c>
      <c r="J189" s="1874" t="s">
        <v>364</v>
      </c>
      <c r="L189" s="1873"/>
    </row>
    <row r="190" spans="1:13">
      <c r="A190" s="392" t="s">
        <v>365</v>
      </c>
      <c r="D190" s="1815"/>
      <c r="E190" s="1815"/>
      <c r="F190" s="1872">
        <f>F191+F194+F199</f>
        <v>14.327917297045026</v>
      </c>
      <c r="G190" s="1872">
        <f t="shared" ref="G190" si="152">G191+G194+G199</f>
        <v>13.172968767340523</v>
      </c>
      <c r="H190" s="1872">
        <f>H191+H194+H199</f>
        <v>12.133515090606471</v>
      </c>
      <c r="I190" s="1815"/>
      <c r="J190" s="1815"/>
      <c r="K190" s="1815"/>
      <c r="L190" s="1873"/>
    </row>
    <row r="191" spans="1:13">
      <c r="A191" s="320" t="s">
        <v>366</v>
      </c>
      <c r="D191" s="1815"/>
      <c r="E191" s="1815"/>
      <c r="F191" s="1815">
        <f>F192*F193/1000</f>
        <v>2.7784320000000005</v>
      </c>
      <c r="G191" s="1815">
        <f t="shared" ref="G191:H191" si="153">G192*G193/1000</f>
        <v>2.7784320000000005</v>
      </c>
      <c r="H191" s="1815">
        <f t="shared" si="153"/>
        <v>2.7784320000000005</v>
      </c>
      <c r="I191" s="1815"/>
      <c r="J191" s="1815"/>
      <c r="K191" s="1815"/>
      <c r="L191" s="1873"/>
    </row>
    <row r="192" spans="1:13">
      <c r="A192" s="320" t="s">
        <v>367</v>
      </c>
      <c r="D192" s="1815"/>
      <c r="E192" s="1815"/>
      <c r="F192" s="1836">
        <v>2</v>
      </c>
      <c r="G192" s="1836">
        <v>2</v>
      </c>
      <c r="H192" s="1836">
        <v>2</v>
      </c>
      <c r="I192" s="1815"/>
      <c r="J192" s="1815"/>
      <c r="K192" s="1815"/>
      <c r="L192" s="1873"/>
    </row>
    <row r="193" spans="1:12">
      <c r="A193" s="1806" t="s">
        <v>368</v>
      </c>
      <c r="D193" s="1815"/>
      <c r="E193" s="1815"/>
      <c r="F193" s="1815">
        <f>G193</f>
        <v>1389.2160000000001</v>
      </c>
      <c r="G193" s="1815">
        <f>H193</f>
        <v>1389.2160000000001</v>
      </c>
      <c r="H193" s="1815">
        <f>H300*I193</f>
        <v>1389.2160000000001</v>
      </c>
      <c r="I193" s="1851">
        <v>0.8</v>
      </c>
      <c r="J193" s="1815"/>
      <c r="K193" s="1815"/>
      <c r="L193" s="1873"/>
    </row>
    <row r="194" spans="1:12">
      <c r="A194" s="320" t="s">
        <v>369</v>
      </c>
      <c r="D194" s="1815"/>
      <c r="E194" s="1815"/>
      <c r="F194" s="1872">
        <f>(F195*F197+F196*F198)/1000</f>
        <v>3.407407407407407</v>
      </c>
      <c r="G194" s="1872">
        <f t="shared" ref="G194:H194" si="154">(G195*G197+G196*G198)/1000</f>
        <v>3.0666666666666664</v>
      </c>
      <c r="H194" s="1872">
        <f t="shared" si="154"/>
        <v>2.76</v>
      </c>
      <c r="I194" s="1815"/>
      <c r="J194" s="1815"/>
      <c r="K194" s="1815"/>
      <c r="L194" s="1873"/>
    </row>
    <row r="195" spans="1:12">
      <c r="A195" s="320" t="s">
        <v>370</v>
      </c>
      <c r="D195" s="1815"/>
      <c r="E195" s="1815"/>
      <c r="F195" s="1836">
        <v>1</v>
      </c>
      <c r="G195" s="1836">
        <v>1</v>
      </c>
      <c r="H195" s="1836">
        <v>1</v>
      </c>
      <c r="I195" s="1815"/>
      <c r="J195" s="1815"/>
      <c r="K195" s="1815"/>
      <c r="L195" s="1873"/>
    </row>
    <row r="196" spans="1:12">
      <c r="A196" s="320" t="s">
        <v>371</v>
      </c>
      <c r="E196" s="1815"/>
      <c r="F196" s="1836">
        <v>4</v>
      </c>
      <c r="G196" s="1836">
        <v>4</v>
      </c>
      <c r="H196" s="1836">
        <v>4</v>
      </c>
      <c r="I196" s="1815"/>
      <c r="J196" s="1815"/>
      <c r="K196" s="1815"/>
      <c r="L196" s="1873"/>
    </row>
    <row r="197" spans="1:12">
      <c r="A197" s="1806" t="s">
        <v>372</v>
      </c>
      <c r="E197" s="1815"/>
      <c r="F197" s="1815">
        <f>G197/I197</f>
        <v>740.74074074074065</v>
      </c>
      <c r="G197" s="1815">
        <f>H197/I197</f>
        <v>666.66666666666663</v>
      </c>
      <c r="H197" s="1815">
        <f>H369</f>
        <v>600</v>
      </c>
      <c r="I197" s="1851">
        <v>0.9</v>
      </c>
      <c r="J197" s="1815"/>
      <c r="K197" s="1815"/>
      <c r="L197" s="1873"/>
    </row>
    <row r="198" spans="1:12">
      <c r="A198" s="1806" t="s">
        <v>373</v>
      </c>
      <c r="D198" s="1815"/>
      <c r="E198" s="1815"/>
      <c r="F198" s="1815">
        <f>G198/I198</f>
        <v>666.66666666666663</v>
      </c>
      <c r="G198" s="1815">
        <f>H198/I198</f>
        <v>600</v>
      </c>
      <c r="H198" s="1815">
        <f>H370</f>
        <v>540</v>
      </c>
      <c r="I198" s="1851">
        <v>0.9</v>
      </c>
      <c r="J198" s="1815"/>
      <c r="K198" s="1815"/>
      <c r="L198" s="1873"/>
    </row>
    <row r="199" spans="1:12">
      <c r="A199" s="320" t="s">
        <v>374</v>
      </c>
      <c r="D199" s="1815"/>
      <c r="E199" s="1815"/>
      <c r="F199" s="1872">
        <f>F200+F203</f>
        <v>8.1420778896376191</v>
      </c>
      <c r="G199" s="1872">
        <f t="shared" ref="G199:H199" si="155">G200+G203</f>
        <v>7.3278701006738558</v>
      </c>
      <c r="H199" s="1872">
        <f t="shared" si="155"/>
        <v>6.5950830906064706</v>
      </c>
      <c r="I199" s="1815"/>
      <c r="J199" s="1815"/>
      <c r="K199" s="1815"/>
      <c r="L199" s="1873"/>
    </row>
    <row r="200" spans="1:12">
      <c r="A200" s="320" t="s">
        <v>375</v>
      </c>
      <c r="D200" s="1815"/>
      <c r="E200" s="1815"/>
      <c r="F200" s="1872">
        <f>F201*F202/1000</f>
        <v>7.7160493827160499</v>
      </c>
      <c r="G200" s="1872">
        <f t="shared" ref="G200" si="156">G201*G202/1000</f>
        <v>6.9444444444444446</v>
      </c>
      <c r="H200" s="1872">
        <f>H201*H202/1000</f>
        <v>6.25</v>
      </c>
      <c r="I200" s="1815"/>
      <c r="J200" s="1815"/>
      <c r="K200" s="1815"/>
      <c r="L200" s="1873"/>
    </row>
    <row r="201" spans="1:12">
      <c r="A201" s="320" t="s">
        <v>333</v>
      </c>
      <c r="D201" s="1815"/>
      <c r="E201" s="1815"/>
      <c r="F201" s="1836">
        <v>5</v>
      </c>
      <c r="G201" s="1836">
        <v>5</v>
      </c>
      <c r="H201" s="1836">
        <v>5</v>
      </c>
      <c r="I201" s="1815"/>
      <c r="J201" s="1815"/>
      <c r="K201" s="1815"/>
      <c r="L201" s="1873"/>
    </row>
    <row r="202" spans="1:12">
      <c r="A202" s="1806" t="s">
        <v>376</v>
      </c>
      <c r="D202" s="1815"/>
      <c r="E202" s="1815"/>
      <c r="F202" s="1815">
        <f>G202/I202</f>
        <v>1543.2098765432099</v>
      </c>
      <c r="G202" s="1815">
        <f>H202/I202</f>
        <v>1388.8888888888889</v>
      </c>
      <c r="H202" s="1815">
        <f>H251</f>
        <v>1250</v>
      </c>
      <c r="I202" s="1851">
        <v>0.9</v>
      </c>
      <c r="J202" s="1874" t="s">
        <v>377</v>
      </c>
      <c r="K202" s="1815"/>
      <c r="L202" s="1873"/>
    </row>
    <row r="203" spans="1:12">
      <c r="A203" s="320" t="s">
        <v>378</v>
      </c>
      <c r="D203" s="1815"/>
      <c r="E203" s="1815"/>
      <c r="F203" s="1872">
        <f>F204*F205/1000</f>
        <v>0.42602850692156835</v>
      </c>
      <c r="G203" s="1872">
        <f t="shared" ref="G203:H203" si="157">G204*G205/1000</f>
        <v>0.38342565622941155</v>
      </c>
      <c r="H203" s="1872">
        <f t="shared" si="157"/>
        <v>0.34508309060647041</v>
      </c>
      <c r="I203" s="1815"/>
      <c r="J203" s="1815"/>
      <c r="K203" s="1815"/>
      <c r="L203" s="1873"/>
    </row>
    <row r="204" spans="1:12">
      <c r="A204" s="320" t="s">
        <v>333</v>
      </c>
      <c r="D204" s="1815"/>
      <c r="E204" s="1815"/>
      <c r="F204" s="1836">
        <v>12</v>
      </c>
      <c r="G204" s="1836">
        <v>12</v>
      </c>
      <c r="H204" s="1836">
        <v>12</v>
      </c>
      <c r="I204" s="1851">
        <v>0.9</v>
      </c>
      <c r="J204" s="1815"/>
      <c r="K204" s="1815"/>
      <c r="L204" s="1873"/>
    </row>
    <row r="205" spans="1:12">
      <c r="A205" s="1806" t="s">
        <v>379</v>
      </c>
      <c r="D205" s="1815"/>
      <c r="E205" s="1815"/>
      <c r="F205" s="1815">
        <f>G205/I204</f>
        <v>35.502375576797363</v>
      </c>
      <c r="G205" s="1815">
        <f>H205/I204</f>
        <v>31.95213801911763</v>
      </c>
      <c r="H205" s="1815">
        <f>H377/I205</f>
        <v>28.756924217205867</v>
      </c>
      <c r="I205" s="1876">
        <v>0.8</v>
      </c>
      <c r="J205" s="1815"/>
      <c r="K205" s="1815"/>
      <c r="L205" s="1873"/>
    </row>
    <row r="206" spans="1:12">
      <c r="A206" s="392" t="s">
        <v>380</v>
      </c>
      <c r="D206" s="1815"/>
      <c r="E206" s="1815"/>
      <c r="F206" s="1815">
        <f>F183-(F184+F186+F190)*'Price&amp;Q'!BJ67</f>
        <v>5066254.0062419744</v>
      </c>
      <c r="G206" s="1815">
        <f>G183-(G184+G186+G190)*'Price&amp;Q'!BK67</f>
        <v>14393471.925743151</v>
      </c>
      <c r="H206" s="1815">
        <f>H207*'Price&amp;Q'!BL67</f>
        <v>13420901.436143661</v>
      </c>
      <c r="I206" s="1815"/>
      <c r="J206" s="1815"/>
      <c r="K206" s="1815"/>
      <c r="L206" s="1873"/>
    </row>
    <row r="207" spans="1:12">
      <c r="A207" s="392" t="s">
        <v>381</v>
      </c>
      <c r="D207" s="1815"/>
      <c r="E207" s="1815"/>
      <c r="F207" s="1815">
        <f>F206/'Price&amp;Q'!BJ67</f>
        <v>151.42583035663611</v>
      </c>
      <c r="G207" s="1815">
        <f>G206/'Price&amp;Q'!BK67</f>
        <v>159.0597067746312</v>
      </c>
      <c r="H207" s="1815">
        <f>G418*G418/F418-H208/'Price&amp;Q'!BL67</f>
        <v>170.33546263080379</v>
      </c>
      <c r="I207" s="1815"/>
      <c r="J207" s="1815"/>
      <c r="K207" s="1815"/>
      <c r="L207" s="1873"/>
    </row>
    <row r="208" spans="1:12">
      <c r="A208" s="392"/>
      <c r="D208" s="1815"/>
      <c r="E208" s="1815"/>
      <c r="F208" s="1815">
        <f>(F209+F212)*'Price&amp;Q'!BJ67/1000</f>
        <v>271787.31992592593</v>
      </c>
      <c r="G208" s="1815">
        <f>(G209+G212)*'Price&amp;Q'!BK67/1000</f>
        <v>675967.80681875336</v>
      </c>
      <c r="H208" s="1815">
        <f>(H209+H212)*'Price&amp;Q'!BL67/1000</f>
        <v>611739.31240838999</v>
      </c>
      <c r="I208" s="1815"/>
      <c r="J208" s="1815"/>
      <c r="K208" s="1815"/>
      <c r="L208" s="1873"/>
    </row>
    <row r="209" spans="1:12">
      <c r="A209" s="320" t="s">
        <v>382</v>
      </c>
      <c r="D209" s="1815"/>
      <c r="E209" s="1815"/>
      <c r="F209" s="1815">
        <v>0</v>
      </c>
      <c r="G209" s="1815">
        <f>G211*'Price&amp;Q'!$BJ$67*CA!G210/'Price&amp;Q'!BK67</f>
        <v>739.45475240631663</v>
      </c>
      <c r="H209" s="1815">
        <f>H211*'Price&amp;Q'!$BJ$67*CA!H210/'Price&amp;Q'!BL67</f>
        <v>849.25943318399311</v>
      </c>
      <c r="I209" s="1815"/>
      <c r="J209" s="1815"/>
      <c r="K209" s="1815"/>
      <c r="L209" s="1873"/>
    </row>
    <row r="210" spans="1:12">
      <c r="A210" s="320" t="s">
        <v>383</v>
      </c>
      <c r="D210" s="1815"/>
      <c r="E210" s="1815"/>
      <c r="F210" s="1815">
        <v>0</v>
      </c>
      <c r="G210" s="1877">
        <v>0.2</v>
      </c>
      <c r="H210" s="1877">
        <v>0.2</v>
      </c>
      <c r="I210" s="1815"/>
      <c r="J210" s="1815"/>
      <c r="K210" s="1815"/>
      <c r="L210" s="1873"/>
    </row>
    <row r="211" spans="1:12">
      <c r="A211" s="320" t="s">
        <v>384</v>
      </c>
      <c r="F211" s="1878">
        <v>0</v>
      </c>
      <c r="G211" s="1878">
        <v>10000</v>
      </c>
      <c r="H211" s="1878">
        <v>10000</v>
      </c>
      <c r="I211" s="1006"/>
      <c r="J211" s="1007"/>
      <c r="K211" s="1007"/>
      <c r="L211" s="1873"/>
    </row>
    <row r="212" spans="1:12">
      <c r="A212" s="320" t="s">
        <v>385</v>
      </c>
      <c r="D212" s="1815"/>
      <c r="E212" s="1815"/>
      <c r="F212" s="1815">
        <f>(F213+F214)*F215</f>
        <v>8123.4814814814818</v>
      </c>
      <c r="G212" s="1815">
        <f t="shared" ref="G212:H212" si="158">(G213+G214)*G215</f>
        <v>6730.5456544711997</v>
      </c>
      <c r="H212" s="1815">
        <f t="shared" si="158"/>
        <v>6914.8165705269639</v>
      </c>
      <c r="I212" s="1815"/>
      <c r="J212" s="1815"/>
      <c r="K212" s="1815"/>
      <c r="L212" s="1873"/>
    </row>
    <row r="213" spans="1:12">
      <c r="A213" s="320" t="s">
        <v>386</v>
      </c>
      <c r="D213" s="1815"/>
      <c r="E213" s="1815"/>
      <c r="F213" s="1813">
        <f>F179*1000</f>
        <v>33210</v>
      </c>
      <c r="G213" s="1813">
        <f>G179*1000</f>
        <v>26986.06160568933</v>
      </c>
      <c r="H213" s="1813">
        <f>H179*1000</f>
        <v>28574.082852634816</v>
      </c>
      <c r="I213" s="1815"/>
      <c r="J213" s="1815"/>
      <c r="K213" s="1815"/>
      <c r="L213" s="1873"/>
    </row>
    <row r="214" spans="1:12">
      <c r="A214" s="320" t="s">
        <v>387</v>
      </c>
      <c r="D214" s="1815"/>
      <c r="E214" s="1815"/>
      <c r="F214" s="1813">
        <f>F186*1000</f>
        <v>7407.4074074074069</v>
      </c>
      <c r="G214" s="1813">
        <f>G186*1000</f>
        <v>6666.6666666666661</v>
      </c>
      <c r="H214" s="1813">
        <f>H186*1000</f>
        <v>6000</v>
      </c>
      <c r="I214" s="1815"/>
      <c r="J214" s="1815"/>
      <c r="K214" s="1815"/>
      <c r="L214" s="1873"/>
    </row>
    <row r="215" spans="1:12">
      <c r="A215" s="320" t="s">
        <v>388</v>
      </c>
      <c r="D215" s="1815"/>
      <c r="E215" s="1815"/>
      <c r="F215" s="1877">
        <v>0.2</v>
      </c>
      <c r="G215" s="1877">
        <v>0.2</v>
      </c>
      <c r="H215" s="1877">
        <v>0.2</v>
      </c>
      <c r="I215" s="1815"/>
      <c r="J215" s="1815"/>
      <c r="K215" s="1815"/>
      <c r="L215" s="1873"/>
    </row>
    <row r="216" spans="1:12">
      <c r="A216" s="392" t="s">
        <v>389</v>
      </c>
      <c r="D216" s="1815"/>
      <c r="E216" s="1815"/>
      <c r="F216" s="1815">
        <f>F177/'Price&amp;Q'!BJ67</f>
        <v>222.1638819977882</v>
      </c>
      <c r="G216" s="1815">
        <f>G177/'Price&amp;Q'!BK67</f>
        <v>222.18349891149396</v>
      </c>
      <c r="H216" s="1815">
        <f>H177/'Price&amp;Q'!BL67</f>
        <v>233.30234837762205</v>
      </c>
      <c r="I216" s="1815"/>
      <c r="J216" s="1815"/>
      <c r="K216" s="1815"/>
      <c r="L216" s="1873"/>
    </row>
    <row r="217" spans="1:12">
      <c r="A217" s="392" t="s">
        <v>390</v>
      </c>
      <c r="F217" s="541"/>
      <c r="G217" s="541"/>
      <c r="H217" s="541"/>
      <c r="I217" s="541"/>
      <c r="J217" s="541"/>
      <c r="K217" s="541"/>
    </row>
    <row r="218" spans="1:12">
      <c r="A218" s="392" t="s">
        <v>391</v>
      </c>
      <c r="F218" s="541"/>
      <c r="G218" s="541"/>
      <c r="H218" s="541"/>
      <c r="I218" s="541"/>
      <c r="J218" s="541"/>
      <c r="K218" s="541"/>
    </row>
    <row r="219" spans="1:12">
      <c r="A219" s="320" t="s">
        <v>392</v>
      </c>
      <c r="F219" s="541"/>
      <c r="G219" s="541"/>
      <c r="H219" s="1879"/>
      <c r="I219" s="1879">
        <v>0.3</v>
      </c>
      <c r="J219" s="1879">
        <v>0.3</v>
      </c>
      <c r="K219" s="1879">
        <v>0.3</v>
      </c>
    </row>
    <row r="220" spans="1:12">
      <c r="A220" s="320" t="s">
        <v>393</v>
      </c>
      <c r="F220" s="541"/>
      <c r="G220" s="541"/>
      <c r="H220" s="1879"/>
      <c r="I220" s="1879">
        <v>0.6</v>
      </c>
      <c r="J220" s="1879">
        <v>0.6</v>
      </c>
      <c r="K220" s="1879">
        <v>0.6</v>
      </c>
    </row>
    <row r="221" spans="1:12">
      <c r="A221" s="320" t="s">
        <v>394</v>
      </c>
      <c r="F221" s="541"/>
      <c r="G221" s="541"/>
      <c r="H221" s="1880"/>
      <c r="I221" s="1880">
        <v>0.1</v>
      </c>
      <c r="J221" s="1880">
        <v>0.1</v>
      </c>
      <c r="K221" s="1880">
        <v>0.1</v>
      </c>
    </row>
    <row r="222" spans="1:12">
      <c r="A222" s="392" t="s">
        <v>351</v>
      </c>
      <c r="F222" s="541"/>
      <c r="G222" s="541"/>
      <c r="H222" s="541"/>
      <c r="I222" s="541">
        <f>I223+I228+I263</f>
        <v>31856862.96040795</v>
      </c>
      <c r="J222" s="541">
        <f t="shared" ref="J222:K222" si="159">J223+J228+J263</f>
        <v>50454480.148868531</v>
      </c>
      <c r="K222" s="541">
        <f t="shared" si="159"/>
        <v>62858079.042940713</v>
      </c>
    </row>
    <row r="223" spans="1:12">
      <c r="A223" s="392" t="s">
        <v>352</v>
      </c>
      <c r="F223" s="1840"/>
      <c r="G223" s="1840"/>
      <c r="H223" s="1840">
        <f t="shared" ref="H223" si="160">H226/1000*H225*1000000</f>
        <v>0</v>
      </c>
      <c r="I223" s="1840">
        <f>I226/1000*I225*1000000*(I220+I221)+I227/1000*I225*1000000*I219</f>
        <v>4521736.6385122798</v>
      </c>
      <c r="J223" s="1840">
        <f>J226/1000*J225*1000000*(J220+J221)+J227/1000*J225*1000000*J219</f>
        <v>6921590.3091193903</v>
      </c>
      <c r="K223" s="1840">
        <f>K226/1000*K225*1000000*(K220+K221)+K227/1000*K225*1000000*K219</f>
        <v>8214314.7051978391</v>
      </c>
      <c r="L223" s="320" t="s">
        <v>395</v>
      </c>
    </row>
    <row r="224" spans="1:12">
      <c r="A224" s="392" t="s">
        <v>353</v>
      </c>
      <c r="F224" s="1840"/>
      <c r="G224" s="1840"/>
      <c r="H224" s="1840"/>
      <c r="I224" s="1840">
        <f>I223/'Price&amp;Q'!BM69</f>
        <v>35.940355583067081</v>
      </c>
      <c r="J224" s="1840">
        <f>J223/'Price&amp;Q'!BN69</f>
        <v>32.854377407348238</v>
      </c>
      <c r="K224" s="1840">
        <f>K223/'Price&amp;Q'!BO69</f>
        <v>29.568939666613417</v>
      </c>
    </row>
    <row r="225" spans="1:13">
      <c r="A225" s="320" t="s">
        <v>354</v>
      </c>
      <c r="F225" s="541"/>
      <c r="G225" s="541"/>
      <c r="H225" s="541">
        <f>'Price&amp;Q'!DF69</f>
        <v>0</v>
      </c>
      <c r="I225" s="541">
        <f>'Price&amp;Q'!DG69</f>
        <v>5.1457206116871115</v>
      </c>
      <c r="J225" s="541">
        <f>'Price&amp;Q'!DH69</f>
        <v>8.6166004649251455</v>
      </c>
      <c r="K225" s="541">
        <f>'Price&amp;Q'!DI69</f>
        <v>11.362107509791214</v>
      </c>
    </row>
    <row r="226" spans="1:13">
      <c r="A226" s="1806" t="s">
        <v>304</v>
      </c>
      <c r="D226" s="1830">
        <f>E226/$L226</f>
        <v>1060.9143507061617</v>
      </c>
      <c r="E226" s="1821">
        <v>954.82291563554554</v>
      </c>
      <c r="F226" s="1821">
        <v>886.97010123734538</v>
      </c>
      <c r="G226" s="1821">
        <v>783.90883386170901</v>
      </c>
      <c r="H226" s="1821">
        <v>830.03871757835361</v>
      </c>
      <c r="I226" s="1821">
        <f>2880.05/313*100</f>
        <v>920.14376996805117</v>
      </c>
      <c r="J226" s="1828">
        <f>I226*$L226</f>
        <v>828.12939297124603</v>
      </c>
      <c r="K226" s="1828">
        <f>J226*$L226</f>
        <v>745.31645367412148</v>
      </c>
      <c r="L226" s="1851">
        <v>0.9</v>
      </c>
    </row>
    <row r="227" spans="1:13">
      <c r="A227" s="320" t="s">
        <v>305</v>
      </c>
      <c r="D227" s="1815">
        <f>D226*$L227</f>
        <v>954.82291563554554</v>
      </c>
      <c r="E227" s="1815">
        <f>E226*$L227</f>
        <v>859.34062407199099</v>
      </c>
      <c r="F227" s="1815">
        <v>820</v>
      </c>
      <c r="G227" s="1815">
        <f>G226*$L227</f>
        <v>705.5179504755381</v>
      </c>
      <c r="H227" s="1815">
        <f>H226*$L227</f>
        <v>747.03484582051829</v>
      </c>
      <c r="I227" s="1815">
        <f>I226*0.85</f>
        <v>782.12220447284346</v>
      </c>
      <c r="J227" s="1815">
        <f>J226*$L227</f>
        <v>745.31645367412148</v>
      </c>
      <c r="K227" s="1815">
        <f>K226*$L227</f>
        <v>670.78480830670935</v>
      </c>
      <c r="L227" s="1853">
        <v>0.9</v>
      </c>
    </row>
    <row r="228" spans="1:13">
      <c r="A228" s="392" t="s">
        <v>355</v>
      </c>
      <c r="F228" s="541"/>
      <c r="G228" s="541"/>
      <c r="H228" s="541"/>
      <c r="I228" s="1881">
        <f>I229+I232+I236+I258+I261</f>
        <v>25286389.772026792</v>
      </c>
      <c r="J228" s="1881">
        <f t="shared" ref="J228:K228" si="161">J229+J232+J236+J258+J261</f>
        <v>40328649.062150538</v>
      </c>
      <c r="K228" s="1881">
        <f t="shared" si="161"/>
        <v>50657829.595115922</v>
      </c>
    </row>
    <row r="229" spans="1:13">
      <c r="A229" s="392" t="s">
        <v>396</v>
      </c>
      <c r="F229" s="546"/>
      <c r="G229" s="546"/>
      <c r="H229" s="1019">
        <f>H231*'Price&amp;Q'!BL69</f>
        <v>0</v>
      </c>
      <c r="I229" s="1019">
        <f>I231*'Price&amp;Q'!BM69/1000</f>
        <v>1402686.4804913895</v>
      </c>
      <c r="J229" s="1019">
        <f>J231*'Price&amp;Q'!BN69/1000</f>
        <v>2231382.2295113723</v>
      </c>
      <c r="K229" s="1019">
        <f>K231*'Price&amp;Q'!BO69/1000</f>
        <v>2795249.0829569595</v>
      </c>
    </row>
    <row r="230" spans="1:13">
      <c r="A230" s="392" t="s">
        <v>356</v>
      </c>
      <c r="F230" s="546"/>
      <c r="G230" s="546"/>
      <c r="H230" s="1019"/>
      <c r="I230" s="1019">
        <f>I229/'Price&amp;Q'!BM69</f>
        <v>11.149046242774565</v>
      </c>
      <c r="J230" s="1019">
        <f>J229/'Price&amp;Q'!BN69</f>
        <v>10.591593930635838</v>
      </c>
      <c r="K230" s="1019">
        <f>K229/'Price&amp;Q'!BO69</f>
        <v>10.062014234104042</v>
      </c>
    </row>
    <row r="231" spans="1:13">
      <c r="A231" s="1806" t="s">
        <v>397</v>
      </c>
      <c r="F231" s="546"/>
      <c r="G231" s="546"/>
      <c r="H231" s="1882">
        <v>11735.838150289017</v>
      </c>
      <c r="I231" s="1883">
        <f>H231*L231</f>
        <v>11149.046242774566</v>
      </c>
      <c r="J231" s="1883">
        <f>I231*L231</f>
        <v>10591.593930635838</v>
      </c>
      <c r="K231" s="1883">
        <f>J231*L231</f>
        <v>10062.014234104045</v>
      </c>
      <c r="L231" s="1851">
        <v>0.95</v>
      </c>
      <c r="M231" s="320" t="s">
        <v>398</v>
      </c>
    </row>
    <row r="232" spans="1:13">
      <c r="A232" s="392" t="s">
        <v>399</v>
      </c>
      <c r="F232" s="541"/>
      <c r="G232" s="541"/>
      <c r="H232" s="1019">
        <v>0</v>
      </c>
      <c r="I232" s="541">
        <f>I234*I235*'Price&amp;Q'!BM69/1000</f>
        <v>654475.27193145116</v>
      </c>
      <c r="J232" s="541">
        <f>J234*J235*'Price&amp;Q'!BN69/1000</f>
        <v>1117849.0643254628</v>
      </c>
      <c r="K232" s="541">
        <f>K234*K235*'Price&amp;Q'!BO69/1000</f>
        <v>1503509.8501192571</v>
      </c>
    </row>
    <row r="233" spans="1:13">
      <c r="A233" s="392" t="s">
        <v>360</v>
      </c>
      <c r="F233" s="541"/>
      <c r="G233" s="541"/>
      <c r="H233" s="1019"/>
      <c r="I233" s="541">
        <f>I232/'Price&amp;Q'!BM69</f>
        <v>5.2019999999999991</v>
      </c>
      <c r="J233" s="541">
        <f>J232/'Price&amp;Q'!BN69</f>
        <v>5.3060400000000003</v>
      </c>
      <c r="K233" s="541">
        <f>K232/'Price&amp;Q'!BO69</f>
        <v>5.4121607999999988</v>
      </c>
    </row>
    <row r="234" spans="1:13">
      <c r="A234" s="320" t="s">
        <v>361</v>
      </c>
      <c r="F234" s="541"/>
      <c r="G234" s="541"/>
      <c r="H234" s="1878">
        <v>2</v>
      </c>
      <c r="I234" s="1875">
        <v>2</v>
      </c>
      <c r="J234" s="1875">
        <v>2</v>
      </c>
      <c r="K234" s="1875">
        <v>2</v>
      </c>
    </row>
    <row r="235" spans="1:13">
      <c r="A235" s="1806" t="s">
        <v>400</v>
      </c>
      <c r="F235" s="541"/>
      <c r="G235" s="541"/>
      <c r="H235" s="1875">
        <v>2550</v>
      </c>
      <c r="I235" s="541">
        <f t="shared" ref="I235:K235" si="162">H235*(1+2%)</f>
        <v>2601</v>
      </c>
      <c r="J235" s="541">
        <f t="shared" si="162"/>
        <v>2653.02</v>
      </c>
      <c r="K235" s="541">
        <f t="shared" si="162"/>
        <v>2706.0803999999998</v>
      </c>
      <c r="L235" s="1874" t="s">
        <v>364</v>
      </c>
    </row>
    <row r="236" spans="1:13">
      <c r="A236" s="392" t="s">
        <v>401</v>
      </c>
      <c r="F236" s="541"/>
      <c r="G236" s="541"/>
      <c r="H236" s="1019">
        <v>0</v>
      </c>
      <c r="I236" s="541">
        <f>I238+I241+I248</f>
        <v>1190124.0392299416</v>
      </c>
      <c r="J236" s="541">
        <f t="shared" ref="J236:K236" si="163">J238+J241+J248</f>
        <v>1919790.6455571027</v>
      </c>
      <c r="K236" s="541">
        <f t="shared" si="163"/>
        <v>2439929.7512695836</v>
      </c>
    </row>
    <row r="237" spans="1:13">
      <c r="A237" s="392" t="s">
        <v>365</v>
      </c>
      <c r="F237" s="541"/>
      <c r="G237" s="541"/>
      <c r="H237" s="1019"/>
      <c r="I237" s="541">
        <f>I236/'Price&amp;Q'!BM69</f>
        <v>9.4595250845819496</v>
      </c>
      <c r="J237" s="541">
        <f>J236/'Price&amp;Q'!BN69</f>
        <v>9.1125772539771113</v>
      </c>
      <c r="K237" s="541">
        <f>K236/'Price&amp;Q'!BO69</f>
        <v>8.7829768149025131</v>
      </c>
    </row>
    <row r="238" spans="1:13">
      <c r="A238" s="320" t="s">
        <v>402</v>
      </c>
      <c r="F238" s="541"/>
      <c r="G238" s="541"/>
      <c r="H238" s="1019">
        <v>0</v>
      </c>
      <c r="I238" s="541">
        <f>I239*'Price&amp;Q'!BM69*(CA!I219+CA!I220)/1000+CA!I240*2*'Price&amp;Q'!BM69*CA!I221/1000</f>
        <v>282385.82406779815</v>
      </c>
      <c r="J238" s="541">
        <f>J239*'Price&amp;Q'!BN69*(CA!J219+CA!J220)/1000+CA!J240*2*'Price&amp;Q'!BN69*CA!J221/1000</f>
        <v>472860.07278057269</v>
      </c>
      <c r="K238" s="541">
        <f>K239*'Price&amp;Q'!BO69*(CA!K219+CA!K220)/1000+CA!K240*2*'Price&amp;Q'!BO69*CA!K221/1000</f>
        <v>623527.45794477744</v>
      </c>
    </row>
    <row r="239" spans="1:13">
      <c r="A239" s="1806" t="s">
        <v>403</v>
      </c>
      <c r="F239" s="541"/>
      <c r="G239" s="541"/>
      <c r="H239" s="1019">
        <f>H240*0.5</f>
        <v>1736.52</v>
      </c>
      <c r="I239" s="541">
        <f>I240*0.5</f>
        <v>1726.54</v>
      </c>
      <c r="J239" s="541">
        <f t="shared" ref="J239:K239" si="164">J240*0.5</f>
        <v>1726.54</v>
      </c>
      <c r="K239" s="541">
        <f t="shared" si="164"/>
        <v>1726.54</v>
      </c>
      <c r="L239" s="1874" t="s">
        <v>404</v>
      </c>
    </row>
    <row r="240" spans="1:13">
      <c r="A240" s="1806" t="s">
        <v>405</v>
      </c>
      <c r="F240" s="541"/>
      <c r="G240" s="541"/>
      <c r="H240" s="1007">
        <f>H363</f>
        <v>3473.04</v>
      </c>
      <c r="I240" s="541">
        <f>I363</f>
        <v>3453.08</v>
      </c>
      <c r="J240" s="541">
        <f t="shared" ref="J240:K240" si="165">J363</f>
        <v>3453.08</v>
      </c>
      <c r="K240" s="541">
        <f t="shared" si="165"/>
        <v>3453.08</v>
      </c>
    </row>
    <row r="241" spans="1:13">
      <c r="A241" s="320" t="s">
        <v>406</v>
      </c>
      <c r="F241" s="541"/>
      <c r="G241" s="541"/>
      <c r="H241" s="1007">
        <v>0</v>
      </c>
      <c r="I241" s="541">
        <f>I242*'Price&amp;Q'!BM69*(CA!I219+CA!I220)/1000+CA!I245*'Price&amp;Q'!BM69*CA!I221/1000</f>
        <v>662627.90507661807</v>
      </c>
      <c r="J241" s="541">
        <f>J242*'Price&amp;Q'!BN69*(CA!J219+CA!J220)/1000+CA!J245*'Price&amp;Q'!BN69*CA!J221/1000</f>
        <v>1054103.0748712562</v>
      </c>
      <c r="K241" s="541">
        <f>K242*'Price&amp;Q'!BO69*(CA!K219+CA!K220)/1000+CA!K245*'Price&amp;Q'!BO69*CA!K221/1000</f>
        <v>1320473.2987504387</v>
      </c>
    </row>
    <row r="242" spans="1:13">
      <c r="A242" s="320" t="s">
        <v>407</v>
      </c>
      <c r="F242" s="541"/>
      <c r="G242" s="541"/>
      <c r="H242" s="1007">
        <v>0</v>
      </c>
      <c r="I242" s="541">
        <f>I243*I369+I370*I244</f>
        <v>5187</v>
      </c>
      <c r="J242" s="541">
        <f>J243*J369+J370*J244</f>
        <v>4927.6500000000005</v>
      </c>
      <c r="K242" s="541">
        <f>K243*K369+K370*K244</f>
        <v>4681.2674999999999</v>
      </c>
    </row>
    <row r="243" spans="1:13">
      <c r="A243" s="320" t="s">
        <v>408</v>
      </c>
      <c r="F243" s="541"/>
      <c r="G243" s="541"/>
      <c r="H243" s="1136">
        <v>0</v>
      </c>
      <c r="I243" s="1875">
        <v>1</v>
      </c>
      <c r="J243" s="1875">
        <v>1</v>
      </c>
      <c r="K243" s="1875">
        <v>1</v>
      </c>
    </row>
    <row r="244" spans="1:13">
      <c r="A244" s="320" t="s">
        <v>409</v>
      </c>
      <c r="F244" s="541"/>
      <c r="G244" s="541"/>
      <c r="H244" s="1136">
        <v>0</v>
      </c>
      <c r="I244" s="1875">
        <v>9</v>
      </c>
      <c r="J244" s="1875">
        <v>9</v>
      </c>
      <c r="K244" s="1875">
        <v>9</v>
      </c>
    </row>
    <row r="245" spans="1:13">
      <c r="A245" s="320" t="s">
        <v>410</v>
      </c>
      <c r="F245" s="541"/>
      <c r="G245" s="541"/>
      <c r="H245" s="1007">
        <v>0</v>
      </c>
      <c r="I245" s="541">
        <f>I246*I369+I370*I247</f>
        <v>5985</v>
      </c>
      <c r="J245" s="541">
        <f>J246*J369+J370*J247</f>
        <v>5685.75</v>
      </c>
      <c r="K245" s="541">
        <f>K246*K369+K370*K247</f>
        <v>5401.4624999999996</v>
      </c>
    </row>
    <row r="246" spans="1:13">
      <c r="A246" s="320" t="s">
        <v>408</v>
      </c>
      <c r="F246" s="541"/>
      <c r="G246" s="541"/>
      <c r="H246" s="1136">
        <v>0</v>
      </c>
      <c r="I246" s="1875">
        <v>6</v>
      </c>
      <c r="J246" s="1875">
        <v>6</v>
      </c>
      <c r="K246" s="1875">
        <v>6</v>
      </c>
    </row>
    <row r="247" spans="1:13">
      <c r="A247" s="320" t="s">
        <v>409</v>
      </c>
      <c r="F247" s="541"/>
      <c r="G247" s="541"/>
      <c r="H247" s="1136">
        <v>0</v>
      </c>
      <c r="I247" s="1875">
        <v>5</v>
      </c>
      <c r="J247" s="1875">
        <v>5</v>
      </c>
      <c r="K247" s="1875">
        <v>5</v>
      </c>
    </row>
    <row r="248" spans="1:13">
      <c r="A248" s="320" t="s">
        <v>411</v>
      </c>
      <c r="F248" s="541"/>
      <c r="G248" s="541"/>
      <c r="H248" s="1007">
        <v>0</v>
      </c>
      <c r="I248" s="541">
        <f>(I249+I252)*'Price&amp;Q'!BM69/1000+I255*'Price&amp;Q'!BM69*CA!I221/1000</f>
        <v>245110.31008552533</v>
      </c>
      <c r="J248" s="541">
        <f>(J249+J252)*'Price&amp;Q'!BN69/1000+J255*'Price&amp;Q'!BN69*CA!J221/1000</f>
        <v>392827.49790527386</v>
      </c>
      <c r="K248" s="541">
        <f>(K249+K252)*'Price&amp;Q'!BO69/1000+K255*'Price&amp;Q'!BO69*CA!K221/1000</f>
        <v>495928.99457436759</v>
      </c>
    </row>
    <row r="249" spans="1:13">
      <c r="A249" s="320" t="s">
        <v>412</v>
      </c>
      <c r="F249" s="541"/>
      <c r="G249" s="541"/>
      <c r="H249" s="1007">
        <v>0</v>
      </c>
      <c r="I249" s="1840">
        <f>I251*I250</f>
        <v>1187.5</v>
      </c>
      <c r="J249" s="1840">
        <f>J251*J250</f>
        <v>1128.125</v>
      </c>
      <c r="K249" s="1840">
        <f>K251*K250</f>
        <v>1071.71875</v>
      </c>
    </row>
    <row r="250" spans="1:13">
      <c r="A250" s="320" t="s">
        <v>333</v>
      </c>
      <c r="F250" s="541"/>
      <c r="G250" s="541"/>
      <c r="H250" s="1006">
        <v>0</v>
      </c>
      <c r="I250" s="1884">
        <v>1</v>
      </c>
      <c r="J250" s="1884">
        <v>1</v>
      </c>
      <c r="K250" s="1884">
        <v>1</v>
      </c>
      <c r="M250" s="1874" t="s">
        <v>413</v>
      </c>
    </row>
    <row r="251" spans="1:13">
      <c r="A251" s="1806" t="s">
        <v>414</v>
      </c>
      <c r="F251" s="541"/>
      <c r="G251" s="541"/>
      <c r="H251" s="1006">
        <v>1250</v>
      </c>
      <c r="I251" s="1840">
        <f>H251*L251</f>
        <v>1187.5</v>
      </c>
      <c r="J251" s="1840">
        <f>I251*L251</f>
        <v>1128.125</v>
      </c>
      <c r="K251" s="1840">
        <f>J251*L251</f>
        <v>1071.71875</v>
      </c>
      <c r="L251" s="1851">
        <v>0.95</v>
      </c>
      <c r="M251" s="1874" t="s">
        <v>415</v>
      </c>
    </row>
    <row r="252" spans="1:13">
      <c r="A252" s="320" t="s">
        <v>378</v>
      </c>
      <c r="F252" s="541"/>
      <c r="G252" s="541"/>
      <c r="H252" s="1019">
        <v>0</v>
      </c>
      <c r="I252" s="541">
        <f>I253*I254</f>
        <v>276.06647248517635</v>
      </c>
      <c r="J252" s="541">
        <f t="shared" ref="J252:K252" si="166">J253*J254</f>
        <v>276.06647248517635</v>
      </c>
      <c r="K252" s="541">
        <f t="shared" si="166"/>
        <v>276.06647248517635</v>
      </c>
    </row>
    <row r="253" spans="1:13">
      <c r="A253" s="320" t="s">
        <v>333</v>
      </c>
      <c r="F253" s="541"/>
      <c r="G253" s="541"/>
      <c r="H253" s="1019">
        <v>0</v>
      </c>
      <c r="I253" s="1875">
        <v>12</v>
      </c>
      <c r="J253" s="1875">
        <v>12</v>
      </c>
      <c r="K253" s="1875">
        <v>12</v>
      </c>
    </row>
    <row r="254" spans="1:13">
      <c r="A254" s="1806" t="s">
        <v>414</v>
      </c>
      <c r="F254" s="541"/>
      <c r="G254" s="541"/>
      <c r="H254" s="1019">
        <f>H315</f>
        <v>23.005539373764694</v>
      </c>
      <c r="I254" s="1019">
        <f t="shared" ref="I254:K254" si="167">I315</f>
        <v>23.005539373764694</v>
      </c>
      <c r="J254" s="1019">
        <f t="shared" si="167"/>
        <v>23.005539373764694</v>
      </c>
      <c r="K254" s="1019">
        <f t="shared" si="167"/>
        <v>23.005539373764694</v>
      </c>
    </row>
    <row r="255" spans="1:13">
      <c r="A255" s="320" t="s">
        <v>416</v>
      </c>
      <c r="F255" s="541"/>
      <c r="G255" s="541"/>
      <c r="H255" s="1019">
        <v>0</v>
      </c>
      <c r="I255" s="541">
        <f>I256*I257</f>
        <v>4846.5661209677419</v>
      </c>
      <c r="J255" s="541">
        <f t="shared" ref="J255:K255" si="168">J256*J257</f>
        <v>4604.2378149193546</v>
      </c>
      <c r="K255" s="541">
        <f t="shared" si="168"/>
        <v>4374.0259241733866</v>
      </c>
    </row>
    <row r="256" spans="1:13">
      <c r="A256" s="320" t="s">
        <v>333</v>
      </c>
      <c r="F256" s="541"/>
      <c r="G256" s="541"/>
      <c r="H256" s="1019">
        <v>0</v>
      </c>
      <c r="I256" s="1884">
        <v>1</v>
      </c>
      <c r="J256" s="1884">
        <v>1</v>
      </c>
      <c r="K256" s="1884">
        <v>1</v>
      </c>
    </row>
    <row r="257" spans="1:12">
      <c r="A257" s="1806" t="s">
        <v>414</v>
      </c>
      <c r="F257" s="541"/>
      <c r="G257" s="541"/>
      <c r="H257" s="1019">
        <f>H380</f>
        <v>5101.6485483870965</v>
      </c>
      <c r="I257" s="1019">
        <f t="shared" ref="I257:K257" si="169">I380</f>
        <v>4846.5661209677419</v>
      </c>
      <c r="J257" s="1019">
        <f t="shared" si="169"/>
        <v>4604.2378149193546</v>
      </c>
      <c r="K257" s="1019">
        <f t="shared" si="169"/>
        <v>4374.0259241733866</v>
      </c>
    </row>
    <row r="258" spans="1:12">
      <c r="A258" s="392" t="s">
        <v>417</v>
      </c>
      <c r="F258" s="541"/>
      <c r="G258" s="541"/>
      <c r="H258" s="1019">
        <v>0</v>
      </c>
      <c r="I258" s="541">
        <f>I260*'Price&amp;Q'!BM69*(CA!I220+CA!I221)/1000</f>
        <v>1003981.6743585122</v>
      </c>
      <c r="J258" s="541">
        <f>J260*'Price&amp;Q'!BN69*(CA!J220+CA!J221)/1000</f>
        <v>1597125.8710170547</v>
      </c>
      <c r="K258" s="541">
        <f>K260*'Price&amp;Q'!BO69*(CA!K220+CA!K221)/1000</f>
        <v>2000717.1193188466</v>
      </c>
    </row>
    <row r="259" spans="1:12">
      <c r="A259" s="392" t="s">
        <v>418</v>
      </c>
      <c r="F259" s="541"/>
      <c r="G259" s="541"/>
      <c r="H259" s="1019"/>
      <c r="I259" s="541">
        <f>I258/'Price&amp;Q'!BM69</f>
        <v>7.9799999999999986</v>
      </c>
      <c r="J259" s="541">
        <f>J258/'Price&amp;Q'!BN69</f>
        <v>7.5809999999999995</v>
      </c>
      <c r="K259" s="541">
        <f>K258/'Price&amp;Q'!BO69</f>
        <v>7.2019499999999992</v>
      </c>
    </row>
    <row r="260" spans="1:12">
      <c r="A260" s="1806" t="s">
        <v>419</v>
      </c>
      <c r="F260" s="541"/>
      <c r="G260" s="541"/>
      <c r="H260" s="1019">
        <f>H321</f>
        <v>12000</v>
      </c>
      <c r="I260" s="1019">
        <f t="shared" ref="I260:K260" si="170">I321</f>
        <v>11400</v>
      </c>
      <c r="J260" s="1019">
        <f t="shared" si="170"/>
        <v>10830</v>
      </c>
      <c r="K260" s="1019">
        <f t="shared" si="170"/>
        <v>10288.5</v>
      </c>
    </row>
    <row r="261" spans="1:12">
      <c r="A261" s="392" t="s">
        <v>420</v>
      </c>
      <c r="F261" s="541"/>
      <c r="G261" s="541"/>
      <c r="H261" s="1019">
        <v>0</v>
      </c>
      <c r="I261" s="541">
        <f>I262*'Price&amp;Q'!BM69</f>
        <v>21035122.306015499</v>
      </c>
      <c r="J261" s="541">
        <f>J262*'Price&amp;Q'!BN69</f>
        <v>33462501.251739543</v>
      </c>
      <c r="K261" s="541">
        <f>K262*'Price&amp;Q'!BO69</f>
        <v>41918423.791451275</v>
      </c>
    </row>
    <row r="262" spans="1:12">
      <c r="A262" s="392" t="s">
        <v>381</v>
      </c>
      <c r="F262" s="541"/>
      <c r="G262" s="541"/>
      <c r="H262" s="1019"/>
      <c r="I262" s="541">
        <f>I323-2</f>
        <v>167.194561702789</v>
      </c>
      <c r="J262" s="541">
        <f>I262*L262</f>
        <v>158.83483361764954</v>
      </c>
      <c r="K262" s="541">
        <f>L262*J262</f>
        <v>150.89309193676706</v>
      </c>
      <c r="L262" s="1851">
        <v>0.95</v>
      </c>
    </row>
    <row r="263" spans="1:12">
      <c r="A263" s="392" t="s">
        <v>421</v>
      </c>
      <c r="F263" s="541"/>
      <c r="G263" s="541"/>
      <c r="H263" s="541"/>
      <c r="I263" s="541">
        <f>(I264+I268+I273+I275)/1000*'Price&amp;Q'!BM69</f>
        <v>2048736.5498688768</v>
      </c>
      <c r="J263" s="541">
        <f>(J264+J268+J273+J275)/1000*'Price&amp;Q'!BN69</f>
        <v>3204240.7775986041</v>
      </c>
      <c r="K263" s="541">
        <f>(K264+K268+K273+K275)/1000*'Price&amp;Q'!BO69</f>
        <v>3985934.7426269469</v>
      </c>
    </row>
    <row r="264" spans="1:12">
      <c r="A264" s="320" t="s">
        <v>382</v>
      </c>
      <c r="F264" s="1840"/>
      <c r="G264" s="1840"/>
      <c r="H264" s="1840"/>
      <c r="I264" s="1840">
        <f>I265*'Price&amp;Q'!$BJ$67*CA!I266/'Price&amp;Q'!BM69+I265*'Price&amp;Q'!$BK$67*CA!I267/'Price&amp;Q'!BM69</f>
        <v>963.40864848754825</v>
      </c>
      <c r="J264" s="1840">
        <f>J265*'Price&amp;Q'!$BJ$67*CA!J266/'Price&amp;Q'!BN69+J265*'Price&amp;Q'!$BK$67*CA!J267/'Price&amp;Q'!BN69</f>
        <v>575.33498973055453</v>
      </c>
      <c r="K264" s="1840">
        <f>K265*'Price&amp;Q'!$BJ$67*CA!K266/'Price&amp;Q'!BO69+K265*'Price&amp;Q'!$BK$67*CA!K267/'Price&amp;Q'!BO69</f>
        <v>436.31269425394623</v>
      </c>
      <c r="L264" s="1873"/>
    </row>
    <row r="265" spans="1:12">
      <c r="A265" s="320" t="s">
        <v>422</v>
      </c>
      <c r="F265" s="1880"/>
      <c r="G265" s="1880"/>
      <c r="H265" s="1880"/>
      <c r="I265" s="1885">
        <v>0.2</v>
      </c>
      <c r="J265" s="1885">
        <f>I265</f>
        <v>0.2</v>
      </c>
      <c r="K265" s="1885">
        <v>0.2</v>
      </c>
      <c r="L265" s="1873"/>
    </row>
    <row r="266" spans="1:12">
      <c r="A266" s="320" t="s">
        <v>423</v>
      </c>
      <c r="F266" s="1878"/>
      <c r="G266" s="1878"/>
      <c r="H266" s="1878"/>
      <c r="I266" s="1006">
        <v>10000</v>
      </c>
      <c r="J266" s="1007">
        <f>I266</f>
        <v>10000</v>
      </c>
      <c r="K266" s="1007">
        <f>J266</f>
        <v>10000</v>
      </c>
      <c r="L266" s="1873"/>
    </row>
    <row r="267" spans="1:12">
      <c r="A267" s="320" t="s">
        <v>424</v>
      </c>
      <c r="F267" s="1878"/>
      <c r="G267" s="1878"/>
      <c r="H267" s="1878"/>
      <c r="I267" s="1006">
        <v>3000</v>
      </c>
      <c r="J267" s="1007">
        <f>I267</f>
        <v>3000</v>
      </c>
      <c r="K267" s="1007">
        <f>J267</f>
        <v>3000</v>
      </c>
      <c r="L267" s="1873"/>
    </row>
    <row r="268" spans="1:12">
      <c r="A268" s="320" t="s">
        <v>385</v>
      </c>
      <c r="F268" s="1880"/>
      <c r="G268" s="1880"/>
      <c r="H268" s="1019"/>
      <c r="I268" s="1007">
        <f>((I269+I270)*I272+I271*I272*(I220+I221))</f>
        <v>9304.2711166134177</v>
      </c>
      <c r="J268" s="1007">
        <f t="shared" ref="J268:K268" si="171">((J269+J270)*J272+J271*J272*(J220+J221))</f>
        <v>8617.6794814696477</v>
      </c>
      <c r="K268" s="1007">
        <f t="shared" si="171"/>
        <v>7895.3940133226833</v>
      </c>
      <c r="L268" s="1873"/>
    </row>
    <row r="269" spans="1:12" ht="13.5" customHeight="1">
      <c r="A269" s="320" t="s">
        <v>386</v>
      </c>
      <c r="F269" s="1880"/>
      <c r="G269" s="1880"/>
      <c r="H269" s="1019"/>
      <c r="I269" s="1007">
        <f>I224*1000</f>
        <v>35940.355583067081</v>
      </c>
      <c r="J269" s="1007">
        <f t="shared" ref="J269:K269" si="172">J224*1000</f>
        <v>32854.377407348235</v>
      </c>
      <c r="K269" s="1007">
        <f t="shared" si="172"/>
        <v>29568.939666613416</v>
      </c>
      <c r="L269" s="1873"/>
    </row>
    <row r="270" spans="1:12">
      <c r="A270" s="320" t="s">
        <v>387</v>
      </c>
      <c r="F270" s="1840"/>
      <c r="G270" s="1840"/>
      <c r="H270" s="1840"/>
      <c r="I270" s="1840">
        <f>I235</f>
        <v>2601</v>
      </c>
      <c r="J270" s="1840">
        <f t="shared" ref="J270:K270" si="173">J235</f>
        <v>2653.02</v>
      </c>
      <c r="K270" s="1840">
        <f t="shared" si="173"/>
        <v>2706.0803999999998</v>
      </c>
      <c r="L270" s="1873"/>
    </row>
    <row r="271" spans="1:12">
      <c r="A271" s="320" t="s">
        <v>425</v>
      </c>
      <c r="F271" s="1840"/>
      <c r="G271" s="1840"/>
      <c r="H271" s="1840"/>
      <c r="I271" s="1840">
        <f>I260</f>
        <v>11400</v>
      </c>
      <c r="J271" s="1840">
        <f t="shared" ref="J271:K271" si="174">J260</f>
        <v>10830</v>
      </c>
      <c r="K271" s="1840">
        <f t="shared" si="174"/>
        <v>10288.5</v>
      </c>
      <c r="L271" s="1873"/>
    </row>
    <row r="272" spans="1:12">
      <c r="A272" s="320" t="s">
        <v>388</v>
      </c>
      <c r="F272" s="1840"/>
      <c r="G272" s="1840"/>
      <c r="H272" s="1880"/>
      <c r="I272" s="1885">
        <v>0.2</v>
      </c>
      <c r="J272" s="1885">
        <f>I272</f>
        <v>0.2</v>
      </c>
      <c r="K272" s="1885">
        <v>0.2</v>
      </c>
      <c r="L272" s="1873"/>
    </row>
    <row r="273" spans="1:12">
      <c r="A273" s="320" t="s">
        <v>426</v>
      </c>
      <c r="F273" s="1840"/>
      <c r="G273" s="1840"/>
      <c r="H273" s="1840"/>
      <c r="I273" s="1840">
        <f t="shared" ref="I273" si="175">I274</f>
        <v>3500</v>
      </c>
      <c r="J273" s="1840">
        <f t="shared" ref="J273" si="176">J274</f>
        <v>3500</v>
      </c>
      <c r="K273" s="1840">
        <f t="shared" ref="K273" si="177">K274</f>
        <v>3500</v>
      </c>
      <c r="L273" s="1873"/>
    </row>
    <row r="274" spans="1:12">
      <c r="A274" s="320" t="s">
        <v>427</v>
      </c>
      <c r="F274" s="1840"/>
      <c r="G274" s="1840"/>
      <c r="H274" s="1884"/>
      <c r="I274" s="1884">
        <v>3500</v>
      </c>
      <c r="J274" s="1884">
        <v>3500</v>
      </c>
      <c r="K274" s="1884">
        <v>3500</v>
      </c>
      <c r="L274" s="1873"/>
    </row>
    <row r="275" spans="1:12">
      <c r="A275" s="320" t="s">
        <v>428</v>
      </c>
      <c r="F275" s="1840"/>
      <c r="G275" s="1840"/>
      <c r="H275" s="1840"/>
      <c r="I275" s="1840">
        <f t="shared" ref="I275" si="178">I276*12*3</f>
        <v>2516.4</v>
      </c>
      <c r="J275" s="1840">
        <f t="shared" ref="J275" si="179">J276*12*3</f>
        <v>2516.4</v>
      </c>
      <c r="K275" s="1840">
        <f t="shared" ref="K275" si="180">K276*12*3</f>
        <v>2516.4</v>
      </c>
      <c r="L275" s="1873"/>
    </row>
    <row r="276" spans="1:12">
      <c r="A276" s="320" t="s">
        <v>429</v>
      </c>
      <c r="F276" s="1840"/>
      <c r="G276" s="1840"/>
      <c r="H276" s="1886"/>
      <c r="I276" s="1886">
        <v>69.900000000000006</v>
      </c>
      <c r="J276" s="1886">
        <v>69.900000000000006</v>
      </c>
      <c r="K276" s="1886">
        <v>69.900000000000006</v>
      </c>
      <c r="L276" s="1873"/>
    </row>
    <row r="277" spans="1:12">
      <c r="A277" s="392" t="s">
        <v>430</v>
      </c>
      <c r="F277" s="541"/>
      <c r="G277" s="541"/>
      <c r="H277" s="1019"/>
      <c r="I277" s="543">
        <f>I222/'Price&amp;Q'!BM69</f>
        <v>253.20956837831355</v>
      </c>
      <c r="J277" s="543">
        <f>J222/'Price&amp;Q'!BN69</f>
        <v>239.48983668081092</v>
      </c>
      <c r="K277" s="543">
        <f>K222/'Price&amp;Q'!BO69</f>
        <v>226.26924015996369</v>
      </c>
    </row>
    <row r="278" spans="1:12">
      <c r="A278" s="392" t="s">
        <v>431</v>
      </c>
      <c r="F278" s="541"/>
      <c r="G278" s="541"/>
      <c r="H278" s="541"/>
      <c r="I278" s="541"/>
      <c r="J278" s="541"/>
      <c r="K278" s="541"/>
    </row>
    <row r="279" spans="1:12">
      <c r="A279" s="392" t="s">
        <v>391</v>
      </c>
      <c r="F279" s="541"/>
      <c r="G279" s="541"/>
      <c r="H279" s="541"/>
      <c r="I279" s="541"/>
      <c r="J279" s="541"/>
      <c r="K279" s="541"/>
    </row>
    <row r="280" spans="1:12">
      <c r="A280" s="320" t="s">
        <v>432</v>
      </c>
      <c r="F280" s="541"/>
      <c r="G280" s="541"/>
      <c r="H280" s="1879">
        <v>0.3</v>
      </c>
      <c r="I280" s="1879">
        <v>0.3</v>
      </c>
      <c r="J280" s="1879">
        <v>0.3</v>
      </c>
      <c r="K280" s="1879">
        <v>0.3</v>
      </c>
    </row>
    <row r="281" spans="1:12">
      <c r="A281" s="320" t="s">
        <v>433</v>
      </c>
      <c r="F281" s="541"/>
      <c r="G281" s="541"/>
      <c r="H281" s="1879">
        <v>0.6</v>
      </c>
      <c r="I281" s="1879">
        <v>0.6</v>
      </c>
      <c r="J281" s="1879">
        <v>0.6</v>
      </c>
      <c r="K281" s="1879">
        <v>0.6</v>
      </c>
    </row>
    <row r="282" spans="1:12">
      <c r="A282" s="320" t="s">
        <v>434</v>
      </c>
      <c r="F282" s="541"/>
      <c r="G282" s="541"/>
      <c r="H282" s="1880">
        <v>0.1</v>
      </c>
      <c r="I282" s="1880">
        <v>0.1</v>
      </c>
      <c r="J282" s="1880">
        <v>0.1</v>
      </c>
      <c r="K282" s="1880">
        <v>0.1</v>
      </c>
    </row>
    <row r="283" spans="1:12">
      <c r="A283" s="392" t="s">
        <v>435</v>
      </c>
      <c r="F283" s="541"/>
      <c r="G283" s="541"/>
      <c r="H283" s="541">
        <f>H284+H289+H324</f>
        <v>4188815.345077225</v>
      </c>
      <c r="I283" s="541">
        <f t="shared" ref="I283:K283" si="181">I284+I289+I324</f>
        <v>30188249.696742442</v>
      </c>
      <c r="J283" s="541">
        <f t="shared" si="181"/>
        <v>48626139.94926504</v>
      </c>
      <c r="K283" s="541">
        <f t="shared" si="181"/>
        <v>63817424.802916855</v>
      </c>
    </row>
    <row r="284" spans="1:12">
      <c r="A284" s="392" t="s">
        <v>436</v>
      </c>
      <c r="F284" s="1840"/>
      <c r="G284" s="1840"/>
      <c r="H284" s="1840">
        <f>H287/1000*H286*1000000*(H281+H282)+H288/1000*H286*1000000*H280</f>
        <v>533507.97671105363</v>
      </c>
      <c r="I284" s="1840">
        <f>I287/1000*I286*1000000*(I281+I282)+I288/1000*I286*1000000*I280</f>
        <v>4412962.010025667</v>
      </c>
      <c r="J284" s="1840">
        <f>J287/1000*J286*1000000*(J281+J282)+J288/1000*J286*1000000*J280</f>
        <v>6872685.5477751046</v>
      </c>
      <c r="K284" s="1840">
        <f>K287/1000*K286*1000000*(K281+K282)+K288/1000*K286*1000000*K280</f>
        <v>8595908.7868573964</v>
      </c>
      <c r="L284" s="320" t="s">
        <v>395</v>
      </c>
    </row>
    <row r="285" spans="1:12">
      <c r="A285" s="392" t="s">
        <v>437</v>
      </c>
      <c r="F285" s="1840"/>
      <c r="G285" s="1840"/>
      <c r="H285" s="1840">
        <f>H284/'Price&amp;Q'!BL68</f>
        <v>34.459887398982922</v>
      </c>
      <c r="I285" s="1840">
        <f>I284/'Price&amp;Q'!BM68</f>
        <v>37.609956453674116</v>
      </c>
      <c r="J285" s="1840">
        <f>J284/'Price&amp;Q'!BN68</f>
        <v>34.380619878594253</v>
      </c>
      <c r="K285" s="1840">
        <f>K284/'Price&amp;Q'!BO68</f>
        <v>30.942557890734822</v>
      </c>
    </row>
    <row r="286" spans="1:12">
      <c r="A286" s="320" t="s">
        <v>354</v>
      </c>
      <c r="F286" s="541"/>
      <c r="G286" s="541"/>
      <c r="H286" s="541">
        <f>'Price&amp;Q'!DF68</f>
        <v>0.66262959999999993</v>
      </c>
      <c r="I286" s="541">
        <f>'Price&amp;Q'!DG68</f>
        <v>5.0219354617372165</v>
      </c>
      <c r="J286" s="541">
        <f>'Price&amp;Q'!DH68</f>
        <v>8.5557195444261342</v>
      </c>
      <c r="K286" s="541">
        <f>'Price&amp;Q'!DI68</f>
        <v>11.889931575038238</v>
      </c>
    </row>
    <row r="287" spans="1:12">
      <c r="A287" s="1806" t="s">
        <v>304</v>
      </c>
      <c r="D287" s="1830">
        <f>E287/$L287</f>
        <v>1060.9143507061617</v>
      </c>
      <c r="E287" s="1821">
        <v>954.82291563554554</v>
      </c>
      <c r="F287" s="1821">
        <v>886.97010123734538</v>
      </c>
      <c r="G287" s="1821">
        <v>783.90883386170901</v>
      </c>
      <c r="H287" s="1821">
        <v>830.03871757835361</v>
      </c>
      <c r="I287" s="1821">
        <f>2880.05/313*100</f>
        <v>920.14376996805117</v>
      </c>
      <c r="J287" s="1828">
        <f>I287*$L287</f>
        <v>828.12939297124603</v>
      </c>
      <c r="K287" s="1828">
        <f>J287*$L287</f>
        <v>745.31645367412148</v>
      </c>
      <c r="L287" s="1851">
        <v>0.9</v>
      </c>
    </row>
    <row r="288" spans="1:12">
      <c r="A288" s="320" t="s">
        <v>305</v>
      </c>
      <c r="D288" s="1815">
        <f>D287*$L288</f>
        <v>954.82291563554554</v>
      </c>
      <c r="E288" s="1815">
        <f>E287*$L288</f>
        <v>859.34062407199099</v>
      </c>
      <c r="F288" s="1815">
        <v>820</v>
      </c>
      <c r="G288" s="1815">
        <f>G287*$L288</f>
        <v>705.5179504755381</v>
      </c>
      <c r="H288" s="1815">
        <f>H287*$L288</f>
        <v>747.03484582051829</v>
      </c>
      <c r="I288" s="1815">
        <f>I287*0.85</f>
        <v>782.12220447284346</v>
      </c>
      <c r="J288" s="1815">
        <f>J287*$L288</f>
        <v>745.31645367412148</v>
      </c>
      <c r="K288" s="1815">
        <f>K287*$L288</f>
        <v>670.78480830670935</v>
      </c>
      <c r="L288" s="1853">
        <v>0.9</v>
      </c>
    </row>
    <row r="289" spans="1:13">
      <c r="A289" s="392" t="s">
        <v>253</v>
      </c>
      <c r="F289" s="541"/>
      <c r="G289" s="541"/>
      <c r="H289" s="541">
        <f>H290+H293+H297+H319+H322</f>
        <v>3300345.6882239603</v>
      </c>
      <c r="I289" s="541">
        <f>I290+I293+I297+I319+I322</f>
        <v>23817248.546017155</v>
      </c>
      <c r="J289" s="541">
        <f t="shared" ref="J289:K289" si="182">J290+J293+J297+J319+J322</f>
        <v>38645874.298161671</v>
      </c>
      <c r="K289" s="541">
        <f t="shared" si="182"/>
        <v>51159262.4571006</v>
      </c>
    </row>
    <row r="290" spans="1:13">
      <c r="A290" s="392" t="s">
        <v>396</v>
      </c>
      <c r="F290" s="546"/>
      <c r="G290" s="546"/>
      <c r="H290" s="1019">
        <f>H292*'Price&amp;Q'!BL68/1000</f>
        <v>181694.24624277456</v>
      </c>
      <c r="I290" s="1019">
        <f>I292*'Price&amp;Q'!BM68/1000</f>
        <v>1308172.6796994784</v>
      </c>
      <c r="J290" s="1019">
        <f>J292*'Price&amp;Q'!BN68/1000</f>
        <v>2117259.5139945387</v>
      </c>
      <c r="K290" s="1019">
        <f>K292*'Price&amp;Q'!BO68/1000</f>
        <v>2795249.0829569595</v>
      </c>
    </row>
    <row r="291" spans="1:13">
      <c r="A291" s="392" t="s">
        <v>356</v>
      </c>
      <c r="F291" s="546"/>
      <c r="G291" s="546"/>
      <c r="H291" s="1019">
        <f>H290/'Price&amp;Q'!BL68</f>
        <v>11.735838150289018</v>
      </c>
      <c r="I291" s="1019">
        <f>I290/'Price&amp;Q'!BM68</f>
        <v>11.149046242774567</v>
      </c>
      <c r="J291" s="1019">
        <f>J290/'Price&amp;Q'!BN68</f>
        <v>10.591593930635838</v>
      </c>
      <c r="K291" s="1019">
        <f>K290/'Price&amp;Q'!BO68</f>
        <v>10.062014234104042</v>
      </c>
    </row>
    <row r="292" spans="1:13">
      <c r="A292" s="1806" t="s">
        <v>397</v>
      </c>
      <c r="F292" s="546"/>
      <c r="G292" s="546"/>
      <c r="H292" s="546">
        <v>11735.838150289017</v>
      </c>
      <c r="I292" s="1883">
        <f>H292*L292</f>
        <v>11149.046242774566</v>
      </c>
      <c r="J292" s="1883">
        <f>I292*L292</f>
        <v>10591.593930635838</v>
      </c>
      <c r="K292" s="1883">
        <f>J292*L292</f>
        <v>10062.014234104045</v>
      </c>
      <c r="L292" s="1851">
        <v>0.95</v>
      </c>
      <c r="M292" s="320" t="s">
        <v>398</v>
      </c>
    </row>
    <row r="293" spans="1:13">
      <c r="A293" s="392" t="s">
        <v>399</v>
      </c>
      <c r="F293" s="541"/>
      <c r="G293" s="541"/>
      <c r="H293" s="541">
        <f>H295*H296*'Price&amp;Q'!BL68/1000</f>
        <v>78958.2</v>
      </c>
      <c r="I293" s="541">
        <f>I295*I296*'Price&amp;Q'!BM68/1000</f>
        <v>610376.36149432254</v>
      </c>
      <c r="J293" s="541">
        <f>J295*J296*'Price&amp;Q'!BN68/1000</f>
        <v>1060677.3395211878</v>
      </c>
      <c r="K293" s="541">
        <f>K295*K296*'Price&amp;Q'!BO68/1000</f>
        <v>1503509.8501192571</v>
      </c>
    </row>
    <row r="294" spans="1:13">
      <c r="A294" s="392" t="s">
        <v>360</v>
      </c>
      <c r="F294" s="541"/>
      <c r="G294" s="541"/>
      <c r="H294" s="541">
        <f>H293/'Price&amp;Q'!BL68</f>
        <v>5.0999999999999996</v>
      </c>
      <c r="I294" s="541">
        <f>I293/'Price&amp;Q'!BM68</f>
        <v>5.2020000000000008</v>
      </c>
      <c r="J294" s="541">
        <f>J293/'Price&amp;Q'!BN68</f>
        <v>5.3060399999999994</v>
      </c>
      <c r="K294" s="541">
        <f>K293/'Price&amp;Q'!BO68</f>
        <v>5.4121607999999988</v>
      </c>
    </row>
    <row r="295" spans="1:13">
      <c r="A295" s="320" t="s">
        <v>361</v>
      </c>
      <c r="H295" s="1864">
        <v>2</v>
      </c>
      <c r="I295" s="1864">
        <v>2</v>
      </c>
      <c r="J295" s="1864">
        <v>2</v>
      </c>
      <c r="K295" s="1864">
        <v>2</v>
      </c>
    </row>
    <row r="296" spans="1:13">
      <c r="A296" s="1806" t="s">
        <v>400</v>
      </c>
      <c r="F296" s="541"/>
      <c r="G296" s="541"/>
      <c r="H296" s="1875">
        <v>2550</v>
      </c>
      <c r="I296" s="541">
        <f t="shared" ref="I296:K296" si="183">H296*(1+2%)</f>
        <v>2601</v>
      </c>
      <c r="J296" s="541">
        <f t="shared" si="183"/>
        <v>2653.02</v>
      </c>
      <c r="K296" s="541">
        <f t="shared" si="183"/>
        <v>2706.0803999999998</v>
      </c>
      <c r="L296" s="1874" t="s">
        <v>364</v>
      </c>
    </row>
    <row r="297" spans="1:13">
      <c r="A297" s="392" t="s">
        <v>401</v>
      </c>
      <c r="F297" s="541"/>
      <c r="G297" s="541"/>
      <c r="H297" s="541">
        <f>H299+H302+H309</f>
        <v>152307.3848416284</v>
      </c>
      <c r="I297" s="541">
        <f t="shared" ref="I297:K297" si="184">I299+I302+I309</f>
        <v>1109932.8148003467</v>
      </c>
      <c r="J297" s="541">
        <f t="shared" si="184"/>
        <v>1821604.0960734813</v>
      </c>
      <c r="K297" s="541">
        <f t="shared" si="184"/>
        <v>2439929.7512695836</v>
      </c>
    </row>
    <row r="298" spans="1:13">
      <c r="A298" s="392" t="s">
        <v>365</v>
      </c>
      <c r="F298" s="541"/>
      <c r="G298" s="541"/>
      <c r="H298" s="541">
        <f>H297/'Price&amp;Q'!BL68</f>
        <v>9.8377073273238853</v>
      </c>
      <c r="I298" s="541">
        <f>I297/'Price&amp;Q'!BM68</f>
        <v>9.4595250845819496</v>
      </c>
      <c r="J298" s="541">
        <f>J297/'Price&amp;Q'!BN68</f>
        <v>9.1125772539771113</v>
      </c>
      <c r="K298" s="541">
        <f>K297/'Price&amp;Q'!BO68</f>
        <v>8.7829768149025131</v>
      </c>
    </row>
    <row r="299" spans="1:13">
      <c r="A299" s="320" t="s">
        <v>438</v>
      </c>
      <c r="F299" s="541"/>
      <c r="G299" s="541"/>
      <c r="H299" s="541">
        <f>H300*(H281+H280)*'Price&amp;Q'!BL68/1000+H301*2*'Price&amp;Q'!BL68*CA!H282/1000</f>
        <v>34950.243432000003</v>
      </c>
      <c r="I299" s="541">
        <f>I300*(I281+I280)*'Price&amp;Q'!BM68/1000+I301*2*'Price&amp;Q'!BM68*CA!I282/1000</f>
        <v>263358.50905934826</v>
      </c>
      <c r="J299" s="541">
        <f>J300*(J281+J280)*'Price&amp;Q'!BN68/1000+J301*2*'Price&amp;Q'!BN68*CA!J282/1000</f>
        <v>448675.92590896133</v>
      </c>
      <c r="K299" s="541">
        <f>K300*(K281+K280)*'Price&amp;Q'!BO68/1000+K301*2*'Price&amp;Q'!BO68*CA!K282/1000</f>
        <v>623527.45794477744</v>
      </c>
    </row>
    <row r="300" spans="1:13">
      <c r="A300" s="1806" t="s">
        <v>439</v>
      </c>
      <c r="F300" s="541"/>
      <c r="G300" s="541"/>
      <c r="H300" s="415">
        <f>H239</f>
        <v>1736.52</v>
      </c>
      <c r="I300" s="415">
        <f>I239</f>
        <v>1726.54</v>
      </c>
      <c r="J300" s="415">
        <f>J239</f>
        <v>1726.54</v>
      </c>
      <c r="K300" s="415">
        <f>K239</f>
        <v>1726.54</v>
      </c>
      <c r="L300" s="1874" t="s">
        <v>404</v>
      </c>
    </row>
    <row r="301" spans="1:13">
      <c r="A301" s="1806" t="s">
        <v>440</v>
      </c>
      <c r="F301" s="541"/>
      <c r="G301" s="541"/>
      <c r="H301" s="415">
        <f>H363</f>
        <v>3473.04</v>
      </c>
      <c r="I301" s="415">
        <f t="shared" ref="I301:K301" si="185">I363</f>
        <v>3453.08</v>
      </c>
      <c r="J301" s="415">
        <f t="shared" si="185"/>
        <v>3453.08</v>
      </c>
      <c r="K301" s="415">
        <f t="shared" si="185"/>
        <v>3453.08</v>
      </c>
    </row>
    <row r="302" spans="1:13">
      <c r="A302" s="320" t="s">
        <v>441</v>
      </c>
      <c r="F302" s="541"/>
      <c r="G302" s="541"/>
      <c r="H302" s="541">
        <f>H303*'Price&amp;Q'!BL68*(CA!H280+CA!H281)/1000+CA!H306*'Price&amp;Q'!BL68*CA!H282/1000</f>
        <v>85832.207999999984</v>
      </c>
      <c r="I302" s="541">
        <f>I303*'Price&amp;Q'!BM68*(CA!I280+CA!I281)/1000+CA!I306*'Price&amp;Q'!BM68*CA!I282/1000</f>
        <v>617979.66565134516</v>
      </c>
      <c r="J302" s="541">
        <f>J303*'Price&amp;Q'!BN68*(CA!J280+CA!J281)/1000+CA!J306*'Price&amp;Q'!BN68*CA!J282/1000</f>
        <v>1000191.6007419247</v>
      </c>
      <c r="K302" s="541">
        <f>K303*'Price&amp;Q'!BO68*(CA!K280+CA!K281)/1000+CA!K306*'Price&amp;Q'!BO68*CA!K282/1000</f>
        <v>1320473.2987504387</v>
      </c>
    </row>
    <row r="303" spans="1:13">
      <c r="A303" s="320" t="s">
        <v>407</v>
      </c>
      <c r="F303" s="541"/>
      <c r="G303" s="541"/>
      <c r="H303" s="541">
        <f>H304*H369+H370*H305</f>
        <v>5460</v>
      </c>
      <c r="I303" s="541">
        <f>I304*I369+I370*I305</f>
        <v>5187</v>
      </c>
      <c r="J303" s="541">
        <f>J304*J369+J370*J305</f>
        <v>4927.6500000000005</v>
      </c>
      <c r="K303" s="541">
        <f>K304*K369+K370*K305</f>
        <v>4681.2674999999999</v>
      </c>
    </row>
    <row r="304" spans="1:13">
      <c r="A304" s="320" t="s">
        <v>408</v>
      </c>
      <c r="F304" s="541"/>
      <c r="G304" s="541"/>
      <c r="H304" s="1875">
        <v>1</v>
      </c>
      <c r="I304" s="1875">
        <v>1</v>
      </c>
      <c r="J304" s="1875">
        <v>1</v>
      </c>
      <c r="K304" s="1875">
        <v>1</v>
      </c>
    </row>
    <row r="305" spans="1:12">
      <c r="A305" s="320" t="s">
        <v>409</v>
      </c>
      <c r="F305" s="541"/>
      <c r="G305" s="541"/>
      <c r="H305" s="1875">
        <v>9</v>
      </c>
      <c r="I305" s="1875">
        <v>9</v>
      </c>
      <c r="J305" s="1875">
        <v>9</v>
      </c>
      <c r="K305" s="1875">
        <v>9</v>
      </c>
    </row>
    <row r="306" spans="1:12">
      <c r="A306" s="320" t="s">
        <v>410</v>
      </c>
      <c r="F306" s="541"/>
      <c r="G306" s="541"/>
      <c r="H306" s="541">
        <f>H307*H369+H308*H370</f>
        <v>6300</v>
      </c>
      <c r="I306" s="541">
        <f>I307*I369+I308*I370</f>
        <v>5985</v>
      </c>
      <c r="J306" s="541">
        <f>J307*J369+J308*J370</f>
        <v>5685.75</v>
      </c>
      <c r="K306" s="541">
        <f>K307*K369+K308*K370</f>
        <v>5401.4624999999996</v>
      </c>
    </row>
    <row r="307" spans="1:12">
      <c r="A307" s="320" t="s">
        <v>408</v>
      </c>
      <c r="F307" s="541"/>
      <c r="G307" s="541"/>
      <c r="H307" s="1875">
        <v>6</v>
      </c>
      <c r="I307" s="1875">
        <v>6</v>
      </c>
      <c r="J307" s="1875">
        <v>6</v>
      </c>
      <c r="K307" s="1875">
        <v>6</v>
      </c>
    </row>
    <row r="308" spans="1:12">
      <c r="A308" s="320" t="s">
        <v>409</v>
      </c>
      <c r="F308" s="541"/>
      <c r="G308" s="541"/>
      <c r="H308" s="1875">
        <v>5</v>
      </c>
      <c r="I308" s="1875">
        <v>5</v>
      </c>
      <c r="J308" s="1875">
        <v>5</v>
      </c>
      <c r="K308" s="1875">
        <v>5</v>
      </c>
    </row>
    <row r="309" spans="1:12">
      <c r="A309" s="320" t="s">
        <v>442</v>
      </c>
      <c r="F309" s="541"/>
      <c r="G309" s="541"/>
      <c r="H309" s="541">
        <f>(H310+H313)*'Price&amp;Q'!BL68/1000+CA!H316*'Price&amp;Q'!BL68*CA!H282/1000</f>
        <v>31524.933409628404</v>
      </c>
      <c r="I309" s="541">
        <f>(I310+I313)*'Price&amp;Q'!BM68/1000+CA!I316*'Price&amp;Q'!BM68*CA!I282/1000</f>
        <v>228594.64008965332</v>
      </c>
      <c r="J309" s="541">
        <f>(J310+J313)*'Price&amp;Q'!BN68/1000+CA!J316*'Price&amp;Q'!BN68*CA!J282/1000</f>
        <v>372736.56942259514</v>
      </c>
      <c r="K309" s="541">
        <f>(K310+K313)*'Price&amp;Q'!BO68/1000+CA!K316*'Price&amp;Q'!BO68*CA!K282/1000</f>
        <v>495928.99457436759</v>
      </c>
    </row>
    <row r="310" spans="1:12">
      <c r="A310" s="320" t="s">
        <v>443</v>
      </c>
      <c r="F310" s="541"/>
      <c r="G310" s="541"/>
      <c r="H310" s="1840">
        <f>H312*H311</f>
        <v>1250</v>
      </c>
      <c r="I310" s="1840">
        <f>I312*I311</f>
        <v>1187.5</v>
      </c>
      <c r="J310" s="1840">
        <f>J312*J311</f>
        <v>1128.125</v>
      </c>
      <c r="K310" s="1840">
        <f>K312*K311</f>
        <v>1071.71875</v>
      </c>
    </row>
    <row r="311" spans="1:12">
      <c r="A311" s="320" t="s">
        <v>444</v>
      </c>
      <c r="F311" s="541"/>
      <c r="G311" s="541"/>
      <c r="H311" s="1884">
        <v>1</v>
      </c>
      <c r="I311" s="1884">
        <v>1</v>
      </c>
      <c r="J311" s="1884">
        <v>1</v>
      </c>
      <c r="K311" s="1884">
        <v>1</v>
      </c>
    </row>
    <row r="312" spans="1:12">
      <c r="A312" s="1806" t="s">
        <v>445</v>
      </c>
      <c r="F312" s="541"/>
      <c r="G312" s="541"/>
      <c r="H312" s="1884">
        <v>1250</v>
      </c>
      <c r="I312" s="1840">
        <f>H312*L312</f>
        <v>1187.5</v>
      </c>
      <c r="J312" s="1840">
        <f>I312*L312</f>
        <v>1128.125</v>
      </c>
      <c r="K312" s="1840">
        <f>J312*L312</f>
        <v>1071.71875</v>
      </c>
      <c r="L312" s="1851">
        <v>0.95</v>
      </c>
    </row>
    <row r="313" spans="1:12">
      <c r="A313" s="320" t="s">
        <v>446</v>
      </c>
      <c r="F313" s="541"/>
      <c r="G313" s="541"/>
      <c r="H313" s="541">
        <f>H314*H315</f>
        <v>276.06647248517635</v>
      </c>
      <c r="I313" s="541">
        <f t="shared" ref="I313:K313" si="186">I314*I315</f>
        <v>276.06647248517635</v>
      </c>
      <c r="J313" s="541">
        <f t="shared" si="186"/>
        <v>276.06647248517635</v>
      </c>
      <c r="K313" s="541">
        <f t="shared" si="186"/>
        <v>276.06647248517635</v>
      </c>
    </row>
    <row r="314" spans="1:12">
      <c r="A314" s="320" t="s">
        <v>444</v>
      </c>
      <c r="F314" s="541"/>
      <c r="G314" s="541"/>
      <c r="H314" s="1875">
        <v>12</v>
      </c>
      <c r="I314" s="1875">
        <v>12</v>
      </c>
      <c r="J314" s="1875">
        <v>12</v>
      </c>
      <c r="K314" s="1875">
        <v>12</v>
      </c>
    </row>
    <row r="315" spans="1:12">
      <c r="A315" s="1806" t="s">
        <v>445</v>
      </c>
      <c r="F315" s="541"/>
      <c r="G315" s="541"/>
      <c r="H315" s="415">
        <f>H377</f>
        <v>23.005539373764694</v>
      </c>
      <c r="I315" s="415">
        <f t="shared" ref="I315:K315" si="187">I377</f>
        <v>23.005539373764694</v>
      </c>
      <c r="J315" s="415">
        <f t="shared" si="187"/>
        <v>23.005539373764694</v>
      </c>
      <c r="K315" s="415">
        <f t="shared" si="187"/>
        <v>23.005539373764694</v>
      </c>
    </row>
    <row r="316" spans="1:12">
      <c r="A316" s="320" t="s">
        <v>447</v>
      </c>
      <c r="F316" s="541"/>
      <c r="G316" s="541"/>
      <c r="H316" s="541">
        <f>H317*H318</f>
        <v>5101.6485483870965</v>
      </c>
      <c r="I316" s="541">
        <f t="shared" ref="I316:K316" si="188">I317*I318</f>
        <v>4846.5661209677419</v>
      </c>
      <c r="J316" s="541">
        <f t="shared" si="188"/>
        <v>4604.2378149193546</v>
      </c>
      <c r="K316" s="541">
        <f t="shared" si="188"/>
        <v>4374.0259241733866</v>
      </c>
    </row>
    <row r="317" spans="1:12">
      <c r="A317" s="320" t="s">
        <v>444</v>
      </c>
      <c r="F317" s="541"/>
      <c r="G317" s="541"/>
      <c r="H317" s="1875">
        <v>1</v>
      </c>
      <c r="I317" s="1875">
        <v>1</v>
      </c>
      <c r="J317" s="1875">
        <v>1</v>
      </c>
      <c r="K317" s="1875">
        <v>1</v>
      </c>
    </row>
    <row r="318" spans="1:12">
      <c r="A318" s="1806" t="s">
        <v>445</v>
      </c>
      <c r="F318" s="541"/>
      <c r="G318" s="541"/>
      <c r="H318" s="541">
        <f>H380</f>
        <v>5101.6485483870965</v>
      </c>
      <c r="I318" s="541">
        <f t="shared" ref="I318:K318" si="189">I380</f>
        <v>4846.5661209677419</v>
      </c>
      <c r="J318" s="541">
        <f>J380</f>
        <v>4604.2378149193546</v>
      </c>
      <c r="K318" s="541">
        <f t="shared" si="189"/>
        <v>4374.0259241733866</v>
      </c>
    </row>
    <row r="319" spans="1:12">
      <c r="A319" s="392" t="s">
        <v>417</v>
      </c>
      <c r="F319" s="541"/>
      <c r="G319" s="541"/>
      <c r="H319" s="541">
        <f>H321*'Price&amp;Q'!BL68*(CA!H282+CA!H281)/1000</f>
        <v>130048.79999999999</v>
      </c>
      <c r="I319" s="541">
        <f>I321*'Price&amp;Q'!BM68*(CA!I282+CA!I281)/1000</f>
        <v>936332.82674446225</v>
      </c>
      <c r="J319" s="541">
        <f>J321*'Price&amp;Q'!BN68*(CA!J282+CA!J281)/1000</f>
        <v>1515441.8193059468</v>
      </c>
      <c r="K319" s="541">
        <f>K321*'Price&amp;Q'!BO68*(CA!K282+CA!K281)/1000</f>
        <v>2000717.1193188466</v>
      </c>
    </row>
    <row r="320" spans="1:12">
      <c r="A320" s="392" t="s">
        <v>418</v>
      </c>
      <c r="F320" s="541"/>
      <c r="G320" s="541"/>
      <c r="H320" s="541">
        <f>H319/'Price&amp;Q'!BL68</f>
        <v>8.3999999999999986</v>
      </c>
      <c r="I320" s="541">
        <f>I319/'Price&amp;Q'!BM68</f>
        <v>7.9799999999999986</v>
      </c>
      <c r="J320" s="541">
        <f>J319/'Price&amp;Q'!BN68</f>
        <v>7.5810000000000004</v>
      </c>
      <c r="K320" s="541">
        <f>K319/'Price&amp;Q'!BO68</f>
        <v>7.2019499999999992</v>
      </c>
    </row>
    <row r="321" spans="1:12">
      <c r="A321" s="1806" t="s">
        <v>419</v>
      </c>
      <c r="F321" s="541"/>
      <c r="G321" s="541"/>
      <c r="H321" s="541">
        <f>H383</f>
        <v>12000</v>
      </c>
      <c r="I321" s="541">
        <f t="shared" ref="I321:K321" si="190">I383</f>
        <v>11400</v>
      </c>
      <c r="J321" s="541">
        <f t="shared" si="190"/>
        <v>10830</v>
      </c>
      <c r="K321" s="541">
        <f t="shared" si="190"/>
        <v>10288.5</v>
      </c>
    </row>
    <row r="322" spans="1:12">
      <c r="A322" s="392" t="s">
        <v>448</v>
      </c>
      <c r="F322" s="541"/>
      <c r="G322" s="541"/>
      <c r="H322" s="541">
        <f>H323*'Price&amp;Q'!BL68</f>
        <v>2757337.0571395573</v>
      </c>
      <c r="I322" s="541">
        <f>I323*'Price&amp;Q'!BM68</f>
        <v>19852433.863278545</v>
      </c>
      <c r="J322" s="541">
        <f>J323*'Price&amp;Q'!BN68</f>
        <v>32130891.529266518</v>
      </c>
      <c r="K322" s="541">
        <f>K323*'Price&amp;Q'!BO68</f>
        <v>42419856.653435953</v>
      </c>
    </row>
    <row r="323" spans="1:12">
      <c r="A323" s="392" t="s">
        <v>449</v>
      </c>
      <c r="F323" s="541"/>
      <c r="G323" s="541"/>
      <c r="H323" s="541">
        <f>G418*G418/F418</f>
        <v>178.09953863451474</v>
      </c>
      <c r="I323" s="541">
        <f>H323*L323</f>
        <v>169.194561702789</v>
      </c>
      <c r="J323" s="541">
        <f>I323*L323</f>
        <v>160.73483361764954</v>
      </c>
      <c r="K323" s="541">
        <f>L323*J323</f>
        <v>152.69809193676707</v>
      </c>
      <c r="L323" s="1851">
        <v>0.95</v>
      </c>
    </row>
    <row r="324" spans="1:12">
      <c r="A324" s="392" t="s">
        <v>421</v>
      </c>
      <c r="F324" s="541"/>
      <c r="G324" s="541"/>
      <c r="H324" s="541">
        <f>(H325+H329+H334+H336)/1000*'Price&amp;Q'!BL68</f>
        <v>354961.68014221074</v>
      </c>
      <c r="I324" s="541">
        <f>(I325+I329+I334+I336)/1000*'Price&amp;Q'!BM68</f>
        <v>1958039.1406996215</v>
      </c>
      <c r="J324" s="541">
        <f>(J325+J329+J334+J336)/1000*'Price&amp;Q'!BN68</f>
        <v>3107580.103328268</v>
      </c>
      <c r="K324" s="541">
        <f>(K325+K329+K334+K336)/1000*'Price&amp;Q'!BO68</f>
        <v>4062253.5589588587</v>
      </c>
    </row>
    <row r="325" spans="1:12">
      <c r="A325" s="320" t="s">
        <v>382</v>
      </c>
      <c r="F325" s="1840"/>
      <c r="G325" s="1840"/>
      <c r="H325" s="1840">
        <f>H326*'Price&amp;Q'!$BJ$67*CA!H327/'Price&amp;Q'!BL68+H326*'Price&amp;Q'!$BK$67*CA!H328/'Price&amp;Q'!BL68</f>
        <v>7829.0014210050385</v>
      </c>
      <c r="I325" s="1840">
        <f>I326*'Price&amp;Q'!$BJ$67*CA!I327/'Price&amp;Q'!BM68+I326*'Price&amp;Q'!$BK$67*CA!I328/'Price&amp;Q'!BM68</f>
        <v>1033.0136895477808</v>
      </c>
      <c r="J325" s="1840">
        <f>J326*'Price&amp;Q'!$BJ$67*CA!J327/'Price&amp;Q'!BN68+J326*'Price&amp;Q'!$BK$67*CA!J328/'Price&amp;Q'!BN68</f>
        <v>606.34620537318722</v>
      </c>
      <c r="K325" s="1840">
        <f>K326*'Price&amp;Q'!$BJ$67*CA!K327/'Price&amp;Q'!BO68+K326*'Price&amp;Q'!$BK$67*CA!K328/'Price&amp;Q'!BO68</f>
        <v>436.31269425394623</v>
      </c>
      <c r="L325" s="1873"/>
    </row>
    <row r="326" spans="1:12">
      <c r="A326" s="320" t="s">
        <v>422</v>
      </c>
      <c r="F326" s="1880"/>
      <c r="G326" s="1880"/>
      <c r="H326" s="1885">
        <v>0.2</v>
      </c>
      <c r="I326" s="1885">
        <v>0.2</v>
      </c>
      <c r="J326" s="1885">
        <f>I326</f>
        <v>0.2</v>
      </c>
      <c r="K326" s="1885">
        <v>0.2</v>
      </c>
      <c r="L326" s="1873"/>
    </row>
    <row r="327" spans="1:12">
      <c r="A327" s="320" t="s">
        <v>450</v>
      </c>
      <c r="F327" s="1878"/>
      <c r="G327" s="1878"/>
      <c r="H327" s="1006">
        <v>10000</v>
      </c>
      <c r="I327" s="1006">
        <v>10000</v>
      </c>
      <c r="J327" s="1007">
        <f>I327</f>
        <v>10000</v>
      </c>
      <c r="K327" s="1007">
        <f>J327</f>
        <v>10000</v>
      </c>
      <c r="L327" s="1873"/>
    </row>
    <row r="328" spans="1:12">
      <c r="A328" s="320" t="s">
        <v>451</v>
      </c>
      <c r="F328" s="1878"/>
      <c r="G328" s="1878"/>
      <c r="H328" s="1006">
        <v>3000</v>
      </c>
      <c r="I328" s="1006">
        <v>3000</v>
      </c>
      <c r="J328" s="1007">
        <f>I328</f>
        <v>3000</v>
      </c>
      <c r="K328" s="1007">
        <f>J328</f>
        <v>3000</v>
      </c>
      <c r="L328" s="1873"/>
    </row>
    <row r="329" spans="1:12">
      <c r="A329" s="320" t="s">
        <v>385</v>
      </c>
      <c r="F329" s="1880"/>
      <c r="G329" s="1880"/>
      <c r="H329" s="1007">
        <f>((H330+H331)*H333+H332*H333*(H281+H282))</f>
        <v>9081.9774797965838</v>
      </c>
      <c r="I329" s="1007">
        <f>((I330+I331)*I333+I332*I333*(I281+I282))</f>
        <v>9638.1912907348233</v>
      </c>
      <c r="J329" s="1007">
        <f>((J330+J331)*J333+J332*J333*(J281+J282))</f>
        <v>8922.9279757188506</v>
      </c>
      <c r="K329" s="1007">
        <f>((K330+K331)*K333+K332*K333*(K281+K282))</f>
        <v>8170.1176581469654</v>
      </c>
      <c r="L329" s="1873"/>
    </row>
    <row r="330" spans="1:12">
      <c r="A330" s="320" t="s">
        <v>386</v>
      </c>
      <c r="F330" s="1880"/>
      <c r="G330" s="1880"/>
      <c r="H330" s="1007">
        <f>H285*1000</f>
        <v>34459.887398982923</v>
      </c>
      <c r="I330" s="1007">
        <f>I285*1000</f>
        <v>37609.956453674116</v>
      </c>
      <c r="J330" s="1007">
        <f>J285*1000</f>
        <v>34380.619878594254</v>
      </c>
      <c r="K330" s="1007">
        <f>K285*1000</f>
        <v>30942.557890734821</v>
      </c>
      <c r="L330" s="1873"/>
    </row>
    <row r="331" spans="1:12">
      <c r="A331" s="320" t="s">
        <v>387</v>
      </c>
      <c r="F331" s="1840"/>
      <c r="G331" s="1840"/>
      <c r="H331" s="546">
        <f>H296</f>
        <v>2550</v>
      </c>
      <c r="I331" s="546">
        <f>I296</f>
        <v>2601</v>
      </c>
      <c r="J331" s="546">
        <f>J296</f>
        <v>2653.02</v>
      </c>
      <c r="K331" s="546">
        <f>K296</f>
        <v>2706.0803999999998</v>
      </c>
      <c r="L331" s="1873"/>
    </row>
    <row r="332" spans="1:12">
      <c r="A332" s="320" t="s">
        <v>425</v>
      </c>
      <c r="F332" s="1840"/>
      <c r="G332" s="1840"/>
      <c r="H332" s="546">
        <f>H321</f>
        <v>12000</v>
      </c>
      <c r="I332" s="546">
        <f>I321</f>
        <v>11400</v>
      </c>
      <c r="J332" s="546">
        <f>J321</f>
        <v>10830</v>
      </c>
      <c r="K332" s="546">
        <f>K321</f>
        <v>10288.5</v>
      </c>
      <c r="L332" s="1873"/>
    </row>
    <row r="333" spans="1:12">
      <c r="A333" s="320" t="s">
        <v>388</v>
      </c>
      <c r="F333" s="1840"/>
      <c r="G333" s="1840"/>
      <c r="H333" s="1885">
        <v>0.2</v>
      </c>
      <c r="I333" s="1885">
        <v>0.2</v>
      </c>
      <c r="J333" s="1885">
        <f>I333</f>
        <v>0.2</v>
      </c>
      <c r="K333" s="1885">
        <v>0.2</v>
      </c>
      <c r="L333" s="1873"/>
    </row>
    <row r="334" spans="1:12">
      <c r="A334" s="320" t="s">
        <v>426</v>
      </c>
      <c r="F334" s="1840"/>
      <c r="G334" s="1840"/>
      <c r="H334" s="1840">
        <f>H335</f>
        <v>3500</v>
      </c>
      <c r="I334" s="1840">
        <f t="shared" ref="I334" si="191">I335</f>
        <v>3500</v>
      </c>
      <c r="J334" s="1840">
        <f t="shared" ref="J334" si="192">J335</f>
        <v>3500</v>
      </c>
      <c r="K334" s="1840">
        <f t="shared" ref="K334" si="193">K335</f>
        <v>3500</v>
      </c>
      <c r="L334" s="1873"/>
    </row>
    <row r="335" spans="1:12">
      <c r="A335" s="320" t="s">
        <v>427</v>
      </c>
      <c r="F335" s="1840"/>
      <c r="G335" s="1840"/>
      <c r="H335" s="1884">
        <v>3500</v>
      </c>
      <c r="I335" s="1884">
        <v>3500</v>
      </c>
      <c r="J335" s="1884">
        <v>3500</v>
      </c>
      <c r="K335" s="1884">
        <v>3500</v>
      </c>
      <c r="L335" s="1873"/>
    </row>
    <row r="336" spans="1:12">
      <c r="A336" s="320" t="s">
        <v>428</v>
      </c>
      <c r="F336" s="1840"/>
      <c r="G336" s="1840"/>
      <c r="H336" s="1840">
        <f>H337*12*3</f>
        <v>2516.4</v>
      </c>
      <c r="I336" s="1840">
        <f t="shared" ref="I336" si="194">I337*12*3</f>
        <v>2516.4</v>
      </c>
      <c r="J336" s="1840">
        <f t="shared" ref="J336" si="195">J337*12*3</f>
        <v>2516.4</v>
      </c>
      <c r="K336" s="1840">
        <f t="shared" ref="K336" si="196">K337*12*3</f>
        <v>2516.4</v>
      </c>
      <c r="L336" s="1873"/>
    </row>
    <row r="337" spans="1:15">
      <c r="A337" s="320" t="s">
        <v>429</v>
      </c>
      <c r="F337" s="1840"/>
      <c r="G337" s="1840"/>
      <c r="H337" s="1886">
        <v>69.900000000000006</v>
      </c>
      <c r="I337" s="1886">
        <v>69.900000000000006</v>
      </c>
      <c r="J337" s="1886">
        <v>69.900000000000006</v>
      </c>
      <c r="K337" s="1886">
        <v>69.900000000000006</v>
      </c>
      <c r="L337" s="1873"/>
    </row>
    <row r="338" spans="1:15">
      <c r="A338" s="392" t="s">
        <v>452</v>
      </c>
      <c r="F338" s="541"/>
      <c r="G338" s="541"/>
      <c r="H338" s="543">
        <f>H283/'Price&amp;Q'!BL68</f>
        <v>270.56035041191222</v>
      </c>
      <c r="I338" s="543">
        <f>I283/'Price&amp;Q'!BM68</f>
        <v>257.28269446410224</v>
      </c>
      <c r="J338" s="543">
        <f>J283/'Price&amp;Q'!BN68</f>
        <v>243.25233886194874</v>
      </c>
      <c r="K338" s="543">
        <f>K283/'Price&amp;Q'!BO68</f>
        <v>229.72258202890936</v>
      </c>
    </row>
    <row r="339" spans="1:15">
      <c r="A339" s="392" t="s">
        <v>453</v>
      </c>
      <c r="F339" s="541"/>
      <c r="G339" s="541"/>
      <c r="H339" s="541"/>
      <c r="I339" s="541"/>
      <c r="J339" s="541"/>
      <c r="K339" s="541"/>
    </row>
    <row r="340" spans="1:15">
      <c r="A340" s="392" t="s">
        <v>391</v>
      </c>
      <c r="F340" s="541"/>
      <c r="G340" s="541"/>
      <c r="H340" s="541"/>
      <c r="I340" s="541"/>
      <c r="J340" s="541"/>
      <c r="K340" s="541"/>
    </row>
    <row r="341" spans="1:15">
      <c r="A341" s="320" t="s">
        <v>454</v>
      </c>
      <c r="F341" s="541"/>
      <c r="G341" s="541"/>
      <c r="H341" s="1880"/>
      <c r="I341" s="1885">
        <v>0.8</v>
      </c>
      <c r="J341" s="1885">
        <v>0.8</v>
      </c>
      <c r="K341" s="1885">
        <v>0.8</v>
      </c>
    </row>
    <row r="342" spans="1:15">
      <c r="A342" s="320" t="s">
        <v>455</v>
      </c>
      <c r="F342" s="541"/>
      <c r="G342" s="541"/>
      <c r="H342" s="1880"/>
      <c r="I342" s="1885">
        <v>0.2</v>
      </c>
      <c r="J342" s="1885">
        <v>0.2</v>
      </c>
      <c r="K342" s="1885">
        <v>0.2</v>
      </c>
    </row>
    <row r="343" spans="1:15">
      <c r="A343" s="392" t="s">
        <v>238</v>
      </c>
      <c r="F343" s="1840"/>
      <c r="G343" s="1840"/>
      <c r="H343" s="1840">
        <f>H344+H349+H386</f>
        <v>12228277.294995608</v>
      </c>
      <c r="I343" s="1840">
        <f>I344+I349+I386</f>
        <v>25848551.328244779</v>
      </c>
      <c r="J343" s="1840">
        <f t="shared" ref="J343" si="197">J344+J349+J386</f>
        <v>37129869.886915706</v>
      </c>
      <c r="K343" s="1868">
        <f>(K344+K349)*1.1+K386</f>
        <v>47337828.422841452</v>
      </c>
      <c r="L343" s="320" t="s">
        <v>239</v>
      </c>
    </row>
    <row r="344" spans="1:15">
      <c r="A344" s="392" t="s">
        <v>436</v>
      </c>
      <c r="F344" s="1840">
        <f t="shared" ref="F344:J344" si="198">F347/1000*F346*1000000</f>
        <v>0</v>
      </c>
      <c r="G344" s="1840">
        <f t="shared" si="198"/>
        <v>0</v>
      </c>
      <c r="H344" s="1840">
        <f>H347/1000*H346*1000000</f>
        <v>1439534.902838063</v>
      </c>
      <c r="I344" s="1840">
        <f>I347/1000*I346*1000000</f>
        <v>3720626.1374069541</v>
      </c>
      <c r="J344" s="1840">
        <f t="shared" si="198"/>
        <v>5305013.7479246855</v>
      </c>
      <c r="K344" s="1840">
        <f>K347/1000*K346*1000000</f>
        <v>5929530.8453264153</v>
      </c>
      <c r="L344" s="320" t="s">
        <v>395</v>
      </c>
    </row>
    <row r="345" spans="1:15">
      <c r="A345" s="392" t="s">
        <v>437</v>
      </c>
      <c r="F345" s="1840"/>
      <c r="G345" s="1840"/>
      <c r="H345" s="1840">
        <f>H344/'Price&amp;Q'!BL70</f>
        <v>36.936722932236755</v>
      </c>
      <c r="I345" s="1840">
        <f>I344/'Price&amp;Q'!BM70</f>
        <v>40.946397763578275</v>
      </c>
      <c r="J345" s="1840">
        <f>J344/'Price&amp;Q'!BN70</f>
        <v>36.851757987220445</v>
      </c>
      <c r="K345" s="1840">
        <f>K344/'Price&amp;Q'!BO70</f>
        <v>33.16658218849841</v>
      </c>
    </row>
    <row r="346" spans="1:15">
      <c r="A346" s="320" t="s">
        <v>354</v>
      </c>
      <c r="F346" s="1887">
        <f>'Price&amp;Q'!DD70</f>
        <v>0</v>
      </c>
      <c r="G346" s="1887">
        <f>'Price&amp;Q'!DE70</f>
        <v>0</v>
      </c>
      <c r="H346" s="1887">
        <f>'Price&amp;Q'!DF70</f>
        <v>1.7342985</v>
      </c>
      <c r="I346" s="1887">
        <f>'Price&amp;Q'!DG70</f>
        <v>4.0435269561583187</v>
      </c>
      <c r="J346" s="1887">
        <f>'Price&amp;Q'!DH70</f>
        <v>6.4060203549723349</v>
      </c>
      <c r="K346" s="1887">
        <f>'Price&amp;Q'!DI70</f>
        <v>7.9557224533231814</v>
      </c>
      <c r="L346" s="320" t="s">
        <v>119</v>
      </c>
    </row>
    <row r="347" spans="1:15" s="383" customFormat="1">
      <c r="A347" s="1806" t="s">
        <v>304</v>
      </c>
      <c r="B347" s="1830"/>
      <c r="C347" s="1830"/>
      <c r="D347" s="1830">
        <f>E347/$L347</f>
        <v>1060.9143507061617</v>
      </c>
      <c r="E347" s="1821">
        <v>954.82291563554554</v>
      </c>
      <c r="F347" s="1821">
        <v>886.97010123734503</v>
      </c>
      <c r="G347" s="1821">
        <v>783.90883386170901</v>
      </c>
      <c r="H347" s="1821">
        <v>830.03871757835395</v>
      </c>
      <c r="I347" s="1821">
        <f>2880.05/313*100</f>
        <v>920.14376996805117</v>
      </c>
      <c r="J347" s="1828">
        <f>I347*$L347</f>
        <v>828.12939297124603</v>
      </c>
      <c r="K347" s="1828">
        <f>J347*$L347</f>
        <v>745.31645367412148</v>
      </c>
      <c r="L347" s="1829">
        <v>0.9</v>
      </c>
      <c r="M347" s="1806"/>
      <c r="N347" s="1806"/>
      <c r="O347" s="1806"/>
    </row>
    <row r="348" spans="1:15">
      <c r="A348" s="320" t="s">
        <v>305</v>
      </c>
      <c r="B348" s="1815"/>
      <c r="C348" s="1815"/>
      <c r="D348" s="1815">
        <f>D347*$L348</f>
        <v>954.82291563554554</v>
      </c>
      <c r="E348" s="1815">
        <f>E347*$L348</f>
        <v>859.34062407199099</v>
      </c>
      <c r="F348" s="1815">
        <v>820</v>
      </c>
      <c r="G348" s="1815">
        <f>G347*$L348</f>
        <v>705.5179504755381</v>
      </c>
      <c r="H348" s="1815">
        <f>H347*$L348</f>
        <v>747.03484582051863</v>
      </c>
      <c r="I348" s="1815">
        <f>I347*0.85</f>
        <v>782.12220447284346</v>
      </c>
      <c r="J348" s="1815">
        <f t="shared" ref="J348:K348" si="199">J347*$L348</f>
        <v>745.31645367412148</v>
      </c>
      <c r="K348" s="1815">
        <f t="shared" si="199"/>
        <v>670.78480830670935</v>
      </c>
      <c r="L348" s="1873">
        <v>0.9</v>
      </c>
    </row>
    <row r="349" spans="1:15">
      <c r="A349" s="392" t="s">
        <v>253</v>
      </c>
      <c r="F349" s="1840"/>
      <c r="G349" s="1840"/>
      <c r="H349" s="1840">
        <f>H172-H174-H178-H284-H344-H401-H289-H183-H324-H386</f>
        <v>10031738.224389933</v>
      </c>
      <c r="I349" s="1888">
        <f>I419*I408-(I289+I228)*1.1</f>
        <v>20461464.177701034</v>
      </c>
      <c r="J349" s="1888">
        <f>J419*J408-J289-J228</f>
        <v>29388359.823631808</v>
      </c>
      <c r="K349" s="1888">
        <f>K419*K408-K289-K228</f>
        <v>34516346.458308049</v>
      </c>
    </row>
    <row r="350" spans="1:15">
      <c r="A350" s="392" t="s">
        <v>396</v>
      </c>
      <c r="F350" s="546"/>
      <c r="G350" s="546"/>
      <c r="H350" s="1019">
        <f>H352*'Price&amp;Q'!BL70/1000</f>
        <v>457380.82023121387</v>
      </c>
      <c r="I350" s="1019">
        <f>I352*'Price&amp;Q'!BM70/1000</f>
        <v>1013066.7195081929</v>
      </c>
      <c r="J350" s="1019">
        <f>J352*'Price&amp;Q'!BN70/1000</f>
        <v>1524718.3440731375</v>
      </c>
      <c r="K350" s="1019">
        <f>K352*'Price&amp;Q'!BO70/1000</f>
        <v>1798889.7206273933</v>
      </c>
    </row>
    <row r="351" spans="1:15">
      <c r="A351" s="392" t="s">
        <v>356</v>
      </c>
      <c r="F351" s="546"/>
      <c r="G351" s="546"/>
      <c r="H351" s="1019">
        <f>H350/'Price&amp;Q'!BL70</f>
        <v>11.735838150289018</v>
      </c>
      <c r="I351" s="1019">
        <f>I350/'Price&amp;Q'!BM70</f>
        <v>11.149046242774565</v>
      </c>
      <c r="J351" s="1019">
        <f>J350/'Price&amp;Q'!BN70</f>
        <v>10.591593930635838</v>
      </c>
      <c r="K351" s="1019">
        <f>K350/'Price&amp;Q'!BO70</f>
        <v>10.062014234104044</v>
      </c>
    </row>
    <row r="352" spans="1:15">
      <c r="A352" s="1806" t="s">
        <v>397</v>
      </c>
      <c r="F352" s="546"/>
      <c r="G352" s="546"/>
      <c r="H352" s="546">
        <v>11735.838150289017</v>
      </c>
      <c r="I352" s="1883">
        <f>H352*L352</f>
        <v>11149.046242774566</v>
      </c>
      <c r="J352" s="1883">
        <f>I352*L352</f>
        <v>10591.593930635838</v>
      </c>
      <c r="K352" s="1883">
        <f>J352*L352</f>
        <v>10062.014234104045</v>
      </c>
      <c r="L352" s="1851">
        <v>0.95</v>
      </c>
      <c r="M352" s="320" t="s">
        <v>398</v>
      </c>
    </row>
    <row r="353" spans="1:19">
      <c r="A353" s="392" t="s">
        <v>399</v>
      </c>
      <c r="H353" s="541">
        <f>H355*H356*'Price&amp;Q'!BL70/1000</f>
        <v>198762.3</v>
      </c>
      <c r="I353" s="541">
        <f>I355*I356*'Price&amp;Q'!BM70/1000</f>
        <v>472683.75788619276</v>
      </c>
      <c r="J353" s="541">
        <f>J355*J356*'Price&amp;Q'!BN70/1000</f>
        <v>763833.71335499792</v>
      </c>
      <c r="K353" s="541">
        <f>K355*K356*'Price&amp;Q'!BO70/1000</f>
        <v>967587.62241697859</v>
      </c>
    </row>
    <row r="354" spans="1:19">
      <c r="A354" s="392" t="s">
        <v>360</v>
      </c>
      <c r="H354" s="541">
        <f>H353/'Price&amp;Q'!BL70</f>
        <v>5.0999999999999996</v>
      </c>
      <c r="I354" s="541">
        <f>I353/'Price&amp;Q'!BM70</f>
        <v>5.2020000000000008</v>
      </c>
      <c r="J354" s="541">
        <f>J353/'Price&amp;Q'!BN70</f>
        <v>5.3060400000000003</v>
      </c>
      <c r="K354" s="541">
        <f>K353/'Price&amp;Q'!BO70</f>
        <v>5.4121607999999997</v>
      </c>
    </row>
    <row r="355" spans="1:19">
      <c r="A355" s="320" t="s">
        <v>361</v>
      </c>
      <c r="H355" s="1864">
        <v>2</v>
      </c>
      <c r="I355" s="1864">
        <v>2</v>
      </c>
      <c r="J355" s="1864">
        <v>2</v>
      </c>
      <c r="K355" s="1864">
        <v>2</v>
      </c>
    </row>
    <row r="356" spans="1:19">
      <c r="A356" s="1806" t="s">
        <v>400</v>
      </c>
      <c r="H356" s="1875">
        <v>2550</v>
      </c>
      <c r="I356" s="541">
        <f t="shared" ref="I356:K356" si="200">H356*(1+2%)</f>
        <v>2601</v>
      </c>
      <c r="J356" s="541">
        <f t="shared" si="200"/>
        <v>2653.02</v>
      </c>
      <c r="K356" s="541">
        <f t="shared" si="200"/>
        <v>2706.0803999999998</v>
      </c>
      <c r="L356" s="1874" t="s">
        <v>364</v>
      </c>
    </row>
    <row r="357" spans="1:19">
      <c r="A357" s="392" t="s">
        <v>401</v>
      </c>
      <c r="F357" s="1840"/>
      <c r="G357" s="1840"/>
      <c r="H357" s="1840">
        <f>(H359+H366+H371)*'Price&amp;Q'!BL70/1000</f>
        <v>776879.7933484551</v>
      </c>
      <c r="I357" s="1840">
        <f>(I359+I366+I371+I383)*'Price&amp;Q'!BM70/1000</f>
        <v>2473535.764899292</v>
      </c>
      <c r="J357" s="1840">
        <f>(J359+J366+J371+J383)*'Price&amp;Q'!BN70/1000</f>
        <v>3117702.5771023449</v>
      </c>
      <c r="K357" s="1840">
        <f>(K359+K366+K371+K383)*'Price&amp;Q'!BO70/1000</f>
        <v>3705482.2131394614</v>
      </c>
    </row>
    <row r="358" spans="1:19">
      <c r="A358" s="392" t="s">
        <v>365</v>
      </c>
      <c r="F358" s="1840"/>
      <c r="G358" s="1840"/>
      <c r="H358" s="1840">
        <f>H357/'Price&amp;Q'!BL70</f>
        <v>19.933795020872275</v>
      </c>
      <c r="I358" s="1840">
        <f>I357/'Price&amp;Q'!BM70</f>
        <v>27.221864162517221</v>
      </c>
      <c r="J358" s="1840">
        <f>J357/'Price&amp;Q'!BN70</f>
        <v>21.657403035469049</v>
      </c>
      <c r="K358" s="1840">
        <f>K357/'Price&amp;Q'!BO70</f>
        <v>20.726459407319854</v>
      </c>
    </row>
    <row r="359" spans="1:19">
      <c r="A359" s="320" t="s">
        <v>456</v>
      </c>
      <c r="F359" s="1840"/>
      <c r="G359" s="1840"/>
      <c r="H359" s="1840">
        <f>H360*H363</f>
        <v>6946.08</v>
      </c>
      <c r="I359" s="1840">
        <f>I360*I363*51936/'Price&amp;Q'!BM70+(I360*I363*I342+I361*I364*I341)*(1-51936/'Price&amp;Q'!BM70)</f>
        <v>5130.869454353804</v>
      </c>
      <c r="J359" s="1840">
        <f>J360*J363*J342+J361*J364*J341</f>
        <v>2762.4639999999999</v>
      </c>
      <c r="K359" s="1840">
        <f>K360*K363*K342+K361*K364*K341</f>
        <v>2762.4639999999999</v>
      </c>
    </row>
    <row r="360" spans="1:19">
      <c r="A360" s="320" t="s">
        <v>457</v>
      </c>
      <c r="F360" s="1840"/>
      <c r="G360" s="1840"/>
      <c r="H360" s="1884">
        <v>2</v>
      </c>
      <c r="I360" s="1884">
        <v>2</v>
      </c>
      <c r="J360" s="1884">
        <v>2</v>
      </c>
      <c r="K360" s="1884">
        <v>2</v>
      </c>
    </row>
    <row r="361" spans="1:19">
      <c r="A361" s="320" t="s">
        <v>458</v>
      </c>
      <c r="F361" s="1840"/>
      <c r="G361" s="1840"/>
      <c r="H361" s="1884"/>
      <c r="I361" s="1884">
        <v>1</v>
      </c>
      <c r="J361" s="1884">
        <v>1</v>
      </c>
      <c r="K361" s="1884">
        <v>1</v>
      </c>
    </row>
    <row r="362" spans="1:19">
      <c r="A362" s="1806" t="s">
        <v>459</v>
      </c>
      <c r="F362" s="1840"/>
      <c r="G362" s="1840"/>
      <c r="H362" s="1884">
        <v>499</v>
      </c>
      <c r="I362" s="1884">
        <v>499</v>
      </c>
      <c r="J362" s="1884">
        <v>499</v>
      </c>
      <c r="K362" s="1884">
        <v>499</v>
      </c>
      <c r="L362" s="1874" t="s">
        <v>404</v>
      </c>
      <c r="S362" s="272" t="s">
        <v>460</v>
      </c>
    </row>
    <row r="363" spans="1:19">
      <c r="A363" s="1806" t="s">
        <v>461</v>
      </c>
      <c r="F363" s="1840"/>
      <c r="G363" s="1840"/>
      <c r="H363" s="1840">
        <f>H362*H365</f>
        <v>3473.04</v>
      </c>
      <c r="I363" s="1840">
        <f t="shared" ref="I363:K363" si="201">I362*I365</f>
        <v>3453.08</v>
      </c>
      <c r="J363" s="1840">
        <f t="shared" si="201"/>
        <v>3453.08</v>
      </c>
      <c r="K363" s="1840">
        <f t="shared" si="201"/>
        <v>3453.08</v>
      </c>
      <c r="M363" s="1889"/>
    </row>
    <row r="364" spans="1:19">
      <c r="A364" s="1806" t="s">
        <v>403</v>
      </c>
      <c r="F364" s="1840"/>
      <c r="G364" s="1840"/>
      <c r="H364" s="1840"/>
      <c r="I364" s="1840">
        <f t="shared" ref="I364:K364" si="202">I300</f>
        <v>1726.54</v>
      </c>
      <c r="J364" s="1840">
        <f t="shared" si="202"/>
        <v>1726.54</v>
      </c>
      <c r="K364" s="1840">
        <f t="shared" si="202"/>
        <v>1726.54</v>
      </c>
      <c r="M364" s="1889"/>
    </row>
    <row r="365" spans="1:19">
      <c r="A365" s="1806" t="s">
        <v>462</v>
      </c>
      <c r="F365" s="1840"/>
      <c r="G365" s="1840"/>
      <c r="H365" s="1890">
        <v>6.96</v>
      </c>
      <c r="I365" s="1891">
        <v>6.92</v>
      </c>
      <c r="J365" s="1891">
        <f>I365</f>
        <v>6.92</v>
      </c>
      <c r="K365" s="1891">
        <f t="shared" ref="K365" si="203">J365</f>
        <v>6.92</v>
      </c>
      <c r="M365" s="1874"/>
    </row>
    <row r="366" spans="1:19">
      <c r="A366" s="320" t="s">
        <v>463</v>
      </c>
      <c r="F366" s="541"/>
      <c r="G366" s="541"/>
      <c r="H366" s="541">
        <f>H367*H369+H368*H370</f>
        <v>6360</v>
      </c>
      <c r="I366" s="541">
        <f t="shared" ref="I366:K366" si="204">I367*I369+I368*I370</f>
        <v>6042</v>
      </c>
      <c r="J366" s="541">
        <f t="shared" si="204"/>
        <v>5739.9</v>
      </c>
      <c r="K366" s="541">
        <f t="shared" si="204"/>
        <v>5452.9049999999988</v>
      </c>
    </row>
    <row r="367" spans="1:19">
      <c r="A367" s="320" t="s">
        <v>370</v>
      </c>
      <c r="F367" s="541"/>
      <c r="G367" s="541"/>
      <c r="H367" s="1875">
        <v>7</v>
      </c>
      <c r="I367" s="1875">
        <v>7</v>
      </c>
      <c r="J367" s="1875">
        <v>7</v>
      </c>
      <c r="K367" s="1875">
        <v>7</v>
      </c>
      <c r="L367" s="1874" t="s">
        <v>464</v>
      </c>
    </row>
    <row r="368" spans="1:19">
      <c r="A368" s="320" t="s">
        <v>371</v>
      </c>
      <c r="F368" s="541"/>
      <c r="G368" s="541"/>
      <c r="H368" s="1875">
        <v>4</v>
      </c>
      <c r="I368" s="1875">
        <v>4</v>
      </c>
      <c r="J368" s="1875">
        <v>4</v>
      </c>
      <c r="K368" s="1875">
        <v>4</v>
      </c>
      <c r="L368" s="1874"/>
    </row>
    <row r="369" spans="1:13">
      <c r="A369" s="1806" t="s">
        <v>372</v>
      </c>
      <c r="F369" s="541"/>
      <c r="G369" s="541"/>
      <c r="H369" s="1875">
        <v>600</v>
      </c>
      <c r="I369" s="541">
        <f>H369*L369</f>
        <v>570</v>
      </c>
      <c r="J369" s="541">
        <f>I369*L369</f>
        <v>541.5</v>
      </c>
      <c r="K369" s="541">
        <f>J369*L369</f>
        <v>514.42499999999995</v>
      </c>
      <c r="L369" s="1851">
        <v>0.95</v>
      </c>
      <c r="M369" s="1874" t="s">
        <v>465</v>
      </c>
    </row>
    <row r="370" spans="1:13">
      <c r="A370" s="1806" t="s">
        <v>373</v>
      </c>
      <c r="F370" s="541"/>
      <c r="G370" s="541"/>
      <c r="H370" s="541">
        <f>H369*L370</f>
        <v>540</v>
      </c>
      <c r="I370" s="541">
        <f>I369*L370</f>
        <v>513</v>
      </c>
      <c r="J370" s="541">
        <f>J369*L370</f>
        <v>487.35</v>
      </c>
      <c r="K370" s="541">
        <f>K369*L370</f>
        <v>462.98249999999996</v>
      </c>
      <c r="L370" s="1853">
        <v>0.9</v>
      </c>
    </row>
    <row r="371" spans="1:13">
      <c r="A371" s="320" t="s">
        <v>466</v>
      </c>
      <c r="F371" s="1840"/>
      <c r="G371" s="1840"/>
      <c r="H371" s="1840">
        <f>H372+H375+H378</f>
        <v>6627.7150208722724</v>
      </c>
      <c r="I371" s="1840">
        <f>I372+I375+I378</f>
        <v>4648.99470816342</v>
      </c>
      <c r="J371" s="1840">
        <f t="shared" ref="J371:K371" si="205">J372+J375+J378</f>
        <v>2325.0390354690471</v>
      </c>
      <c r="K371" s="1840">
        <f t="shared" si="205"/>
        <v>2222.5904073198535</v>
      </c>
    </row>
    <row r="372" spans="1:13">
      <c r="A372" s="320" t="s">
        <v>412</v>
      </c>
      <c r="F372" s="1840"/>
      <c r="G372" s="1840"/>
      <c r="H372" s="1840">
        <f>H374*H373</f>
        <v>1250</v>
      </c>
      <c r="I372" s="1840">
        <f t="shared" ref="I372:K372" si="206">I374*I373</f>
        <v>1187.5</v>
      </c>
      <c r="J372" s="1840">
        <f t="shared" si="206"/>
        <v>1128.125</v>
      </c>
      <c r="K372" s="1840">
        <f t="shared" si="206"/>
        <v>1071.71875</v>
      </c>
    </row>
    <row r="373" spans="1:13">
      <c r="A373" s="320" t="s">
        <v>333</v>
      </c>
      <c r="F373" s="1840"/>
      <c r="G373" s="1840"/>
      <c r="H373" s="1884">
        <v>1</v>
      </c>
      <c r="I373" s="1884">
        <v>1</v>
      </c>
      <c r="J373" s="1884">
        <v>1</v>
      </c>
      <c r="K373" s="1884">
        <v>1</v>
      </c>
    </row>
    <row r="374" spans="1:13">
      <c r="A374" s="1806" t="s">
        <v>467</v>
      </c>
      <c r="F374" s="1840"/>
      <c r="G374" s="1840"/>
      <c r="H374" s="1884">
        <v>1250</v>
      </c>
      <c r="I374" s="1840">
        <f>H374*L374</f>
        <v>1187.5</v>
      </c>
      <c r="J374" s="1840">
        <f>I374*L374</f>
        <v>1128.125</v>
      </c>
      <c r="K374" s="1840">
        <f>J374*L374</f>
        <v>1071.71875</v>
      </c>
      <c r="L374" s="1851">
        <v>0.95</v>
      </c>
      <c r="M374" s="1874"/>
    </row>
    <row r="375" spans="1:13">
      <c r="A375" s="320" t="s">
        <v>378</v>
      </c>
      <c r="F375" s="1840"/>
      <c r="G375" s="1840"/>
      <c r="H375" s="1019">
        <f>H376*H377</f>
        <v>276.06647248517635</v>
      </c>
      <c r="I375" s="1019">
        <f t="shared" ref="I375:K375" si="207">I376*I377</f>
        <v>276.06647248517635</v>
      </c>
      <c r="J375" s="1019">
        <f t="shared" si="207"/>
        <v>276.06647248517635</v>
      </c>
      <c r="K375" s="1019">
        <f t="shared" si="207"/>
        <v>276.06647248517635</v>
      </c>
    </row>
    <row r="376" spans="1:13">
      <c r="A376" s="320" t="s">
        <v>333</v>
      </c>
      <c r="F376" s="1840"/>
      <c r="G376" s="1840"/>
      <c r="H376" s="1884">
        <v>12</v>
      </c>
      <c r="I376" s="1884">
        <v>12</v>
      </c>
      <c r="J376" s="1884">
        <v>12</v>
      </c>
      <c r="K376" s="1884">
        <v>12</v>
      </c>
    </row>
    <row r="377" spans="1:13">
      <c r="A377" s="1806" t="s">
        <v>468</v>
      </c>
      <c r="F377" s="1840">
        <f>G377*(1+1.94%)</f>
        <v>23.906812666265481</v>
      </c>
      <c r="G377" s="1840">
        <f>H377*(1+1.94%)</f>
        <v>23.451846837615733</v>
      </c>
      <c r="H377" s="1840">
        <f>26538.27/1153.56</f>
        <v>23.005539373764694</v>
      </c>
      <c r="I377" s="1840">
        <f t="shared" ref="I377:K377" si="208">26538.27/1153.56</f>
        <v>23.005539373764694</v>
      </c>
      <c r="J377" s="1840">
        <f t="shared" si="208"/>
        <v>23.005539373764694</v>
      </c>
      <c r="K377" s="1840">
        <f t="shared" si="208"/>
        <v>23.005539373764694</v>
      </c>
      <c r="L377" s="1851"/>
      <c r="M377" s="1874" t="s">
        <v>469</v>
      </c>
    </row>
    <row r="378" spans="1:13">
      <c r="A378" s="320" t="s">
        <v>416</v>
      </c>
      <c r="F378" s="1840"/>
      <c r="G378" s="1840"/>
      <c r="H378" s="1840">
        <f>H379*H380</f>
        <v>5101.6485483870965</v>
      </c>
      <c r="I378" s="1840">
        <f>I379*I380*51936/'Price&amp;Q'!BM70+I379*I380*I342*(1-51936/'Price&amp;Q'!BM70)</f>
        <v>3185.4282356782442</v>
      </c>
      <c r="J378" s="1840">
        <f>J379*J380*J342</f>
        <v>920.84756298387094</v>
      </c>
      <c r="K378" s="1840">
        <f>K379*K380*K342</f>
        <v>874.80518483467733</v>
      </c>
    </row>
    <row r="379" spans="1:13">
      <c r="A379" s="320" t="s">
        <v>333</v>
      </c>
      <c r="F379" s="1840"/>
      <c r="G379" s="1892"/>
      <c r="H379" s="1884">
        <v>1</v>
      </c>
      <c r="I379" s="1893">
        <v>1</v>
      </c>
      <c r="J379" s="1893">
        <v>1</v>
      </c>
      <c r="K379" s="1893">
        <v>1</v>
      </c>
    </row>
    <row r="380" spans="1:13">
      <c r="A380" s="1806" t="s">
        <v>414</v>
      </c>
      <c r="F380" s="1840"/>
      <c r="G380" s="1840"/>
      <c r="H380" s="1840">
        <f>1202670000*26.3%/62000</f>
        <v>5101.6485483870965</v>
      </c>
      <c r="I380" s="1883">
        <f>H380*L380</f>
        <v>4846.5661209677419</v>
      </c>
      <c r="J380" s="1883">
        <f>I380*L380</f>
        <v>4604.2378149193546</v>
      </c>
      <c r="K380" s="1883">
        <f>J380*L380</f>
        <v>4374.0259241733866</v>
      </c>
      <c r="L380" s="1851">
        <v>0.95</v>
      </c>
    </row>
    <row r="381" spans="1:13">
      <c r="A381" s="392" t="s">
        <v>470</v>
      </c>
      <c r="F381" s="1840"/>
      <c r="G381" s="1840"/>
      <c r="H381" s="1840">
        <f>H383*'Price&amp;Q'!BL70/1000</f>
        <v>467676</v>
      </c>
      <c r="I381" s="1840">
        <f>I383*'Price&amp;Q'!BM70/1000</f>
        <v>1035869.8269708953</v>
      </c>
      <c r="J381" s="1840">
        <f>J383*'Price&amp;Q'!BN70/1000</f>
        <v>1559038.212232593</v>
      </c>
      <c r="K381" s="1840">
        <f>K383*'Price&amp;Q'!BO70/1000</f>
        <v>1839380.9092363045</v>
      </c>
    </row>
    <row r="382" spans="1:13">
      <c r="A382" s="392" t="s">
        <v>471</v>
      </c>
      <c r="F382" s="1840"/>
      <c r="G382" s="1840"/>
      <c r="H382" s="1840">
        <f>H381/'Price&amp;Q'!BL70</f>
        <v>12</v>
      </c>
      <c r="I382" s="1840">
        <f>I381/'Price&amp;Q'!BM70</f>
        <v>11.4</v>
      </c>
      <c r="J382" s="1840">
        <f>J381/'Price&amp;Q'!BN70</f>
        <v>10.83</v>
      </c>
      <c r="K382" s="1840">
        <f>K381/'Price&amp;Q'!BO70</f>
        <v>10.288499999999999</v>
      </c>
    </row>
    <row r="383" spans="1:13">
      <c r="A383" s="1806" t="s">
        <v>419</v>
      </c>
      <c r="F383" s="1840"/>
      <c r="G383" s="1840"/>
      <c r="H383" s="1884">
        <v>12000</v>
      </c>
      <c r="I383" s="1883">
        <f>H383*L383</f>
        <v>11400</v>
      </c>
      <c r="J383" s="1883">
        <f>I383*L383</f>
        <v>10830</v>
      </c>
      <c r="K383" s="1883">
        <f>J383*L383</f>
        <v>10288.5</v>
      </c>
      <c r="L383" s="1851">
        <v>0.95</v>
      </c>
      <c r="M383" s="1874" t="s">
        <v>472</v>
      </c>
    </row>
    <row r="384" spans="1:13">
      <c r="A384" s="392" t="s">
        <v>448</v>
      </c>
      <c r="F384" s="1840"/>
      <c r="G384" s="1840"/>
      <c r="H384" s="1840">
        <f>H349-H350-H353-H357-H381</f>
        <v>8131039.3108102623</v>
      </c>
      <c r="I384" s="1840">
        <f>I349-I350-I353-I357-I381</f>
        <v>15466308.10843646</v>
      </c>
      <c r="J384" s="1840">
        <f t="shared" ref="J384:K384" si="209">J349-J350-J353-J357-J381</f>
        <v>22423066.976868734</v>
      </c>
      <c r="K384" s="1840">
        <f t="shared" si="209"/>
        <v>26205005.992887914</v>
      </c>
    </row>
    <row r="385" spans="1:12">
      <c r="A385" s="392" t="s">
        <v>449</v>
      </c>
      <c r="F385" s="1840"/>
      <c r="G385" s="1840"/>
      <c r="H385" s="1840">
        <f>H384/'Price&amp;Q'!BL70</f>
        <v>208.63262542812365</v>
      </c>
      <c r="I385" s="1840">
        <f>I384/'Price&amp;Q'!BM70</f>
        <v>170.2104915554506</v>
      </c>
      <c r="J385" s="1840">
        <f>J384/'Price&amp;Q'!BN70</f>
        <v>155.76386355003518</v>
      </c>
      <c r="K385" s="1840">
        <f>K384/'Price&amp;Q'!BO70</f>
        <v>146.57660237963827</v>
      </c>
    </row>
    <row r="386" spans="1:12">
      <c r="A386" s="392" t="s">
        <v>421</v>
      </c>
      <c r="F386" s="541"/>
      <c r="G386" s="541"/>
      <c r="H386" s="541">
        <f>(H387+H391+H396+H398)/1000*'Price&amp;Q'!BL70</f>
        <v>757004.16776761273</v>
      </c>
      <c r="I386" s="541">
        <f>(I387+I391+I396+I398)/1000*'Price&amp;Q'!BM70</f>
        <v>1666461.0131367939</v>
      </c>
      <c r="J386" s="541">
        <f>(J387+J391+J396+J398)/1000*'Price&amp;Q'!BN70</f>
        <v>2436496.3153592157</v>
      </c>
      <c r="K386" s="541">
        <f>(K387+K391+K396+K398)/1000*'Price&amp;Q'!BO70</f>
        <v>2847363.3888435359</v>
      </c>
    </row>
    <row r="387" spans="1:12">
      <c r="A387" s="320" t="s">
        <v>382</v>
      </c>
      <c r="F387" s="1840"/>
      <c r="G387" s="1840"/>
      <c r="H387" s="1840">
        <f>H388*'Price&amp;Q'!$BJ$67*CA!H389/'Price&amp;Q'!BL70+H388*'Price&amp;Q'!$BK$67*CA!H390/'Price&amp;Q'!BL70</f>
        <v>3110.0659430888054</v>
      </c>
      <c r="I387" s="1840">
        <f>I388*'Price&amp;Q'!$BJ$67*CA!I389/'Price&amp;Q'!BM70+I388*'Price&amp;Q'!$BK$67*CA!I390/'Price&amp;Q'!BM70</f>
        <v>1333.9301947239976</v>
      </c>
      <c r="J387" s="1840">
        <f>J388*'Price&amp;Q'!$BJ$67*CA!J389/'Price&amp;Q'!BN70+J388*'Price&amp;Q'!$BK$67*CA!J390/'Price&amp;Q'!BN70</f>
        <v>841.98650661691408</v>
      </c>
      <c r="K387" s="1840">
        <f>K388*'Price&amp;Q'!$BJ$67*CA!K389/'Price&amp;Q'!BO70+K388*'Price&amp;Q'!$BK$67*CA!K390/'Price&amp;Q'!BO70</f>
        <v>677.97522244469019</v>
      </c>
      <c r="L387" s="1873"/>
    </row>
    <row r="388" spans="1:12">
      <c r="A388" s="320" t="s">
        <v>422</v>
      </c>
      <c r="F388" s="1880"/>
      <c r="G388" s="1880"/>
      <c r="H388" s="1885">
        <v>0.2</v>
      </c>
      <c r="I388" s="1885">
        <v>0.2</v>
      </c>
      <c r="J388" s="1885">
        <f>I388</f>
        <v>0.2</v>
      </c>
      <c r="K388" s="1885">
        <v>0.2</v>
      </c>
      <c r="L388" s="1873"/>
    </row>
    <row r="389" spans="1:12">
      <c r="A389" s="320" t="s">
        <v>473</v>
      </c>
      <c r="F389" s="1878"/>
      <c r="G389" s="1878"/>
      <c r="H389" s="1006">
        <v>10000</v>
      </c>
      <c r="I389" s="1006">
        <v>10000</v>
      </c>
      <c r="J389" s="1007">
        <f>I389</f>
        <v>10000</v>
      </c>
      <c r="K389" s="1007">
        <f>J389</f>
        <v>10000</v>
      </c>
      <c r="L389" s="1873"/>
    </row>
    <row r="390" spans="1:12">
      <c r="A390" s="320" t="s">
        <v>474</v>
      </c>
      <c r="F390" s="1878"/>
      <c r="G390" s="1878"/>
      <c r="H390" s="1006">
        <v>3000</v>
      </c>
      <c r="I390" s="1006">
        <v>3000</v>
      </c>
      <c r="J390" s="1007">
        <f>I390</f>
        <v>3000</v>
      </c>
      <c r="K390" s="1007">
        <f>J390</f>
        <v>3000</v>
      </c>
      <c r="L390" s="1873"/>
    </row>
    <row r="391" spans="1:12">
      <c r="A391" s="320" t="s">
        <v>385</v>
      </c>
      <c r="F391" s="1880"/>
      <c r="G391" s="1880"/>
      <c r="H391" s="1007">
        <f>(H392+H393+H394)*H395</f>
        <v>10297.344586447352</v>
      </c>
      <c r="I391" s="1007">
        <f t="shared" ref="I391:K391" si="210">(I392+I393+I394)*I395</f>
        <v>10989.479552715655</v>
      </c>
      <c r="J391" s="1007">
        <f t="shared" si="210"/>
        <v>10066.955597444088</v>
      </c>
      <c r="K391" s="1007">
        <f t="shared" si="210"/>
        <v>9232.2325176996819</v>
      </c>
      <c r="L391" s="1873"/>
    </row>
    <row r="392" spans="1:12">
      <c r="A392" s="320" t="s">
        <v>386</v>
      </c>
      <c r="F392" s="1880"/>
      <c r="G392" s="1880"/>
      <c r="H392" s="1007">
        <f>H345*1000</f>
        <v>36936.722932236757</v>
      </c>
      <c r="I392" s="1007">
        <f>I345*1000</f>
        <v>40946.397763578272</v>
      </c>
      <c r="J392" s="1007">
        <f>J345*1000</f>
        <v>36851.757987220444</v>
      </c>
      <c r="K392" s="1007">
        <f>K345*1000</f>
        <v>33166.582188498411</v>
      </c>
      <c r="L392" s="1873"/>
    </row>
    <row r="393" spans="1:12">
      <c r="A393" s="320" t="s">
        <v>387</v>
      </c>
      <c r="F393" s="1840"/>
      <c r="G393" s="1840"/>
      <c r="H393" s="1840">
        <f>H356</f>
        <v>2550</v>
      </c>
      <c r="I393" s="1840">
        <f t="shared" ref="I393:K393" si="211">I356</f>
        <v>2601</v>
      </c>
      <c r="J393" s="1840">
        <f t="shared" si="211"/>
        <v>2653.02</v>
      </c>
      <c r="K393" s="1840">
        <f t="shared" si="211"/>
        <v>2706.0803999999998</v>
      </c>
      <c r="L393" s="1873"/>
    </row>
    <row r="394" spans="1:12">
      <c r="A394" s="320" t="s">
        <v>425</v>
      </c>
      <c r="F394" s="1840"/>
      <c r="G394" s="1840"/>
      <c r="H394" s="1840">
        <f>H383</f>
        <v>12000</v>
      </c>
      <c r="I394" s="1840">
        <f t="shared" ref="I394:K394" si="212">I383</f>
        <v>11400</v>
      </c>
      <c r="J394" s="1840">
        <f t="shared" si="212"/>
        <v>10830</v>
      </c>
      <c r="K394" s="1840">
        <f t="shared" si="212"/>
        <v>10288.5</v>
      </c>
      <c r="L394" s="1873"/>
    </row>
    <row r="395" spans="1:12">
      <c r="A395" s="320" t="s">
        <v>388</v>
      </c>
      <c r="F395" s="1840"/>
      <c r="G395" s="1840"/>
      <c r="H395" s="1885">
        <v>0.2</v>
      </c>
      <c r="I395" s="1885">
        <v>0.2</v>
      </c>
      <c r="J395" s="1885">
        <v>0.2</v>
      </c>
      <c r="K395" s="1885">
        <v>0.2</v>
      </c>
      <c r="L395" s="1873"/>
    </row>
    <row r="396" spans="1:12">
      <c r="A396" s="320" t="s">
        <v>426</v>
      </c>
      <c r="F396" s="1840"/>
      <c r="G396" s="1840"/>
      <c r="H396" s="1840">
        <f>H397</f>
        <v>3500</v>
      </c>
      <c r="I396" s="1840">
        <f t="shared" ref="I396" si="213">I397</f>
        <v>3500</v>
      </c>
      <c r="J396" s="1840">
        <f t="shared" ref="J396" si="214">J397</f>
        <v>3500</v>
      </c>
      <c r="K396" s="1840">
        <f t="shared" ref="K396" si="215">K397</f>
        <v>3500</v>
      </c>
      <c r="L396" s="1873"/>
    </row>
    <row r="397" spans="1:12">
      <c r="A397" s="320" t="s">
        <v>427</v>
      </c>
      <c r="F397" s="1840"/>
      <c r="G397" s="1840"/>
      <c r="H397" s="1884">
        <v>3500</v>
      </c>
      <c r="I397" s="1884">
        <v>3500</v>
      </c>
      <c r="J397" s="1884">
        <v>3500</v>
      </c>
      <c r="K397" s="1884">
        <v>3500</v>
      </c>
      <c r="L397" s="1873"/>
    </row>
    <row r="398" spans="1:12">
      <c r="A398" s="320" t="s">
        <v>428</v>
      </c>
      <c r="F398" s="1840"/>
      <c r="G398" s="1840"/>
      <c r="H398" s="1840">
        <f>H399*12*3</f>
        <v>2516.4</v>
      </c>
      <c r="I398" s="1840">
        <f t="shared" ref="I398" si="216">I399*12*3</f>
        <v>2516.4</v>
      </c>
      <c r="J398" s="1840">
        <f t="shared" ref="J398" si="217">J399*12*3</f>
        <v>2516.4</v>
      </c>
      <c r="K398" s="1840">
        <f t="shared" ref="K398" si="218">K399*12*3</f>
        <v>2516.4</v>
      </c>
      <c r="L398" s="1873"/>
    </row>
    <row r="399" spans="1:12">
      <c r="A399" s="320" t="s">
        <v>429</v>
      </c>
      <c r="F399" s="1840"/>
      <c r="G399" s="1840"/>
      <c r="H399" s="1886">
        <v>69.900000000000006</v>
      </c>
      <c r="I399" s="1886">
        <v>69.900000000000006</v>
      </c>
      <c r="J399" s="1886">
        <v>69.900000000000006</v>
      </c>
      <c r="K399" s="1886">
        <v>69.900000000000006</v>
      </c>
      <c r="L399" s="1873"/>
    </row>
    <row r="400" spans="1:12">
      <c r="A400" s="392" t="s">
        <v>475</v>
      </c>
      <c r="F400" s="1840"/>
      <c r="G400" s="1840"/>
      <c r="H400" s="1868">
        <f>H343/'Price&amp;Q'!BL70</f>
        <v>313.76279206105784</v>
      </c>
      <c r="I400" s="1868">
        <f>I343/'Price&amp;Q'!BM70</f>
        <v>284.46960947176029</v>
      </c>
      <c r="J400" s="1868">
        <f>J343/'Price&amp;Q'!BN70</f>
        <v>257.92600060742149</v>
      </c>
      <c r="K400" s="1868">
        <f>K343/'Price&amp;Q'!BO70</f>
        <v>264.78215865066102</v>
      </c>
      <c r="L400" s="1873"/>
    </row>
    <row r="401" spans="1:12">
      <c r="A401" s="392" t="s">
        <v>476</v>
      </c>
      <c r="F401" s="541">
        <f>F402*F406+F403*F407</f>
        <v>132000</v>
      </c>
      <c r="G401" s="541">
        <f t="shared" ref="G401:K401" si="219">G402*G406+G403*G407</f>
        <v>165440</v>
      </c>
      <c r="H401" s="541">
        <f>H402*H406+H403*H407</f>
        <v>549200</v>
      </c>
      <c r="I401" s="541">
        <f>I402*I406+I403*I407</f>
        <v>604120</v>
      </c>
      <c r="J401" s="541">
        <f t="shared" si="219"/>
        <v>724944</v>
      </c>
      <c r="K401" s="541">
        <f t="shared" si="219"/>
        <v>942427.2</v>
      </c>
    </row>
    <row r="402" spans="1:12">
      <c r="A402" s="320" t="s">
        <v>477</v>
      </c>
      <c r="F402" s="1884">
        <v>1500</v>
      </c>
      <c r="G402" s="1884">
        <v>1880</v>
      </c>
      <c r="H402" s="1884">
        <v>5000</v>
      </c>
      <c r="I402" s="438">
        <f>H402*110%</f>
        <v>5500</v>
      </c>
      <c r="J402" s="438">
        <f>I402*120%</f>
        <v>6600</v>
      </c>
      <c r="K402" s="438">
        <f>J402*130%</f>
        <v>8580</v>
      </c>
      <c r="L402" s="1871">
        <v>0.1</v>
      </c>
    </row>
    <row r="403" spans="1:12">
      <c r="A403" s="320" t="s">
        <v>478</v>
      </c>
      <c r="F403" s="1884">
        <v>0</v>
      </c>
      <c r="G403" s="1884">
        <v>0</v>
      </c>
      <c r="H403" s="1884">
        <v>800</v>
      </c>
      <c r="I403" s="438">
        <f>H403*110%</f>
        <v>880.00000000000011</v>
      </c>
      <c r="J403" s="438">
        <f>I403*120%</f>
        <v>1056</v>
      </c>
      <c r="K403" s="438">
        <f>J403*130%</f>
        <v>1372.8</v>
      </c>
      <c r="L403" s="1871">
        <v>0.1</v>
      </c>
    </row>
    <row r="404" spans="1:12">
      <c r="A404" s="320" t="s">
        <v>479</v>
      </c>
    </row>
    <row r="405" spans="1:12">
      <c r="A405" s="320" t="s">
        <v>480</v>
      </c>
    </row>
    <row r="406" spans="1:12">
      <c r="A406" s="320" t="s">
        <v>481</v>
      </c>
      <c r="F406" s="1864">
        <v>88</v>
      </c>
      <c r="G406" s="1864">
        <v>88</v>
      </c>
      <c r="H406" s="1864">
        <v>88</v>
      </c>
      <c r="I406" s="1873">
        <v>88</v>
      </c>
      <c r="J406" s="1873">
        <v>88</v>
      </c>
      <c r="K406" s="1873">
        <v>88</v>
      </c>
    </row>
    <row r="407" spans="1:12">
      <c r="A407" s="320" t="s">
        <v>482</v>
      </c>
      <c r="F407" s="1864"/>
      <c r="G407" s="1864"/>
      <c r="H407" s="1864">
        <v>136.5</v>
      </c>
      <c r="I407" s="1873">
        <v>136.5</v>
      </c>
      <c r="J407" s="1873">
        <v>136.5</v>
      </c>
      <c r="K407" s="1873">
        <v>136.5</v>
      </c>
    </row>
    <row r="408" spans="1:12">
      <c r="A408" s="320" t="s">
        <v>273</v>
      </c>
      <c r="F408" s="415">
        <v>33457</v>
      </c>
      <c r="G408" s="415">
        <v>90491</v>
      </c>
      <c r="H408" s="415">
        <v>133246</v>
      </c>
      <c r="I408" s="415">
        <f>'Price&amp;Q'!BM74</f>
        <v>362060.86980657832</v>
      </c>
      <c r="J408" s="415">
        <f>'Price&amp;Q'!BN74</f>
        <v>554530.3309439146</v>
      </c>
      <c r="K408" s="415">
        <f>'Price&amp;Q'!BO74</f>
        <v>734384.55905735353</v>
      </c>
    </row>
    <row r="409" spans="1:12">
      <c r="A409" s="320" t="s">
        <v>317</v>
      </c>
      <c r="F409" s="415">
        <v>33457</v>
      </c>
      <c r="G409" s="415">
        <v>90491</v>
      </c>
      <c r="H409" s="415">
        <v>133246</v>
      </c>
      <c r="I409" s="415">
        <f>I408</f>
        <v>362060.86980657832</v>
      </c>
      <c r="J409" s="415">
        <f t="shared" ref="J409:K409" si="220">J408</f>
        <v>554530.3309439146</v>
      </c>
      <c r="K409" s="415">
        <f t="shared" si="220"/>
        <v>734384.55905735353</v>
      </c>
    </row>
    <row r="410" spans="1:12">
      <c r="A410" s="320" t="s">
        <v>318</v>
      </c>
      <c r="F410" s="1815">
        <v>0</v>
      </c>
      <c r="G410" s="1815">
        <v>0</v>
      </c>
      <c r="H410" s="1815">
        <v>0</v>
      </c>
      <c r="I410" s="1815">
        <v>0</v>
      </c>
      <c r="J410" s="1815">
        <v>0</v>
      </c>
      <c r="K410" s="1815">
        <v>0</v>
      </c>
    </row>
    <row r="411" spans="1:12">
      <c r="A411" s="392" t="s">
        <v>275</v>
      </c>
      <c r="F411" s="1869">
        <f>F172/F408</f>
        <v>232.04794213468034</v>
      </c>
      <c r="G411" s="1869">
        <f>G172/G408</f>
        <v>229.36621321457383</v>
      </c>
      <c r="H411" s="1869">
        <f>H172/H408</f>
        <v>267.8380063941882</v>
      </c>
      <c r="I411" s="1869">
        <f>I173/I408</f>
        <v>247.31922786540798</v>
      </c>
      <c r="J411" s="1869">
        <f>J173/J408</f>
        <v>249.11269128959358</v>
      </c>
      <c r="K411" s="1869">
        <f>K173/K408</f>
        <v>239.98608650634401</v>
      </c>
    </row>
    <row r="412" spans="1:12">
      <c r="A412" s="320" t="s">
        <v>276</v>
      </c>
      <c r="F412" s="1869">
        <f t="shared" ref="F412:K412" si="221">(F344+F223+F284+F178)/F408</f>
        <v>33.21</v>
      </c>
      <c r="G412" s="1869">
        <f t="shared" si="221"/>
        <v>26.986061605689329</v>
      </c>
      <c r="H412" s="1869">
        <f t="shared" si="221"/>
        <v>31.703941893873484</v>
      </c>
      <c r="I412" s="1869">
        <f t="shared" si="221"/>
        <v>34.953583337259509</v>
      </c>
      <c r="J412" s="1869">
        <f t="shared" si="221"/>
        <v>34.442281222577321</v>
      </c>
      <c r="K412" s="1869">
        <f t="shared" si="221"/>
        <v>30.964368813214296</v>
      </c>
    </row>
    <row r="413" spans="1:12">
      <c r="A413" s="320" t="s">
        <v>277</v>
      </c>
      <c r="F413" s="437">
        <f>F412/F411</f>
        <v>0.1431169770112633</v>
      </c>
      <c r="G413" s="437">
        <f t="shared" ref="G413:K413" si="222">G412/G411</f>
        <v>0.11765491188732172</v>
      </c>
      <c r="H413" s="437">
        <f t="shared" si="222"/>
        <v>0.11836983974265956</v>
      </c>
      <c r="I413" s="437">
        <f t="shared" si="222"/>
        <v>0.14132982558186449</v>
      </c>
      <c r="J413" s="437">
        <f t="shared" si="222"/>
        <v>0.13825984153709037</v>
      </c>
      <c r="K413" s="437">
        <f t="shared" si="222"/>
        <v>0.12902568338017278</v>
      </c>
    </row>
    <row r="414" spans="1:12">
      <c r="A414" s="320" t="s">
        <v>483</v>
      </c>
      <c r="F414" s="1840">
        <f>F184</f>
        <v>7.6692454552182028</v>
      </c>
      <c r="G414" s="1840">
        <f>G184</f>
        <v>8.8280946902887383</v>
      </c>
      <c r="H414" s="1074">
        <f>H184*'Price&amp;Q'!BL67/'Price&amp;Q'!BL74+H291*'Price&amp;Q'!BL68/'Price&amp;Q'!BL74+H351*'Price&amp;Q'!BL70/'Price&amp;Q'!BL74</f>
        <v>9.8195915779628002</v>
      </c>
      <c r="I414" s="437"/>
      <c r="J414" s="437"/>
      <c r="K414" s="437"/>
    </row>
    <row r="415" spans="1:12">
      <c r="A415" s="320" t="s">
        <v>484</v>
      </c>
      <c r="F415" s="1840">
        <f>F186</f>
        <v>7.4074074074074066</v>
      </c>
      <c r="G415" s="1840">
        <f>G186</f>
        <v>6.6666666666666661</v>
      </c>
      <c r="H415" s="1007">
        <f>H354*'Price&amp;Q'!BL70/'Price&amp;Q'!BL74+CA!H294*'Price&amp;Q'!BL68/'Price&amp;Q'!BL74+H184*'Price&amp;Q'!BL67/'Price&amp;Q'!BL74</f>
        <v>7.1076560116119278</v>
      </c>
      <c r="I415" s="437"/>
      <c r="J415" s="437"/>
      <c r="K415" s="437"/>
    </row>
    <row r="416" spans="1:12">
      <c r="A416" s="320" t="s">
        <v>485</v>
      </c>
      <c r="F416" s="1840">
        <f>F190</f>
        <v>14.327917297045026</v>
      </c>
      <c r="G416" s="1840">
        <f>G190</f>
        <v>13.172968767340523</v>
      </c>
      <c r="H416" s="1007">
        <f>H358*'Price&amp;Q'!BL70/'Price&amp;Q'!BL74+CA!H298*'Price&amp;Q'!BL68/'Price&amp;Q'!BL74+CA!H186*'Price&amp;Q'!BL67/'Price&amp;Q'!BL74</f>
        <v>10.521390347102979</v>
      </c>
      <c r="I416" s="437"/>
      <c r="J416" s="437"/>
      <c r="K416" s="437"/>
    </row>
    <row r="417" spans="1:12">
      <c r="A417" s="320" t="s">
        <v>486</v>
      </c>
      <c r="F417" s="1840">
        <v>0</v>
      </c>
      <c r="G417" s="1840">
        <v>0</v>
      </c>
      <c r="H417" s="1007">
        <f>H382*'Price&amp;Q'!BL70/'Price&amp;Q'!BL74+CA!H320*'Price&amp;Q'!BL68/'Price&amp;Q'!BL74</f>
        <v>4.4858742476321991</v>
      </c>
      <c r="I417" s="437"/>
      <c r="J417" s="437"/>
      <c r="K417" s="437"/>
    </row>
    <row r="418" spans="1:12">
      <c r="A418" s="320" t="s">
        <v>487</v>
      </c>
      <c r="F418" s="1007">
        <f>F411-F412-F414-F415-F416</f>
        <v>169.43337197500969</v>
      </c>
      <c r="G418" s="1007">
        <f>G411-G412-G414-G415-G416</f>
        <v>173.71242148458856</v>
      </c>
      <c r="H418" s="1007">
        <f>H411-H412-H414-H415-H416-H417</f>
        <v>204.1995523160048</v>
      </c>
      <c r="I418" s="437"/>
      <c r="J418" s="437"/>
      <c r="K418" s="437"/>
    </row>
    <row r="419" spans="1:12">
      <c r="A419" s="320" t="s">
        <v>488</v>
      </c>
      <c r="F419" s="1840"/>
      <c r="G419" s="1840"/>
      <c r="H419" s="1840">
        <f>(H349+H289+H183+H228)/H409</f>
        <v>216.52499414004751</v>
      </c>
      <c r="I419" s="1894">
        <f>H419*$L$419</f>
        <v>205.69874443304514</v>
      </c>
      <c r="J419" s="1894">
        <f>I419*$L$419</f>
        <v>195.41380721139288</v>
      </c>
      <c r="K419" s="1894">
        <f>J419*$L$419</f>
        <v>185.64311685082322</v>
      </c>
      <c r="L419" s="1853">
        <v>0.95</v>
      </c>
    </row>
    <row r="420" spans="1:12">
      <c r="A420" s="392" t="s">
        <v>278</v>
      </c>
      <c r="F420" s="1869">
        <f>'Earning Forecast'!F268/CA!F408</f>
        <v>277.45174402965</v>
      </c>
      <c r="G420" s="1869">
        <f>'Earning Forecast'!G268/CA!G408</f>
        <v>288.74107922334815</v>
      </c>
      <c r="H420" s="1869">
        <f>'Earning Forecast'!H268/CA!H408</f>
        <v>331.01506987076533</v>
      </c>
      <c r="I420" s="1869">
        <f>'Earning Forecast'!I268/CA!I408</f>
        <v>316.47374263317073</v>
      </c>
      <c r="J420" s="1869">
        <f>'Earning Forecast'!J268/CA!J408</f>
        <v>316.95642457222601</v>
      </c>
      <c r="K420" s="1869">
        <f>'Earning Forecast'!K268/CA!K408</f>
        <v>308.50705213561673</v>
      </c>
    </row>
    <row r="421" spans="1:12">
      <c r="A421" s="320" t="s">
        <v>279</v>
      </c>
      <c r="F421" s="1869">
        <f t="shared" ref="F421:J421" si="223">F420-F411</f>
        <v>45.403801894969661</v>
      </c>
      <c r="G421" s="1869">
        <f t="shared" si="223"/>
        <v>59.374866008774319</v>
      </c>
      <c r="H421" s="1869">
        <f t="shared" si="223"/>
        <v>63.177063476577132</v>
      </c>
      <c r="I421" s="1869">
        <f>I420-I411</f>
        <v>69.154514767762748</v>
      </c>
      <c r="J421" s="1869">
        <f t="shared" si="223"/>
        <v>67.843733282632428</v>
      </c>
      <c r="K421" s="1869">
        <f>K420-K411</f>
        <v>68.520965629272723</v>
      </c>
    </row>
    <row r="422" spans="1:12">
      <c r="A422" s="320" t="s">
        <v>280</v>
      </c>
      <c r="E422" s="1840"/>
      <c r="F422" s="1841">
        <f>F421/F420</f>
        <v>0.16364576136929082</v>
      </c>
      <c r="G422" s="1841">
        <f t="shared" ref="G422:J422" si="224">G421/G420</f>
        <v>0.20563359452863456</v>
      </c>
      <c r="H422" s="1841">
        <f t="shared" si="224"/>
        <v>0.190858571790229</v>
      </c>
      <c r="I422" s="1895">
        <f>I421/I420</f>
        <v>0.21851580542629959</v>
      </c>
      <c r="J422" s="1895">
        <f t="shared" si="224"/>
        <v>0.21404750944612144</v>
      </c>
      <c r="K422" s="1895">
        <f>K421/K420</f>
        <v>0.22210502208925703</v>
      </c>
    </row>
    <row r="423" spans="1:12">
      <c r="E423" s="1840"/>
      <c r="F423" s="1841"/>
      <c r="G423" s="1841"/>
      <c r="H423" s="1841"/>
      <c r="I423" s="1895"/>
      <c r="J423" s="1895"/>
      <c r="K423" s="1895"/>
    </row>
    <row r="424" spans="1:12" ht="15.5">
      <c r="A424" s="318" t="s">
        <v>213</v>
      </c>
    </row>
    <row r="425" spans="1:12" ht="14.5">
      <c r="A425" s="319" t="s">
        <v>221</v>
      </c>
      <c r="D425" s="1812"/>
      <c r="E425" s="1812"/>
      <c r="F425" s="1812"/>
      <c r="G425" s="1812"/>
      <c r="H425" s="1812"/>
      <c r="I425" s="1812"/>
      <c r="J425" s="1812"/>
      <c r="K425" s="1812"/>
    </row>
    <row r="426" spans="1:12">
      <c r="A426" s="320" t="s">
        <v>299</v>
      </c>
      <c r="D426" s="1896">
        <f>'Fin Sta as rep'!C722</f>
        <v>0</v>
      </c>
      <c r="E426" s="1896">
        <f>'Fin Sta as rep'!D722</f>
        <v>3229952</v>
      </c>
      <c r="F426" s="1896">
        <f>'Fin Sta as rep'!E722</f>
        <v>3081502</v>
      </c>
      <c r="G426" s="1896">
        <f>'Fin Sta as rep'!F722</f>
        <v>5424776</v>
      </c>
      <c r="H426" s="1896">
        <f>'Fin Sta as rep'!G722</f>
        <v>10606745</v>
      </c>
      <c r="I426" s="1897">
        <f>H426*1.1</f>
        <v>11667419.500000002</v>
      </c>
      <c r="J426" s="1897">
        <f t="shared" ref="J426:K426" si="225">I426*1.1</f>
        <v>12834161.450000003</v>
      </c>
      <c r="K426" s="1897">
        <f t="shared" si="225"/>
        <v>14117577.595000004</v>
      </c>
      <c r="L426" s="1848">
        <v>1.1000000000000001</v>
      </c>
    </row>
    <row r="427" spans="1:12">
      <c r="A427" s="320" t="s">
        <v>224</v>
      </c>
      <c r="D427" s="1898"/>
      <c r="E427" s="1898">
        <v>161991</v>
      </c>
      <c r="F427" s="1898">
        <v>456319</v>
      </c>
      <c r="G427" s="1898">
        <v>1002246</v>
      </c>
      <c r="H427" s="1897">
        <f>G427*1.1</f>
        <v>1102470.6000000001</v>
      </c>
      <c r="I427" s="1897">
        <f t="shared" ref="I427:K427" si="226">H427*1.1</f>
        <v>1212717.6600000001</v>
      </c>
      <c r="J427" s="1897">
        <f t="shared" si="226"/>
        <v>1333989.4260000002</v>
      </c>
      <c r="K427" s="1897">
        <f t="shared" si="226"/>
        <v>1467388.3686000004</v>
      </c>
      <c r="L427" s="1848">
        <v>1.1000000000000001</v>
      </c>
    </row>
    <row r="428" spans="1:12">
      <c r="A428" s="320" t="s">
        <v>489</v>
      </c>
      <c r="D428" s="1898"/>
      <c r="E428" s="1898">
        <v>79185</v>
      </c>
      <c r="F428" s="1898">
        <v>135467</v>
      </c>
      <c r="G428" s="1898">
        <v>93786</v>
      </c>
      <c r="H428" s="1897">
        <f>G428*1.1</f>
        <v>103164.6</v>
      </c>
      <c r="I428" s="1897">
        <f t="shared" ref="I428:K428" si="227">H428*1.1</f>
        <v>113481.06000000001</v>
      </c>
      <c r="J428" s="1897">
        <f t="shared" si="227"/>
        <v>124829.16600000003</v>
      </c>
      <c r="K428" s="1897">
        <f t="shared" si="227"/>
        <v>137312.08260000005</v>
      </c>
      <c r="L428" s="1848">
        <v>1.1000000000000001</v>
      </c>
    </row>
    <row r="429" spans="1:12">
      <c r="A429" s="320" t="s">
        <v>300</v>
      </c>
      <c r="D429" s="1898"/>
      <c r="E429" s="1899">
        <f>SUM(E426:E428)</f>
        <v>3471128</v>
      </c>
      <c r="F429" s="1899">
        <f t="shared" ref="F429:K429" si="228">SUM(F426:F428)</f>
        <v>3673288</v>
      </c>
      <c r="G429" s="1899">
        <f>SUM(G426:G428)</f>
        <v>6520808</v>
      </c>
      <c r="H429" s="1899">
        <f t="shared" si="228"/>
        <v>11812380.199999999</v>
      </c>
      <c r="I429" s="1899">
        <f>SUM(I426:I428)</f>
        <v>12993618.220000003</v>
      </c>
      <c r="J429" s="1899">
        <f t="shared" si="228"/>
        <v>14292980.042000003</v>
      </c>
      <c r="K429" s="1899">
        <f t="shared" si="228"/>
        <v>15722278.046200003</v>
      </c>
    </row>
    <row r="430" spans="1:12">
      <c r="A430" s="320" t="s">
        <v>227</v>
      </c>
      <c r="D430" s="1898"/>
      <c r="E430" s="1898"/>
      <c r="F430" s="1899">
        <f>F429-E429</f>
        <v>202160</v>
      </c>
      <c r="G430" s="1899">
        <f>G429-F429</f>
        <v>2847520</v>
      </c>
      <c r="H430" s="1899">
        <f>H429*H431</f>
        <v>2904175.5058015361</v>
      </c>
      <c r="I430" s="1899">
        <f t="shared" ref="I430:K430" si="229">I429*I431</f>
        <v>3194593.0563816903</v>
      </c>
      <c r="J430" s="1899">
        <f t="shared" si="229"/>
        <v>4423197.658866398</v>
      </c>
      <c r="K430" s="1899">
        <f t="shared" si="229"/>
        <v>4198810.8737322437</v>
      </c>
    </row>
    <row r="431" spans="1:12">
      <c r="A431" s="320" t="s">
        <v>228</v>
      </c>
      <c r="D431" s="1898"/>
      <c r="E431" s="1898"/>
      <c r="F431" s="437">
        <f>F430/F429</f>
        <v>5.5035161958441589E-2</v>
      </c>
      <c r="G431" s="437">
        <f>G430/G429</f>
        <v>0.4366820798894861</v>
      </c>
      <c r="H431" s="440">
        <f>AVERAGE(E431:G431)</f>
        <v>0.24585862092396385</v>
      </c>
      <c r="I431" s="440">
        <f t="shared" ref="I431:K431" si="230">AVERAGE(F431:H431)</f>
        <v>0.24585862092396385</v>
      </c>
      <c r="J431" s="440">
        <f t="shared" si="230"/>
        <v>0.30946644057913791</v>
      </c>
      <c r="K431" s="440">
        <f t="shared" si="230"/>
        <v>0.26706122747568856</v>
      </c>
      <c r="L431" s="320" t="s">
        <v>229</v>
      </c>
    </row>
    <row r="432" spans="1:12">
      <c r="A432" s="1806" t="s">
        <v>231</v>
      </c>
      <c r="D432" s="1896">
        <f>'Earning Forecast'!D320</f>
        <v>8220</v>
      </c>
      <c r="E432" s="1896">
        <f>'Earning Forecast'!E320</f>
        <v>2733531</v>
      </c>
      <c r="F432" s="1896">
        <f>'Earning Forecast'!F320</f>
        <v>5350479</v>
      </c>
      <c r="G432" s="1896">
        <f>'Earning Forecast'!G320</f>
        <v>17733036</v>
      </c>
      <c r="H432" s="1896">
        <f>'Earning Forecast'!H320</f>
        <v>22493122</v>
      </c>
      <c r="I432" s="1898"/>
      <c r="J432" s="1898"/>
      <c r="K432" s="1898"/>
    </row>
    <row r="433" spans="1:15">
      <c r="A433" s="392" t="s">
        <v>287</v>
      </c>
      <c r="D433" s="1898"/>
      <c r="E433" s="1898"/>
      <c r="F433" s="1899">
        <f>F434+F435</f>
        <v>5350479</v>
      </c>
      <c r="G433" s="1899">
        <f t="shared" ref="G433:K433" si="231">G434+G435</f>
        <v>17733036</v>
      </c>
      <c r="H433" s="1899">
        <f t="shared" si="231"/>
        <v>22493122</v>
      </c>
      <c r="I433" s="1899">
        <f t="shared" si="231"/>
        <v>16262972.386363916</v>
      </c>
      <c r="J433" s="1899">
        <f t="shared" si="231"/>
        <v>15855826.025727648</v>
      </c>
      <c r="K433" s="1899">
        <f t="shared" si="231"/>
        <v>12424215.150838964</v>
      </c>
    </row>
    <row r="434" spans="1:15">
      <c r="A434" s="392" t="s">
        <v>234</v>
      </c>
      <c r="D434" s="1898"/>
      <c r="E434" s="1898"/>
      <c r="F434" s="1896">
        <f t="shared" ref="F434:K434" si="232">F430</f>
        <v>202160</v>
      </c>
      <c r="G434" s="1896">
        <f t="shared" si="232"/>
        <v>2847520</v>
      </c>
      <c r="H434" s="1896">
        <f t="shared" si="232"/>
        <v>2904175.5058015361</v>
      </c>
      <c r="I434" s="1896">
        <f t="shared" si="232"/>
        <v>3194593.0563816903</v>
      </c>
      <c r="J434" s="1896">
        <f t="shared" si="232"/>
        <v>4423197.658866398</v>
      </c>
      <c r="K434" s="1896">
        <f t="shared" si="232"/>
        <v>4198810.8737322437</v>
      </c>
      <c r="L434" s="320" t="s">
        <v>235</v>
      </c>
    </row>
    <row r="435" spans="1:15">
      <c r="A435" s="392" t="s">
        <v>236</v>
      </c>
      <c r="D435" s="1898"/>
      <c r="E435" s="1898"/>
      <c r="F435" s="1899">
        <f>F436+F443</f>
        <v>5148319</v>
      </c>
      <c r="G435" s="1899">
        <f t="shared" ref="G435:K435" si="233">G436+G443</f>
        <v>14885516</v>
      </c>
      <c r="H435" s="1899">
        <f t="shared" si="233"/>
        <v>19588946.494198464</v>
      </c>
      <c r="I435" s="1899">
        <f t="shared" si="233"/>
        <v>13068379.329982225</v>
      </c>
      <c r="J435" s="1899">
        <f t="shared" si="233"/>
        <v>11432628.36686125</v>
      </c>
      <c r="K435" s="1899">
        <f t="shared" si="233"/>
        <v>8225404.2771067191</v>
      </c>
    </row>
    <row r="436" spans="1:15">
      <c r="A436" s="392" t="s">
        <v>238</v>
      </c>
      <c r="D436" s="1898"/>
      <c r="E436" s="1898"/>
      <c r="F436" s="1899">
        <f>F437+F441</f>
        <v>5045944</v>
      </c>
      <c r="G436" s="1899">
        <f t="shared" ref="G436:K436" si="234">G437+G441</f>
        <v>14772903.5</v>
      </c>
      <c r="H436" s="1899">
        <f t="shared" si="234"/>
        <v>19465072.744198464</v>
      </c>
      <c r="I436" s="1899">
        <f t="shared" si="234"/>
        <v>12844368.204982225</v>
      </c>
      <c r="J436" s="1899">
        <f t="shared" si="234"/>
        <v>11186216.12936125</v>
      </c>
      <c r="K436" s="1899">
        <f t="shared" si="234"/>
        <v>7954350.8158567194</v>
      </c>
    </row>
    <row r="437" spans="1:15">
      <c r="A437" s="320" t="s">
        <v>240</v>
      </c>
      <c r="D437" s="1898"/>
      <c r="E437" s="1898"/>
      <c r="F437" s="1899">
        <f>F439/1000*F438*1000000</f>
        <v>1557993.5832918899</v>
      </c>
      <c r="G437" s="1899">
        <f t="shared" ref="G437:K437" si="235">G439/1000*G438*1000000</f>
        <v>5307481.5693428144</v>
      </c>
      <c r="H437" s="1899">
        <f t="shared" si="235"/>
        <v>7035993.4638614459</v>
      </c>
      <c r="I437" s="1899">
        <f t="shared" si="235"/>
        <v>5187685.7067510094</v>
      </c>
      <c r="J437" s="1899">
        <f t="shared" si="235"/>
        <v>4362239.7791556157</v>
      </c>
      <c r="K437" s="1899">
        <f t="shared" si="235"/>
        <v>2994896.0802916959</v>
      </c>
    </row>
    <row r="438" spans="1:15">
      <c r="A438" s="320" t="s">
        <v>242</v>
      </c>
      <c r="D438" s="1898"/>
      <c r="E438" s="1898"/>
      <c r="F438" s="1899">
        <f>'Price&amp;Q'!DD79</f>
        <v>1.7565345000000001</v>
      </c>
      <c r="G438" s="1899">
        <f>'Price&amp;Q'!DE79</f>
        <v>6.7705341999999993</v>
      </c>
      <c r="H438" s="1899">
        <f>'Price&amp;Q'!DF79</f>
        <v>8.4767051402</v>
      </c>
      <c r="I438" s="1899">
        <f>'Price&amp;Q'!DG79</f>
        <v>6.9443691091183677</v>
      </c>
      <c r="J438" s="1899">
        <f>'Price&amp;Q'!DH79</f>
        <v>6.488228916051396</v>
      </c>
      <c r="K438" s="1899">
        <f>'Price&amp;Q'!DI79</f>
        <v>4.9494378862611796</v>
      </c>
    </row>
    <row r="439" spans="1:15" s="645" customFormat="1">
      <c r="A439" s="1900" t="s">
        <v>304</v>
      </c>
      <c r="B439" s="1901"/>
      <c r="C439" s="1901"/>
      <c r="D439" s="1901">
        <f>E439/$L439</f>
        <v>1060.9143507061617</v>
      </c>
      <c r="E439" s="1902">
        <v>954.82291563554554</v>
      </c>
      <c r="F439" s="1902">
        <v>886.97010123734538</v>
      </c>
      <c r="G439" s="1902">
        <v>783.90883386170856</v>
      </c>
      <c r="H439" s="1902">
        <v>830.03871757835361</v>
      </c>
      <c r="I439" s="1903">
        <f>H439*$L439</f>
        <v>747.03484582051829</v>
      </c>
      <c r="J439" s="1903">
        <f>I439*$L439</f>
        <v>672.33136123846646</v>
      </c>
      <c r="K439" s="1903">
        <f>J439*$L439</f>
        <v>605.09822511461982</v>
      </c>
      <c r="L439" s="1851">
        <v>0.9</v>
      </c>
      <c r="M439" s="1900"/>
      <c r="N439" s="1900"/>
      <c r="O439" s="1900"/>
    </row>
    <row r="440" spans="1:15" s="5" customFormat="1">
      <c r="A440" s="434" t="s">
        <v>305</v>
      </c>
      <c r="B440" s="1904"/>
      <c r="C440" s="1904"/>
      <c r="D440" s="1904">
        <f>D439*$L440</f>
        <v>901.77719810023746</v>
      </c>
      <c r="E440" s="1904">
        <f t="shared" ref="E440" si="236">E439*$L440</f>
        <v>811.59947829021371</v>
      </c>
      <c r="F440" s="1904">
        <v>820</v>
      </c>
      <c r="G440" s="1904">
        <f t="shared" ref="G440:K440" si="237">G439*$L440</f>
        <v>666.32250878245225</v>
      </c>
      <c r="H440" s="1904">
        <f t="shared" si="237"/>
        <v>705.53290994160056</v>
      </c>
      <c r="I440" s="1904">
        <f t="shared" si="237"/>
        <v>634.97961894744049</v>
      </c>
      <c r="J440" s="1904">
        <f t="shared" si="237"/>
        <v>571.48165705269651</v>
      </c>
      <c r="K440" s="1904">
        <f t="shared" si="237"/>
        <v>514.33349134742684</v>
      </c>
      <c r="L440" s="1853">
        <v>0.85</v>
      </c>
      <c r="M440" s="434"/>
      <c r="N440" s="434"/>
      <c r="O440" s="434"/>
    </row>
    <row r="441" spans="1:15">
      <c r="A441" s="320" t="s">
        <v>253</v>
      </c>
      <c r="D441" s="1898"/>
      <c r="E441" s="1898"/>
      <c r="F441" s="1899">
        <f>F432-F434-F437-F443</f>
        <v>3487950.4167081099</v>
      </c>
      <c r="G441" s="1899">
        <f t="shared" ref="G441:H441" si="238">G432-G434-G437-G443</f>
        <v>9465421.9306571856</v>
      </c>
      <c r="H441" s="1899">
        <f t="shared" si="238"/>
        <v>12429079.280337017</v>
      </c>
      <c r="I441" s="1905">
        <f>I442*I450</f>
        <v>7656682.4982312154</v>
      </c>
      <c r="J441" s="1905">
        <f t="shared" ref="J441:K441" si="239">J442*J450</f>
        <v>6823976.3502056329</v>
      </c>
      <c r="K441" s="1905">
        <f t="shared" si="239"/>
        <v>4959454.7355650235</v>
      </c>
    </row>
    <row r="442" spans="1:15">
      <c r="A442" s="434" t="s">
        <v>306</v>
      </c>
      <c r="D442" s="1898"/>
      <c r="E442" s="1898"/>
      <c r="F442" s="1899">
        <f>F441/F451</f>
        <v>129.15464773413723</v>
      </c>
      <c r="G442" s="1899">
        <f t="shared" ref="G442:H442" si="240">G441/G451</f>
        <v>96.433415828609711</v>
      </c>
      <c r="H442" s="1899">
        <f t="shared" si="240"/>
        <v>102.8205542307461</v>
      </c>
      <c r="I442" s="1905">
        <f>H442*$L$442</f>
        <v>97.679526519208792</v>
      </c>
      <c r="J442" s="1905">
        <f t="shared" ref="J442:K442" si="241">I442*$L$442</f>
        <v>92.795550193248346</v>
      </c>
      <c r="K442" s="1905">
        <f t="shared" si="241"/>
        <v>88.155772683585923</v>
      </c>
      <c r="L442" s="1863">
        <v>0.95</v>
      </c>
    </row>
    <row r="443" spans="1:15">
      <c r="A443" s="392" t="s">
        <v>311</v>
      </c>
      <c r="D443" s="1898"/>
      <c r="E443" s="1898"/>
      <c r="F443" s="1899">
        <f>F444*F448+F445*F449</f>
        <v>102375</v>
      </c>
      <c r="G443" s="1899">
        <f t="shared" ref="G443:J443" si="242">G444*G448+G445*G449</f>
        <v>112612.50000000001</v>
      </c>
      <c r="H443" s="1899">
        <f t="shared" si="242"/>
        <v>123873.75000000003</v>
      </c>
      <c r="I443" s="1899">
        <f t="shared" si="242"/>
        <v>224011.12500000006</v>
      </c>
      <c r="J443" s="1899">
        <f t="shared" si="242"/>
        <v>246412.2375000001</v>
      </c>
      <c r="K443" s="1899">
        <f>K444*K448+K445*K449</f>
        <v>271053.46125000011</v>
      </c>
    </row>
    <row r="444" spans="1:15" s="944" customFormat="1">
      <c r="A444" s="1906" t="s">
        <v>490</v>
      </c>
      <c r="B444" s="1906"/>
      <c r="C444" s="1906"/>
      <c r="D444" s="1907"/>
      <c r="E444" s="1907"/>
      <c r="F444" s="1908">
        <v>650</v>
      </c>
      <c r="G444" s="1909">
        <f>F444*1.1</f>
        <v>715.00000000000011</v>
      </c>
      <c r="H444" s="1909">
        <f t="shared" ref="H444:K444" si="243">G444*1.1</f>
        <v>786.50000000000023</v>
      </c>
      <c r="I444" s="1909">
        <f t="shared" si="243"/>
        <v>865.15000000000032</v>
      </c>
      <c r="J444" s="1909">
        <f t="shared" si="243"/>
        <v>951.66500000000042</v>
      </c>
      <c r="K444" s="1909">
        <f t="shared" si="243"/>
        <v>1046.8315000000005</v>
      </c>
      <c r="L444" s="1910">
        <v>1.1000000000000001</v>
      </c>
      <c r="M444" s="1906"/>
      <c r="N444" s="1906"/>
      <c r="O444" s="1906"/>
    </row>
    <row r="445" spans="1:15" s="944" customFormat="1">
      <c r="A445" s="1906" t="s">
        <v>491</v>
      </c>
      <c r="B445" s="1906"/>
      <c r="C445" s="1906"/>
      <c r="D445" s="1907"/>
      <c r="E445" s="1907"/>
      <c r="F445" s="1911">
        <v>0</v>
      </c>
      <c r="G445" s="1911">
        <v>0</v>
      </c>
      <c r="H445" s="1911">
        <v>0</v>
      </c>
      <c r="I445" s="1909">
        <v>650</v>
      </c>
      <c r="J445" s="1909">
        <f>I445*1.1</f>
        <v>715.00000000000011</v>
      </c>
      <c r="K445" s="1909">
        <f>J445*1.1</f>
        <v>786.50000000000023</v>
      </c>
      <c r="L445" s="1910">
        <v>1.1000000000000001</v>
      </c>
      <c r="M445" s="1906"/>
      <c r="N445" s="1906"/>
      <c r="O445" s="1906"/>
    </row>
    <row r="446" spans="1:15">
      <c r="A446" s="320" t="s">
        <v>492</v>
      </c>
      <c r="D446" s="1898"/>
      <c r="E446" s="1898"/>
      <c r="F446" s="1898"/>
      <c r="G446" s="1898"/>
      <c r="H446" s="1898"/>
      <c r="I446" s="1898"/>
      <c r="J446" s="1898"/>
      <c r="K446" s="1898"/>
    </row>
    <row r="447" spans="1:15">
      <c r="A447" s="320" t="s">
        <v>316</v>
      </c>
      <c r="D447" s="1898"/>
      <c r="E447" s="1898"/>
      <c r="F447" s="1898"/>
      <c r="G447" s="1898"/>
      <c r="H447" s="1898"/>
      <c r="I447" s="1898"/>
      <c r="J447" s="1898"/>
      <c r="K447" s="1898"/>
    </row>
    <row r="448" spans="1:15">
      <c r="A448" s="320" t="s">
        <v>493</v>
      </c>
      <c r="D448" s="1898"/>
      <c r="E448" s="1898"/>
      <c r="F448" s="1912">
        <v>157.5</v>
      </c>
      <c r="G448" s="1912">
        <v>157.5</v>
      </c>
      <c r="H448" s="1912">
        <v>157.5</v>
      </c>
      <c r="I448" s="1913">
        <v>157.5</v>
      </c>
      <c r="J448" s="1913">
        <v>157.5</v>
      </c>
      <c r="K448" s="1913">
        <v>157.5</v>
      </c>
    </row>
    <row r="449" spans="1:12">
      <c r="A449" s="320" t="s">
        <v>494</v>
      </c>
      <c r="D449" s="1898"/>
      <c r="E449" s="1898"/>
      <c r="F449" s="1898"/>
      <c r="G449" s="1898"/>
      <c r="H449" s="1898"/>
      <c r="I449" s="1897">
        <v>135</v>
      </c>
      <c r="J449" s="1897">
        <v>135</v>
      </c>
      <c r="K449" s="1897">
        <v>135</v>
      </c>
    </row>
    <row r="450" spans="1:12">
      <c r="A450" s="320" t="s">
        <v>273</v>
      </c>
      <c r="D450" s="1898"/>
      <c r="E450" s="1914"/>
      <c r="F450" s="1896">
        <v>27006</v>
      </c>
      <c r="G450" s="1896">
        <v>98155</v>
      </c>
      <c r="H450" s="1896">
        <v>120881.27100000001</v>
      </c>
      <c r="I450" s="1896">
        <v>78385.745417444457</v>
      </c>
      <c r="J450" s="1896">
        <v>73537.754084054497</v>
      </c>
      <c r="K450" s="1896">
        <v>56257.85566381229</v>
      </c>
      <c r="L450" s="1848" t="s">
        <v>495</v>
      </c>
    </row>
    <row r="451" spans="1:12">
      <c r="A451" s="320" t="s">
        <v>317</v>
      </c>
      <c r="D451" s="1898"/>
      <c r="E451" s="1914"/>
      <c r="F451" s="1896">
        <v>27006</v>
      </c>
      <c r="G451" s="1896">
        <v>98155</v>
      </c>
      <c r="H451" s="1896">
        <v>120881.27100000001</v>
      </c>
      <c r="I451" s="1896">
        <v>78385.745417444457</v>
      </c>
      <c r="J451" s="1896">
        <v>73537.754084054497</v>
      </c>
      <c r="K451" s="1896">
        <v>56257.85566381229</v>
      </c>
    </row>
    <row r="452" spans="1:12">
      <c r="A452" s="320" t="s">
        <v>318</v>
      </c>
      <c r="D452" s="1898"/>
      <c r="E452" s="1883"/>
      <c r="F452" s="1883">
        <v>0</v>
      </c>
      <c r="G452" s="1883">
        <v>0</v>
      </c>
      <c r="H452" s="1883">
        <v>0</v>
      </c>
      <c r="I452" s="1883">
        <v>0</v>
      </c>
      <c r="J452" s="1883">
        <v>0</v>
      </c>
      <c r="K452" s="1883">
        <v>0</v>
      </c>
    </row>
    <row r="453" spans="1:12">
      <c r="A453" s="320" t="s">
        <v>275</v>
      </c>
      <c r="D453" s="1898"/>
      <c r="E453" s="1899"/>
      <c r="F453" s="1899">
        <f t="shared" ref="F453:H453" si="244">F432/F450</f>
        <v>198.12186180848701</v>
      </c>
      <c r="G453" s="1899">
        <f t="shared" si="244"/>
        <v>180.66360348428506</v>
      </c>
      <c r="H453" s="1899">
        <f t="shared" si="244"/>
        <v>186.07615401396632</v>
      </c>
      <c r="I453" s="1899">
        <f>I433/I450</f>
        <v>207.47359484502206</v>
      </c>
      <c r="J453" s="1899">
        <f t="shared" ref="J453:K453" si="245">J433/J450</f>
        <v>215.61477125891358</v>
      </c>
      <c r="K453" s="1899">
        <f t="shared" si="245"/>
        <v>220.84409375792839</v>
      </c>
    </row>
    <row r="454" spans="1:12">
      <c r="A454" s="320" t="s">
        <v>276</v>
      </c>
      <c r="D454" s="1898"/>
      <c r="E454" s="1899"/>
      <c r="F454" s="1899">
        <f t="shared" ref="F454:K454" si="246">F437/F450</f>
        <v>57.690645904313484</v>
      </c>
      <c r="G454" s="1899">
        <f t="shared" si="246"/>
        <v>54.072452440963929</v>
      </c>
      <c r="H454" s="1899">
        <f t="shared" si="246"/>
        <v>58.20581969113681</v>
      </c>
      <c r="I454" s="1899">
        <f t="shared" si="246"/>
        <v>66.18149357544425</v>
      </c>
      <c r="J454" s="1899">
        <f t="shared" si="246"/>
        <v>59.319730844234456</v>
      </c>
      <c r="K454" s="1899">
        <f t="shared" si="246"/>
        <v>53.235162360056933</v>
      </c>
    </row>
    <row r="455" spans="1:12">
      <c r="A455" s="320" t="s">
        <v>277</v>
      </c>
      <c r="D455" s="1898"/>
      <c r="E455" s="437"/>
      <c r="F455" s="437">
        <f t="shared" ref="F455:K455" si="247">F454/F453</f>
        <v>0.29118768306386961</v>
      </c>
      <c r="G455" s="437">
        <f t="shared" si="247"/>
        <v>0.29929909178229913</v>
      </c>
      <c r="H455" s="437">
        <f t="shared" si="247"/>
        <v>0.31280644206977781</v>
      </c>
      <c r="I455" s="437">
        <f t="shared" si="247"/>
        <v>0.3189875493548</v>
      </c>
      <c r="J455" s="437">
        <f t="shared" si="247"/>
        <v>0.27511904911654872</v>
      </c>
      <c r="K455" s="437">
        <f t="shared" si="247"/>
        <v>0.24105314049471052</v>
      </c>
    </row>
    <row r="456" spans="1:12">
      <c r="A456" s="320" t="s">
        <v>278</v>
      </c>
      <c r="D456" s="1898"/>
      <c r="E456" s="1899"/>
      <c r="F456" s="1899">
        <f>'Earning Forecast'!F318/CA!F450</f>
        <v>205.38969117973784</v>
      </c>
      <c r="G456" s="1899">
        <f>'Earning Forecast'!G318/CA!G450</f>
        <v>204.18679639345933</v>
      </c>
      <c r="H456" s="1899">
        <f>'Earning Forecast'!H318/CA!H450</f>
        <v>205.48788736676997</v>
      </c>
      <c r="I456" s="1899">
        <f>'Earning Forecast'!I318/CA!I450</f>
        <v>246.70686864139415</v>
      </c>
      <c r="J456" s="1899">
        <f>'Earning Forecast'!J318/CA!J450</f>
        <v>243.37372823510211</v>
      </c>
      <c r="K456" s="1899">
        <f>'Earning Forecast'!K318/CA!K450</f>
        <v>241.05392358780887</v>
      </c>
    </row>
    <row r="457" spans="1:12">
      <c r="A457" s="320" t="s">
        <v>279</v>
      </c>
      <c r="D457" s="1898"/>
      <c r="E457" s="1915"/>
      <c r="F457" s="1915">
        <f t="shared" ref="F457:K457" si="248">F456-F453</f>
        <v>7.2678293712508264</v>
      </c>
      <c r="G457" s="1915">
        <f t="shared" si="248"/>
        <v>23.52319290917427</v>
      </c>
      <c r="H457" s="1915">
        <f t="shared" si="248"/>
        <v>19.411733352803651</v>
      </c>
      <c r="I457" s="1915">
        <f t="shared" si="248"/>
        <v>39.233273796372089</v>
      </c>
      <c r="J457" s="1915">
        <f t="shared" si="248"/>
        <v>27.758956976188529</v>
      </c>
      <c r="K457" s="1915">
        <f t="shared" si="248"/>
        <v>20.209829829880476</v>
      </c>
    </row>
  </sheetData>
  <phoneticPr fontId="4" type="noConversion"/>
  <hyperlinks>
    <hyperlink ref="L235" r:id="rId1" display="https://cj.sina.com.cn/articles/view/7426890874/1baad5c7a001012839" xr:uid="{7C7DA072-A0F2-464F-9EDB-3AE5CBAC2896}"/>
    <hyperlink ref="L296" r:id="rId2" display="https://cj.sina.com.cn/articles/view/7426890874/1baad5c7a001012839" xr:uid="{866E67D1-EC71-4E97-8249-5F39E536E700}"/>
    <hyperlink ref="L356" r:id="rId3" display="https://cj.sina.com.cn/articles/view/7426890874/1baad5c7a001012839" xr:uid="{9CF21959-9B39-4F1F-9155-B49AC59D0C46}"/>
    <hyperlink ref="L362" r:id="rId4" display="https://www.dongchedi.com/article/7120054381663371815" xr:uid="{660D7995-B319-4D54-8487-686196F6E9D3}"/>
    <hyperlink ref="L300" r:id="rId5" display="https://www.dongchedi.com/article/7120054381663371815" xr:uid="{8182DDF6-182D-4E94-9B69-8D96308FE8E3}"/>
    <hyperlink ref="S362" r:id="rId6" display="https://www.amazon.com/NVIDIA-Jetson-Orin-Nano-Developer/dp/B0BZJTQ5YP?crid=23DIDJHDZQWKC&amp;keywords=jetson%2Borin%2Bnano%2Bdeveloper%2Bkit&amp;qid=1682808696&amp;sprefix=jetson%2Borin%2Bnano%2Caps%2C209&amp;sr=8-3&amp;linkCode=sl1&amp;tag=jetsonhacks-20&amp;linkId=c10e249bceec0782c643bce259cf3162&amp;language=en_US&amp;ref_=as_li_ss_tl&amp;th=1" xr:uid="{41698BC5-8A7E-4771-B143-3AFC7B3BAD50}"/>
    <hyperlink ref="L367" r:id="rId7" display="https://xueqiu.com/3751143638/225870118" xr:uid="{A89DD018-DD00-4AEA-BC02-36FF85DFDE13}"/>
    <hyperlink ref="M369" r:id="rId8" display="https://xueqiu.com/8356516615/205626467" xr:uid="{43866994-EF00-4523-A00D-9AABFE979D14}"/>
    <hyperlink ref="M251" r:id="rId9" display="https://xueqiu.com/1009979954/243393450" xr:uid="{85F632E9-82AA-42C8-BD51-9E42166397F6}"/>
    <hyperlink ref="M250" r:id="rId10" display="https://zhuanlan.zhihu.com/p/607775237" xr:uid="{FED44B70-7FF2-4778-9AE7-897B2ED84A3E}"/>
    <hyperlink ref="M383" r:id="rId11" xr:uid="{A622CDE5-4456-45D1-8A24-5C635572EBC6}"/>
    <hyperlink ref="L239" r:id="rId12" display="https://www.dongchedi.com/article/7120054381663371815" xr:uid="{D24A2AEC-C655-4DDC-A2AC-903D6D4743CD}"/>
    <hyperlink ref="M185" r:id="rId13" display="https://zhuanlan.zhihu.com/p/401727488" xr:uid="{D4CD42F3-F449-47D6-99D6-7430513BFC4B}"/>
    <hyperlink ref="M184" r:id="rId14" display="https://club.autohome.com.cn/bbs/thread/f2b7f551975dd681/99091242-1.html" xr:uid="{5104D1AA-7E0D-415E-ACB2-B34FA3DF3149}"/>
    <hyperlink ref="J189" r:id="rId15" display="https://cj.sina.com.cn/articles/view/7426890874/1baad5c7a001012839" xr:uid="{640DE6CB-FA3B-44FF-B422-414ED3A7E8B2}"/>
    <hyperlink ref="J202" r:id="rId16" display="https://zhuanlan.zhihu.com/p/575542532" xr:uid="{C68F5850-E69B-40AA-9AF5-B19B82ADF40C}"/>
    <hyperlink ref="M377" r:id="rId17" display="https://zhuanlan.zhihu.com/p/133199100" xr:uid="{2EB0B165-C33C-4CBB-9374-489F5F64B20D}"/>
    <hyperlink ref="M145" r:id="rId18" xr:uid="{E5F31020-B207-424C-A0A6-4FC906A8D036}"/>
    <hyperlink ref="L144" r:id="rId19" location=":~:text=Innovusi,度正式量产交付%E3%80%82" xr:uid="{A10BEB31-D62A-C441-86E1-0B234583EA2D}"/>
  </hyperlinks>
  <pageMargins left="0.7" right="0.7" top="0.75" bottom="0.75" header="0.3" footer="0.3"/>
  <drawing r:id="rId20"/>
  <legacyDrawing r:id="rId2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109AF-A3B3-4FA8-A2B4-136D8073BFC6}">
  <dimension ref="A1:WVO360"/>
  <sheetViews>
    <sheetView zoomScale="111" zoomScaleNormal="115" workbookViewId="0">
      <pane xSplit="1" ySplit="2" topLeftCell="C243" activePane="bottomRight" state="frozen"/>
      <selection pane="topRight" activeCell="B1" sqref="B1"/>
      <selection pane="bottomLeft" activeCell="A3" sqref="A3"/>
      <selection pane="bottomRight" activeCell="D262" sqref="D262"/>
    </sheetView>
  </sheetViews>
  <sheetFormatPr defaultColWidth="8.83203125" defaultRowHeight="14.25" customHeight="1" outlineLevelCol="1"/>
  <cols>
    <col min="1" max="1" width="58.4140625" bestFit="1" customWidth="1"/>
    <col min="2" max="2" width="19.75" bestFit="1" customWidth="1" outlineLevel="1"/>
    <col min="3" max="4" width="13.25" customWidth="1" outlineLevel="1"/>
    <col min="5" max="5" width="12.75" customWidth="1" outlineLevel="1"/>
    <col min="6" max="6" width="13.25" customWidth="1"/>
    <col min="7" max="7" width="13.75" customWidth="1"/>
    <col min="8" max="8" width="14.83203125" customWidth="1"/>
    <col min="9" max="11" width="13.75" customWidth="1"/>
    <col min="12" max="12" width="32.75" bestFit="1" customWidth="1"/>
    <col min="13" max="13" width="13" customWidth="1"/>
    <col min="14" max="14" width="13.4140625" customWidth="1"/>
    <col min="15" max="15" width="12.75" customWidth="1"/>
    <col min="16" max="16" width="11.4140625" customWidth="1"/>
    <col min="17" max="18" width="13.1640625" bestFit="1" customWidth="1"/>
  </cols>
  <sheetData>
    <row r="1" spans="1:20" ht="14">
      <c r="A1" s="514" t="s">
        <v>496</v>
      </c>
      <c r="B1" s="38">
        <v>2016</v>
      </c>
      <c r="C1" s="38">
        <v>2017</v>
      </c>
      <c r="D1" s="38">
        <v>2018</v>
      </c>
      <c r="E1" s="38">
        <v>2019</v>
      </c>
      <c r="F1" s="38">
        <v>2020</v>
      </c>
      <c r="G1" s="62">
        <v>2021</v>
      </c>
      <c r="H1" s="62">
        <v>2022</v>
      </c>
      <c r="I1" s="515" t="s">
        <v>219</v>
      </c>
      <c r="J1" s="515" t="s">
        <v>12</v>
      </c>
      <c r="K1" s="515" t="s">
        <v>13</v>
      </c>
    </row>
    <row r="2" spans="1:20" ht="16.399999999999999" hidden="1" customHeight="1">
      <c r="A2" s="318" t="s">
        <v>497</v>
      </c>
      <c r="B2" t="s">
        <v>498</v>
      </c>
      <c r="C2" t="s">
        <v>499</v>
      </c>
      <c r="D2" t="s">
        <v>500</v>
      </c>
      <c r="E2" t="s">
        <v>501</v>
      </c>
      <c r="F2" t="s">
        <v>502</v>
      </c>
      <c r="G2" t="s">
        <v>503</v>
      </c>
      <c r="H2" t="s">
        <v>504</v>
      </c>
      <c r="I2" t="s">
        <v>505</v>
      </c>
      <c r="J2" t="s">
        <v>506</v>
      </c>
    </row>
    <row r="3" spans="1:20" ht="22.5" customHeight="1">
      <c r="A3" s="318" t="s">
        <v>220</v>
      </c>
    </row>
    <row r="4" spans="1:20" s="259" customFormat="1" ht="14.5">
      <c r="A4" s="319" t="s">
        <v>507</v>
      </c>
    </row>
    <row r="5" spans="1:20" ht="14">
      <c r="A5" s="320" t="s">
        <v>508</v>
      </c>
      <c r="B5" s="30">
        <f>5589010+761759</f>
        <v>6350769</v>
      </c>
      <c r="C5" s="30">
        <f>8534750+1107000</f>
        <v>9641750</v>
      </c>
      <c r="D5" s="30">
        <f>17631520+883000</f>
        <v>18514520</v>
      </c>
      <c r="E5" s="30">
        <f>19952000+869000</f>
        <v>20821000</v>
      </c>
      <c r="F5" s="30">
        <f>26184000+1052000</f>
        <v>27236000</v>
      </c>
      <c r="G5" s="30">
        <v>47232000</v>
      </c>
      <c r="H5" s="248">
        <f>'Price&amp;Q'!CT25</f>
        <v>71462000.00000003</v>
      </c>
      <c r="I5" s="248">
        <f>'Price&amp;Q'!CU25</f>
        <v>83926771.802430227</v>
      </c>
      <c r="J5" s="248">
        <f>'Price&amp;Q'!CV25</f>
        <v>95277251.58928746</v>
      </c>
      <c r="K5" s="248">
        <f>'Price&amp;Q'!CW25</f>
        <v>102835026.77270603</v>
      </c>
      <c r="L5" t="s">
        <v>509</v>
      </c>
    </row>
    <row r="6" spans="1:20" ht="14">
      <c r="A6" s="320" t="s">
        <v>510</v>
      </c>
      <c r="B6" s="31"/>
      <c r="C6" s="82">
        <f>C5/B5-1</f>
        <v>0.51820196892691262</v>
      </c>
      <c r="D6" s="82">
        <f t="shared" ref="D6:H6" si="0">D5/C5-1</f>
        <v>0.92024476884383022</v>
      </c>
      <c r="E6" s="82">
        <f t="shared" si="0"/>
        <v>0.1245768186266778</v>
      </c>
      <c r="F6" s="82">
        <f t="shared" si="0"/>
        <v>0.30810239661879835</v>
      </c>
      <c r="G6" s="82">
        <f>G5/F5-1</f>
        <v>0.73417535614627694</v>
      </c>
      <c r="H6" s="82">
        <f t="shared" si="0"/>
        <v>0.512999661246613</v>
      </c>
      <c r="I6" s="82">
        <f>I5/H5-1</f>
        <v>0.1744251742524725</v>
      </c>
      <c r="J6" s="82">
        <f>J5/I5-1</f>
        <v>0.13524265908352939</v>
      </c>
      <c r="K6" s="82">
        <f>K5/J5-1</f>
        <v>7.9324026011979631E-2</v>
      </c>
    </row>
    <row r="7" spans="1:20" ht="14">
      <c r="A7" s="320" t="s">
        <v>511</v>
      </c>
      <c r="B7" s="30">
        <v>1600685</v>
      </c>
      <c r="C7" s="30">
        <v>2209000</v>
      </c>
      <c r="D7" s="30">
        <v>4341000</v>
      </c>
      <c r="E7" s="30">
        <v>4423000</v>
      </c>
      <c r="F7" s="30">
        <v>6977000</v>
      </c>
      <c r="G7" s="30">
        <v>13839000</v>
      </c>
      <c r="H7" s="249">
        <f>H5-H8</f>
        <v>20405549.553054743</v>
      </c>
      <c r="I7" s="249">
        <f>I5-I8</f>
        <v>15657082.007335201</v>
      </c>
      <c r="J7" s="249">
        <f>J5-J8</f>
        <v>17630227.714986488</v>
      </c>
      <c r="K7" s="249">
        <f>K5-K8</f>
        <v>20689377.752064794</v>
      </c>
      <c r="M7" s="30"/>
      <c r="N7" s="30"/>
      <c r="O7" s="30"/>
      <c r="P7" s="30"/>
      <c r="Q7" s="30"/>
    </row>
    <row r="8" spans="1:20" ht="14">
      <c r="A8" s="320" t="s">
        <v>287</v>
      </c>
      <c r="B8" s="249">
        <f>B5-B7</f>
        <v>4750084</v>
      </c>
      <c r="C8" s="249">
        <f t="shared" ref="C8:G8" si="1">C5-C7</f>
        <v>7432750</v>
      </c>
      <c r="D8" s="249">
        <f t="shared" si="1"/>
        <v>14173520</v>
      </c>
      <c r="E8" s="249">
        <f t="shared" si="1"/>
        <v>16398000</v>
      </c>
      <c r="F8" s="249">
        <f>F5-F7</f>
        <v>20259000</v>
      </c>
      <c r="G8" s="249">
        <f t="shared" si="1"/>
        <v>33393000</v>
      </c>
      <c r="H8" s="248">
        <f>CA!H11+CA!H50</f>
        <v>51056450.446945287</v>
      </c>
      <c r="I8" s="248">
        <f>CA!I11+CA!I50</f>
        <v>68269689.795095026</v>
      </c>
      <c r="J8" s="248">
        <f>CA!J11+CA!J50</f>
        <v>77647023.874300972</v>
      </c>
      <c r="K8" s="248">
        <f>CA!K11+CA!K50</f>
        <v>82145649.020641237</v>
      </c>
      <c r="L8" t="s">
        <v>512</v>
      </c>
      <c r="M8" s="30"/>
      <c r="N8" s="30"/>
      <c r="O8" s="30"/>
      <c r="P8" s="30"/>
      <c r="Q8" s="30"/>
    </row>
    <row r="9" spans="1:20" ht="14">
      <c r="A9" s="320" t="s">
        <v>513</v>
      </c>
      <c r="B9" s="31">
        <v>0.252</v>
      </c>
      <c r="C9" s="31">
        <v>0.23</v>
      </c>
      <c r="D9" s="31">
        <v>0.23</v>
      </c>
      <c r="E9" s="31">
        <v>0.21</v>
      </c>
      <c r="F9" s="31">
        <v>0.26</v>
      </c>
      <c r="G9" s="82">
        <f>G7/G5</f>
        <v>0.29300050813008133</v>
      </c>
      <c r="H9" s="82">
        <f t="shared" ref="H9:J9" si="2">H7/H5</f>
        <v>0.28554405912309666</v>
      </c>
      <c r="I9" s="82">
        <f t="shared" si="2"/>
        <v>0.18655646668018067</v>
      </c>
      <c r="J9" s="82">
        <f t="shared" si="2"/>
        <v>0.18504131280974892</v>
      </c>
      <c r="K9" s="82">
        <f t="shared" ref="K9" si="3">K7/K5</f>
        <v>0.20118998751071523</v>
      </c>
    </row>
    <row r="10" spans="1:20" ht="14">
      <c r="A10" s="320" t="s">
        <v>514</v>
      </c>
      <c r="B10" s="82">
        <f t="shared" ref="B10:K10" si="4">B7/B$41</f>
        <v>1.0008929146472394</v>
      </c>
      <c r="C10" s="82">
        <f t="shared" si="4"/>
        <v>0.99362934701594086</v>
      </c>
      <c r="D10" s="82">
        <f t="shared" si="4"/>
        <v>1.0604132655965148</v>
      </c>
      <c r="E10" s="82">
        <f t="shared" si="4"/>
        <v>1.0869992627181126</v>
      </c>
      <c r="F10" s="82">
        <f t="shared" si="4"/>
        <v>1.0523378582202112</v>
      </c>
      <c r="G10" s="82">
        <f t="shared" si="4"/>
        <v>1.0170720231626964</v>
      </c>
      <c r="H10" s="82">
        <f t="shared" si="4"/>
        <v>0.97612959806985733</v>
      </c>
      <c r="I10" s="82">
        <f t="shared" si="4"/>
        <v>0.8436740534879017</v>
      </c>
      <c r="J10" s="82">
        <f t="shared" si="4"/>
        <v>0.78324246346717519</v>
      </c>
      <c r="K10" s="82">
        <f t="shared" si="4"/>
        <v>0.75908756034922387</v>
      </c>
    </row>
    <row r="11" spans="1:20" s="259" customFormat="1" ht="14.5">
      <c r="A11" s="319" t="s">
        <v>515</v>
      </c>
    </row>
    <row r="12" spans="1:20" ht="14">
      <c r="A12" s="320" t="s">
        <v>508</v>
      </c>
      <c r="B12" s="30">
        <v>467970</v>
      </c>
      <c r="C12" s="30">
        <v>1001190</v>
      </c>
      <c r="D12" s="30">
        <v>1391040</v>
      </c>
      <c r="E12" s="30">
        <v>2226000</v>
      </c>
      <c r="F12" s="30">
        <v>2306000</v>
      </c>
      <c r="G12" s="30">
        <v>3802000</v>
      </c>
      <c r="H12" s="30">
        <v>6091000</v>
      </c>
      <c r="I12" s="249">
        <f>I5*I13</f>
        <v>7005024.5548287649</v>
      </c>
      <c r="J12" s="249">
        <f>J5*J13</f>
        <v>7914246.0697092656</v>
      </c>
      <c r="K12" s="249">
        <f>K5*K13</f>
        <v>8630102.4202933218</v>
      </c>
      <c r="L12" t="s">
        <v>516</v>
      </c>
    </row>
    <row r="13" spans="1:20" ht="14">
      <c r="A13" s="320" t="s">
        <v>517</v>
      </c>
      <c r="B13" s="82">
        <f t="shared" ref="B13:G13" si="5">B12/B5</f>
        <v>7.3687139305491978E-2</v>
      </c>
      <c r="C13" s="82">
        <f t="shared" si="5"/>
        <v>0.10383903337049809</v>
      </c>
      <c r="D13" s="82">
        <f t="shared" si="5"/>
        <v>7.5132382584047544E-2</v>
      </c>
      <c r="E13" s="82">
        <f t="shared" si="5"/>
        <v>0.10691129148455886</v>
      </c>
      <c r="F13" s="82">
        <f t="shared" si="5"/>
        <v>8.4667352034072552E-2</v>
      </c>
      <c r="G13" s="82">
        <f t="shared" si="5"/>
        <v>8.0496273712737126E-2</v>
      </c>
      <c r="H13" s="82">
        <f>H12/H5</f>
        <v>8.5234110436315763E-2</v>
      </c>
      <c r="I13" s="313">
        <f>AVERAGE(F13:H13)</f>
        <v>8.3465912061041814E-2</v>
      </c>
      <c r="J13" s="313">
        <f>AVERAGE(G13:I13)</f>
        <v>8.3065432070031572E-2</v>
      </c>
      <c r="K13" s="313">
        <f>AVERAGE(H13:J13)</f>
        <v>8.3921818189129707E-2</v>
      </c>
      <c r="L13" t="s">
        <v>518</v>
      </c>
    </row>
    <row r="14" spans="1:20" ht="14">
      <c r="A14" s="320" t="s">
        <v>510</v>
      </c>
      <c r="C14" s="82">
        <f>C12/B12-1</f>
        <v>1.1394320148727481</v>
      </c>
      <c r="D14" s="82">
        <f t="shared" ref="D14:K14" si="6">D12/C12-1</f>
        <v>0.38938662991040651</v>
      </c>
      <c r="E14" s="82">
        <f t="shared" si="6"/>
        <v>0.60024154589371981</v>
      </c>
      <c r="F14" s="82">
        <f t="shared" si="6"/>
        <v>3.5938903863432126E-2</v>
      </c>
      <c r="G14" s="82">
        <f t="shared" si="6"/>
        <v>0.64874241110147435</v>
      </c>
      <c r="H14" s="82">
        <f t="shared" si="6"/>
        <v>0.60205155181483438</v>
      </c>
      <c r="I14" s="82">
        <f t="shared" si="6"/>
        <v>0.15006149315855599</v>
      </c>
      <c r="J14" s="82">
        <f t="shared" si="6"/>
        <v>0.12979562138061995</v>
      </c>
      <c r="K14" s="82">
        <f t="shared" si="6"/>
        <v>9.0451616525281109E-2</v>
      </c>
    </row>
    <row r="15" spans="1:20" ht="14">
      <c r="A15" s="320" t="s">
        <v>511</v>
      </c>
      <c r="B15" s="30">
        <v>-4490</v>
      </c>
      <c r="C15" s="30">
        <v>-227837</v>
      </c>
      <c r="D15" s="30">
        <v>-489313</v>
      </c>
      <c r="E15" s="30">
        <v>-544000</v>
      </c>
      <c r="F15" s="30">
        <v>-365000</v>
      </c>
      <c r="G15" s="30">
        <f>G12-3906000</f>
        <v>-104000</v>
      </c>
      <c r="H15" s="30">
        <f>H12-5880000</f>
        <v>211000</v>
      </c>
      <c r="I15" s="30">
        <f>I12*I17</f>
        <v>592914.20279789355</v>
      </c>
      <c r="J15" s="30">
        <f>J12*J17</f>
        <v>1065584.1736609042</v>
      </c>
      <c r="K15" s="30">
        <f>K12*K17</f>
        <v>1593473.105726955</v>
      </c>
      <c r="O15" s="30"/>
      <c r="P15" s="30"/>
      <c r="Q15" s="30"/>
      <c r="R15" s="30"/>
      <c r="S15" s="30"/>
      <c r="T15" s="30"/>
    </row>
    <row r="16" spans="1:20" ht="14">
      <c r="A16" s="320" t="s">
        <v>287</v>
      </c>
      <c r="B16" s="249">
        <f>B12-B15</f>
        <v>472460</v>
      </c>
      <c r="C16" s="249">
        <f t="shared" ref="C16:K16" si="7">C12-C15</f>
        <v>1229027</v>
      </c>
      <c r="D16" s="249">
        <f t="shared" si="7"/>
        <v>1880353</v>
      </c>
      <c r="E16" s="249">
        <f t="shared" si="7"/>
        <v>2770000</v>
      </c>
      <c r="F16" s="249">
        <f t="shared" si="7"/>
        <v>2671000</v>
      </c>
      <c r="G16" s="249">
        <f>G12-G15</f>
        <v>3906000</v>
      </c>
      <c r="H16" s="249">
        <f t="shared" si="7"/>
        <v>5880000</v>
      </c>
      <c r="I16" s="249">
        <f t="shared" si="7"/>
        <v>6412110.3520308714</v>
      </c>
      <c r="J16" s="249">
        <f t="shared" si="7"/>
        <v>6848661.8960483614</v>
      </c>
      <c r="K16" s="249">
        <f t="shared" si="7"/>
        <v>7036629.3145663664</v>
      </c>
    </row>
    <row r="17" spans="1:13" ht="15.5">
      <c r="A17" s="320" t="s">
        <v>513</v>
      </c>
      <c r="B17" s="31">
        <v>-9.5945911293838105E-3</v>
      </c>
      <c r="C17" s="31">
        <v>-0.22756733271073801</v>
      </c>
      <c r="D17" s="31">
        <v>-0.35176030037935602</v>
      </c>
      <c r="E17" s="31">
        <v>-0.24438454627133899</v>
      </c>
      <c r="F17" s="31">
        <v>-0.158282740676496</v>
      </c>
      <c r="G17" s="82">
        <f>G15/G12</f>
        <v>-2.7354024197790636E-2</v>
      </c>
      <c r="H17" s="82">
        <f>H15/H12</f>
        <v>3.4641274010835658E-2</v>
      </c>
      <c r="I17" s="313">
        <f>H17+$L17</f>
        <v>8.4641274010835654E-2</v>
      </c>
      <c r="J17" s="313">
        <f>I17+$L17</f>
        <v>0.13464127401083564</v>
      </c>
      <c r="K17" s="313">
        <f>J17+$L17</f>
        <v>0.18464127401083563</v>
      </c>
      <c r="L17" s="257">
        <v>0.05</v>
      </c>
      <c r="M17" t="s">
        <v>519</v>
      </c>
    </row>
    <row r="18" spans="1:13" ht="14">
      <c r="A18" s="320" t="s">
        <v>514</v>
      </c>
      <c r="B18" s="82">
        <f t="shared" ref="B18:K18" si="8">B15/B$41</f>
        <v>-2.8075537577762675E-3</v>
      </c>
      <c r="C18" s="82">
        <f t="shared" si="8"/>
        <v>-0.10248326371030825</v>
      </c>
      <c r="D18" s="82">
        <f t="shared" si="8"/>
        <v>-0.1195286791589098</v>
      </c>
      <c r="E18" s="82">
        <f t="shared" si="8"/>
        <v>-0.13369378225608258</v>
      </c>
      <c r="F18" s="82">
        <f t="shared" si="8"/>
        <v>-5.5052790346907993E-2</v>
      </c>
      <c r="G18" s="82">
        <f t="shared" si="8"/>
        <v>-7.6432900071479459E-3</v>
      </c>
      <c r="H18" s="82">
        <f t="shared" si="8"/>
        <v>1.0093496607735657E-2</v>
      </c>
      <c r="I18" s="82">
        <f>I15/I$41</f>
        <v>3.194888604471096E-2</v>
      </c>
      <c r="J18" s="82">
        <f t="shared" si="8"/>
        <v>4.733976138608488E-2</v>
      </c>
      <c r="K18" s="82">
        <f t="shared" si="8"/>
        <v>5.8464088519417111E-2</v>
      </c>
    </row>
    <row r="19" spans="1:13" s="259" customFormat="1" ht="14.5">
      <c r="A19" s="319" t="s">
        <v>520</v>
      </c>
    </row>
    <row r="20" spans="1:13" ht="14">
      <c r="A20" s="320" t="s">
        <v>508</v>
      </c>
      <c r="B20" s="30">
        <v>181390</v>
      </c>
      <c r="C20" s="30">
        <v>1116270</v>
      </c>
      <c r="D20" s="30">
        <v>1555240</v>
      </c>
      <c r="E20" s="30">
        <v>1531000</v>
      </c>
      <c r="F20" s="30">
        <v>1994000</v>
      </c>
      <c r="G20" s="30">
        <v>2789000</v>
      </c>
      <c r="H20" s="30">
        <v>3909000</v>
      </c>
      <c r="I20" s="248">
        <f>'Price and Quant'!U20*'Price and Quant'!K22</f>
        <v>5462564.4964076504</v>
      </c>
      <c r="J20" s="248">
        <f>'Price and Quant'!V20*'Price and Quant'!L22</f>
        <v>7711269.0859590573</v>
      </c>
      <c r="K20" s="248">
        <f>'Price and Quant'!W20*'Price and Quant'!M22</f>
        <v>10834524.7558553</v>
      </c>
      <c r="L20" t="s">
        <v>509</v>
      </c>
    </row>
    <row r="21" spans="1:13" ht="14">
      <c r="A21" s="320" t="s">
        <v>510</v>
      </c>
      <c r="C21" s="82">
        <f>C20/B20-1</f>
        <v>5.1539776172887146</v>
      </c>
      <c r="D21" s="82">
        <f>D20/C20-1</f>
        <v>0.39324715346645522</v>
      </c>
      <c r="E21" s="82">
        <f t="shared" ref="E21:K21" si="9">E20/D20-1</f>
        <v>-1.5586018878115282E-2</v>
      </c>
      <c r="F21" s="82">
        <f t="shared" si="9"/>
        <v>0.30241672109732209</v>
      </c>
      <c r="G21" s="82">
        <f t="shared" si="9"/>
        <v>0.3986960882647943</v>
      </c>
      <c r="H21" s="82">
        <f t="shared" si="9"/>
        <v>0.40157762638938688</v>
      </c>
      <c r="I21" s="82">
        <f t="shared" si="9"/>
        <v>0.39743271844657202</v>
      </c>
      <c r="J21" s="82">
        <f t="shared" si="9"/>
        <v>0.41165730693527269</v>
      </c>
      <c r="K21" s="82">
        <f t="shared" si="9"/>
        <v>0.40502485843519231</v>
      </c>
    </row>
    <row r="22" spans="1:13" ht="14">
      <c r="A22" s="320" t="s">
        <v>511</v>
      </c>
      <c r="B22" s="30">
        <v>3062</v>
      </c>
      <c r="C22" s="30">
        <v>242000</v>
      </c>
      <c r="D22" s="30">
        <v>242000</v>
      </c>
      <c r="E22" s="30">
        <v>190000</v>
      </c>
      <c r="F22" s="30">
        <v>18000</v>
      </c>
      <c r="G22" s="249">
        <f>G20*G24</f>
        <v>-128294</v>
      </c>
      <c r="H22" s="249">
        <f>H20-H23</f>
        <v>288000</v>
      </c>
      <c r="I22" s="249">
        <f>I20*I24</f>
        <v>219602.06767695994</v>
      </c>
      <c r="J22" s="249">
        <f>J20*J24</f>
        <v>148257.80427992364</v>
      </c>
      <c r="K22" s="249">
        <f>K20*K24</f>
        <v>235931.34178580952</v>
      </c>
    </row>
    <row r="23" spans="1:13" ht="14">
      <c r="A23" s="320" t="s">
        <v>287</v>
      </c>
      <c r="B23" s="249">
        <f>B19-B22</f>
        <v>-3062</v>
      </c>
      <c r="C23" s="249">
        <f t="shared" ref="C23" si="10">C19-C22</f>
        <v>-242000</v>
      </c>
      <c r="D23" s="249">
        <f t="shared" ref="D23" si="11">D19-D22</f>
        <v>-242000</v>
      </c>
      <c r="E23" s="249">
        <f t="shared" ref="E23" si="12">E19-E22</f>
        <v>-190000</v>
      </c>
      <c r="F23" s="249">
        <f t="shared" ref="F23" si="13">F19-F22</f>
        <v>-18000</v>
      </c>
      <c r="G23" s="249">
        <f t="shared" ref="G23" si="14">G19-G22</f>
        <v>128294</v>
      </c>
      <c r="H23" s="30">
        <v>3621000</v>
      </c>
      <c r="I23" s="249">
        <f>I20-I22</f>
        <v>5242962.4287306909</v>
      </c>
      <c r="J23" s="249">
        <f t="shared" ref="J23:K23" si="15">J20-J22</f>
        <v>7563011.2816791339</v>
      </c>
      <c r="K23" s="249">
        <f t="shared" si="15"/>
        <v>10598593.414069491</v>
      </c>
    </row>
    <row r="24" spans="1:13" ht="15.5">
      <c r="A24" s="320" t="s">
        <v>513</v>
      </c>
      <c r="B24" s="31">
        <v>1.6880381931045099E-2</v>
      </c>
      <c r="C24" s="31">
        <v>0.21684587813620099</v>
      </c>
      <c r="D24" s="31">
        <v>0.15562700964630199</v>
      </c>
      <c r="E24" s="31">
        <v>0.12410189418680601</v>
      </c>
      <c r="F24" s="31">
        <v>9.0270812437311908E-3</v>
      </c>
      <c r="G24" s="31">
        <v>-4.5999999999999999E-2</v>
      </c>
      <c r="H24" s="82">
        <f>H22/H20</f>
        <v>7.3676132003069841E-2</v>
      </c>
      <c r="I24" s="250">
        <f>AVERAGE(E24:H24)</f>
        <v>4.020127685840176E-2</v>
      </c>
      <c r="J24" s="250">
        <f t="shared" ref="J24:K24" si="16">AVERAGE(F24:I24)</f>
        <v>1.9226122526300699E-2</v>
      </c>
      <c r="K24" s="250">
        <f t="shared" si="16"/>
        <v>2.1775882846943075E-2</v>
      </c>
      <c r="L24" t="s">
        <v>521</v>
      </c>
    </row>
    <row r="25" spans="1:13" ht="14">
      <c r="A25" s="320" t="s">
        <v>514</v>
      </c>
      <c r="B25" s="82">
        <f>B22/B$41</f>
        <v>1.9146391105369556E-3</v>
      </c>
      <c r="C25" s="82">
        <f t="shared" ref="C25:I25" si="17">C22/C$41</f>
        <v>0.10885391669436743</v>
      </c>
      <c r="D25" s="82">
        <f t="shared" si="17"/>
        <v>5.9115413562394976E-2</v>
      </c>
      <c r="E25" s="82">
        <f t="shared" si="17"/>
        <v>4.669451953797002E-2</v>
      </c>
      <c r="F25" s="82">
        <f t="shared" si="17"/>
        <v>2.7149321266968325E-3</v>
      </c>
      <c r="G25" s="82">
        <f t="shared" si="17"/>
        <v>-9.4287331555484473E-3</v>
      </c>
      <c r="H25" s="82">
        <f t="shared" si="17"/>
        <v>1.3776905322406965E-2</v>
      </c>
      <c r="I25" s="82">
        <f t="shared" si="17"/>
        <v>1.1833147869095071E-2</v>
      </c>
      <c r="J25" s="82">
        <f t="shared" ref="J25:K25" si="18">J22/J$41</f>
        <v>6.5865177540351868E-3</v>
      </c>
      <c r="K25" s="82">
        <f t="shared" si="18"/>
        <v>8.6562558232683266E-3</v>
      </c>
    </row>
    <row r="26" spans="1:13" s="902" customFormat="1" ht="14.5">
      <c r="A26" s="319" t="s">
        <v>522</v>
      </c>
      <c r="B26" s="1003"/>
      <c r="C26" s="1003"/>
      <c r="D26" s="1003"/>
      <c r="E26" s="1003"/>
      <c r="F26" s="1003"/>
      <c r="G26" s="1003"/>
      <c r="H26" s="1003"/>
      <c r="I26" s="1003"/>
      <c r="J26" s="1003"/>
      <c r="K26" s="1003"/>
    </row>
    <row r="27" spans="1:13" ht="14">
      <c r="A27" s="320" t="s">
        <v>508</v>
      </c>
      <c r="B27" s="82"/>
      <c r="C27" s="82"/>
      <c r="D27" s="82"/>
      <c r="E27" s="82"/>
      <c r="F27" s="82"/>
      <c r="G27" s="82"/>
      <c r="H27" s="82"/>
      <c r="I27" s="1021">
        <f>'Tesla FSD'!AI5*12</f>
        <v>2088613.7978203164</v>
      </c>
      <c r="J27" s="1021">
        <f>'Tesla FSD'!AJ5*12</f>
        <v>3665215.1547593819</v>
      </c>
      <c r="K27" s="1021">
        <f>'Tesla FSD'!AK5*12</f>
        <v>4736805.7362153716</v>
      </c>
    </row>
    <row r="28" spans="1:13" ht="14">
      <c r="A28" s="320" t="s">
        <v>510</v>
      </c>
      <c r="B28" s="82"/>
      <c r="C28" s="82"/>
      <c r="D28" s="82"/>
      <c r="E28" s="82"/>
      <c r="F28" s="82"/>
      <c r="G28" s="82"/>
      <c r="H28" s="82"/>
      <c r="I28" s="983"/>
      <c r="J28" s="983"/>
      <c r="K28" s="983"/>
    </row>
    <row r="29" spans="1:13" ht="14">
      <c r="A29" s="320" t="s">
        <v>511</v>
      </c>
      <c r="B29" s="82"/>
      <c r="C29" s="82"/>
      <c r="D29" s="82"/>
      <c r="E29" s="82"/>
      <c r="F29" s="82"/>
      <c r="G29" s="82"/>
      <c r="H29" s="82"/>
      <c r="I29" s="1021">
        <f t="shared" ref="I29" si="19">I27</f>
        <v>2088613.7978203164</v>
      </c>
      <c r="J29" s="1021">
        <f t="shared" ref="J29:K29" si="20">J27</f>
        <v>3665215.1547593819</v>
      </c>
      <c r="K29" s="1021">
        <f t="shared" si="20"/>
        <v>4736805.7362153716</v>
      </c>
    </row>
    <row r="30" spans="1:13" ht="14">
      <c r="A30" s="320" t="s">
        <v>513</v>
      </c>
      <c r="B30" s="82"/>
      <c r="C30" s="82"/>
      <c r="D30" s="82"/>
      <c r="E30" s="82"/>
      <c r="F30" s="82"/>
      <c r="G30" s="82"/>
      <c r="H30" s="82"/>
      <c r="I30" s="983">
        <f>I29/I27</f>
        <v>1</v>
      </c>
      <c r="J30" s="983">
        <f>J29/J27</f>
        <v>1</v>
      </c>
      <c r="K30" s="983">
        <f>K29/K27</f>
        <v>1</v>
      </c>
    </row>
    <row r="31" spans="1:13" ht="14.25" customHeight="1">
      <c r="A31" s="320" t="s">
        <v>514</v>
      </c>
      <c r="I31" s="934">
        <f>I29/I41</f>
        <v>0.11254391259829226</v>
      </c>
      <c r="J31" s="934">
        <f t="shared" ref="J31:K31" si="21">J29/J41</f>
        <v>0.16283125739270476</v>
      </c>
      <c r="K31" s="934">
        <f t="shared" si="21"/>
        <v>0.1737920953080907</v>
      </c>
    </row>
    <row r="32" spans="1:13" ht="14.25" customHeight="1">
      <c r="A32" s="320" t="s">
        <v>523</v>
      </c>
      <c r="I32" s="934">
        <f>I29/I59</f>
        <v>0.21109485464393404</v>
      </c>
      <c r="J32" s="934">
        <f>J29/J59</f>
        <v>0.2781182783715444</v>
      </c>
      <c r="K32" s="934">
        <f>K29/K59</f>
        <v>0.27026113515837391</v>
      </c>
    </row>
    <row r="33" spans="1:19" s="259" customFormat="1" ht="14.5">
      <c r="A33" s="319" t="s">
        <v>524</v>
      </c>
    </row>
    <row r="34" spans="1:19" ht="14">
      <c r="A34" s="320" t="s">
        <v>508</v>
      </c>
      <c r="B34" s="30"/>
      <c r="C34" s="30"/>
      <c r="D34" s="30"/>
      <c r="E34" s="30"/>
      <c r="F34" s="30"/>
      <c r="G34" s="30"/>
      <c r="H34" s="30"/>
      <c r="I34" s="30"/>
      <c r="J34" s="30"/>
      <c r="K34" s="30"/>
    </row>
    <row r="35" spans="1:19" ht="14">
      <c r="A35" s="320" t="s">
        <v>510</v>
      </c>
      <c r="C35" s="31"/>
      <c r="D35" s="31"/>
      <c r="E35" s="31"/>
      <c r="F35" s="31"/>
      <c r="G35" s="31"/>
      <c r="H35" s="31"/>
      <c r="I35" s="31"/>
      <c r="J35" s="31"/>
      <c r="K35" s="31"/>
    </row>
    <row r="36" spans="1:19" ht="14">
      <c r="A36" s="320" t="s">
        <v>511</v>
      </c>
    </row>
    <row r="37" spans="1:19" ht="14">
      <c r="A37" s="320" t="s">
        <v>513</v>
      </c>
    </row>
    <row r="38" spans="1:19" s="259" customFormat="1" ht="15.5">
      <c r="A38" s="321" t="s">
        <v>525</v>
      </c>
    </row>
    <row r="39" spans="1:19" ht="14">
      <c r="A39" s="266" t="s">
        <v>508</v>
      </c>
      <c r="B39" s="249">
        <f t="shared" ref="B39:G39" si="22">B5+B12+B20+B34</f>
        <v>7000129</v>
      </c>
      <c r="C39" s="249">
        <f t="shared" si="22"/>
        <v>11759210</v>
      </c>
      <c r="D39" s="249">
        <f t="shared" si="22"/>
        <v>21460800</v>
      </c>
      <c r="E39" s="249">
        <f t="shared" si="22"/>
        <v>24578000</v>
      </c>
      <c r="F39" s="249">
        <f>F5+F12+F20+F34</f>
        <v>31536000</v>
      </c>
      <c r="G39" s="249">
        <f t="shared" si="22"/>
        <v>53823000</v>
      </c>
      <c r="H39" s="249">
        <f>H5+H12+H20+H34</f>
        <v>81462000.00000003</v>
      </c>
      <c r="I39" s="249">
        <f>I5+I12+I20+I34+I27</f>
        <v>98482974.651486948</v>
      </c>
      <c r="J39" s="249">
        <f>J5+J12+J20+J34+J27</f>
        <v>114567981.89971517</v>
      </c>
      <c r="K39" s="1022">
        <f>K5+K12+K20+K34+K27</f>
        <v>127036459.68507002</v>
      </c>
    </row>
    <row r="40" spans="1:19" ht="14">
      <c r="A40" s="266" t="s">
        <v>526</v>
      </c>
      <c r="C40" s="82">
        <f>C39/B39-1</f>
        <v>0.67985618550743854</v>
      </c>
      <c r="D40" s="82">
        <f>D39/C39-1</f>
        <v>0.82502055835383503</v>
      </c>
      <c r="E40" s="82">
        <f t="shared" ref="E40" si="23">E39/D39-1</f>
        <v>0.14525087601580555</v>
      </c>
      <c r="F40" s="82">
        <f t="shared" ref="F40" si="24">F39/E39-1</f>
        <v>0.28309870615998056</v>
      </c>
      <c r="G40" s="82">
        <f t="shared" ref="G40" si="25">G39/F39-1</f>
        <v>0.70671613394216126</v>
      </c>
      <c r="H40" s="82">
        <f>H39/G39-1</f>
        <v>0.51351652639206335</v>
      </c>
      <c r="I40" s="82">
        <f>I39/H39-1</f>
        <v>0.20894373636157848</v>
      </c>
      <c r="J40" s="82">
        <f>J39/I39-1</f>
        <v>0.16332779655722307</v>
      </c>
      <c r="K40" s="82">
        <f>K39/J39-1</f>
        <v>0.10883038680273605</v>
      </c>
    </row>
    <row r="41" spans="1:19" ht="14">
      <c r="A41" s="269" t="s">
        <v>511</v>
      </c>
      <c r="B41" s="249">
        <f t="shared" ref="B41:H41" si="26">B7+B15+B22+B36</f>
        <v>1599257</v>
      </c>
      <c r="C41" s="249">
        <f t="shared" si="26"/>
        <v>2223163</v>
      </c>
      <c r="D41" s="249">
        <f t="shared" si="26"/>
        <v>4093687</v>
      </c>
      <c r="E41" s="249">
        <f t="shared" si="26"/>
        <v>4069000</v>
      </c>
      <c r="F41" s="249">
        <f>F7+F15+F22+F36</f>
        <v>6630000</v>
      </c>
      <c r="G41" s="249">
        <f>G7+G15+G22+G36</f>
        <v>13606706</v>
      </c>
      <c r="H41" s="249">
        <f t="shared" si="26"/>
        <v>20904549.553054743</v>
      </c>
      <c r="I41" s="249">
        <f>I7+I15+I22+I36+I29</f>
        <v>18558212.075630371</v>
      </c>
      <c r="J41" s="249">
        <f t="shared" ref="J41" si="27">J7+J15+J22+J36+J29</f>
        <v>22509284.847686697</v>
      </c>
      <c r="K41" s="249">
        <f>K7+K15+K22+K36+K29</f>
        <v>27255587.93579293</v>
      </c>
    </row>
    <row r="42" spans="1:19" ht="14.5">
      <c r="A42" s="320" t="s">
        <v>513</v>
      </c>
      <c r="B42" s="82">
        <f>B41/B39</f>
        <v>0.22846107550303715</v>
      </c>
      <c r="C42" s="82">
        <f t="shared" ref="C42:F42" si="28">C41/C39</f>
        <v>0.18905717305839423</v>
      </c>
      <c r="D42" s="82">
        <f t="shared" si="28"/>
        <v>0.19075183590546485</v>
      </c>
      <c r="E42" s="82">
        <f t="shared" si="28"/>
        <v>0.1655545609895028</v>
      </c>
      <c r="F42" s="82">
        <f t="shared" si="28"/>
        <v>0.2102359208523592</v>
      </c>
      <c r="G42" s="82">
        <f>G41/G39</f>
        <v>0.25280467458149863</v>
      </c>
      <c r="H42" s="82">
        <f>H41/H39</f>
        <v>0.25661719026116148</v>
      </c>
      <c r="I42" s="983">
        <f>I41/I39</f>
        <v>0.18844081569737769</v>
      </c>
      <c r="J42" s="983">
        <f>J41/J39</f>
        <v>0.19647099018807679</v>
      </c>
      <c r="K42" s="983">
        <f>K41/K39</f>
        <v>0.21454933491818765</v>
      </c>
      <c r="O42" s="35"/>
      <c r="P42" s="35"/>
      <c r="Q42" s="35"/>
      <c r="R42" s="35"/>
      <c r="S42" s="35"/>
    </row>
    <row r="43" spans="1:19" ht="14.5">
      <c r="A43" s="266" t="s">
        <v>527</v>
      </c>
      <c r="B43" s="30">
        <v>1432189</v>
      </c>
      <c r="C43" s="30">
        <v>2476500</v>
      </c>
      <c r="D43" s="30">
        <v>2834491</v>
      </c>
      <c r="E43" s="30">
        <v>2795000</v>
      </c>
      <c r="F43" s="30">
        <v>3145000</v>
      </c>
      <c r="G43" s="264">
        <v>4517000</v>
      </c>
      <c r="H43" s="30">
        <v>3946000</v>
      </c>
      <c r="I43" s="249">
        <f>I44*I39</f>
        <v>4293442.7853145106</v>
      </c>
      <c r="J43" s="249">
        <f>J44*J39</f>
        <v>4495213.2015759926</v>
      </c>
      <c r="K43" s="249">
        <f>K44*K39</f>
        <v>4485986.0937578455</v>
      </c>
      <c r="O43" s="54"/>
      <c r="P43" s="54"/>
      <c r="Q43" s="35"/>
      <c r="R43" s="35"/>
      <c r="S43" s="54"/>
    </row>
    <row r="44" spans="1:19" ht="15.5">
      <c r="A44" s="266" t="s">
        <v>528</v>
      </c>
      <c r="B44" s="82">
        <f t="shared" ref="B44:G44" si="29">B43/B39</f>
        <v>0.20459465818415631</v>
      </c>
      <c r="C44" s="82">
        <f t="shared" si="29"/>
        <v>0.21060088220212073</v>
      </c>
      <c r="D44" s="82">
        <f t="shared" si="29"/>
        <v>0.13207760195332885</v>
      </c>
      <c r="E44" s="82">
        <f t="shared" si="29"/>
        <v>0.11371958662218244</v>
      </c>
      <c r="F44" s="82">
        <f t="shared" si="29"/>
        <v>9.9727295788939629E-2</v>
      </c>
      <c r="G44" s="82">
        <f t="shared" si="29"/>
        <v>8.3923229845976624E-2</v>
      </c>
      <c r="H44" s="82">
        <f>H43/H39</f>
        <v>4.843976332523138E-2</v>
      </c>
      <c r="I44" s="313">
        <f>H44*$L44</f>
        <v>4.3595786992708246E-2</v>
      </c>
      <c r="J44" s="313">
        <f>I44*$L44</f>
        <v>3.9236208293437422E-2</v>
      </c>
      <c r="K44" s="313">
        <f>J44*$L44</f>
        <v>3.531258746409368E-2</v>
      </c>
      <c r="L44" s="258">
        <v>0.9</v>
      </c>
      <c r="M44" t="s">
        <v>529</v>
      </c>
    </row>
    <row r="45" spans="1:19" ht="14">
      <c r="A45" s="266" t="s">
        <v>530</v>
      </c>
      <c r="B45" s="30">
        <v>834408</v>
      </c>
      <c r="C45" s="30">
        <v>1378073</v>
      </c>
      <c r="D45" s="30">
        <v>1460370</v>
      </c>
      <c r="E45" s="30">
        <v>1343000</v>
      </c>
      <c r="F45" s="30">
        <v>1491000</v>
      </c>
      <c r="G45" s="264">
        <v>2593000</v>
      </c>
      <c r="H45" s="30">
        <v>3075000</v>
      </c>
      <c r="I45" s="249">
        <f>I46*I39</f>
        <v>3345751.7903806688</v>
      </c>
      <c r="J45" s="249">
        <f>J46*J39</f>
        <v>3502985.4523178348</v>
      </c>
      <c r="K45" s="249">
        <f>K46*K39</f>
        <v>3495795.0426521478</v>
      </c>
    </row>
    <row r="46" spans="1:19" ht="15.5">
      <c r="A46" s="266" t="s">
        <v>531</v>
      </c>
      <c r="B46" s="82">
        <f>B45/B39</f>
        <v>0.11919894619084877</v>
      </c>
      <c r="C46" s="82">
        <f t="shared" ref="C46:G46" si="30">C45/C39</f>
        <v>0.1171909507526441</v>
      </c>
      <c r="D46" s="82">
        <f t="shared" si="30"/>
        <v>6.8048255423842546E-2</v>
      </c>
      <c r="E46" s="82">
        <f t="shared" si="30"/>
        <v>5.4642363088941333E-2</v>
      </c>
      <c r="F46" s="82">
        <f t="shared" si="30"/>
        <v>4.7279299847792999E-2</v>
      </c>
      <c r="G46" s="82">
        <f t="shared" si="30"/>
        <v>4.817643015067908E-2</v>
      </c>
      <c r="H46" s="82">
        <f>H45/H39</f>
        <v>3.7747661486337174E-2</v>
      </c>
      <c r="I46" s="313">
        <f>H46*$L46</f>
        <v>3.3972895337703458E-2</v>
      </c>
      <c r="J46" s="313">
        <f>I46*$L46</f>
        <v>3.0575605803933113E-2</v>
      </c>
      <c r="K46" s="313">
        <f>J46*$L46</f>
        <v>2.7518045223539803E-2</v>
      </c>
      <c r="L46" s="258">
        <v>0.9</v>
      </c>
      <c r="M46" t="s">
        <v>529</v>
      </c>
    </row>
    <row r="47" spans="1:19" ht="14">
      <c r="A47" s="269" t="s">
        <v>532</v>
      </c>
      <c r="B47" s="249">
        <f>B41-B43-B45</f>
        <v>-667340</v>
      </c>
      <c r="C47" s="249">
        <f t="shared" ref="C47:G47" si="31">C41-C43-C45</f>
        <v>-1631410</v>
      </c>
      <c r="D47" s="249">
        <f t="shared" si="31"/>
        <v>-201174</v>
      </c>
      <c r="E47" s="249">
        <f t="shared" si="31"/>
        <v>-69000</v>
      </c>
      <c r="F47" s="249">
        <f>F41-F43-F45</f>
        <v>1994000</v>
      </c>
      <c r="G47" s="249">
        <f t="shared" si="31"/>
        <v>6496706</v>
      </c>
      <c r="H47" s="249">
        <f>H41-H43-H45</f>
        <v>13883549.553054743</v>
      </c>
      <c r="I47" s="249">
        <f>I41-I43-I45</f>
        <v>10919017.499935191</v>
      </c>
      <c r="J47" s="249">
        <f>J41-J43-J45</f>
        <v>14511086.193792872</v>
      </c>
      <c r="K47" s="249">
        <f>K41-K43-K45</f>
        <v>19273806.799382936</v>
      </c>
    </row>
    <row r="48" spans="1:19" ht="14">
      <c r="A48" s="269" t="s">
        <v>533</v>
      </c>
      <c r="B48" s="296">
        <f>B47/B39</f>
        <v>-9.5332528871967928E-2</v>
      </c>
      <c r="C48" s="296">
        <f t="shared" ref="C48:G48" si="32">C47/C39</f>
        <v>-0.1387346598963706</v>
      </c>
      <c r="D48" s="296">
        <f t="shared" si="32"/>
        <v>-9.3740214717065538E-3</v>
      </c>
      <c r="E48" s="296">
        <f t="shared" si="32"/>
        <v>-2.8073887216209618E-3</v>
      </c>
      <c r="F48" s="296">
        <f t="shared" si="32"/>
        <v>6.3229325215626589E-2</v>
      </c>
      <c r="G48" s="296">
        <f t="shared" si="32"/>
        <v>0.12070501458484291</v>
      </c>
      <c r="H48" s="296">
        <f>H47/H39</f>
        <v>0.1704297654495929</v>
      </c>
      <c r="I48" s="296">
        <f>I47/I39</f>
        <v>0.11087213336696598</v>
      </c>
      <c r="J48" s="296">
        <f>J47/J39</f>
        <v>0.12665917609070626</v>
      </c>
      <c r="K48" s="296">
        <f>K47/K39</f>
        <v>0.15171870223055414</v>
      </c>
    </row>
    <row r="49" spans="1:12" ht="14">
      <c r="A49" s="266" t="s">
        <v>534</v>
      </c>
      <c r="B49" s="30">
        <v>190280</v>
      </c>
      <c r="C49" s="30">
        <v>451573</v>
      </c>
      <c r="D49" s="30">
        <v>638538</v>
      </c>
      <c r="E49" s="30">
        <v>641000</v>
      </c>
      <c r="F49" s="30">
        <v>718000</v>
      </c>
      <c r="G49" s="264">
        <v>371000</v>
      </c>
      <c r="H49" s="30">
        <v>191000</v>
      </c>
      <c r="I49" s="249">
        <f>H49*(1+I50)</f>
        <v>171900</v>
      </c>
      <c r="J49" s="249">
        <f>I49*(1+J50)</f>
        <v>154710</v>
      </c>
      <c r="K49" s="249">
        <f>J49*(1+K50)</f>
        <v>139239</v>
      </c>
    </row>
    <row r="50" spans="1:12" ht="14">
      <c r="A50" s="266" t="s">
        <v>526</v>
      </c>
      <c r="C50" s="82">
        <f>C49/B49-1</f>
        <v>1.3732026487281899</v>
      </c>
      <c r="D50" s="82">
        <f t="shared" ref="D50:H50" si="33">D49/C49-1</f>
        <v>0.41403051112444711</v>
      </c>
      <c r="E50" s="82">
        <f t="shared" si="33"/>
        <v>3.8556828254543429E-3</v>
      </c>
      <c r="F50" s="82">
        <f t="shared" si="33"/>
        <v>0.12012480499219969</v>
      </c>
      <c r="G50" s="82">
        <f t="shared" si="33"/>
        <v>-0.48328690807799446</v>
      </c>
      <c r="H50" s="82">
        <f t="shared" si="33"/>
        <v>-0.48517520215633425</v>
      </c>
      <c r="I50" s="313">
        <v>-0.1</v>
      </c>
      <c r="J50" s="313">
        <v>-0.1</v>
      </c>
      <c r="K50" s="313">
        <v>-0.1</v>
      </c>
      <c r="L50" t="s">
        <v>535</v>
      </c>
    </row>
    <row r="51" spans="1:12" ht="14">
      <c r="A51" s="266" t="s">
        <v>536</v>
      </c>
      <c r="B51">
        <v>0</v>
      </c>
      <c r="C51">
        <v>0</v>
      </c>
      <c r="D51">
        <v>0</v>
      </c>
      <c r="E51">
        <v>0</v>
      </c>
      <c r="F51">
        <v>0</v>
      </c>
      <c r="G51">
        <v>0</v>
      </c>
      <c r="H51">
        <v>0</v>
      </c>
      <c r="I51">
        <v>0</v>
      </c>
      <c r="J51">
        <v>0</v>
      </c>
      <c r="K51">
        <v>0</v>
      </c>
    </row>
    <row r="52" spans="1:12" ht="14">
      <c r="A52" s="266" t="s">
        <v>526</v>
      </c>
    </row>
    <row r="53" spans="1:12" ht="14">
      <c r="A53" s="266" t="s">
        <v>537</v>
      </c>
      <c r="H53" s="30"/>
      <c r="L53" s="30"/>
    </row>
    <row r="54" spans="1:12" ht="14">
      <c r="A54" s="266" t="s">
        <v>538</v>
      </c>
    </row>
    <row r="55" spans="1:12" ht="14">
      <c r="A55" s="266" t="s">
        <v>539</v>
      </c>
      <c r="B55" s="30">
        <v>-111272</v>
      </c>
      <c r="C55" s="30">
        <v>125373</v>
      </c>
      <c r="D55" s="30">
        <v>-21866</v>
      </c>
      <c r="E55" s="30">
        <v>-45000</v>
      </c>
      <c r="F55" s="30">
        <v>122000</v>
      </c>
      <c r="G55" s="30">
        <v>-217000</v>
      </c>
      <c r="H55" s="30">
        <f>43134-120125</f>
        <v>-76991</v>
      </c>
      <c r="I55" s="30">
        <v>-125625</v>
      </c>
      <c r="J55" s="30">
        <v>-125624</v>
      </c>
      <c r="K55" s="30">
        <v>-125623</v>
      </c>
    </row>
    <row r="56" spans="1:12" ht="14">
      <c r="A56" s="269" t="s">
        <v>540</v>
      </c>
      <c r="B56" s="249">
        <f>B47-B49+B53-B55</f>
        <v>-746348</v>
      </c>
      <c r="C56" s="249">
        <f t="shared" ref="C56:F56" si="34">C47-C49+C53-C55</f>
        <v>-2208356</v>
      </c>
      <c r="D56" s="249">
        <f t="shared" si="34"/>
        <v>-817846</v>
      </c>
      <c r="E56" s="249">
        <f t="shared" si="34"/>
        <v>-665000</v>
      </c>
      <c r="F56" s="249">
        <f t="shared" si="34"/>
        <v>1154000</v>
      </c>
      <c r="G56" s="249">
        <f>G47-G49+G53-G55</f>
        <v>6342706</v>
      </c>
      <c r="H56" s="249">
        <f t="shared" ref="H56" si="35">H47-H49+H53-H55</f>
        <v>13769540.553054743</v>
      </c>
      <c r="I56" s="249">
        <f>I47-I49+I53-I55</f>
        <v>10872742.499935191</v>
      </c>
      <c r="J56" s="249">
        <f>J47-J49+J53-J55</f>
        <v>14482000.193792872</v>
      </c>
      <c r="K56" s="249">
        <f>K47-K49+K53-K55</f>
        <v>19260190.799382936</v>
      </c>
    </row>
    <row r="57" spans="1:12" ht="14">
      <c r="A57" s="266" t="s">
        <v>541</v>
      </c>
      <c r="B57" s="32">
        <v>26698</v>
      </c>
      <c r="C57" s="32">
        <v>31546</v>
      </c>
      <c r="D57" s="32">
        <v>57837</v>
      </c>
      <c r="E57" s="32">
        <v>110000</v>
      </c>
      <c r="F57" s="32">
        <v>292000</v>
      </c>
      <c r="G57" s="32">
        <v>699000</v>
      </c>
      <c r="H57" s="32">
        <v>1132000</v>
      </c>
      <c r="I57" s="252">
        <f>I56*I58</f>
        <v>978546.8249941672</v>
      </c>
      <c r="J57" s="252">
        <f>J56*J58</f>
        <v>1303380.0174413584</v>
      </c>
      <c r="K57" s="252">
        <f>K56*K58</f>
        <v>1733417.1719444641</v>
      </c>
    </row>
    <row r="58" spans="1:12" ht="14">
      <c r="A58" s="266" t="s">
        <v>542</v>
      </c>
      <c r="B58" s="82">
        <f>IFERROR(B57/B56,0)</f>
        <v>-3.5771516772336767E-2</v>
      </c>
      <c r="C58" s="82">
        <f t="shared" ref="C58:E58" si="36">IFERROR(C57/C56,0)</f>
        <v>-1.4284834510377856E-2</v>
      </c>
      <c r="D58" s="82">
        <f t="shared" si="36"/>
        <v>-7.0718692761228885E-2</v>
      </c>
      <c r="E58" s="82">
        <f t="shared" si="36"/>
        <v>-0.16541353383458646</v>
      </c>
      <c r="F58" s="82">
        <f>IFERROR(F57/F56,0)</f>
        <v>0.2530329289428076</v>
      </c>
      <c r="G58" s="82">
        <f>IFERROR(G57/G56,0)</f>
        <v>0.11020532876661791</v>
      </c>
      <c r="H58" s="82">
        <f>IFERROR(H57/H56,0)</f>
        <v>8.2210440910380864E-2</v>
      </c>
      <c r="I58" s="313">
        <v>0.09</v>
      </c>
      <c r="J58" s="313">
        <v>0.09</v>
      </c>
      <c r="K58" s="313">
        <v>0.09</v>
      </c>
    </row>
    <row r="59" spans="1:12" s="64" customFormat="1" ht="14">
      <c r="A59" s="263" t="s">
        <v>543</v>
      </c>
      <c r="B59" s="251">
        <f>B56-B57</f>
        <v>-773046</v>
      </c>
      <c r="C59" s="251">
        <f t="shared" ref="C59:E59" si="37">C56-C57</f>
        <v>-2239902</v>
      </c>
      <c r="D59" s="251">
        <f t="shared" si="37"/>
        <v>-875683</v>
      </c>
      <c r="E59" s="251">
        <f t="shared" si="37"/>
        <v>-775000</v>
      </c>
      <c r="F59" s="251">
        <f>F56-F57</f>
        <v>862000</v>
      </c>
      <c r="G59" s="251">
        <f t="shared" ref="G59" si="38">G56-G57</f>
        <v>5643706</v>
      </c>
      <c r="H59" s="251">
        <f>H56-H57</f>
        <v>12637540.553054743</v>
      </c>
      <c r="I59" s="251">
        <f>I56-I57</f>
        <v>9894195.6749410238</v>
      </c>
      <c r="J59" s="251">
        <f t="shared" ref="J59" si="39">J56-J57</f>
        <v>13178620.176351514</v>
      </c>
      <c r="K59" s="251">
        <f>K56-K57</f>
        <v>17526773.627438471</v>
      </c>
    </row>
    <row r="60" spans="1:12" ht="14">
      <c r="A60" s="270" t="s">
        <v>544</v>
      </c>
      <c r="B60" s="32">
        <v>-98132</v>
      </c>
      <c r="C60" s="32">
        <v>-279178</v>
      </c>
      <c r="D60" s="32">
        <v>-86491</v>
      </c>
      <c r="E60" s="32">
        <v>87000</v>
      </c>
      <c r="F60" s="32">
        <v>141000</v>
      </c>
      <c r="G60" s="30">
        <v>125000</v>
      </c>
      <c r="H60" s="30">
        <v>31000</v>
      </c>
      <c r="I60" s="249">
        <f>H60*(1+I61)</f>
        <v>32944.471504307461</v>
      </c>
      <c r="J60" s="249">
        <f>I60*(1+J61)</f>
        <v>33903.446229320514</v>
      </c>
      <c r="K60" s="249">
        <f>J60*(1+K61)</f>
        <v>34968.994445023498</v>
      </c>
    </row>
    <row r="61" spans="1:12" ht="14">
      <c r="A61" s="270" t="s">
        <v>545</v>
      </c>
      <c r="B61" s="82">
        <f>B60/B59</f>
        <v>0.12694199310260967</v>
      </c>
      <c r="C61" s="82">
        <f t="shared" ref="C61:E61" si="40">C60/C59</f>
        <v>0.12463848864816407</v>
      </c>
      <c r="D61" s="82">
        <f t="shared" si="40"/>
        <v>9.8769760289967951E-2</v>
      </c>
      <c r="E61" s="82">
        <f t="shared" si="40"/>
        <v>-0.11225806451612903</v>
      </c>
      <c r="F61" s="82">
        <f>F60/F59</f>
        <v>0.16357308584686775</v>
      </c>
      <c r="G61" s="82">
        <f>G60/G59</f>
        <v>2.2148566916845067E-2</v>
      </c>
      <c r="H61" s="82">
        <f>H60/H59</f>
        <v>2.4530089434614466E-3</v>
      </c>
      <c r="I61" s="313">
        <f>AVERAGE(F61:H61)</f>
        <v>6.2724887235724766E-2</v>
      </c>
      <c r="J61" s="313">
        <f>AVERAGE(G61:I61)</f>
        <v>2.9108821032010429E-2</v>
      </c>
      <c r="K61" s="313">
        <f>AVERAGE(H61:J61)</f>
        <v>3.1428905737065548E-2</v>
      </c>
      <c r="L61" t="s">
        <v>546</v>
      </c>
    </row>
    <row r="62" spans="1:12" s="64" customFormat="1" ht="14">
      <c r="A62" s="666" t="s">
        <v>547</v>
      </c>
      <c r="B62" s="251">
        <f>B59-B60</f>
        <v>-674914</v>
      </c>
      <c r="C62" s="251">
        <f t="shared" ref="C62" si="41">C59-C60</f>
        <v>-1960724</v>
      </c>
      <c r="D62" s="251">
        <f>D59-D60</f>
        <v>-789192</v>
      </c>
      <c r="E62" s="251">
        <f>E59-E60</f>
        <v>-862000</v>
      </c>
      <c r="F62" s="251">
        <f>F59-F60</f>
        <v>721000</v>
      </c>
      <c r="G62" s="251">
        <f t="shared" ref="G62" si="42">G59-G60</f>
        <v>5518706</v>
      </c>
      <c r="H62" s="251">
        <f>H59-H60</f>
        <v>12606540.553054743</v>
      </c>
      <c r="I62" s="251">
        <f>I59-I60</f>
        <v>9861251.2034367155</v>
      </c>
      <c r="J62" s="251">
        <f t="shared" ref="J62" si="43">J59-J60</f>
        <v>13144716.730122194</v>
      </c>
      <c r="K62" s="251">
        <f>K59-K60</f>
        <v>17491804.632993449</v>
      </c>
    </row>
    <row r="63" spans="1:12" ht="14">
      <c r="A63" s="270" t="s">
        <v>548</v>
      </c>
      <c r="B63" s="323">
        <f t="shared" ref="B63:C63" si="44">$L63*1129000</f>
        <v>3387000</v>
      </c>
      <c r="C63" s="323">
        <f t="shared" si="44"/>
        <v>3387000</v>
      </c>
      <c r="D63" s="264">
        <v>2559000</v>
      </c>
      <c r="E63" s="264">
        <v>2661000</v>
      </c>
      <c r="F63" s="264">
        <v>3249000</v>
      </c>
      <c r="G63" s="264">
        <f>$L63*1129000</f>
        <v>3387000</v>
      </c>
      <c r="H63" s="30">
        <v>3475000</v>
      </c>
      <c r="I63" s="323">
        <f t="shared" ref="I63:K63" si="45">3*1125844.70810142</f>
        <v>3377534.1243042601</v>
      </c>
      <c r="J63" s="323">
        <f t="shared" si="45"/>
        <v>3377534.1243042601</v>
      </c>
      <c r="K63" s="323">
        <f t="shared" si="45"/>
        <v>3377534.1243042601</v>
      </c>
      <c r="L63" s="278">
        <v>3</v>
      </c>
    </row>
    <row r="64" spans="1:12" ht="14">
      <c r="A64" s="266" t="s">
        <v>526</v>
      </c>
      <c r="B64" s="30"/>
      <c r="C64" s="82">
        <f>C63/B63-1</f>
        <v>0</v>
      </c>
      <c r="D64" s="82">
        <f t="shared" ref="D64:H64" si="46">D63/C63-1</f>
        <v>-0.24446412754650138</v>
      </c>
      <c r="E64" s="82">
        <f t="shared" si="46"/>
        <v>3.9859320046893298E-2</v>
      </c>
      <c r="F64" s="82">
        <f t="shared" si="46"/>
        <v>0.22096956031567072</v>
      </c>
      <c r="G64" s="82">
        <f t="shared" si="46"/>
        <v>4.2474607571560519E-2</v>
      </c>
      <c r="H64" s="82">
        <f t="shared" si="46"/>
        <v>2.5981694715087045E-2</v>
      </c>
      <c r="I64" s="313">
        <f>H64</f>
        <v>2.5981694715087045E-2</v>
      </c>
      <c r="J64" s="313">
        <f>I64</f>
        <v>2.5981694715087045E-2</v>
      </c>
      <c r="K64" s="313">
        <f>J64</f>
        <v>2.5981694715087045E-2</v>
      </c>
      <c r="L64" t="s">
        <v>549</v>
      </c>
    </row>
    <row r="65" spans="1:18" s="64" customFormat="1" ht="14">
      <c r="A65" s="269" t="s">
        <v>550</v>
      </c>
      <c r="B65" s="253">
        <f>B62/B63</f>
        <v>-0.19926601712429878</v>
      </c>
      <c r="C65" s="253">
        <f t="shared" ref="C65:D65" si="47">C62/C63</f>
        <v>-0.57889695896073223</v>
      </c>
      <c r="D65" s="253">
        <f t="shared" si="47"/>
        <v>-0.30839859320046892</v>
      </c>
      <c r="E65" s="253">
        <f>E62/E63</f>
        <v>-0.32393836903419765</v>
      </c>
      <c r="F65" s="253">
        <f>F62/F63</f>
        <v>0.22191443521083409</v>
      </c>
      <c r="G65" s="253">
        <f>G62/G63</f>
        <v>1.6293788012990846</v>
      </c>
      <c r="H65" s="253">
        <f>H62/H63</f>
        <v>3.6277814541164726</v>
      </c>
      <c r="I65" s="253">
        <f>I62/I63</f>
        <v>2.9196599769271137</v>
      </c>
      <c r="J65" s="253">
        <f t="shared" ref="J65" si="48">J62/J63</f>
        <v>3.8918087120229705</v>
      </c>
      <c r="K65" s="253">
        <f>K62/K63</f>
        <v>5.1788683664585013</v>
      </c>
    </row>
    <row r="66" spans="1:18" s="5" customFormat="1" ht="14">
      <c r="A66" s="434" t="s">
        <v>551</v>
      </c>
      <c r="B66" s="829">
        <f>'Model 22A-Tesla'!C89</f>
        <v>-123829</v>
      </c>
      <c r="C66" s="829">
        <f>'Model 22A-Tesla'!D89</f>
        <v>-60654</v>
      </c>
      <c r="D66" s="829">
        <f>'Model 22A-Tesla'!E89</f>
        <v>2097802</v>
      </c>
      <c r="E66" s="829">
        <f>'Model 22A-Tesla'!F89</f>
        <v>2405000</v>
      </c>
      <c r="F66" s="829">
        <f>'Model 22A-Tesla'!G89</f>
        <v>5943000</v>
      </c>
      <c r="G66" s="829">
        <f>'Model 22A-Tesla'!H89</f>
        <v>13219706</v>
      </c>
      <c r="H66" s="829">
        <f>'Model 22A-Tesla'!I89</f>
        <v>17715540.553054743</v>
      </c>
      <c r="I66" s="829">
        <f>'Model 22A-Tesla'!J89</f>
        <v>12287711.530460555</v>
      </c>
      <c r="J66" s="829">
        <f>'Model 22A-Tesla'!K89</f>
        <v>15989896.526170988</v>
      </c>
      <c r="K66" s="829">
        <f>'Model 22A-Tesla'!L89</f>
        <v>20489522.630814902</v>
      </c>
    </row>
    <row r="67" spans="1:18" s="631" customFormat="1" ht="15">
      <c r="A67" s="544" t="s">
        <v>552</v>
      </c>
      <c r="B67" s="629">
        <f>B66/B59</f>
        <v>0.16018322324932799</v>
      </c>
      <c r="C67" s="629">
        <f t="shared" ref="C67:G67" si="49">C66/C59</f>
        <v>2.7078863271696708E-2</v>
      </c>
      <c r="D67" s="629">
        <f t="shared" si="49"/>
        <v>-2.3956180489971826</v>
      </c>
      <c r="E67" s="629">
        <f t="shared" si="49"/>
        <v>-3.1032258064516127</v>
      </c>
      <c r="F67" s="629">
        <f t="shared" si="49"/>
        <v>6.8944315545243615</v>
      </c>
      <c r="G67" s="629">
        <f t="shared" si="49"/>
        <v>2.3423803436961457</v>
      </c>
      <c r="H67" s="630">
        <f>(ABS(E67)+ABS(F67)+ABS(G67))/3</f>
        <v>4.1133459015573735</v>
      </c>
      <c r="I67" s="630">
        <f>(ABS(F67)+ABS(G67)+ABS(H67))/3</f>
        <v>4.4500525999259599</v>
      </c>
      <c r="J67" s="630">
        <f>(ABS(G67)+ABS(H67)+ABS(I67))/3</f>
        <v>3.6352596150598266</v>
      </c>
      <c r="K67" s="630">
        <f>(ABS(H67)+ABS(I67)+ABS(J67))/3</f>
        <v>4.0662193721810533</v>
      </c>
    </row>
    <row r="68" spans="1:18" s="5" customFormat="1" ht="14">
      <c r="A68" s="434" t="s">
        <v>553</v>
      </c>
      <c r="B68" s="632">
        <f t="shared" ref="B68:E68" si="50">B66/B63</f>
        <v>-3.6560082669028639E-2</v>
      </c>
      <c r="C68" s="632">
        <f t="shared" si="50"/>
        <v>-1.7907883082373781E-2</v>
      </c>
      <c r="D68" s="632">
        <f t="shared" si="50"/>
        <v>0.81977413051973425</v>
      </c>
      <c r="E68" s="632">
        <f t="shared" si="50"/>
        <v>0.90379556557685081</v>
      </c>
      <c r="F68" s="632">
        <f>F66/F63</f>
        <v>1.8291782086795938</v>
      </c>
      <c r="G68" s="632">
        <f>G66/G63</f>
        <v>3.9030723354000592</v>
      </c>
      <c r="H68" s="632">
        <f t="shared" ref="H68:K68" si="51">H66/H63</f>
        <v>5.0979972814546022</v>
      </c>
      <c r="I68" s="632">
        <f t="shared" si="51"/>
        <v>3.6380717642613623</v>
      </c>
      <c r="J68" s="632">
        <f t="shared" si="51"/>
        <v>4.7341924426788005</v>
      </c>
      <c r="K68" s="632">
        <f t="shared" si="51"/>
        <v>6.0664146909353729</v>
      </c>
    </row>
    <row r="69" spans="1:18" ht="14">
      <c r="B69" s="59"/>
      <c r="C69" s="59"/>
      <c r="D69" s="59"/>
      <c r="E69" s="59"/>
      <c r="F69" s="59"/>
    </row>
    <row r="70" spans="1:18" ht="22.5" customHeight="1">
      <c r="A70" s="261" t="s">
        <v>554</v>
      </c>
      <c r="D70" s="31"/>
      <c r="E70" s="31"/>
      <c r="F70" s="31"/>
      <c r="G70" s="31"/>
    </row>
    <row r="71" spans="1:18" ht="38.25" customHeight="1">
      <c r="A71" s="319" t="s">
        <v>555</v>
      </c>
      <c r="B71" s="259"/>
      <c r="C71" s="259"/>
      <c r="D71" s="259"/>
      <c r="E71" s="259"/>
      <c r="F71" s="259"/>
      <c r="G71" s="259"/>
      <c r="H71" s="259"/>
      <c r="I71" s="259"/>
      <c r="J71" s="259"/>
      <c r="K71" s="259"/>
      <c r="L71" s="259"/>
      <c r="M71" s="259"/>
      <c r="N71" s="259"/>
      <c r="O71" s="259"/>
    </row>
    <row r="72" spans="1:18" ht="14">
      <c r="A72" s="266" t="s">
        <v>508</v>
      </c>
      <c r="B72" s="249">
        <f>B81+B90</f>
        <v>62125137</v>
      </c>
      <c r="C72" s="249">
        <f>C81+C90</f>
        <v>62942706</v>
      </c>
      <c r="D72" s="249">
        <f>D81+D90</f>
        <v>80449925</v>
      </c>
      <c r="E72" s="249">
        <f>E81+E90</f>
        <v>69255827</v>
      </c>
      <c r="F72" s="249">
        <f>F81+F90</f>
        <v>93662521</v>
      </c>
      <c r="G72" s="32">
        <v>128960450</v>
      </c>
      <c r="H72" s="32">
        <f>324691175</f>
        <v>324691175</v>
      </c>
      <c r="I72" s="249">
        <f>I81+I90</f>
        <v>459536965.07406092</v>
      </c>
      <c r="J72" s="249">
        <f>J81+J90</f>
        <v>613245588.71398175</v>
      </c>
      <c r="K72" s="249">
        <f>K81+K90</f>
        <v>745177699.14096987</v>
      </c>
      <c r="L72" t="s">
        <v>556</v>
      </c>
    </row>
    <row r="73" spans="1:18" ht="12" customHeight="1">
      <c r="A73" s="266" t="s">
        <v>526</v>
      </c>
      <c r="C73" s="82">
        <f t="shared" ref="C73:K73" si="52">C72/B72-1</f>
        <v>1.3160035365394895E-2</v>
      </c>
      <c r="D73" s="82">
        <f t="shared" si="52"/>
        <v>0.27814531837890799</v>
      </c>
      <c r="E73" s="82">
        <f t="shared" si="52"/>
        <v>-0.13914367229055835</v>
      </c>
      <c r="F73" s="82">
        <f t="shared" si="52"/>
        <v>0.3524135810261857</v>
      </c>
      <c r="G73" s="82">
        <f>G72/F72-1</f>
        <v>0.37686289695320063</v>
      </c>
      <c r="H73" s="82">
        <f t="shared" si="52"/>
        <v>1.5177577699209333</v>
      </c>
      <c r="I73" s="82">
        <f>I72/H72-1</f>
        <v>0.41530475866509442</v>
      </c>
      <c r="J73" s="82">
        <f t="shared" si="52"/>
        <v>0.33448587452621692</v>
      </c>
      <c r="K73" s="82">
        <f t="shared" si="52"/>
        <v>0.21513747975531117</v>
      </c>
      <c r="M73" s="1053"/>
      <c r="N73" s="1053"/>
      <c r="O73" s="1053"/>
      <c r="P73" s="1053"/>
      <c r="Q73" s="1053"/>
      <c r="R73" s="1053"/>
    </row>
    <row r="74" spans="1:18" ht="13.5" customHeight="1">
      <c r="A74" s="266" t="s">
        <v>557</v>
      </c>
      <c r="B74" s="267"/>
      <c r="C74" s="267"/>
      <c r="D74" s="267"/>
      <c r="E74" s="267"/>
      <c r="F74" s="267"/>
      <c r="G74" s="267"/>
      <c r="H74" s="82"/>
      <c r="I74" s="82"/>
      <c r="J74" s="82"/>
      <c r="K74" s="82"/>
    </row>
    <row r="75" spans="1:18" ht="14">
      <c r="A75" s="266" t="s">
        <v>287</v>
      </c>
      <c r="B75" s="249"/>
      <c r="C75" s="249"/>
      <c r="D75" s="249"/>
      <c r="E75" s="249"/>
      <c r="F75" s="249"/>
      <c r="G75" s="249">
        <f>G84+G97</f>
        <v>107251894.5255</v>
      </c>
      <c r="H75" s="249">
        <f>H72-H76</f>
        <v>258486644.41750002</v>
      </c>
      <c r="I75" s="249">
        <f>I72-I76</f>
        <v>364154640.1386584</v>
      </c>
      <c r="J75" s="249">
        <f>J72-J76</f>
        <v>481855516.51329523</v>
      </c>
      <c r="K75" s="249">
        <f>K72-K76</f>
        <v>579835786.27532983</v>
      </c>
      <c r="N75" s="1109"/>
      <c r="O75" s="1109"/>
      <c r="P75" s="1109"/>
    </row>
    <row r="76" spans="1:18" ht="17.25" customHeight="1">
      <c r="A76" s="266" t="s">
        <v>511</v>
      </c>
      <c r="B76" s="249"/>
      <c r="C76" s="249"/>
      <c r="D76" s="249"/>
      <c r="E76" s="249"/>
      <c r="F76" s="249"/>
      <c r="G76" s="249">
        <f>G85+G98</f>
        <v>17809605.4745</v>
      </c>
      <c r="H76" s="249">
        <f>H72*H77</f>
        <v>66204530.582499996</v>
      </c>
      <c r="I76" s="249">
        <f>I85+I98</f>
        <v>95382324.935402513</v>
      </c>
      <c r="J76" s="249">
        <f>J85+J98</f>
        <v>131390072.20068651</v>
      </c>
      <c r="K76" s="249">
        <f>K85+K98</f>
        <v>165341912.86564001</v>
      </c>
    </row>
    <row r="77" spans="1:18" ht="14">
      <c r="A77" s="266" t="s">
        <v>513</v>
      </c>
      <c r="B77" s="82"/>
      <c r="C77" s="82"/>
      <c r="D77" s="82"/>
      <c r="E77" s="82"/>
      <c r="F77" s="82"/>
      <c r="G77" s="82">
        <f>(G76)/G72</f>
        <v>0.13810129752571429</v>
      </c>
      <c r="H77" s="267">
        <v>0.2039</v>
      </c>
      <c r="I77" s="82">
        <f>(I76)/I72</f>
        <v>0.20756181152919939</v>
      </c>
      <c r="J77" s="82">
        <f>(J76)/J72</f>
        <v>0.21425359532747809</v>
      </c>
      <c r="K77" s="82">
        <f>(K76)/K72</f>
        <v>0.22188252957146168</v>
      </c>
      <c r="N77" s="60">
        <v>0.20669999999999999</v>
      </c>
    </row>
    <row r="78" spans="1:18" ht="17.25" customHeight="1">
      <c r="A78" s="266" t="s">
        <v>558</v>
      </c>
      <c r="B78" s="82"/>
      <c r="C78" s="82"/>
      <c r="D78" s="82"/>
      <c r="E78" s="82"/>
      <c r="F78" s="82"/>
      <c r="G78" s="82">
        <f>G72/G121</f>
        <v>0.61031945123613351</v>
      </c>
      <c r="H78" s="82">
        <f>H72/H121</f>
        <v>0.76566995164982365</v>
      </c>
      <c r="I78" s="82">
        <f>I72/I121</f>
        <v>0.8079198168474816</v>
      </c>
      <c r="J78" s="82">
        <f>J72/J121</f>
        <v>0.83620216786885615</v>
      </c>
      <c r="K78" s="82">
        <f>K72/K121</f>
        <v>0.84943768480539483</v>
      </c>
    </row>
    <row r="79" spans="1:18" ht="18" customHeight="1">
      <c r="A79" s="266" t="s">
        <v>559</v>
      </c>
      <c r="B79" s="82"/>
      <c r="C79" s="82"/>
      <c r="D79" s="82"/>
      <c r="E79" s="82"/>
      <c r="F79" s="82"/>
      <c r="G79" s="82">
        <f>G76/G$124</f>
        <v>0.75360454901608021</v>
      </c>
      <c r="H79" s="82">
        <f>H76/H$124</f>
        <v>0.91602935527484142</v>
      </c>
      <c r="I79" s="82">
        <f>I76/I$124</f>
        <v>0.91936407926967256</v>
      </c>
      <c r="J79" s="82">
        <f>J76/J$124</f>
        <v>0.9411871996600899</v>
      </c>
      <c r="K79" s="82">
        <f>K76/K$124</f>
        <v>0.94806757744453252</v>
      </c>
    </row>
    <row r="80" spans="1:18" s="960" customFormat="1" ht="14">
      <c r="A80" s="959" t="s">
        <v>560</v>
      </c>
    </row>
    <row r="81" spans="1:14" ht="14">
      <c r="A81" s="266" t="s">
        <v>508</v>
      </c>
      <c r="B81" s="30">
        <v>55022092</v>
      </c>
      <c r="C81" s="30">
        <v>54500575</v>
      </c>
      <c r="D81" s="30">
        <v>71768852</v>
      </c>
      <c r="E81" s="30">
        <v>59537327</v>
      </c>
      <c r="F81" s="30">
        <v>81957889</v>
      </c>
      <c r="G81" s="32">
        <v>109659458</v>
      </c>
      <c r="H81" s="1001">
        <f>H72-H90</f>
        <v>305659258.92905092</v>
      </c>
      <c r="I81" s="248">
        <f>'Price&amp;Q'!CU48</f>
        <v>431751295.24960929</v>
      </c>
      <c r="J81" s="248">
        <f>'Price&amp;Q'!CV48</f>
        <v>594287534.98316085</v>
      </c>
      <c r="K81" s="248">
        <f>'Price&amp;Q'!CW48</f>
        <v>718237299.28548455</v>
      </c>
      <c r="L81" t="s">
        <v>509</v>
      </c>
    </row>
    <row r="82" spans="1:14" ht="14">
      <c r="A82" s="266" t="s">
        <v>526</v>
      </c>
      <c r="C82" s="82">
        <f>C81/B81-1</f>
        <v>-9.4783200900467879E-3</v>
      </c>
      <c r="D82" s="82">
        <f>D81/C81-1</f>
        <v>0.31684577639777189</v>
      </c>
      <c r="E82" s="82">
        <f t="shared" ref="E82" si="53">E81/D81-1</f>
        <v>-0.1704294364357396</v>
      </c>
      <c r="F82" s="82">
        <f t="shared" ref="F82:G82" si="54">F81/E81-1</f>
        <v>0.37657992270966423</v>
      </c>
      <c r="G82" s="82">
        <f t="shared" si="54"/>
        <v>0.33799759044550304</v>
      </c>
      <c r="H82" s="82">
        <f>H81/G81-1</f>
        <v>1.7873497143224153</v>
      </c>
      <c r="I82" s="82">
        <f>I81/H81-1</f>
        <v>0.41252483815589769</v>
      </c>
      <c r="J82" s="82">
        <f>J81/I81-1</f>
        <v>0.37645802461248934</v>
      </c>
      <c r="K82" s="82">
        <f>K81/J81-1</f>
        <v>0.20856867594545081</v>
      </c>
    </row>
    <row r="83" spans="1:14" ht="14">
      <c r="A83" s="266" t="s">
        <v>557</v>
      </c>
      <c r="B83" s="267">
        <f>48.91%+0.74%</f>
        <v>0.4965</v>
      </c>
      <c r="C83" s="267">
        <f>49.05%+0.92%</f>
        <v>0.49969999999999998</v>
      </c>
      <c r="D83" s="267">
        <f>54.25%+1.83%</f>
        <v>0.56079999999999997</v>
      </c>
      <c r="E83" s="267">
        <f>44.31%+1.92%</f>
        <v>0.46230000000000004</v>
      </c>
      <c r="F83" s="267">
        <f>48.25%+1.51%</f>
        <v>0.49759999999999999</v>
      </c>
      <c r="G83" s="267">
        <f>47.8%+1.63%</f>
        <v>0.49429999999999996</v>
      </c>
      <c r="H83" s="82">
        <f>H84/H123</f>
        <v>0.68752918092119353</v>
      </c>
      <c r="I83" s="82">
        <f>I84/I$123</f>
        <v>0.73053919403166978</v>
      </c>
      <c r="J83" s="82">
        <f>J84/J$123</f>
        <v>0.78286881236042849</v>
      </c>
      <c r="K83" s="82">
        <f>K84/K$123</f>
        <v>0.79112369024292739</v>
      </c>
      <c r="M83" s="60"/>
    </row>
    <row r="84" spans="1:14" ht="14">
      <c r="A84" s="266" t="s">
        <v>287</v>
      </c>
      <c r="B84" s="249">
        <f t="shared" ref="B84:E84" si="55">B83*B$123</f>
        <v>40310556.960000001</v>
      </c>
      <c r="C84" s="249">
        <f t="shared" si="55"/>
        <v>42332355.338</v>
      </c>
      <c r="D84" s="249">
        <f t="shared" si="55"/>
        <v>58168509.488799997</v>
      </c>
      <c r="E84" s="249">
        <f t="shared" si="55"/>
        <v>47941491.925200008</v>
      </c>
      <c r="F84" s="249">
        <f>F83*F$123</f>
        <v>62809855.076799996</v>
      </c>
      <c r="G84" s="249">
        <f>G83*G$123</f>
        <v>92763974.565099999</v>
      </c>
      <c r="H84" s="249">
        <f>H75-H97</f>
        <v>241883546.30563271</v>
      </c>
      <c r="I84" s="248">
        <f>CA!I86</f>
        <v>339731524.54625851</v>
      </c>
      <c r="J84" s="248">
        <f>CA!J86</f>
        <v>464843737.18609267</v>
      </c>
      <c r="K84" s="248">
        <f>CA!K86</f>
        <v>556050088.05808425</v>
      </c>
      <c r="L84" t="s">
        <v>512</v>
      </c>
    </row>
    <row r="85" spans="1:14" ht="14">
      <c r="A85" s="266" t="s">
        <v>511</v>
      </c>
      <c r="B85" s="249">
        <f t="shared" ref="B85:E85" si="56">B81-B84</f>
        <v>14711535.039999999</v>
      </c>
      <c r="C85" s="249">
        <f t="shared" si="56"/>
        <v>12168219.662</v>
      </c>
      <c r="D85" s="249">
        <f t="shared" si="56"/>
        <v>13600342.511200003</v>
      </c>
      <c r="E85" s="249">
        <f t="shared" si="56"/>
        <v>11595835.074799992</v>
      </c>
      <c r="F85" s="249">
        <f t="shared" ref="F85:H85" si="57">F81-F84</f>
        <v>19148033.923200004</v>
      </c>
      <c r="G85" s="249">
        <f t="shared" si="57"/>
        <v>16895483.434900001</v>
      </c>
      <c r="H85" s="249">
        <f t="shared" si="57"/>
        <v>63775712.623418212</v>
      </c>
      <c r="I85" s="249">
        <f>I81-I84</f>
        <v>92019770.703350782</v>
      </c>
      <c r="J85" s="249">
        <f>J81-J84</f>
        <v>129443797.79706818</v>
      </c>
      <c r="K85" s="249">
        <f>K81-K84</f>
        <v>162187211.2274003</v>
      </c>
    </row>
    <row r="86" spans="1:14" ht="14">
      <c r="A86" s="266" t="s">
        <v>513</v>
      </c>
      <c r="B86" s="82">
        <f>(B85)/B81</f>
        <v>0.2673750580039741</v>
      </c>
      <c r="C86" s="82">
        <f t="shared" ref="C86:J86" si="58">(C85)/C81</f>
        <v>0.2232677299643169</v>
      </c>
      <c r="D86" s="82">
        <f t="shared" si="58"/>
        <v>0.18950202117208179</v>
      </c>
      <c r="E86" s="82">
        <f t="shared" si="58"/>
        <v>0.19476579919014489</v>
      </c>
      <c r="F86" s="82">
        <f t="shared" si="58"/>
        <v>0.23363259055147215</v>
      </c>
      <c r="G86" s="82">
        <f t="shared" si="58"/>
        <v>0.15407228654093841</v>
      </c>
      <c r="H86" s="82">
        <f>(H85)/H81</f>
        <v>0.2086496998221857</v>
      </c>
      <c r="I86" s="82">
        <f>(I85)/I81</f>
        <v>0.21313142940347451</v>
      </c>
      <c r="J86" s="82">
        <f t="shared" si="58"/>
        <v>0.21781341552239686</v>
      </c>
      <c r="K86" s="82">
        <f>(K85)/K81</f>
        <v>0.22581284958153394</v>
      </c>
    </row>
    <row r="87" spans="1:14" ht="14">
      <c r="A87" s="266" t="s">
        <v>558</v>
      </c>
      <c r="B87" s="82">
        <f t="shared" ref="B87:K87" si="59">B81/B121</f>
        <v>0.54908046340509375</v>
      </c>
      <c r="C87" s="82">
        <f t="shared" si="59"/>
        <v>0.53093277162472696</v>
      </c>
      <c r="D87" s="82">
        <f t="shared" si="59"/>
        <v>0.58927914374572654</v>
      </c>
      <c r="E87" s="82">
        <f t="shared" si="59"/>
        <v>0.48890004597459819</v>
      </c>
      <c r="F87" s="82">
        <f t="shared" si="59"/>
        <v>0.53403482617070541</v>
      </c>
      <c r="G87" s="82">
        <f t="shared" si="59"/>
        <v>0.5189753930713783</v>
      </c>
      <c r="H87" s="82">
        <f t="shared" si="59"/>
        <v>0.72078987057633259</v>
      </c>
      <c r="I87" s="82">
        <f t="shared" si="59"/>
        <v>0.75906935435653122</v>
      </c>
      <c r="J87" s="82">
        <f t="shared" si="59"/>
        <v>0.81035156915271855</v>
      </c>
      <c r="K87" s="82">
        <f t="shared" si="59"/>
        <v>0.81872797501757422</v>
      </c>
    </row>
    <row r="88" spans="1:14" ht="15" customHeight="1">
      <c r="A88" s="266" t="s">
        <v>559</v>
      </c>
      <c r="B88" s="82">
        <f t="shared" ref="B88:K88" si="60">B85/B$124</f>
        <v>0.77354777563019317</v>
      </c>
      <c r="C88" s="82">
        <f t="shared" si="60"/>
        <v>0.67845940652377568</v>
      </c>
      <c r="D88" s="82">
        <f t="shared" si="60"/>
        <v>0.75278243027915814</v>
      </c>
      <c r="E88" s="82">
        <f t="shared" si="60"/>
        <v>0.6415047336431251</v>
      </c>
      <c r="F88" s="82">
        <f t="shared" si="60"/>
        <v>0.70284544806152738</v>
      </c>
      <c r="G88" s="82">
        <f t="shared" si="60"/>
        <v>0.71492393206559401</v>
      </c>
      <c r="H88" s="82">
        <f t="shared" si="60"/>
        <v>0.88242336895393314</v>
      </c>
      <c r="I88" s="82">
        <f t="shared" si="60"/>
        <v>0.88695334093174438</v>
      </c>
      <c r="J88" s="82">
        <f t="shared" si="60"/>
        <v>0.92724544192276459</v>
      </c>
      <c r="K88" s="82">
        <f t="shared" si="60"/>
        <v>0.92997857455416044</v>
      </c>
    </row>
    <row r="89" spans="1:14" s="960" customFormat="1" ht="24.75" customHeight="1">
      <c r="A89" s="959" t="s">
        <v>561</v>
      </c>
    </row>
    <row r="90" spans="1:14" ht="14">
      <c r="A90" s="266" t="s">
        <v>508</v>
      </c>
      <c r="B90" s="249">
        <f t="shared" ref="B90:F90" si="61">B92+B94</f>
        <v>7103045</v>
      </c>
      <c r="C90" s="249">
        <f t="shared" si="61"/>
        <v>8442131</v>
      </c>
      <c r="D90" s="249">
        <f t="shared" si="61"/>
        <v>8681073</v>
      </c>
      <c r="E90" s="249">
        <f t="shared" si="61"/>
        <v>9718500</v>
      </c>
      <c r="F90" s="249">
        <f t="shared" si="61"/>
        <v>11704632</v>
      </c>
      <c r="G90" s="249">
        <f>G92+G94</f>
        <v>15402042</v>
      </c>
      <c r="H90" s="249">
        <f>H92+H94</f>
        <v>19031916.070949078</v>
      </c>
      <c r="I90" s="249">
        <f>I92+I94</f>
        <v>27785669.824451655</v>
      </c>
      <c r="J90" s="249">
        <f>J92+J94</f>
        <v>18958053.730820876</v>
      </c>
      <c r="K90" s="249">
        <f>K92+K94</f>
        <v>26940399.855485272</v>
      </c>
      <c r="M90" s="32"/>
      <c r="N90" s="32"/>
    </row>
    <row r="91" spans="1:14" ht="14">
      <c r="A91" s="266" t="s">
        <v>526</v>
      </c>
      <c r="C91" s="82">
        <f>C90/B90-1</f>
        <v>0.18852280958377721</v>
      </c>
      <c r="D91" s="82">
        <f>D90/C90-1</f>
        <v>2.8303517204364637E-2</v>
      </c>
      <c r="E91" s="82">
        <f>E90/D90-1</f>
        <v>0.11950446678653659</v>
      </c>
      <c r="F91" s="82">
        <f>F90/E90-1</f>
        <v>0.20436610588053705</v>
      </c>
      <c r="G91" s="82">
        <f>G90/F90-1</f>
        <v>0.31589288753375588</v>
      </c>
      <c r="H91" s="82">
        <f>73.48%</f>
        <v>0.73480000000000001</v>
      </c>
      <c r="I91" s="82">
        <f>I90/H90-1</f>
        <v>0.45995125876288334</v>
      </c>
      <c r="J91" s="82">
        <f>J90/I90-1</f>
        <v>-0.31770391534208731</v>
      </c>
      <c r="K91" s="82">
        <f>K90/J90-1</f>
        <v>0.42105303835525976</v>
      </c>
    </row>
    <row r="92" spans="1:14" ht="14">
      <c r="A92" s="266" t="s">
        <v>562</v>
      </c>
      <c r="B92" s="30">
        <v>7103045</v>
      </c>
      <c r="C92" s="30">
        <v>8442131</v>
      </c>
      <c r="D92" s="30">
        <v>8681073</v>
      </c>
      <c r="E92" s="30">
        <v>9718500</v>
      </c>
      <c r="F92" s="30">
        <v>11704632</v>
      </c>
      <c r="G92" s="32">
        <v>15402042</v>
      </c>
      <c r="H92" s="249">
        <f>'Price&amp;Q'!CT49</f>
        <v>19031916.070949078</v>
      </c>
      <c r="I92" s="249">
        <f>'Price&amp;Q'!CU49</f>
        <v>27785669.824451655</v>
      </c>
      <c r="J92" s="249">
        <f>'Price&amp;Q'!CV49</f>
        <v>18958053.730820876</v>
      </c>
      <c r="K92" s="249">
        <f>'Price&amp;Q'!CW49</f>
        <v>26940399.855485272</v>
      </c>
      <c r="L92" t="s">
        <v>119</v>
      </c>
    </row>
    <row r="93" spans="1:14" ht="14">
      <c r="A93" s="266" t="s">
        <v>563</v>
      </c>
      <c r="C93" s="82">
        <f>C92/B92-1</f>
        <v>0.18852280958377721</v>
      </c>
      <c r="D93" s="82">
        <f>D92/C92-1</f>
        <v>2.8303517204364637E-2</v>
      </c>
      <c r="E93" s="82">
        <f t="shared" ref="E93" si="62">E92/D92-1</f>
        <v>0.11950446678653659</v>
      </c>
      <c r="F93" s="82">
        <f t="shared" ref="F93:G93" si="63">F92/E92-1</f>
        <v>0.20436610588053705</v>
      </c>
      <c r="G93" s="82">
        <f t="shared" si="63"/>
        <v>0.31589288753375588</v>
      </c>
      <c r="H93" s="82">
        <f>H92/G92-1</f>
        <v>0.23567485862907511</v>
      </c>
      <c r="I93" s="82">
        <f>I92/H92-1</f>
        <v>0.45995125876288334</v>
      </c>
      <c r="J93" s="983">
        <f>J92/I92-1</f>
        <v>-0.31770391534208731</v>
      </c>
      <c r="K93" s="82">
        <f>K92/J92-1</f>
        <v>0.42105303835525976</v>
      </c>
      <c r="L93" t="s">
        <v>564</v>
      </c>
    </row>
    <row r="94" spans="1:14" ht="14">
      <c r="A94" s="892" t="s">
        <v>565</v>
      </c>
      <c r="B94" s="5">
        <f>'Price and Quant'!Z74*'Price and Quant'!D75/1000</f>
        <v>0</v>
      </c>
      <c r="C94" s="5">
        <f>'Price and Quant'!AA74*'Price and Quant'!E75/1000</f>
        <v>0</v>
      </c>
      <c r="D94" s="5">
        <f>'Price and Quant'!AB74*'Price and Quant'!F75/1000</f>
        <v>0</v>
      </c>
      <c r="E94" s="5">
        <f>'Price and Quant'!AC74*'Price and Quant'!G75/1000</f>
        <v>0</v>
      </c>
      <c r="F94" s="5">
        <f>'Price and Quant'!AD74*'Price and Quant'!H75/1000</f>
        <v>0</v>
      </c>
      <c r="G94" s="5">
        <f>'Price and Quant'!AE74*'Price and Quant'!I75/1000</f>
        <v>0</v>
      </c>
      <c r="H94" s="5">
        <v>0</v>
      </c>
      <c r="I94" s="5">
        <v>0</v>
      </c>
      <c r="J94" s="5">
        <v>0</v>
      </c>
      <c r="K94" s="5">
        <v>0</v>
      </c>
      <c r="L94" s="5"/>
    </row>
    <row r="95" spans="1:14" ht="14">
      <c r="A95" s="266" t="s">
        <v>563</v>
      </c>
      <c r="C95" s="82"/>
      <c r="D95" s="82"/>
      <c r="E95" s="82"/>
      <c r="F95" s="82"/>
      <c r="G95" s="82"/>
      <c r="H95" s="82"/>
      <c r="I95" s="82"/>
      <c r="J95" s="82"/>
      <c r="K95" s="82"/>
    </row>
    <row r="96" spans="1:14" ht="14">
      <c r="A96" s="266" t="s">
        <v>557</v>
      </c>
      <c r="B96" s="267">
        <f>7.48%+0.13%</f>
        <v>7.6100000000000001E-2</v>
      </c>
      <c r="C96" s="267">
        <f>8.93%+0.04%</f>
        <v>8.9699999999999988E-2</v>
      </c>
      <c r="D96" s="267">
        <f>7.34%+0.11%</f>
        <v>7.4499999999999997E-2</v>
      </c>
      <c r="E96" s="267">
        <f>7.61%+0.38%</f>
        <v>7.9899999999999999E-2</v>
      </c>
      <c r="F96" s="267">
        <f>7.36%+0.28%</f>
        <v>7.6399999999999996E-2</v>
      </c>
      <c r="G96" s="267">
        <f>7.28%+0.44%</f>
        <v>7.7200000000000005E-2</v>
      </c>
      <c r="H96" s="82">
        <f>73.48%-H83</f>
        <v>4.7270819078806481E-2</v>
      </c>
      <c r="I96" s="313">
        <f>I97/I$123</f>
        <v>5.2518067625439736E-2</v>
      </c>
      <c r="J96" s="313">
        <f>J97/J$123</f>
        <v>2.865046985174954E-2</v>
      </c>
      <c r="K96" s="313">
        <f>K97/K$123</f>
        <v>3.3841248752156078E-2</v>
      </c>
      <c r="L96" t="s">
        <v>285</v>
      </c>
    </row>
    <row r="97" spans="1:15" ht="14">
      <c r="A97" s="266" t="s">
        <v>287</v>
      </c>
      <c r="B97" s="249">
        <f>B96*B$123</f>
        <v>6178516.3840000005</v>
      </c>
      <c r="C97" s="249">
        <f t="shared" ref="C97:E97" si="64">C96*C$123</f>
        <v>7598983.9379999992</v>
      </c>
      <c r="D97" s="249">
        <f t="shared" si="64"/>
        <v>7727449.9945</v>
      </c>
      <c r="E97" s="249">
        <f t="shared" si="64"/>
        <v>8285799.7076000003</v>
      </c>
      <c r="F97" s="249">
        <f>F96*F$123</f>
        <v>9643635.3051999994</v>
      </c>
      <c r="G97" s="249">
        <f>G96*G$123</f>
        <v>14487919.9604</v>
      </c>
      <c r="H97" s="249">
        <f>H90-H98</f>
        <v>16603098.111867299</v>
      </c>
      <c r="I97" s="249">
        <f>I90-I98</f>
        <v>24423115.592399918</v>
      </c>
      <c r="J97" s="249">
        <f>J90-J98</f>
        <v>17011779.327202532</v>
      </c>
      <c r="K97" s="249">
        <f>K90-K98</f>
        <v>23785698.217245549</v>
      </c>
    </row>
    <row r="98" spans="1:15" ht="14">
      <c r="A98" s="266" t="s">
        <v>511</v>
      </c>
      <c r="B98" s="249">
        <f t="shared" ref="B98:E98" si="65">B90-B97</f>
        <v>924528.61599999946</v>
      </c>
      <c r="C98" s="249">
        <f t="shared" si="65"/>
        <v>843147.06200000085</v>
      </c>
      <c r="D98" s="249">
        <f t="shared" si="65"/>
        <v>953623.00549999997</v>
      </c>
      <c r="E98" s="249">
        <f t="shared" si="65"/>
        <v>1432700.2923999997</v>
      </c>
      <c r="F98" s="249">
        <f>F90-F97</f>
        <v>2060996.6948000006</v>
      </c>
      <c r="G98" s="249">
        <f>G90-G97</f>
        <v>914122.03959999979</v>
      </c>
      <c r="H98" s="249">
        <f>H90*H99</f>
        <v>2428817.9590817783</v>
      </c>
      <c r="I98" s="249">
        <f>I90*I99</f>
        <v>3362554.2320517371</v>
      </c>
      <c r="J98" s="249">
        <f>J90*J99</f>
        <v>1946274.4036183422</v>
      </c>
      <c r="K98" s="249">
        <f>K90*K99</f>
        <v>3154701.6382397208</v>
      </c>
    </row>
    <row r="99" spans="1:15" ht="14">
      <c r="A99" s="266" t="s">
        <v>513</v>
      </c>
      <c r="B99" s="82">
        <f t="shared" ref="B99:F99" si="66">(B98)/B92</f>
        <v>0.1301594761120054</v>
      </c>
      <c r="C99" s="82">
        <f t="shared" si="66"/>
        <v>9.9873724063272745E-2</v>
      </c>
      <c r="D99" s="82">
        <f t="shared" si="66"/>
        <v>0.10985082207003673</v>
      </c>
      <c r="E99" s="82">
        <f t="shared" si="66"/>
        <v>0.14741989940834488</v>
      </c>
      <c r="F99" s="82">
        <f t="shared" si="66"/>
        <v>0.1760838525124071</v>
      </c>
      <c r="G99" s="82">
        <f>(G98)/G92</f>
        <v>5.935070425077401E-2</v>
      </c>
      <c r="H99" s="313">
        <f>AVERAGE(E99:G99)</f>
        <v>0.12761815205717533</v>
      </c>
      <c r="I99" s="982">
        <f>AVERAGE(F99:H99)</f>
        <v>0.12101756960678549</v>
      </c>
      <c r="J99" s="982">
        <f>AVERAGE(G99:I99)</f>
        <v>0.10266214197157829</v>
      </c>
      <c r="K99" s="982">
        <f>AVERAGE(H99:J99)</f>
        <v>0.11709928787851304</v>
      </c>
      <c r="L99" t="s">
        <v>229</v>
      </c>
    </row>
    <row r="100" spans="1:15" ht="14">
      <c r="A100" s="266" t="s">
        <v>558</v>
      </c>
      <c r="B100" s="82">
        <f t="shared" ref="B100:J100" si="67">B92/B121</f>
        <v>7.0883223418463148E-2</v>
      </c>
      <c r="C100" s="82">
        <f t="shared" si="67"/>
        <v>8.2241407732836364E-2</v>
      </c>
      <c r="D100" s="82">
        <f t="shared" si="67"/>
        <v>7.1278488113954305E-2</v>
      </c>
      <c r="E100" s="82">
        <f t="shared" si="67"/>
        <v>7.9804978426460643E-2</v>
      </c>
      <c r="F100" s="82">
        <f t="shared" si="67"/>
        <v>7.6266985299146439E-2</v>
      </c>
      <c r="G100" s="82">
        <f t="shared" si="67"/>
        <v>7.2891850341371175E-2</v>
      </c>
      <c r="H100" s="82">
        <f t="shared" si="67"/>
        <v>4.4880081073491083E-2</v>
      </c>
      <c r="I100" s="82">
        <f t="shared" si="67"/>
        <v>4.8850462490950354E-2</v>
      </c>
      <c r="J100" s="82">
        <f t="shared" si="67"/>
        <v>2.5850598716137548E-2</v>
      </c>
      <c r="K100" s="82">
        <f t="shared" ref="K100" si="68">K92/K121</f>
        <v>3.0709709787820498E-2</v>
      </c>
    </row>
    <row r="101" spans="1:15" ht="22.5" customHeight="1">
      <c r="A101" s="266" t="s">
        <v>559</v>
      </c>
      <c r="B101" s="82">
        <f t="shared" ref="B101:J101" si="69">B98/B$124</f>
        <v>4.8612673828309125E-2</v>
      </c>
      <c r="C101" s="82">
        <f t="shared" si="69"/>
        <v>4.7011072382528274E-2</v>
      </c>
      <c r="D101" s="82">
        <f t="shared" si="69"/>
        <v>5.2783276822567671E-2</v>
      </c>
      <c r="E101" s="82">
        <f t="shared" si="69"/>
        <v>7.9259838859198489E-2</v>
      </c>
      <c r="F101" s="82">
        <f t="shared" si="69"/>
        <v>7.5650698720297185E-2</v>
      </c>
      <c r="G101" s="82">
        <f t="shared" si="69"/>
        <v>3.8680616950486239E-2</v>
      </c>
      <c r="H101" s="82">
        <f t="shared" si="69"/>
        <v>3.360598632090811E-2</v>
      </c>
      <c r="I101" s="82">
        <f t="shared" si="69"/>
        <v>3.2410738337928319E-2</v>
      </c>
      <c r="J101" s="82">
        <f t="shared" si="69"/>
        <v>1.3941757737325361E-2</v>
      </c>
      <c r="K101" s="82">
        <f t="shared" ref="K101" si="70">K98/K$124</f>
        <v>1.8089002890372196E-2</v>
      </c>
    </row>
    <row r="102" spans="1:15" ht="29.25" customHeight="1">
      <c r="A102" s="319" t="s">
        <v>566</v>
      </c>
      <c r="B102" s="259"/>
      <c r="C102" s="259"/>
      <c r="D102" s="259"/>
      <c r="E102" s="259"/>
      <c r="F102" s="259"/>
      <c r="G102" s="259"/>
      <c r="H102" s="259"/>
      <c r="I102" s="259"/>
      <c r="J102" s="259"/>
      <c r="K102" s="259"/>
      <c r="L102" s="259"/>
      <c r="M102" s="259"/>
      <c r="N102" s="259"/>
      <c r="O102" s="259"/>
    </row>
    <row r="103" spans="1:15" ht="14">
      <c r="A103" s="266" t="s">
        <v>508</v>
      </c>
      <c r="B103" s="30">
        <v>38082566</v>
      </c>
      <c r="C103" s="30">
        <v>39707908</v>
      </c>
      <c r="D103" s="30">
        <v>41341000</v>
      </c>
      <c r="E103" s="30">
        <v>52522290</v>
      </c>
      <c r="F103" s="30">
        <v>59354468</v>
      </c>
      <c r="G103" s="32">
        <v>85545672</v>
      </c>
      <c r="H103" s="954">
        <v>98815954</v>
      </c>
      <c r="I103" s="249">
        <f>H103*(1+I104)</f>
        <v>108697549.40000001</v>
      </c>
      <c r="J103" s="249">
        <f>I103*(1+J104)</f>
        <v>119567304.34000002</v>
      </c>
      <c r="K103" s="249">
        <f>J103*(1+K104)</f>
        <v>131524034.77400003</v>
      </c>
    </row>
    <row r="104" spans="1:15" ht="14">
      <c r="A104" s="266" t="s">
        <v>526</v>
      </c>
      <c r="C104" s="82">
        <f>C103/B103-1</f>
        <v>4.2679424490461138E-2</v>
      </c>
      <c r="D104" s="82">
        <f>D103/C103-1</f>
        <v>4.1127626265276884E-2</v>
      </c>
      <c r="E104" s="82">
        <f t="shared" ref="E104" si="71">E103/D103-1</f>
        <v>0.27046491376599491</v>
      </c>
      <c r="F104" s="82">
        <f t="shared" ref="F104" si="72">F103/E103-1</f>
        <v>0.13008149492339349</v>
      </c>
      <c r="G104" s="82">
        <f>G103/F103-1</f>
        <v>0.44126760600398263</v>
      </c>
      <c r="H104" s="82">
        <f>H103/G103-1</f>
        <v>0.15512511258313566</v>
      </c>
      <c r="I104" s="982">
        <f>10%</f>
        <v>0.1</v>
      </c>
      <c r="J104" s="982">
        <f>10%</f>
        <v>0.1</v>
      </c>
      <c r="K104" s="982">
        <f>10%</f>
        <v>0.1</v>
      </c>
      <c r="L104" t="s">
        <v>567</v>
      </c>
    </row>
    <row r="105" spans="1:15" ht="14">
      <c r="A105" s="266" t="s">
        <v>557</v>
      </c>
      <c r="B105" s="267">
        <f>41.98%+0.74%</f>
        <v>0.42719999999999997</v>
      </c>
      <c r="C105" s="267">
        <f>40.68%+0.33%</f>
        <v>0.41010000000000002</v>
      </c>
      <c r="D105" s="267">
        <f>33.72%+0.23%</f>
        <v>0.33950000000000002</v>
      </c>
      <c r="E105" s="267">
        <f>45%+0.25%</f>
        <v>0.45250000000000001</v>
      </c>
      <c r="F105" s="267">
        <f>42.07%+0.17%</f>
        <v>0.4224</v>
      </c>
      <c r="G105" s="267">
        <f>42.34%+0.16%</f>
        <v>0.42500000000000004</v>
      </c>
      <c r="H105" s="267">
        <v>0.26400000000000001</v>
      </c>
      <c r="I105" s="82">
        <f>I106/I$123</f>
        <v>0.21586129610052926</v>
      </c>
      <c r="J105" s="82">
        <f>J106/J$123</f>
        <v>0.18766301609921934</v>
      </c>
      <c r="K105" s="82">
        <f>K106/K$123</f>
        <v>0.17436314700835043</v>
      </c>
    </row>
    <row r="106" spans="1:15" ht="14">
      <c r="A106" s="266" t="s">
        <v>287</v>
      </c>
      <c r="B106" s="249">
        <f t="shared" ref="B106:F106" si="73">B105*B$123</f>
        <v>34684128.767999999</v>
      </c>
      <c r="C106" s="249">
        <f t="shared" si="73"/>
        <v>34741842.954000004</v>
      </c>
      <c r="D106" s="249">
        <f t="shared" si="73"/>
        <v>35214352.659500003</v>
      </c>
      <c r="E106" s="249">
        <f t="shared" si="73"/>
        <v>46925211.109999999</v>
      </c>
      <c r="F106" s="249">
        <f t="shared" si="73"/>
        <v>53317690.483199999</v>
      </c>
      <c r="G106" s="249">
        <f>G105*G$123</f>
        <v>79758626.725000009</v>
      </c>
      <c r="H106" s="249">
        <f>H105*H$123</f>
        <v>92879339.520000011</v>
      </c>
      <c r="I106" s="249">
        <f>I103-I107</f>
        <v>100384603.33667597</v>
      </c>
      <c r="J106" s="249">
        <f>J103-J107</f>
        <v>111428602.54217529</v>
      </c>
      <c r="K106" s="249">
        <f>K103-K107</f>
        <v>122553077.91163027</v>
      </c>
    </row>
    <row r="107" spans="1:15" s="82" customFormat="1" ht="14">
      <c r="A107" s="266" t="s">
        <v>511</v>
      </c>
      <c r="B107" s="249">
        <f t="shared" ref="B107:G107" si="74">B103-B106</f>
        <v>3398437.2320000008</v>
      </c>
      <c r="C107" s="249">
        <f t="shared" si="74"/>
        <v>4966065.0459999964</v>
      </c>
      <c r="D107" s="249">
        <f t="shared" si="74"/>
        <v>6126647.3404999971</v>
      </c>
      <c r="E107" s="249">
        <f t="shared" si="74"/>
        <v>5597078.8900000006</v>
      </c>
      <c r="F107" s="249">
        <f t="shared" si="74"/>
        <v>6036777.5168000013</v>
      </c>
      <c r="G107" s="249">
        <f t="shared" si="74"/>
        <v>5787045.2749999911</v>
      </c>
      <c r="H107" s="249">
        <f>H103-H106</f>
        <v>5936614.4799999893</v>
      </c>
      <c r="I107" s="249">
        <f>I103*I108</f>
        <v>8312946.0633240333</v>
      </c>
      <c r="J107" s="249">
        <f>J103*J108</f>
        <v>8138701.7978247302</v>
      </c>
      <c r="K107" s="249">
        <f>K103*K108</f>
        <v>8970956.8623697571</v>
      </c>
      <c r="L107"/>
      <c r="M107"/>
      <c r="N107"/>
      <c r="O107"/>
    </row>
    <row r="108" spans="1:15" s="82" customFormat="1" ht="14">
      <c r="A108" s="266" t="s">
        <v>513</v>
      </c>
      <c r="B108" s="82">
        <f t="shared" ref="B108:F108" si="75">(B107)/B103</f>
        <v>8.9238661911594949E-2</v>
      </c>
      <c r="C108" s="82">
        <f t="shared" si="75"/>
        <v>0.12506488747782926</v>
      </c>
      <c r="D108" s="82">
        <f t="shared" si="75"/>
        <v>0.14819785057207124</v>
      </c>
      <c r="E108" s="82">
        <f t="shared" si="75"/>
        <v>0.10656578169002152</v>
      </c>
      <c r="F108" s="82">
        <f t="shared" si="75"/>
        <v>0.10170721295657138</v>
      </c>
      <c r="G108" s="82">
        <f>(G107)/G103</f>
        <v>6.764860383585497E-2</v>
      </c>
      <c r="H108" s="82">
        <f>(H107)/H103</f>
        <v>6.0077489916253696E-2</v>
      </c>
      <c r="I108" s="313">
        <f>AVERAGE(F108:H108)</f>
        <v>7.6477768902893345E-2</v>
      </c>
      <c r="J108" s="313">
        <f t="shared" ref="J108:K108" si="76">AVERAGE(G108:I108)</f>
        <v>6.8067954218334004E-2</v>
      </c>
      <c r="K108" s="313">
        <f t="shared" si="76"/>
        <v>6.8207737679160343E-2</v>
      </c>
      <c r="L108" t="s">
        <v>285</v>
      </c>
    </row>
    <row r="109" spans="1:15" ht="14">
      <c r="A109" s="266" t="s">
        <v>558</v>
      </c>
      <c r="B109" s="82">
        <f t="shared" ref="B109:J109" si="77">B103/B121</f>
        <v>0.38003631317644315</v>
      </c>
      <c r="C109" s="82">
        <f t="shared" si="77"/>
        <v>0.3868258206424367</v>
      </c>
      <c r="D109" s="82">
        <f t="shared" si="77"/>
        <v>0.33944236814031914</v>
      </c>
      <c r="E109" s="82">
        <f t="shared" si="77"/>
        <v>0.43129497559894114</v>
      </c>
      <c r="F109" s="82">
        <f t="shared" si="77"/>
        <v>0.38675170124055652</v>
      </c>
      <c r="G109" s="82">
        <f t="shared" si="77"/>
        <v>0.40485426028418997</v>
      </c>
      <c r="H109" s="82">
        <f t="shared" si="77"/>
        <v>0.23302267676788935</v>
      </c>
      <c r="I109" s="82">
        <f>I103/I121</f>
        <v>0.19110302516983552</v>
      </c>
      <c r="J109" s="82">
        <f t="shared" si="77"/>
        <v>0.16303817089824221</v>
      </c>
      <c r="K109" s="82">
        <f t="shared" ref="K109" si="78">K103/K121</f>
        <v>0.14992594615147734</v>
      </c>
      <c r="L109" s="82"/>
      <c r="M109" s="82"/>
      <c r="N109" s="82"/>
      <c r="O109" s="82"/>
    </row>
    <row r="110" spans="1:15" ht="22.5" customHeight="1">
      <c r="A110" s="266" t="s">
        <v>559</v>
      </c>
      <c r="B110" s="82">
        <f t="shared" ref="B110:J110" si="79">B107/B$124</f>
        <v>0.1786933555393572</v>
      </c>
      <c r="C110" s="82">
        <f t="shared" si="79"/>
        <v>0.27689124929175069</v>
      </c>
      <c r="D110" s="82">
        <f t="shared" si="79"/>
        <v>0.33911149448235428</v>
      </c>
      <c r="E110" s="82">
        <f t="shared" si="79"/>
        <v>0.30964157211169541</v>
      </c>
      <c r="F110" s="82">
        <f t="shared" si="79"/>
        <v>0.22158523510355146</v>
      </c>
      <c r="G110" s="82">
        <f t="shared" si="79"/>
        <v>0.24487592669283675</v>
      </c>
      <c r="H110" s="82">
        <f t="shared" si="79"/>
        <v>8.2141102531541055E-2</v>
      </c>
      <c r="I110" s="82">
        <f t="shared" si="79"/>
        <v>8.0126207960461243E-2</v>
      </c>
      <c r="J110" s="82">
        <f t="shared" si="79"/>
        <v>5.830000566757565E-2</v>
      </c>
      <c r="K110" s="82">
        <f t="shared" ref="K110" si="80">K107/K$124</f>
        <v>5.1439306540366964E-2</v>
      </c>
    </row>
    <row r="111" spans="1:15" ht="14.5">
      <c r="A111" s="319" t="s">
        <v>568</v>
      </c>
      <c r="B111" s="259"/>
      <c r="C111" s="259"/>
      <c r="D111" s="259"/>
      <c r="E111" s="259"/>
      <c r="F111" s="259"/>
      <c r="G111" s="259"/>
      <c r="H111" s="259"/>
      <c r="I111" s="259"/>
      <c r="J111" s="259"/>
      <c r="K111" s="259"/>
      <c r="L111" s="259"/>
      <c r="M111" s="259"/>
      <c r="N111" s="259"/>
      <c r="O111" s="259"/>
    </row>
    <row r="112" spans="1:15" ht="14">
      <c r="A112" s="266" t="s">
        <v>508</v>
      </c>
      <c r="B112" s="30"/>
      <c r="C112" s="30"/>
      <c r="D112" s="30"/>
      <c r="E112" s="30"/>
      <c r="F112" s="30">
        <v>452195</v>
      </c>
      <c r="G112" s="32">
        <v>692746</v>
      </c>
      <c r="H112" s="954">
        <v>554406</v>
      </c>
      <c r="I112" s="249">
        <f>H112*(1+I118)</f>
        <v>555797.99430103914</v>
      </c>
      <c r="J112" s="249">
        <f t="shared" ref="J112:K112" si="81">I112*(1+J118)</f>
        <v>557112.76279181812</v>
      </c>
      <c r="K112" s="249">
        <f t="shared" si="81"/>
        <v>558261.1036043145</v>
      </c>
    </row>
    <row r="113" spans="1:21" ht="14">
      <c r="A113" s="266" t="s">
        <v>526</v>
      </c>
      <c r="C113" s="31"/>
      <c r="D113" s="31"/>
      <c r="E113" s="31"/>
      <c r="F113" s="31"/>
      <c r="G113" s="82">
        <f>G112/F112-1</f>
        <v>0.53196298057254054</v>
      </c>
      <c r="H113" s="82">
        <f>H112/G112-1</f>
        <v>-0.19969801341328564</v>
      </c>
      <c r="I113" s="82">
        <f>AVERAGE(G113:H113)</f>
        <v>0.16613248357962745</v>
      </c>
      <c r="J113" s="82">
        <f>AVERAGE(H113:I113)</f>
        <v>-1.678276491682909E-2</v>
      </c>
      <c r="K113" s="82">
        <f>AVERAGE(I113:J113)</f>
        <v>7.4674859331399182E-2</v>
      </c>
    </row>
    <row r="114" spans="1:21" ht="14">
      <c r="A114" s="266" t="s">
        <v>557</v>
      </c>
      <c r="B114" s="82">
        <f t="shared" ref="B114:H114" si="82">1-B83-B105-B96</f>
        <v>2.00000000000089E-4</v>
      </c>
      <c r="C114" s="82">
        <f t="shared" si="82"/>
        <v>4.9999999999995881E-4</v>
      </c>
      <c r="D114" s="82">
        <f t="shared" si="82"/>
        <v>2.5200000000000014E-2</v>
      </c>
      <c r="E114" s="82">
        <f t="shared" si="82"/>
        <v>5.2999999999999436E-3</v>
      </c>
      <c r="F114" s="82">
        <f t="shared" si="82"/>
        <v>3.5999999999999643E-3</v>
      </c>
      <c r="G114" s="82">
        <f t="shared" si="82"/>
        <v>3.4999999999999892E-3</v>
      </c>
      <c r="H114" s="82">
        <f t="shared" si="82"/>
        <v>1.1999999999999789E-3</v>
      </c>
      <c r="I114" s="313">
        <f>AVERAGE(F114:H114)</f>
        <v>2.7666666666666443E-3</v>
      </c>
      <c r="J114" s="313">
        <f>AVERAGE(G114:I114)</f>
        <v>2.4888888888888708E-3</v>
      </c>
      <c r="K114" s="313">
        <f>AVERAGE(H114:J114)</f>
        <v>2.1518518518518315E-3</v>
      </c>
      <c r="L114" t="s">
        <v>229</v>
      </c>
    </row>
    <row r="115" spans="1:21" ht="14">
      <c r="A115" s="266" t="s">
        <v>287</v>
      </c>
      <c r="B115" s="249">
        <f t="shared" ref="B115:F115" si="83">B114*B$123</f>
        <v>16237.888000007226</v>
      </c>
      <c r="C115" s="249">
        <f t="shared" si="83"/>
        <v>42357.769999996512</v>
      </c>
      <c r="D115" s="249">
        <f t="shared" si="83"/>
        <v>2613848.8572000014</v>
      </c>
      <c r="E115" s="249">
        <f>E114*E$123</f>
        <v>549621.25719999417</v>
      </c>
      <c r="F115" s="249">
        <f t="shared" si="83"/>
        <v>454412.13479999552</v>
      </c>
      <c r="G115" s="249">
        <f>G114*G$123</f>
        <v>656835.74949999794</v>
      </c>
      <c r="H115" s="249">
        <f>H114*H$123</f>
        <v>422178.81599999254</v>
      </c>
      <c r="I115" s="249">
        <f>I112-I116</f>
        <v>502916.23599074961</v>
      </c>
      <c r="J115" s="249">
        <f>J112-J116</f>
        <v>485526.44176399568</v>
      </c>
      <c r="K115" s="249">
        <f>K112-K116</f>
        <v>472262.22848073178</v>
      </c>
    </row>
    <row r="116" spans="1:21" ht="14">
      <c r="A116" s="266" t="s">
        <v>511</v>
      </c>
      <c r="B116" s="249">
        <f t="shared" ref="B116:F116" si="84">B112-B115</f>
        <v>-16237.888000007226</v>
      </c>
      <c r="C116" s="249">
        <f t="shared" si="84"/>
        <v>-42357.769999996512</v>
      </c>
      <c r="D116" s="249">
        <f t="shared" si="84"/>
        <v>-2613848.8572000014</v>
      </c>
      <c r="E116" s="249">
        <f t="shared" si="84"/>
        <v>-549621.25719999417</v>
      </c>
      <c r="F116" s="249">
        <f t="shared" si="84"/>
        <v>-2217.1347999955178</v>
      </c>
      <c r="G116" s="249">
        <f>G112-G115</f>
        <v>35910.250500002061</v>
      </c>
      <c r="H116" s="249">
        <f>H112-H115</f>
        <v>132227.18400000746</v>
      </c>
      <c r="I116" s="249">
        <f>I112*I117</f>
        <v>52881.758310289551</v>
      </c>
      <c r="J116" s="249">
        <f>J112*J117</f>
        <v>71586.321027822429</v>
      </c>
      <c r="K116" s="249">
        <f>K112*K117</f>
        <v>85998.875123582722</v>
      </c>
    </row>
    <row r="117" spans="1:21" ht="14">
      <c r="A117" s="266" t="s">
        <v>513</v>
      </c>
      <c r="B117" s="31"/>
      <c r="C117" s="31"/>
      <c r="D117" s="31"/>
      <c r="E117" s="31"/>
      <c r="F117" s="82">
        <f>(F116)/F112</f>
        <v>-4.9030502327436568E-3</v>
      </c>
      <c r="G117" s="82">
        <f>(G116)/G112</f>
        <v>5.1837542908947959E-2</v>
      </c>
      <c r="H117" s="82">
        <f>(H116)/H112</f>
        <v>0.23850244044979213</v>
      </c>
      <c r="I117" s="313">
        <f>AVERAGE(F117:H117)</f>
        <v>9.5145644375332142E-2</v>
      </c>
      <c r="J117" s="313">
        <f>AVERAGE(G117:I117)</f>
        <v>0.12849520924469074</v>
      </c>
      <c r="K117" s="313">
        <f>AVERAGE(H117:J117)</f>
        <v>0.15404776468993833</v>
      </c>
      <c r="L117" t="s">
        <v>229</v>
      </c>
    </row>
    <row r="118" spans="1:21" ht="14">
      <c r="A118" s="266" t="s">
        <v>558</v>
      </c>
      <c r="B118" s="31"/>
      <c r="C118" s="31"/>
      <c r="D118" s="31"/>
      <c r="E118" s="31"/>
      <c r="F118" s="82">
        <f>F112/F121</f>
        <v>2.9464872895916356E-3</v>
      </c>
      <c r="G118" s="82">
        <f>G112/G121</f>
        <v>3.2784963030605624E-3</v>
      </c>
      <c r="H118" s="82">
        <f>H112/H121</f>
        <v>1.3073715822869904E-3</v>
      </c>
      <c r="I118" s="313">
        <f>AVERAGE(F118:H118)</f>
        <v>2.5107850583130629E-3</v>
      </c>
      <c r="J118" s="313">
        <f t="shared" ref="J118:K118" si="85">AVERAGE(G118:I118)</f>
        <v>2.365550981220205E-3</v>
      </c>
      <c r="K118" s="313">
        <f t="shared" si="85"/>
        <v>2.0612358739400863E-3</v>
      </c>
      <c r="L118" s="60">
        <v>3.0000000000000001E-3</v>
      </c>
      <c r="M118" s="316"/>
      <c r="N118" s="316"/>
      <c r="O118" s="316"/>
      <c r="P118" s="60"/>
      <c r="R118" s="60"/>
    </row>
    <row r="119" spans="1:21" ht="14">
      <c r="A119" s="266" t="s">
        <v>559</v>
      </c>
      <c r="B119" s="31"/>
      <c r="C119" s="31"/>
      <c r="D119" s="31"/>
      <c r="E119" s="31"/>
      <c r="F119" s="82">
        <f t="shared" ref="F119:K119" si="86">F116/F124</f>
        <v>-8.1381885376106142E-5</v>
      </c>
      <c r="G119" s="82">
        <f t="shared" si="86"/>
        <v>1.5195242910830558E-3</v>
      </c>
      <c r="H119" s="82">
        <f>H116/H124</f>
        <v>1.8295421936176622E-3</v>
      </c>
      <c r="I119" s="82">
        <f>I116/I124</f>
        <v>5.0971276986618724E-4</v>
      </c>
      <c r="J119" s="82">
        <f t="shared" si="86"/>
        <v>5.127946723344016E-4</v>
      </c>
      <c r="K119" s="82">
        <f t="shared" si="86"/>
        <v>4.9311601510032728E-4</v>
      </c>
      <c r="M119" s="316"/>
      <c r="N119" s="316"/>
      <c r="O119" s="356"/>
      <c r="P119" s="60"/>
      <c r="R119" s="60"/>
    </row>
    <row r="120" spans="1:21" ht="14.5">
      <c r="A120" s="319" t="s">
        <v>569</v>
      </c>
      <c r="B120" s="259"/>
      <c r="C120" s="259"/>
      <c r="D120" s="259"/>
      <c r="E120" s="259"/>
      <c r="F120" s="259"/>
      <c r="G120" s="259"/>
      <c r="H120" s="259"/>
      <c r="I120" s="259"/>
      <c r="J120" s="259"/>
      <c r="K120" s="259"/>
      <c r="L120" s="259"/>
      <c r="M120" s="259"/>
      <c r="N120" s="259"/>
      <c r="O120" s="259"/>
    </row>
    <row r="121" spans="1:21" ht="14">
      <c r="A121" s="266" t="s">
        <v>508</v>
      </c>
      <c r="B121" s="251">
        <f t="shared" ref="B121:G121" si="87">B90+B103+B81+B112</f>
        <v>100207703</v>
      </c>
      <c r="C121" s="251">
        <f t="shared" si="87"/>
        <v>102650614</v>
      </c>
      <c r="D121" s="251">
        <f t="shared" si="87"/>
        <v>121790925</v>
      </c>
      <c r="E121" s="251">
        <f t="shared" si="87"/>
        <v>121778117</v>
      </c>
      <c r="F121" s="251">
        <f t="shared" si="87"/>
        <v>153469184</v>
      </c>
      <c r="G121" s="251">
        <f t="shared" si="87"/>
        <v>211299918</v>
      </c>
      <c r="H121" s="251">
        <f>H90+H103+H81+H112</f>
        <v>424061535</v>
      </c>
      <c r="I121" s="251">
        <f>I90+I103+I81+I112</f>
        <v>568790312.46836209</v>
      </c>
      <c r="J121" s="251">
        <f>J90+J103+J81+J112</f>
        <v>733370005.81677365</v>
      </c>
      <c r="K121" s="251">
        <f>K90+K103+K81+K112</f>
        <v>877259995.01857424</v>
      </c>
      <c r="L121" s="64"/>
      <c r="M121" s="316"/>
      <c r="N121" s="316"/>
      <c r="O121" s="356"/>
      <c r="P121" s="60"/>
      <c r="R121" s="60"/>
    </row>
    <row r="122" spans="1:21" ht="14">
      <c r="A122" s="266" t="s">
        <v>526</v>
      </c>
      <c r="C122" s="82">
        <f>C121/B121-1</f>
        <v>2.4378475175705905E-2</v>
      </c>
      <c r="D122" s="82">
        <f t="shared" ref="D122:H122" si="88">D121/C121-1</f>
        <v>0.18646075512027616</v>
      </c>
      <c r="E122" s="82">
        <f>E121/D121-1</f>
        <v>-1.0516382891423426E-4</v>
      </c>
      <c r="F122" s="82">
        <f t="shared" si="88"/>
        <v>0.26023613914148469</v>
      </c>
      <c r="G122" s="82">
        <f t="shared" si="88"/>
        <v>0.37682310215450165</v>
      </c>
      <c r="H122" s="82">
        <f t="shared" si="88"/>
        <v>1.0069176505785489</v>
      </c>
      <c r="I122" s="82">
        <f>I121/H121-1</f>
        <v>0.34129192469286829</v>
      </c>
      <c r="J122" s="82">
        <f>J121/I121-1</f>
        <v>0.28935038051929896</v>
      </c>
      <c r="K122" s="82">
        <f>K121/J121-1</f>
        <v>0.19620380989204289</v>
      </c>
      <c r="M122" s="316"/>
      <c r="N122" s="316"/>
      <c r="O122" s="356"/>
      <c r="P122" s="60"/>
      <c r="Q122" s="60"/>
      <c r="R122" s="60"/>
    </row>
    <row r="123" spans="1:21" s="266" customFormat="1" ht="14">
      <c r="A123" s="266" t="s">
        <v>287</v>
      </c>
      <c r="B123" s="30">
        <v>81189440</v>
      </c>
      <c r="C123" s="30">
        <v>84715540</v>
      </c>
      <c r="D123" s="30">
        <v>103724161</v>
      </c>
      <c r="E123" s="30">
        <v>103702124</v>
      </c>
      <c r="F123" s="32">
        <v>126225593</v>
      </c>
      <c r="G123" s="32">
        <v>187667357</v>
      </c>
      <c r="H123" s="32">
        <v>351815680</v>
      </c>
      <c r="I123" s="251">
        <f>I115+I84+I106+I97</f>
        <v>465042159.71132511</v>
      </c>
      <c r="J123" s="251">
        <f t="shared" ref="J123" si="89">J115+J84+J106+J97</f>
        <v>593769645.49723458</v>
      </c>
      <c r="K123" s="251">
        <f>K115+K84+K106+K97</f>
        <v>702861126.4154408</v>
      </c>
      <c r="L123"/>
      <c r="M123" s="996"/>
      <c r="N123" s="316"/>
      <c r="O123" s="356"/>
      <c r="P123" s="355"/>
      <c r="Q123" s="355"/>
      <c r="R123" s="355"/>
    </row>
    <row r="124" spans="1:21" s="82" customFormat="1" ht="14">
      <c r="A124" s="269" t="s">
        <v>511</v>
      </c>
      <c r="B124" s="251">
        <f t="shared" ref="B124:G124" si="90">B98+B107+B85+B116</f>
        <v>19018262.999999993</v>
      </c>
      <c r="C124" s="251">
        <f t="shared" si="90"/>
        <v>17935074</v>
      </c>
      <c r="D124" s="251">
        <f t="shared" si="90"/>
        <v>18066764</v>
      </c>
      <c r="E124" s="251">
        <f t="shared" si="90"/>
        <v>18075992.999999996</v>
      </c>
      <c r="F124" s="251">
        <f>F98+F107+F85+F116</f>
        <v>27243591.000000011</v>
      </c>
      <c r="G124" s="251">
        <f t="shared" si="90"/>
        <v>23632560.999999993</v>
      </c>
      <c r="H124" s="251">
        <f>H107+H85+H116+H98</f>
        <v>72273372.246499985</v>
      </c>
      <c r="I124" s="251">
        <f>I98+I107+I85+I116</f>
        <v>103748152.75703683</v>
      </c>
      <c r="J124" s="251">
        <f t="shared" ref="J124" si="91">J98+J107+J85+J116</f>
        <v>139600360.31953907</v>
      </c>
      <c r="K124" s="251">
        <f>K98+K107+K85+K116</f>
        <v>174398868.60313338</v>
      </c>
      <c r="L124" s="995">
        <f>H121-H123</f>
        <v>72245855</v>
      </c>
      <c r="M124" s="266"/>
      <c r="N124" s="355"/>
      <c r="O124" s="355"/>
    </row>
    <row r="125" spans="1:21" s="249" customFormat="1" ht="14">
      <c r="A125" s="266" t="s">
        <v>513</v>
      </c>
      <c r="B125" s="82">
        <f>B124/B121</f>
        <v>0.18978843372949075</v>
      </c>
      <c r="C125" s="82">
        <f t="shared" ref="C125:H125" si="92">C124/C121</f>
        <v>0.17471959787790456</v>
      </c>
      <c r="D125" s="82">
        <f t="shared" si="92"/>
        <v>0.14834244833923382</v>
      </c>
      <c r="E125" s="82">
        <f t="shared" si="92"/>
        <v>0.14843383561268234</v>
      </c>
      <c r="F125" s="82">
        <f t="shared" si="92"/>
        <v>0.17751831533814638</v>
      </c>
      <c r="G125" s="82">
        <f>G124/G121</f>
        <v>0.11184368277890194</v>
      </c>
      <c r="H125" s="82">
        <f t="shared" si="92"/>
        <v>0.17043133196813048</v>
      </c>
      <c r="I125" s="82">
        <f>I124/I121</f>
        <v>0.18240140607670358</v>
      </c>
      <c r="J125" s="82">
        <f>J124/J121</f>
        <v>0.19035460846815305</v>
      </c>
      <c r="K125" s="82">
        <f>K124/K121</f>
        <v>0.19879952305295859</v>
      </c>
      <c r="L125" s="82"/>
      <c r="M125" s="316"/>
      <c r="N125" s="316"/>
      <c r="O125" s="316"/>
      <c r="P125" s="316"/>
      <c r="Q125" s="316"/>
      <c r="R125" s="316"/>
      <c r="S125" s="316"/>
      <c r="T125" s="316"/>
      <c r="U125" s="316"/>
    </row>
    <row r="126" spans="1:21" ht="14">
      <c r="A126" s="266" t="s">
        <v>527</v>
      </c>
      <c r="B126" s="264">
        <v>7886678</v>
      </c>
      <c r="C126" s="264">
        <v>7973022</v>
      </c>
      <c r="D126" s="264">
        <v>8555860</v>
      </c>
      <c r="E126" s="264">
        <v>8578213</v>
      </c>
      <c r="F126" s="264">
        <v>9451243</v>
      </c>
      <c r="G126" s="264">
        <v>11823920</v>
      </c>
      <c r="H126" s="264">
        <v>25068046</v>
      </c>
      <c r="I126" s="249">
        <f t="shared" ref="I126:J126" si="93">I121*I127</f>
        <v>33493434.80994438</v>
      </c>
      <c r="J126" s="249">
        <f t="shared" si="93"/>
        <v>42525082.884315692</v>
      </c>
      <c r="K126" s="249">
        <f t="shared" ref="K126" si="94">K121*K127</f>
        <v>51461651.072139837</v>
      </c>
      <c r="L126" s="249"/>
      <c r="M126" s="316"/>
      <c r="N126" s="316"/>
      <c r="O126" s="316"/>
      <c r="P126" s="316"/>
      <c r="Q126" s="316"/>
      <c r="R126" s="316"/>
      <c r="S126" s="316"/>
      <c r="T126" s="316"/>
      <c r="U126" s="316"/>
    </row>
    <row r="127" spans="1:21" ht="14">
      <c r="A127" s="266" t="s">
        <v>528</v>
      </c>
      <c r="B127" s="82">
        <f t="shared" ref="B127:G127" si="95">B126/B121</f>
        <v>7.8703310862239806E-2</v>
      </c>
      <c r="C127" s="82">
        <f t="shared" si="95"/>
        <v>7.7671449680758856E-2</v>
      </c>
      <c r="D127" s="82">
        <f t="shared" si="95"/>
        <v>7.025039016659082E-2</v>
      </c>
      <c r="E127" s="82">
        <f t="shared" si="95"/>
        <v>7.0441333889240537E-2</v>
      </c>
      <c r="F127" s="82">
        <f t="shared" si="95"/>
        <v>6.1583978970006122E-2</v>
      </c>
      <c r="G127" s="82">
        <f t="shared" si="95"/>
        <v>5.5957996159752416E-2</v>
      </c>
      <c r="H127" s="82">
        <f>H126/H121</f>
        <v>5.9114170777125538E-2</v>
      </c>
      <c r="I127" s="313">
        <f>AVERAGE(F127:H127)</f>
        <v>5.8885381968961349E-2</v>
      </c>
      <c r="J127" s="313">
        <f>AVERAGE(G127:I127)</f>
        <v>5.7985849635279772E-2</v>
      </c>
      <c r="K127" s="313">
        <f>AVERAGE(H127:J127)</f>
        <v>5.8661800793788889E-2</v>
      </c>
      <c r="L127" t="s">
        <v>229</v>
      </c>
      <c r="M127" s="316"/>
      <c r="N127" s="316"/>
      <c r="O127" s="316"/>
      <c r="P127" s="316"/>
      <c r="Q127" s="316"/>
      <c r="R127" s="316"/>
      <c r="S127" s="316"/>
      <c r="T127" s="316"/>
      <c r="U127" s="316"/>
    </row>
    <row r="128" spans="1:21" ht="14">
      <c r="A128" s="266" t="s">
        <v>530</v>
      </c>
      <c r="B128" s="30">
        <v>3171694</v>
      </c>
      <c r="C128" s="30">
        <v>3739491</v>
      </c>
      <c r="D128" s="30">
        <v>4989360</v>
      </c>
      <c r="E128" s="30">
        <v>5629372</v>
      </c>
      <c r="F128" s="30">
        <v>7464861</v>
      </c>
      <c r="G128" s="32">
        <v>7990974</v>
      </c>
      <c r="H128" s="30">
        <v>18654453</v>
      </c>
      <c r="I128" s="249">
        <f>I121*I129</f>
        <v>27523173.885308918</v>
      </c>
      <c r="J128" s="249">
        <f>J121*J129</f>
        <v>39035716.194334075</v>
      </c>
      <c r="K128" s="249">
        <f>K121*K129</f>
        <v>51364139.676879629</v>
      </c>
      <c r="M128" s="316"/>
      <c r="N128" s="316"/>
      <c r="O128" s="316"/>
      <c r="P128" s="316"/>
      <c r="Q128" s="316"/>
      <c r="R128" s="316"/>
      <c r="S128" s="316"/>
      <c r="T128" s="316"/>
      <c r="U128" s="316"/>
    </row>
    <row r="129" spans="1:21" s="65" customFormat="1" ht="14">
      <c r="A129" s="266" t="s">
        <v>531</v>
      </c>
      <c r="B129" s="82">
        <f t="shared" ref="B129:F129" si="96">B128/B121</f>
        <v>3.1651199509083648E-2</v>
      </c>
      <c r="C129" s="82">
        <f t="shared" si="96"/>
        <v>3.642930961913194E-2</v>
      </c>
      <c r="D129" s="82">
        <f t="shared" si="96"/>
        <v>4.0966599112372291E-2</v>
      </c>
      <c r="E129" s="82">
        <f t="shared" si="96"/>
        <v>4.6226466122809243E-2</v>
      </c>
      <c r="F129" s="82">
        <f t="shared" si="96"/>
        <v>4.8640781200739294E-2</v>
      </c>
      <c r="G129" s="82">
        <f>G128/G121</f>
        <v>3.7818159494032555E-2</v>
      </c>
      <c r="H129" s="82">
        <f>H128/H121</f>
        <v>4.3989967163609874E-2</v>
      </c>
      <c r="I129" s="313">
        <f>H129*$L129</f>
        <v>4.8388963879970867E-2</v>
      </c>
      <c r="J129" s="313">
        <f>I129*$L129</f>
        <v>5.3227860267967955E-2</v>
      </c>
      <c r="K129" s="313">
        <f>J129*$L129</f>
        <v>5.8550646294764752E-2</v>
      </c>
      <c r="L129">
        <v>1.1000000000000001</v>
      </c>
      <c r="M129" s="316"/>
      <c r="N129" s="316"/>
      <c r="O129" s="316"/>
      <c r="P129" s="316"/>
      <c r="Q129" s="316"/>
      <c r="R129" s="316"/>
      <c r="S129" s="316"/>
      <c r="T129" s="316"/>
      <c r="U129" s="316"/>
    </row>
    <row r="130" spans="1:21" ht="14">
      <c r="A130" s="269" t="s">
        <v>532</v>
      </c>
      <c r="B130" s="251">
        <f>B124-B126-B128</f>
        <v>7959890.9999999925</v>
      </c>
      <c r="C130" s="251">
        <f t="shared" ref="C130:E130" si="97">C124-C126-C128</f>
        <v>6222561</v>
      </c>
      <c r="D130" s="251">
        <f t="shared" si="97"/>
        <v>4521544</v>
      </c>
      <c r="E130" s="251">
        <f t="shared" si="97"/>
        <v>3868407.9999999963</v>
      </c>
      <c r="F130" s="251">
        <f t="shared" ref="F130:K130" si="98">F124-F126-F128</f>
        <v>10327487.000000011</v>
      </c>
      <c r="G130" s="251">
        <f t="shared" si="98"/>
        <v>3817666.9999999925</v>
      </c>
      <c r="H130" s="251">
        <f t="shared" si="98"/>
        <v>28550873.246499985</v>
      </c>
      <c r="I130" s="251">
        <f t="shared" si="98"/>
        <v>42731544.061783537</v>
      </c>
      <c r="J130" s="251">
        <f t="shared" si="98"/>
        <v>58039561.240889296</v>
      </c>
      <c r="K130" s="251">
        <f t="shared" si="98"/>
        <v>71573077.854113922</v>
      </c>
      <c r="M130" s="316"/>
      <c r="N130" s="316"/>
      <c r="O130" s="316"/>
      <c r="P130" s="316"/>
      <c r="Q130" s="316"/>
      <c r="R130" s="316"/>
      <c r="S130" s="316"/>
      <c r="T130" s="316"/>
      <c r="U130" s="316"/>
    </row>
    <row r="131" spans="1:21" ht="14">
      <c r="A131" s="266" t="s">
        <v>570</v>
      </c>
      <c r="B131" s="30">
        <v>926216</v>
      </c>
      <c r="C131" s="30">
        <v>1153210</v>
      </c>
      <c r="D131" s="30">
        <v>2110292</v>
      </c>
      <c r="E131" s="30">
        <v>1974950</v>
      </c>
      <c r="F131" s="30">
        <v>1700078</v>
      </c>
      <c r="G131" s="32">
        <v>3009737</v>
      </c>
      <c r="H131" s="32">
        <v>698666</v>
      </c>
      <c r="I131" s="323">
        <f>AVERAGE(F131:H131)</f>
        <v>1802827</v>
      </c>
      <c r="J131" s="323">
        <f t="shared" ref="J131:K131" si="99">AVERAGE(G131:I131)</f>
        <v>1837076.6666666667</v>
      </c>
      <c r="K131" s="323">
        <f t="shared" si="99"/>
        <v>1446189.888888889</v>
      </c>
      <c r="L131" t="s">
        <v>229</v>
      </c>
      <c r="M131" s="316"/>
      <c r="N131" s="316"/>
      <c r="O131" s="316"/>
      <c r="P131" s="316"/>
      <c r="Q131" s="316"/>
      <c r="R131" s="316"/>
      <c r="S131" s="316"/>
      <c r="T131" s="316"/>
      <c r="U131" s="316"/>
    </row>
    <row r="132" spans="1:21" ht="14">
      <c r="A132" s="266" t="s">
        <v>571</v>
      </c>
      <c r="B132" s="30">
        <v>710939</v>
      </c>
      <c r="C132" s="30">
        <v>1275807</v>
      </c>
      <c r="D132" s="30">
        <v>2332863</v>
      </c>
      <c r="E132" s="30">
        <v>1707657</v>
      </c>
      <c r="F132" s="30">
        <v>1688142</v>
      </c>
      <c r="G132" s="32">
        <v>2263485</v>
      </c>
      <c r="H132" s="32">
        <v>1675542</v>
      </c>
      <c r="I132" s="323">
        <f t="shared" ref="I132:K135" si="100">AVERAGE(F132:H132)</f>
        <v>1875723</v>
      </c>
      <c r="J132" s="323">
        <f t="shared" si="100"/>
        <v>1938250</v>
      </c>
      <c r="K132" s="323">
        <f t="shared" si="100"/>
        <v>1829838.3333333333</v>
      </c>
      <c r="L132" t="s">
        <v>229</v>
      </c>
      <c r="R132" s="33"/>
    </row>
    <row r="133" spans="1:21" ht="14">
      <c r="A133" s="266" t="s">
        <v>572</v>
      </c>
      <c r="B133" s="30"/>
      <c r="C133" s="30"/>
      <c r="D133" s="30">
        <v>332080</v>
      </c>
      <c r="E133" s="30">
        <v>477031</v>
      </c>
      <c r="F133" s="30">
        <v>1166268</v>
      </c>
      <c r="G133" s="32">
        <v>444553</v>
      </c>
      <c r="H133" s="32">
        <v>989521</v>
      </c>
      <c r="I133" s="323">
        <f t="shared" si="100"/>
        <v>866780.66666666663</v>
      </c>
      <c r="J133" s="323">
        <f t="shared" si="100"/>
        <v>766951.5555555555</v>
      </c>
      <c r="K133" s="323">
        <f t="shared" si="100"/>
        <v>874417.74074074067</v>
      </c>
      <c r="L133" t="s">
        <v>229</v>
      </c>
      <c r="R133" s="33"/>
    </row>
    <row r="134" spans="1:21" ht="14">
      <c r="A134" s="266" t="s">
        <v>573</v>
      </c>
      <c r="B134" s="30"/>
      <c r="C134" s="30"/>
      <c r="D134" s="30">
        <v>-26871</v>
      </c>
      <c r="E134" s="30">
        <v>519134</v>
      </c>
      <c r="F134" s="30">
        <v>299523</v>
      </c>
      <c r="G134" s="32">
        <v>88765</v>
      </c>
      <c r="H134" s="30">
        <v>22719</v>
      </c>
      <c r="I134" s="323">
        <f t="shared" si="100"/>
        <v>137002.33333333334</v>
      </c>
      <c r="J134" s="323">
        <f t="shared" si="100"/>
        <v>82828.777777777781</v>
      </c>
      <c r="K134" s="323">
        <f t="shared" si="100"/>
        <v>80850.037037037036</v>
      </c>
      <c r="L134" t="s">
        <v>229</v>
      </c>
      <c r="O134" s="963"/>
      <c r="R134" s="33"/>
    </row>
    <row r="135" spans="1:21" ht="14">
      <c r="A135" s="266" t="s">
        <v>574</v>
      </c>
      <c r="B135" s="30">
        <v>629203</v>
      </c>
      <c r="C135" s="30">
        <v>463645</v>
      </c>
      <c r="D135" s="30">
        <v>568610</v>
      </c>
      <c r="E135" s="30">
        <v>213536</v>
      </c>
      <c r="F135" s="30">
        <v>2056691</v>
      </c>
      <c r="G135" s="32">
        <v>1986631</v>
      </c>
      <c r="H135" s="30">
        <v>9765102.2464999408</v>
      </c>
      <c r="I135" s="323">
        <f>AVERAGE(F135:H135)</f>
        <v>4602808.0821666466</v>
      </c>
      <c r="J135" s="323">
        <f t="shared" si="100"/>
        <v>5451513.7762221955</v>
      </c>
      <c r="K135" s="323">
        <f t="shared" si="100"/>
        <v>6606474.701629594</v>
      </c>
      <c r="L135" t="s">
        <v>229</v>
      </c>
      <c r="M135" s="61"/>
      <c r="O135" s="962"/>
      <c r="R135" s="33"/>
    </row>
    <row r="136" spans="1:21" ht="14">
      <c r="A136" s="892" t="s">
        <v>575</v>
      </c>
      <c r="B136" s="30">
        <v>1799609</v>
      </c>
      <c r="C136" s="30">
        <v>2342770</v>
      </c>
      <c r="D136" s="30">
        <v>3480516</v>
      </c>
      <c r="E136" s="30">
        <v>3487407</v>
      </c>
      <c r="F136" s="30">
        <v>3123801</v>
      </c>
      <c r="G136" s="285">
        <v>1907642</v>
      </c>
      <c r="H136" s="285">
        <v>-1617957</v>
      </c>
      <c r="I136" s="255">
        <f>'Model 21A-BYD'!I30</f>
        <v>1314762.3973059254</v>
      </c>
      <c r="J136" s="255">
        <f>'Model 21A-BYD'!J30</f>
        <v>1447935.7662802897</v>
      </c>
      <c r="K136" s="255">
        <f>'Model 21A-BYD'!K30</f>
        <v>1901850.2489417852</v>
      </c>
      <c r="L136" t="s">
        <v>576</v>
      </c>
      <c r="O136" s="962"/>
      <c r="P136" s="36"/>
      <c r="Q136" s="36"/>
      <c r="R136" s="36"/>
    </row>
    <row r="137" spans="1:21" s="266" customFormat="1" ht="14">
      <c r="A137" s="266" t="s">
        <v>526</v>
      </c>
      <c r="B137"/>
      <c r="C137" s="82">
        <f t="shared" ref="C137:G137" si="101">C136/B136-1</f>
        <v>0.3018216734857404</v>
      </c>
      <c r="D137" s="82">
        <f t="shared" si="101"/>
        <v>0.48564135617239423</v>
      </c>
      <c r="E137" s="82">
        <f t="shared" si="101"/>
        <v>1.979878845550509E-3</v>
      </c>
      <c r="F137" s="82">
        <f t="shared" si="101"/>
        <v>-0.10426256528131073</v>
      </c>
      <c r="G137" s="82">
        <f t="shared" si="101"/>
        <v>-0.38932025439520634</v>
      </c>
      <c r="H137" s="82">
        <f>H136/G136-1</f>
        <v>-1.8481449873718443</v>
      </c>
      <c r="I137" s="313">
        <v>-1</v>
      </c>
      <c r="J137" s="313">
        <v>-1</v>
      </c>
      <c r="K137" s="313">
        <v>0</v>
      </c>
      <c r="L137" t="s">
        <v>577</v>
      </c>
      <c r="M137" s="34"/>
      <c r="N137" s="36"/>
      <c r="O137" s="36"/>
    </row>
    <row r="138" spans="1:21" s="383" customFormat="1" ht="14">
      <c r="A138" s="838" t="s">
        <v>578</v>
      </c>
      <c r="B138" s="839">
        <f>1751159+493599</f>
        <v>2244758</v>
      </c>
      <c r="C138" s="839">
        <f>2442867+622044</f>
        <v>3064911</v>
      </c>
      <c r="D138" s="839">
        <f>2793681+767199</f>
        <v>3560880</v>
      </c>
      <c r="E138" s="839">
        <f>3105145+955030</f>
        <v>4060175</v>
      </c>
      <c r="F138" s="839">
        <f>4442807+1022781</f>
        <v>5465588</v>
      </c>
      <c r="G138" s="839">
        <f>6814229+1090772</f>
        <v>7905001</v>
      </c>
      <c r="H138" s="839">
        <v>15485402</v>
      </c>
      <c r="I138" s="997">
        <f>H138*(1+I139)</f>
        <v>24525807.851938713</v>
      </c>
      <c r="J138" s="997">
        <f>I138*(1+J139)</f>
        <v>40786920.073595345</v>
      </c>
      <c r="K138" s="997">
        <f>J138*(1+K139)</f>
        <v>70775634.363534525</v>
      </c>
      <c r="L138" s="838"/>
      <c r="M138" s="838"/>
      <c r="N138" s="838"/>
      <c r="O138" s="838"/>
      <c r="P138" s="840"/>
      <c r="Q138" s="840"/>
      <c r="R138" s="840"/>
    </row>
    <row r="139" spans="1:21" ht="14">
      <c r="A139" s="266" t="s">
        <v>526</v>
      </c>
      <c r="C139" s="82">
        <f t="shared" ref="C139:H139" si="102">C138/B138-1</f>
        <v>0.36536366058167524</v>
      </c>
      <c r="D139" s="82">
        <f t="shared" si="102"/>
        <v>0.16182166464213799</v>
      </c>
      <c r="E139" s="82">
        <f t="shared" si="102"/>
        <v>0.14021674417559704</v>
      </c>
      <c r="F139" s="82">
        <f t="shared" si="102"/>
        <v>0.34614591735577904</v>
      </c>
      <c r="G139" s="82">
        <f t="shared" si="102"/>
        <v>0.44632215234664585</v>
      </c>
      <c r="H139" s="82">
        <f t="shared" si="102"/>
        <v>0.9589373865986861</v>
      </c>
      <c r="I139" s="313">
        <f>AVERAGE(F139:H139)</f>
        <v>0.58380181876703696</v>
      </c>
      <c r="J139" s="313">
        <f>AVERAGE(G139:I139)</f>
        <v>0.66302045257078968</v>
      </c>
      <c r="K139" s="313">
        <f>AVERAGE(H139:J139)</f>
        <v>0.73525321931217091</v>
      </c>
      <c r="L139" t="s">
        <v>229</v>
      </c>
      <c r="M139" s="34"/>
      <c r="N139" s="36"/>
      <c r="O139" s="36"/>
      <c r="P139" s="32"/>
      <c r="Q139" s="32"/>
      <c r="R139" s="32"/>
    </row>
    <row r="140" spans="1:21" ht="14">
      <c r="A140" s="266" t="s">
        <v>579</v>
      </c>
      <c r="B140" s="30">
        <v>-599824</v>
      </c>
      <c r="C140" s="30">
        <v>-224522</v>
      </c>
      <c r="D140" s="30">
        <v>-224724</v>
      </c>
      <c r="E140" s="30">
        <v>-422776</v>
      </c>
      <c r="F140" s="30">
        <v>-186837</v>
      </c>
      <c r="G140" s="32">
        <v>-145295</v>
      </c>
      <c r="H140" s="30">
        <v>-685885</v>
      </c>
      <c r="I140" s="249">
        <f>I138*I141</f>
        <v>-791829.94744445302</v>
      </c>
      <c r="J140" s="249">
        <f t="shared" ref="J140" si="103">J138*J141</f>
        <v>-1291015.8387090599</v>
      </c>
      <c r="K140" s="249">
        <f t="shared" ref="K140" si="104">K138*K141</f>
        <v>-2553363.9058567886</v>
      </c>
      <c r="N140" s="32"/>
      <c r="O140" s="32"/>
    </row>
    <row r="141" spans="1:21" ht="14">
      <c r="A141" s="266" t="s">
        <v>580</v>
      </c>
      <c r="B141" s="82">
        <f>B140/B138</f>
        <v>-0.26721098666315035</v>
      </c>
      <c r="C141" s="82">
        <f t="shared" ref="C141" si="105">C140/C138</f>
        <v>-7.3255634502926839E-2</v>
      </c>
      <c r="D141" s="82">
        <f>D140/D138</f>
        <v>-6.3109119094156507E-2</v>
      </c>
      <c r="E141" s="82">
        <f>E140/E138</f>
        <v>-0.1041275314487676</v>
      </c>
      <c r="F141" s="82">
        <f>F140/F138</f>
        <v>-3.4184245135198625E-2</v>
      </c>
      <c r="G141" s="82">
        <f>G140/G138</f>
        <v>-1.8380136827307169E-2</v>
      </c>
      <c r="H141" s="82">
        <f>H140/H138</f>
        <v>-4.4292359991687652E-2</v>
      </c>
      <c r="I141" s="313">
        <f t="shared" ref="I141:K141" si="106">AVERAGE(F141:H141)</f>
        <v>-3.2285580651397812E-2</v>
      </c>
      <c r="J141" s="313">
        <f t="shared" si="106"/>
        <v>-3.1652692490130883E-2</v>
      </c>
      <c r="K141" s="313">
        <f t="shared" si="106"/>
        <v>-3.6076877711072118E-2</v>
      </c>
      <c r="L141" t="s">
        <v>229</v>
      </c>
    </row>
    <row r="142" spans="1:21" s="64" customFormat="1" ht="14">
      <c r="A142" s="284" t="s">
        <v>581</v>
      </c>
      <c r="B142" s="30">
        <v>0</v>
      </c>
      <c r="C142" s="30">
        <v>0</v>
      </c>
      <c r="D142" s="30">
        <v>0</v>
      </c>
      <c r="E142" s="30">
        <v>0</v>
      </c>
      <c r="F142" s="30">
        <v>0</v>
      </c>
      <c r="G142" s="30">
        <v>0</v>
      </c>
      <c r="H142" s="30">
        <v>0</v>
      </c>
      <c r="I142" s="30">
        <v>0</v>
      </c>
      <c r="J142" s="30">
        <v>0</v>
      </c>
      <c r="K142" s="30">
        <v>1</v>
      </c>
      <c r="L142"/>
      <c r="M142"/>
      <c r="N142"/>
      <c r="O142"/>
    </row>
    <row r="143" spans="1:21" ht="14">
      <c r="A143" s="269" t="s">
        <v>540</v>
      </c>
      <c r="B143" s="251">
        <f>B130+B131+B132-B133-B134-B135-B136+B140-B142</f>
        <v>6568409.9999999925</v>
      </c>
      <c r="C143" s="251">
        <f t="shared" ref="C143:E143" si="107">C130+C131+C132-C133-C134-C135-C136+C140-C142</f>
        <v>5620641</v>
      </c>
      <c r="D143" s="251">
        <f t="shared" si="107"/>
        <v>4385640</v>
      </c>
      <c r="E143" s="251">
        <f t="shared" si="107"/>
        <v>2431130.9999999963</v>
      </c>
      <c r="F143" s="251">
        <f t="shared" ref="F143:K143" si="108">F130+F131+F132-F133-F134-F135-F136+F140-F142</f>
        <v>6882587.0000000112</v>
      </c>
      <c r="G143" s="251">
        <f t="shared" si="108"/>
        <v>4518002.9999999925</v>
      </c>
      <c r="H143" s="251">
        <f t="shared" si="108"/>
        <v>21079811.000000045</v>
      </c>
      <c r="I143" s="251">
        <f t="shared" si="108"/>
        <v>38696910.634866506</v>
      </c>
      <c r="J143" s="251">
        <f t="shared" si="108"/>
        <v>52774642.19301109</v>
      </c>
      <c r="K143" s="251">
        <f t="shared" si="108"/>
        <v>62832148.442130201</v>
      </c>
      <c r="L143" s="64"/>
      <c r="M143" s="64"/>
      <c r="N143" s="961"/>
      <c r="O143" s="961"/>
    </row>
    <row r="144" spans="1:21" ht="14">
      <c r="A144" s="266" t="s">
        <v>541</v>
      </c>
      <c r="B144" s="30">
        <v>1088398</v>
      </c>
      <c r="C144" s="30">
        <v>703705</v>
      </c>
      <c r="D144" s="30">
        <v>829447</v>
      </c>
      <c r="E144" s="30">
        <v>312274</v>
      </c>
      <c r="F144" s="30">
        <v>868624</v>
      </c>
      <c r="G144" s="32">
        <v>550737</v>
      </c>
      <c r="H144" s="264">
        <v>3366635</v>
      </c>
      <c r="I144" s="249">
        <f>I143*I145</f>
        <v>5260372.0311163347</v>
      </c>
      <c r="J144" s="249">
        <f>J143*J145</f>
        <v>7345264.0239366777</v>
      </c>
      <c r="K144" s="249">
        <f>K143*K145</f>
        <v>9107068.4624971412</v>
      </c>
      <c r="N144" s="264"/>
    </row>
    <row r="145" spans="1:16" s="64" customFormat="1" ht="14">
      <c r="A145" s="266" t="s">
        <v>542</v>
      </c>
      <c r="B145" s="82">
        <f>B144/B143</f>
        <v>0.16570189741505192</v>
      </c>
      <c r="C145" s="82">
        <f t="shared" ref="C145:E145" si="109">C144/C143</f>
        <v>0.12520013286740783</v>
      </c>
      <c r="D145" s="82">
        <f>D144/D143</f>
        <v>0.1891279265968023</v>
      </c>
      <c r="E145" s="82">
        <f t="shared" si="109"/>
        <v>0.12844803509148642</v>
      </c>
      <c r="F145" s="82">
        <f>F144/F143</f>
        <v>0.12620603270252864</v>
      </c>
      <c r="G145" s="82">
        <f>G144/G143</f>
        <v>0.12189832543271904</v>
      </c>
      <c r="H145" s="82">
        <f>H144/H143</f>
        <v>0.15970897462031292</v>
      </c>
      <c r="I145" s="313">
        <f>AVERAGE(F145:H145)</f>
        <v>0.13593777758518685</v>
      </c>
      <c r="J145" s="313">
        <f>AVERAGE(G145:I145)</f>
        <v>0.13918169254607293</v>
      </c>
      <c r="K145" s="313">
        <f>AVERAGE(H145:J145)</f>
        <v>0.14494281491719088</v>
      </c>
      <c r="L145" t="s">
        <v>229</v>
      </c>
      <c r="M145"/>
      <c r="N145"/>
      <c r="O145"/>
    </row>
    <row r="146" spans="1:16" ht="14">
      <c r="A146" s="269" t="s">
        <v>543</v>
      </c>
      <c r="B146" s="251">
        <f>B143-B144</f>
        <v>5480011.9999999925</v>
      </c>
      <c r="C146" s="251">
        <f t="shared" ref="C146:E146" si="110">C143-C144</f>
        <v>4916936</v>
      </c>
      <c r="D146" s="251">
        <f t="shared" si="110"/>
        <v>3556193</v>
      </c>
      <c r="E146" s="251">
        <f t="shared" si="110"/>
        <v>2118856.9999999963</v>
      </c>
      <c r="F146" s="251">
        <f t="shared" ref="F146" si="111">F143-F144</f>
        <v>6013963.0000000112</v>
      </c>
      <c r="G146" s="251">
        <f>G143-G144</f>
        <v>3967265.9999999925</v>
      </c>
      <c r="H146" s="251">
        <f>H143-H144</f>
        <v>17713176.000000045</v>
      </c>
      <c r="I146" s="251">
        <f>I143-I144</f>
        <v>33436538.603750169</v>
      </c>
      <c r="J146" s="251">
        <f>J143-J144</f>
        <v>45429378.169074416</v>
      </c>
      <c r="K146" s="251">
        <f>K143-K144</f>
        <v>53725079.979633063</v>
      </c>
      <c r="L146" s="64"/>
      <c r="M146" s="64"/>
      <c r="N146" s="64"/>
      <c r="O146" s="961"/>
    </row>
    <row r="147" spans="1:16" ht="14">
      <c r="A147" s="266" t="s">
        <v>544</v>
      </c>
      <c r="B147" s="249">
        <f>B146*B156</f>
        <v>427857.99999999942</v>
      </c>
      <c r="C147" s="249">
        <f t="shared" ref="C147:F147" si="112">C146*C156</f>
        <v>850458</v>
      </c>
      <c r="D147" s="249">
        <f t="shared" si="112"/>
        <v>775999</v>
      </c>
      <c r="E147" s="249">
        <f t="shared" si="112"/>
        <v>504406.99999999913</v>
      </c>
      <c r="F147" s="249">
        <f t="shared" si="112"/>
        <v>1779696.0000000033</v>
      </c>
      <c r="G147" s="249">
        <f>G146*G149</f>
        <v>922077.99999999825</v>
      </c>
      <c r="H147" s="249">
        <f>H146*H149</f>
        <v>1090728.0000000028</v>
      </c>
      <c r="I147" s="249">
        <f>I146*I149</f>
        <v>2058928.8379560625</v>
      </c>
      <c r="J147" s="249">
        <f>J146*J149</f>
        <v>2797414.4665868054</v>
      </c>
      <c r="K147" s="249">
        <f>K146*K149</f>
        <v>3308240.6585936486</v>
      </c>
      <c r="N147" s="60"/>
      <c r="O147" s="962"/>
    </row>
    <row r="148" spans="1:16" ht="14">
      <c r="A148" s="266" t="s">
        <v>526</v>
      </c>
      <c r="B148" s="249"/>
      <c r="C148" s="82">
        <f t="shared" ref="C148:K148" si="113">C147/B147-1</f>
        <v>0.98771087603831442</v>
      </c>
      <c r="D148" s="82">
        <f t="shared" si="113"/>
        <v>-8.7551648641085111E-2</v>
      </c>
      <c r="E148" s="82">
        <f t="shared" si="113"/>
        <v>-0.34999014173987453</v>
      </c>
      <c r="F148" s="82">
        <f t="shared" si="113"/>
        <v>2.5282936200330415</v>
      </c>
      <c r="G148" s="82">
        <f t="shared" si="113"/>
        <v>-0.48189016551141517</v>
      </c>
      <c r="H148" s="82">
        <f t="shared" si="113"/>
        <v>0.18290209721954631</v>
      </c>
      <c r="I148" s="82">
        <f t="shared" si="113"/>
        <v>0.88766478714771901</v>
      </c>
      <c r="J148" s="82">
        <f t="shared" si="113"/>
        <v>0.35867467345974502</v>
      </c>
      <c r="K148" s="82">
        <f t="shared" si="113"/>
        <v>0.18260654547558519</v>
      </c>
    </row>
    <row r="149" spans="1:16" ht="14">
      <c r="A149" s="266" t="s">
        <v>545</v>
      </c>
      <c r="B149" s="82">
        <f>B156</f>
        <v>7.807610640268671E-2</v>
      </c>
      <c r="C149" s="82">
        <f t="shared" ref="C149:E149" si="114">C156</f>
        <v>0.17296503350867287</v>
      </c>
      <c r="D149" s="82">
        <f t="shared" si="114"/>
        <v>0.21821059768128445</v>
      </c>
      <c r="E149" s="82">
        <f t="shared" si="114"/>
        <v>0.2380561784018459</v>
      </c>
      <c r="F149" s="82">
        <f>F156</f>
        <v>0.2959273277870183</v>
      </c>
      <c r="G149" s="82">
        <f>G156</f>
        <v>0.23242152152137013</v>
      </c>
      <c r="H149" s="82">
        <v>6.1577212353109347E-2</v>
      </c>
      <c r="I149" s="313">
        <f>H149</f>
        <v>6.1577212353109347E-2</v>
      </c>
      <c r="J149" s="313">
        <f>I149</f>
        <v>6.1577212353109347E-2</v>
      </c>
      <c r="K149" s="313">
        <f>J149</f>
        <v>6.1577212353109347E-2</v>
      </c>
      <c r="N149" s="31"/>
      <c r="O149" s="60"/>
    </row>
    <row r="150" spans="1:16" ht="14">
      <c r="A150" s="269" t="s">
        <v>547</v>
      </c>
      <c r="B150" s="249">
        <f>B146-B147</f>
        <v>5052153.9999999935</v>
      </c>
      <c r="C150" s="249">
        <f t="shared" ref="C150:F150" si="115">C146-C147</f>
        <v>4066478</v>
      </c>
      <c r="D150" s="249">
        <f t="shared" si="115"/>
        <v>2780194</v>
      </c>
      <c r="E150" s="249">
        <f t="shared" si="115"/>
        <v>1614449.9999999972</v>
      </c>
      <c r="F150" s="249">
        <f t="shared" si="115"/>
        <v>4234267.0000000075</v>
      </c>
      <c r="G150" s="249">
        <f>G146-G147</f>
        <v>3045187.9999999944</v>
      </c>
      <c r="H150" s="249">
        <f>H146-H147</f>
        <v>16622448.000000041</v>
      </c>
      <c r="I150" s="249">
        <f>I146-I147</f>
        <v>31377609.765794106</v>
      </c>
      <c r="J150" s="249">
        <f>J146-J147</f>
        <v>42631963.70248761</v>
      </c>
      <c r="K150" s="249">
        <f>K146-K147</f>
        <v>50416839.321039416</v>
      </c>
    </row>
    <row r="151" spans="1:16" s="64" customFormat="1" ht="14">
      <c r="A151" s="266" t="s">
        <v>548</v>
      </c>
      <c r="B151" s="32">
        <v>2581060</v>
      </c>
      <c r="C151" s="32">
        <v>2728142.855</v>
      </c>
      <c r="D151" s="32">
        <v>2728142.855</v>
      </c>
      <c r="E151" s="32">
        <v>2728142.855</v>
      </c>
      <c r="F151" s="32">
        <v>2728142.855</v>
      </c>
      <c r="G151" s="32">
        <v>2911143</v>
      </c>
      <c r="H151" s="32">
        <v>2911143</v>
      </c>
      <c r="I151" s="279">
        <f>H151</f>
        <v>2911143</v>
      </c>
      <c r="J151" s="279">
        <f>I151</f>
        <v>2911143</v>
      </c>
      <c r="K151" s="279">
        <f>J151</f>
        <v>2911143</v>
      </c>
      <c r="L151"/>
      <c r="M151"/>
      <c r="N151" s="32"/>
      <c r="O151"/>
    </row>
    <row r="152" spans="1:16" ht="14">
      <c r="A152" s="263" t="s">
        <v>582</v>
      </c>
      <c r="B152" s="253">
        <f>B150/B151</f>
        <v>1.9573950237499296</v>
      </c>
      <c r="C152" s="253">
        <f>C150/C151</f>
        <v>1.4905663728522016</v>
      </c>
      <c r="D152" s="253">
        <f t="shared" ref="D152:J152" si="116">D150/D151</f>
        <v>1.0190793326326748</v>
      </c>
      <c r="E152" s="253">
        <f t="shared" si="116"/>
        <v>0.59177619567872564</v>
      </c>
      <c r="F152" s="253">
        <f t="shared" si="116"/>
        <v>1.5520693838446402</v>
      </c>
      <c r="G152" s="253">
        <f>G150/G151</f>
        <v>1.0460454879749963</v>
      </c>
      <c r="H152" s="253">
        <f>H150/H151</f>
        <v>5.7099386735725597</v>
      </c>
      <c r="I152" s="253">
        <f>I150/I151</f>
        <v>10.778450170875875</v>
      </c>
      <c r="J152" s="253">
        <f t="shared" si="116"/>
        <v>14.644407266316911</v>
      </c>
      <c r="K152" s="253">
        <f t="shared" ref="K152" si="117">K150/K151</f>
        <v>17.318571887756601</v>
      </c>
      <c r="L152" s="64"/>
      <c r="M152" s="354"/>
      <c r="N152" s="354"/>
      <c r="O152" s="354"/>
      <c r="P152" s="354"/>
    </row>
    <row r="153" spans="1:16" ht="14">
      <c r="A153" s="266" t="s">
        <v>583</v>
      </c>
      <c r="B153" s="32">
        <v>19018263</v>
      </c>
      <c r="C153" s="32">
        <v>17935074</v>
      </c>
      <c r="D153" s="32">
        <v>18066764</v>
      </c>
      <c r="E153" s="32">
        <v>18075993</v>
      </c>
      <c r="F153" s="32">
        <v>27243591</v>
      </c>
      <c r="G153" s="32">
        <v>23632561</v>
      </c>
      <c r="H153">
        <v>72273372</v>
      </c>
    </row>
    <row r="154" spans="1:16" ht="14">
      <c r="A154" s="266" t="s">
        <v>584</v>
      </c>
      <c r="B154" s="32">
        <v>5480012</v>
      </c>
      <c r="C154" s="32">
        <v>4916936</v>
      </c>
      <c r="D154" s="32">
        <v>3556193</v>
      </c>
      <c r="E154" s="32">
        <v>2118857</v>
      </c>
      <c r="F154" s="32">
        <v>6013963</v>
      </c>
      <c r="G154" s="32">
        <v>3967266</v>
      </c>
      <c r="H154" s="32">
        <v>16622448</v>
      </c>
    </row>
    <row r="155" spans="1:16" ht="14">
      <c r="A155" s="266" t="s">
        <v>585</v>
      </c>
      <c r="B155" s="32">
        <v>427858</v>
      </c>
      <c r="C155" s="32">
        <v>850458</v>
      </c>
      <c r="D155" s="32">
        <v>775999</v>
      </c>
      <c r="E155" s="32">
        <v>504407</v>
      </c>
      <c r="F155" s="32">
        <v>1779696</v>
      </c>
      <c r="G155" s="32">
        <v>922078</v>
      </c>
      <c r="H155" s="32">
        <v>1090656</v>
      </c>
    </row>
    <row r="156" spans="1:16" ht="14">
      <c r="A156" s="266" t="s">
        <v>586</v>
      </c>
      <c r="B156" s="31">
        <f>B155/B154</f>
        <v>7.807610640268671E-2</v>
      </c>
      <c r="C156" s="31">
        <f t="shared" ref="C156:E156" si="118">C155/C154</f>
        <v>0.17296503350867287</v>
      </c>
      <c r="D156" s="31">
        <f t="shared" si="118"/>
        <v>0.21821059768128445</v>
      </c>
      <c r="E156" s="31">
        <f t="shared" si="118"/>
        <v>0.2380561784018459</v>
      </c>
      <c r="F156" s="31">
        <f>F155/F154</f>
        <v>0.2959273277870183</v>
      </c>
      <c r="G156" s="31">
        <f>G155/G154</f>
        <v>0.23242152152137013</v>
      </c>
      <c r="H156" s="31">
        <f>H155/H154</f>
        <v>6.5613440330810485E-2</v>
      </c>
    </row>
    <row r="157" spans="1:16" ht="14">
      <c r="A157" s="266" t="s">
        <v>587</v>
      </c>
      <c r="B157" s="32">
        <f>B154-B155</f>
        <v>5052154</v>
      </c>
      <c r="C157" s="32">
        <f t="shared" ref="C157:E157" si="119">C154-C155</f>
        <v>4066478</v>
      </c>
      <c r="D157" s="32">
        <f t="shared" si="119"/>
        <v>2780194</v>
      </c>
      <c r="E157" s="32">
        <f t="shared" si="119"/>
        <v>1614450</v>
      </c>
      <c r="F157" s="32">
        <f>F154-F155</f>
        <v>4234267</v>
      </c>
      <c r="G157" s="32">
        <f>G154-G155</f>
        <v>3045188</v>
      </c>
      <c r="H157" s="32">
        <f>H154-H155</f>
        <v>15531792</v>
      </c>
    </row>
    <row r="158" spans="1:16" ht="14">
      <c r="A158" s="320" t="s">
        <v>588</v>
      </c>
      <c r="B158" s="254">
        <f>B157/B151</f>
        <v>1.9573950237499322</v>
      </c>
      <c r="C158" s="254">
        <f t="shared" ref="C158:E158" si="120">C157/C151</f>
        <v>1.4905663728522016</v>
      </c>
      <c r="D158" s="254">
        <f t="shared" si="120"/>
        <v>1.0190793326326748</v>
      </c>
      <c r="E158" s="254">
        <f t="shared" si="120"/>
        <v>0.59177619567872664</v>
      </c>
      <c r="F158" s="254">
        <f>F157/F151</f>
        <v>1.5520693838446373</v>
      </c>
      <c r="G158" s="254">
        <f>G157/G151</f>
        <v>1.0460454879749981</v>
      </c>
      <c r="H158" s="254">
        <f>H157/H151</f>
        <v>5.3352899531215057</v>
      </c>
    </row>
    <row r="160" spans="1:16" s="259" customFormat="1" ht="22.5" customHeight="1">
      <c r="A160" s="261" t="s">
        <v>589</v>
      </c>
      <c r="B160"/>
      <c r="C160"/>
      <c r="D160"/>
      <c r="E160"/>
      <c r="F160"/>
      <c r="G160"/>
      <c r="H160"/>
      <c r="I160"/>
      <c r="J160"/>
      <c r="K160"/>
      <c r="L160"/>
      <c r="M160"/>
      <c r="N160"/>
      <c r="O160"/>
    </row>
    <row r="161" spans="1:15" ht="14.5">
      <c r="A161" s="319" t="s">
        <v>590</v>
      </c>
      <c r="B161" s="259"/>
      <c r="C161" s="259"/>
      <c r="D161" s="259"/>
      <c r="E161" s="259"/>
      <c r="F161" s="259"/>
      <c r="G161" s="259"/>
      <c r="H161" s="259"/>
      <c r="I161" s="259"/>
      <c r="J161" s="259"/>
      <c r="K161" s="259"/>
      <c r="L161" s="259"/>
      <c r="M161" s="259"/>
      <c r="N161" s="259"/>
      <c r="O161" s="259"/>
    </row>
    <row r="162" spans="1:15" ht="14">
      <c r="A162" t="s">
        <v>508</v>
      </c>
      <c r="D162" s="32">
        <v>705762</v>
      </c>
      <c r="E162" s="32">
        <v>1058220</v>
      </c>
      <c r="F162" s="32">
        <v>2326823</v>
      </c>
      <c r="G162" s="32">
        <v>5205056</v>
      </c>
      <c r="H162" s="255">
        <v>6597834</v>
      </c>
      <c r="I162" s="255">
        <f>'Price and Quant'!K87*'Price and Quant'!U88/1000</f>
        <v>9397288.436553821</v>
      </c>
      <c r="J162" s="255">
        <f>'Price and Quant'!L87*'Price and Quant'!V88/1000</f>
        <v>12175205.901360212</v>
      </c>
      <c r="K162" s="255"/>
    </row>
    <row r="163" spans="1:15" ht="14">
      <c r="A163" t="s">
        <v>510</v>
      </c>
      <c r="E163" s="82">
        <f>E162/D162-1</f>
        <v>0.49940064781045179</v>
      </c>
      <c r="F163" s="82">
        <f t="shared" ref="F163:J163" si="121">F162/E162-1</f>
        <v>1.1988083763300637</v>
      </c>
      <c r="G163" s="82">
        <f t="shared" si="121"/>
        <v>1.2369797788658614</v>
      </c>
      <c r="H163" s="82">
        <f t="shared" si="121"/>
        <v>0.26758175128183059</v>
      </c>
      <c r="I163" s="82">
        <f t="shared" si="121"/>
        <v>0.42429901033487982</v>
      </c>
      <c r="J163" s="82">
        <f t="shared" si="121"/>
        <v>0.29560840699544499</v>
      </c>
      <c r="K163" s="82"/>
    </row>
    <row r="164" spans="1:15" ht="14">
      <c r="A164" t="s">
        <v>287</v>
      </c>
      <c r="D164" s="32">
        <v>717058</v>
      </c>
      <c r="E164" s="32">
        <v>1162923</v>
      </c>
      <c r="F164" s="32">
        <v>2031536</v>
      </c>
      <c r="G164" s="32">
        <v>4161040</v>
      </c>
      <c r="H164" s="252">
        <v>5693876</v>
      </c>
      <c r="I164" s="252">
        <f>I162-I165</f>
        <v>8015809.0674039852</v>
      </c>
      <c r="J164" s="252">
        <f t="shared" ref="J164" si="122">J162-J165</f>
        <v>10263597.55758532</v>
      </c>
      <c r="K164" s="252"/>
    </row>
    <row r="165" spans="1:15" ht="14">
      <c r="A165" t="s">
        <v>511</v>
      </c>
      <c r="D165" s="252">
        <f>D162-D164</f>
        <v>-11296</v>
      </c>
      <c r="E165" s="252">
        <f t="shared" ref="E165:G165" si="123">E162-E164</f>
        <v>-104703</v>
      </c>
      <c r="F165" s="252">
        <f t="shared" si="123"/>
        <v>295287</v>
      </c>
      <c r="G165" s="252">
        <f t="shared" si="123"/>
        <v>1044016</v>
      </c>
      <c r="H165" s="252">
        <f>H162-H164</f>
        <v>903958</v>
      </c>
      <c r="I165" s="252">
        <f>I162*I166</f>
        <v>1381479.3691498355</v>
      </c>
      <c r="J165" s="252">
        <f>J162*J166</f>
        <v>1911608.3437748931</v>
      </c>
      <c r="K165" s="252"/>
    </row>
    <row r="166" spans="1:15" ht="15.5">
      <c r="A166" t="s">
        <v>513</v>
      </c>
      <c r="D166" s="82">
        <f>D165/D162</f>
        <v>-1.6005395586614183E-2</v>
      </c>
      <c r="E166" s="82">
        <f>E165/E162</f>
        <v>-9.8942563928105687E-2</v>
      </c>
      <c r="F166" s="82">
        <f>F165/F162</f>
        <v>0.12690565633913709</v>
      </c>
      <c r="G166" s="82">
        <f>G165/G162</f>
        <v>0.20057728485534065</v>
      </c>
      <c r="H166" s="313">
        <f>H165/H162</f>
        <v>0.13700829696533742</v>
      </c>
      <c r="I166" s="313">
        <f>H166+$L166</f>
        <v>0.14700829696533743</v>
      </c>
      <c r="J166" s="313">
        <f>I166+$L166</f>
        <v>0.15700829696533744</v>
      </c>
      <c r="K166" s="313"/>
      <c r="L166" s="86">
        <v>0.01</v>
      </c>
      <c r="M166" t="s">
        <v>591</v>
      </c>
    </row>
    <row r="167" spans="1:15" ht="14">
      <c r="A167" t="s">
        <v>592</v>
      </c>
      <c r="D167" s="82">
        <f t="shared" ref="D167:J167" si="124">D165/D$182</f>
        <v>0.30352536543422182</v>
      </c>
      <c r="E167" s="82">
        <f t="shared" si="124"/>
        <v>0.60803488986579479</v>
      </c>
      <c r="F167" s="82">
        <f t="shared" si="124"/>
        <v>1.0284696269413087</v>
      </c>
      <c r="G167" s="82">
        <f t="shared" si="124"/>
        <v>0.97532302409029636</v>
      </c>
      <c r="H167" s="82">
        <f t="shared" si="124"/>
        <v>1.2120502702434537</v>
      </c>
      <c r="I167" s="82">
        <f t="shared" si="124"/>
        <v>1.2385986075754276</v>
      </c>
      <c r="J167" s="82">
        <f t="shared" si="124"/>
        <v>1.2627339132826476</v>
      </c>
      <c r="K167" s="82"/>
    </row>
    <row r="168" spans="1:15" s="259" customFormat="1" ht="14">
      <c r="A168" t="s">
        <v>593</v>
      </c>
      <c r="B168"/>
      <c r="C168"/>
      <c r="D168" s="82">
        <f>D162/D$179</f>
        <v>0.98006573931736096</v>
      </c>
      <c r="E168" s="82">
        <f t="shared" ref="E168:J168" si="125">E162/E$179</f>
        <v>0.94149529617127736</v>
      </c>
      <c r="F168" s="82">
        <f t="shared" si="125"/>
        <v>0.93385312547534016</v>
      </c>
      <c r="G168" s="82">
        <f t="shared" si="125"/>
        <v>0.91790329512274993</v>
      </c>
      <c r="H168" s="82">
        <f t="shared" si="125"/>
        <v>0.92364337341301672</v>
      </c>
      <c r="I168" s="82">
        <f t="shared" si="125"/>
        <v>0.91102148899284019</v>
      </c>
      <c r="J168" s="82">
        <f t="shared" si="125"/>
        <v>0.89873991831384659</v>
      </c>
      <c r="K168" s="82"/>
      <c r="L168"/>
      <c r="M168"/>
      <c r="N168"/>
      <c r="O168"/>
    </row>
    <row r="169" spans="1:15" ht="14.5">
      <c r="A169" s="319" t="s">
        <v>594</v>
      </c>
      <c r="B169" s="259"/>
      <c r="C169" s="259"/>
      <c r="D169" s="259"/>
      <c r="E169" s="259"/>
      <c r="F169" s="259"/>
      <c r="G169" s="259"/>
      <c r="H169" s="259"/>
      <c r="I169" s="259"/>
      <c r="J169" s="259"/>
      <c r="K169" s="259"/>
      <c r="L169" s="259"/>
      <c r="M169" s="259"/>
      <c r="N169" s="259"/>
      <c r="O169" s="259"/>
    </row>
    <row r="170" spans="1:15" ht="14">
      <c r="A170" t="s">
        <v>508</v>
      </c>
      <c r="D170" s="32">
        <v>14355</v>
      </c>
      <c r="E170" s="32">
        <v>65758</v>
      </c>
      <c r="F170" s="32">
        <v>164814</v>
      </c>
      <c r="G170" s="32">
        <v>465537</v>
      </c>
      <c r="H170" s="252">
        <v>545436</v>
      </c>
      <c r="I170" s="252">
        <f>I162*I173</f>
        <v>917823.28154932277</v>
      </c>
      <c r="J170" s="252">
        <f>J162*J173</f>
        <v>1371767.648231853</v>
      </c>
      <c r="K170" s="252"/>
    </row>
    <row r="171" spans="1:15" ht="14">
      <c r="A171" t="s">
        <v>510</v>
      </c>
      <c r="E171" s="82">
        <f t="shared" ref="E171:J171" si="126">E170/D170-1</f>
        <v>3.5808429118773946</v>
      </c>
      <c r="F171" s="82">
        <f t="shared" si="126"/>
        <v>1.5063718482922228</v>
      </c>
      <c r="G171" s="82">
        <f t="shared" si="126"/>
        <v>1.824620481269795</v>
      </c>
      <c r="H171" s="82">
        <f t="shared" si="126"/>
        <v>0.17162760425057511</v>
      </c>
      <c r="I171" s="82">
        <f t="shared" si="126"/>
        <v>0.68273322910354795</v>
      </c>
      <c r="J171" s="82">
        <f t="shared" si="126"/>
        <v>0.49458798421004735</v>
      </c>
      <c r="K171" s="82"/>
    </row>
    <row r="172" spans="1:15" ht="14">
      <c r="A172" t="s">
        <v>287</v>
      </c>
      <c r="D172" s="32">
        <v>40275</v>
      </c>
      <c r="E172" s="32">
        <v>133254</v>
      </c>
      <c r="F172" s="32">
        <v>172988</v>
      </c>
      <c r="G172" s="32">
        <v>439122</v>
      </c>
      <c r="H172" s="252">
        <v>703585</v>
      </c>
      <c r="I172" s="252">
        <f>I170-I174</f>
        <v>1183945.8589988197</v>
      </c>
      <c r="J172" s="252">
        <f t="shared" ref="J172" si="127">J170-J174</f>
        <v>1769511.254814879</v>
      </c>
      <c r="K172" s="252"/>
    </row>
    <row r="173" spans="1:15" ht="15.5">
      <c r="A173" t="s">
        <v>595</v>
      </c>
      <c r="D173" s="82">
        <f>D170/D162</f>
        <v>2.0339717921905684E-2</v>
      </c>
      <c r="E173" s="82">
        <f>E170/E162</f>
        <v>6.2140197690461342E-2</v>
      </c>
      <c r="F173" s="82">
        <f>F170/F162</f>
        <v>7.0832203394929474E-2</v>
      </c>
      <c r="G173" s="82">
        <f>G170/G162</f>
        <v>8.9439383553222104E-2</v>
      </c>
      <c r="H173" s="324">
        <f>H170/H162</f>
        <v>8.2668948627685993E-2</v>
      </c>
      <c r="I173" s="324">
        <f>H173+$L173</f>
        <v>9.7668948627685992E-2</v>
      </c>
      <c r="J173" s="324">
        <f>I173+$L173</f>
        <v>0.11266894862768599</v>
      </c>
      <c r="K173" s="324"/>
      <c r="L173" s="268">
        <v>1.4999999999999999E-2</v>
      </c>
    </row>
    <row r="174" spans="1:15" ht="14">
      <c r="A174" t="s">
        <v>511</v>
      </c>
      <c r="D174" s="252">
        <f>D170-D172</f>
        <v>-25920</v>
      </c>
      <c r="E174" s="252">
        <f t="shared" ref="E174:G174" si="128">E170-E172</f>
        <v>-67496</v>
      </c>
      <c r="F174" s="252">
        <f t="shared" si="128"/>
        <v>-8174</v>
      </c>
      <c r="G174" s="252">
        <f t="shared" si="128"/>
        <v>26415</v>
      </c>
      <c r="H174" s="252">
        <f>H170-H172</f>
        <v>-158149</v>
      </c>
      <c r="I174" s="252">
        <f>I170*I175</f>
        <v>-266122.57744949701</v>
      </c>
      <c r="J174" s="252">
        <f>J170*J175</f>
        <v>-397743.60658302589</v>
      </c>
      <c r="K174" s="252"/>
    </row>
    <row r="175" spans="1:15" ht="14">
      <c r="A175" t="s">
        <v>513</v>
      </c>
      <c r="D175" s="82">
        <f>D174/D170</f>
        <v>-1.8056426332288402</v>
      </c>
      <c r="E175" s="82">
        <f>E174/E170</f>
        <v>-1.0264302442288391</v>
      </c>
      <c r="F175" s="82">
        <f>F174/F170</f>
        <v>-4.9595301370029245E-2</v>
      </c>
      <c r="G175" s="82">
        <f>G174/G170</f>
        <v>5.6740924996294601E-2</v>
      </c>
      <c r="H175" s="82">
        <f>H174/H170</f>
        <v>-0.2899496916228485</v>
      </c>
      <c r="I175" s="82">
        <f>H175</f>
        <v>-0.2899496916228485</v>
      </c>
      <c r="J175" s="82">
        <f>I175</f>
        <v>-0.2899496916228485</v>
      </c>
      <c r="K175" s="82"/>
    </row>
    <row r="176" spans="1:15" ht="14">
      <c r="A176" t="s">
        <v>592</v>
      </c>
      <c r="D176" s="82">
        <f>D174/D$182</f>
        <v>0.69647463456577818</v>
      </c>
      <c r="E176" s="82">
        <f t="shared" ref="E176:J176" si="129">E174/E$182</f>
        <v>0.39196511013420521</v>
      </c>
      <c r="F176" s="82">
        <f t="shared" si="129"/>
        <v>-2.8469626941308824E-2</v>
      </c>
      <c r="G176" s="82">
        <f t="shared" si="129"/>
        <v>2.467697590970366E-2</v>
      </c>
      <c r="H176" s="82">
        <f t="shared" si="129"/>
        <v>-0.21205027024345374</v>
      </c>
      <c r="I176" s="82">
        <f t="shared" si="129"/>
        <v>-0.23859860757542761</v>
      </c>
      <c r="J176" s="82">
        <f t="shared" si="129"/>
        <v>-0.26273391328264745</v>
      </c>
      <c r="K176" s="82"/>
    </row>
    <row r="177" spans="1:15" s="259" customFormat="1" ht="22.5" customHeight="1">
      <c r="A177" t="s">
        <v>593</v>
      </c>
      <c r="B177"/>
      <c r="C177"/>
      <c r="D177" s="82">
        <f>D170/D$179</f>
        <v>1.9934260682639073E-2</v>
      </c>
      <c r="E177" s="82">
        <f t="shared" ref="E177:J177" si="130">E170/E$179</f>
        <v>5.8504703828722623E-2</v>
      </c>
      <c r="F177" s="82">
        <f t="shared" si="130"/>
        <v>6.6146874524659893E-2</v>
      </c>
      <c r="G177" s="82">
        <f t="shared" si="130"/>
        <v>8.2096704877250057E-2</v>
      </c>
      <c r="H177" s="82">
        <f t="shared" si="130"/>
        <v>7.6356626586983278E-2</v>
      </c>
      <c r="I177" s="82">
        <f>I170/I$179</f>
        <v>8.8978511007159714E-2</v>
      </c>
      <c r="J177" s="82">
        <f t="shared" si="130"/>
        <v>0.10126008168615348</v>
      </c>
      <c r="K177" s="82"/>
      <c r="L177"/>
      <c r="M177"/>
      <c r="N177"/>
      <c r="O177"/>
    </row>
    <row r="178" spans="1:15" s="64" customFormat="1" ht="14.5">
      <c r="A178" s="319" t="s">
        <v>525</v>
      </c>
      <c r="B178" s="259"/>
      <c r="C178" s="259"/>
      <c r="D178" s="259"/>
      <c r="E178" s="259"/>
      <c r="F178" s="259"/>
      <c r="G178" s="259"/>
      <c r="H178" s="259"/>
      <c r="I178" s="259"/>
      <c r="J178" s="259"/>
      <c r="K178" s="259"/>
      <c r="L178" s="259"/>
      <c r="M178" s="259"/>
      <c r="N178" s="259"/>
      <c r="O178" s="259"/>
    </row>
    <row r="179" spans="1:15" ht="14">
      <c r="A179" s="263" t="s">
        <v>508</v>
      </c>
      <c r="B179" s="64"/>
      <c r="C179" s="64"/>
      <c r="D179" s="256">
        <f t="shared" ref="D179:J179" si="131">D162+D170</f>
        <v>720117</v>
      </c>
      <c r="E179" s="256">
        <f t="shared" si="131"/>
        <v>1123978</v>
      </c>
      <c r="F179" s="256">
        <f>F162+F170</f>
        <v>2491637</v>
      </c>
      <c r="G179" s="256">
        <f t="shared" si="131"/>
        <v>5670593</v>
      </c>
      <c r="H179" s="256">
        <f>H162+H170</f>
        <v>7143270</v>
      </c>
      <c r="I179" s="256">
        <f t="shared" si="131"/>
        <v>10315111.718103144</v>
      </c>
      <c r="J179" s="256">
        <f t="shared" si="131"/>
        <v>13546973.549592065</v>
      </c>
      <c r="K179" s="256"/>
      <c r="L179" s="64"/>
      <c r="M179" s="64"/>
      <c r="N179" s="64"/>
      <c r="O179" s="64"/>
    </row>
    <row r="180" spans="1:15" ht="14">
      <c r="A180" s="262" t="s">
        <v>526</v>
      </c>
      <c r="E180" s="82">
        <f t="shared" ref="E180:J180" si="132">E179/D179-1</f>
        <v>0.56082692118086364</v>
      </c>
      <c r="F180" s="82">
        <f t="shared" si="132"/>
        <v>1.2168022861657435</v>
      </c>
      <c r="G180" s="82">
        <f t="shared" si="132"/>
        <v>1.2758503746733574</v>
      </c>
      <c r="H180" s="82">
        <f t="shared" si="132"/>
        <v>0.25970423199125725</v>
      </c>
      <c r="I180" s="82">
        <f t="shared" si="132"/>
        <v>0.44403217547469787</v>
      </c>
      <c r="J180" s="82">
        <f t="shared" si="132"/>
        <v>0.31331331349683444</v>
      </c>
      <c r="K180" s="82"/>
    </row>
    <row r="181" spans="1:15" s="64" customFormat="1" ht="14">
      <c r="A181" s="262" t="s">
        <v>287</v>
      </c>
      <c r="B181"/>
      <c r="C181"/>
      <c r="D181" s="252">
        <f>D164+D172</f>
        <v>757333</v>
      </c>
      <c r="E181" s="252">
        <f t="shared" ref="E181:J181" si="133">E164+E172</f>
        <v>1296177</v>
      </c>
      <c r="F181" s="252">
        <f t="shared" si="133"/>
        <v>2204524</v>
      </c>
      <c r="G181" s="252">
        <f t="shared" si="133"/>
        <v>4600162</v>
      </c>
      <c r="H181" s="252">
        <f>H164+H172</f>
        <v>6397461</v>
      </c>
      <c r="I181" s="252">
        <f t="shared" si="133"/>
        <v>9199754.9264028054</v>
      </c>
      <c r="J181" s="252">
        <f t="shared" si="133"/>
        <v>12033108.812400199</v>
      </c>
      <c r="K181" s="252"/>
      <c r="L181"/>
      <c r="M181"/>
      <c r="N181"/>
      <c r="O181"/>
    </row>
    <row r="182" spans="1:15" ht="14">
      <c r="A182" s="263" t="s">
        <v>511</v>
      </c>
      <c r="B182" s="64"/>
      <c r="C182" s="64"/>
      <c r="D182" s="256">
        <f t="shared" ref="D182:J182" si="134">D165+D174</f>
        <v>-37216</v>
      </c>
      <c r="E182" s="256">
        <f t="shared" si="134"/>
        <v>-172199</v>
      </c>
      <c r="F182" s="256">
        <f t="shared" si="134"/>
        <v>287113</v>
      </c>
      <c r="G182" s="256">
        <f t="shared" si="134"/>
        <v>1070431</v>
      </c>
      <c r="H182" s="256">
        <f>H165+H174</f>
        <v>745809</v>
      </c>
      <c r="I182" s="256">
        <f t="shared" si="134"/>
        <v>1115356.7917003385</v>
      </c>
      <c r="J182" s="256">
        <f t="shared" si="134"/>
        <v>1513864.7371918671</v>
      </c>
      <c r="K182" s="256"/>
      <c r="L182" s="64"/>
      <c r="M182" s="64"/>
      <c r="N182" s="64"/>
      <c r="O182" s="64"/>
    </row>
    <row r="183" spans="1:15" ht="14">
      <c r="A183" s="262" t="s">
        <v>513</v>
      </c>
      <c r="D183" s="82">
        <f t="shared" ref="D183:J183" si="135">D182/D179</f>
        <v>-5.1680490809132403E-2</v>
      </c>
      <c r="E183" s="82">
        <f t="shared" si="135"/>
        <v>-0.15320495596888908</v>
      </c>
      <c r="F183" s="82">
        <f t="shared" si="135"/>
        <v>0.11523066963606657</v>
      </c>
      <c r="G183" s="82">
        <f t="shared" si="135"/>
        <v>0.1887687936693746</v>
      </c>
      <c r="H183" s="82">
        <f t="shared" si="135"/>
        <v>0.10440722526237983</v>
      </c>
      <c r="I183" s="82">
        <f t="shared" si="135"/>
        <v>0.10812842576807714</v>
      </c>
      <c r="J183" s="82">
        <f t="shared" si="135"/>
        <v>0.11174929453061888</v>
      </c>
      <c r="K183" s="82"/>
      <c r="L183" s="64"/>
    </row>
    <row r="184" spans="1:15" ht="14">
      <c r="A184" s="262" t="s">
        <v>527</v>
      </c>
      <c r="D184" s="32">
        <v>776931</v>
      </c>
      <c r="E184" s="32">
        <v>783100</v>
      </c>
      <c r="F184" s="252">
        <f>602647+9352</f>
        <v>611999</v>
      </c>
      <c r="G184" s="252">
        <f>1079329+23891</f>
        <v>1103220</v>
      </c>
      <c r="H184" s="252">
        <f>1568364-87627</f>
        <v>1480737</v>
      </c>
      <c r="I184" s="252">
        <f>I185*I179</f>
        <v>1725627.4026917515</v>
      </c>
      <c r="J184" s="252">
        <f>J185*J179</f>
        <v>1724410.5001063577</v>
      </c>
      <c r="K184" s="252"/>
    </row>
    <row r="185" spans="1:15" ht="15.5">
      <c r="A185" s="262" t="s">
        <v>528</v>
      </c>
      <c r="D185" s="82">
        <f>D184/D179</f>
        <v>1.0788955128125013</v>
      </c>
      <c r="E185" s="82">
        <f>E184/E179</f>
        <v>0.69672182195736931</v>
      </c>
      <c r="F185" s="82">
        <f>F184/F179</f>
        <v>0.2456212522129026</v>
      </c>
      <c r="G185" s="82">
        <f>G184/G179</f>
        <v>0.19455108134193372</v>
      </c>
      <c r="H185" s="325">
        <f>H184/H179</f>
        <v>0.20729119856872272</v>
      </c>
      <c r="I185" s="325">
        <f>H185-$L185</f>
        <v>0.16729119856872271</v>
      </c>
      <c r="J185" s="325">
        <f>I185-$L185</f>
        <v>0.1272911985687227</v>
      </c>
      <c r="K185" s="325"/>
      <c r="L185" s="86">
        <v>0.04</v>
      </c>
    </row>
    <row r="186" spans="1:15" ht="14">
      <c r="A186" t="s">
        <v>530</v>
      </c>
      <c r="D186" s="32">
        <v>581477</v>
      </c>
      <c r="E186" s="32">
        <v>636126</v>
      </c>
      <c r="F186" s="32">
        <v>381267</v>
      </c>
      <c r="G186" s="265">
        <v>720562</v>
      </c>
      <c r="H186" s="252">
        <f>1612888</f>
        <v>1612888</v>
      </c>
      <c r="I186" s="252">
        <f>I187*I182</f>
        <v>176286.47797666653</v>
      </c>
      <c r="J186" s="252">
        <f>J187*J182</f>
        <v>167490.54584770824</v>
      </c>
      <c r="K186" s="252"/>
    </row>
    <row r="187" spans="1:15" s="64" customFormat="1" ht="15.5">
      <c r="A187" t="s">
        <v>531</v>
      </c>
      <c r="B187"/>
      <c r="C187"/>
      <c r="D187" s="82">
        <f>D186/D179</f>
        <v>0.80747572963837821</v>
      </c>
      <c r="E187" s="82">
        <f>E186/E179</f>
        <v>0.56595947607515451</v>
      </c>
      <c r="F187" s="82">
        <f>F186/F179</f>
        <v>0.15301867808191963</v>
      </c>
      <c r="G187" s="82">
        <f>G186/G179</f>
        <v>0.12706995547026564</v>
      </c>
      <c r="H187" s="325">
        <f>H186/H179</f>
        <v>0.2257912692646365</v>
      </c>
      <c r="I187" s="325">
        <f>H187*$L187</f>
        <v>0.15805388848524554</v>
      </c>
      <c r="J187" s="325">
        <f>I187*$L187</f>
        <v>0.11063772193967188</v>
      </c>
      <c r="K187" s="325"/>
      <c r="L187" s="86">
        <v>0.7</v>
      </c>
      <c r="M187"/>
      <c r="N187"/>
      <c r="O187"/>
    </row>
    <row r="188" spans="1:15" ht="14">
      <c r="A188" s="263" t="s">
        <v>596</v>
      </c>
      <c r="B188" s="64"/>
      <c r="C188" s="64"/>
      <c r="D188" s="256">
        <f>D182-D184-D186</f>
        <v>-1395624</v>
      </c>
      <c r="E188" s="256">
        <f t="shared" ref="E188:I188" si="136">E182-E184-E186</f>
        <v>-1591425</v>
      </c>
      <c r="F188" s="256">
        <f t="shared" si="136"/>
        <v>-706153</v>
      </c>
      <c r="G188" s="256">
        <f t="shared" si="136"/>
        <v>-753351</v>
      </c>
      <c r="H188" s="256">
        <f t="shared" si="136"/>
        <v>-2347816</v>
      </c>
      <c r="I188" s="256">
        <f t="shared" si="136"/>
        <v>-786557.08896807954</v>
      </c>
      <c r="J188" s="256">
        <f>J182-J184-J186</f>
        <v>-378036.3087621989</v>
      </c>
      <c r="K188" s="256"/>
      <c r="L188" s="64"/>
      <c r="M188" s="64"/>
      <c r="N188" s="64"/>
      <c r="O188" s="64"/>
    </row>
    <row r="189" spans="1:15" ht="15.5">
      <c r="A189" t="s">
        <v>597</v>
      </c>
      <c r="D189" s="1465">
        <v>19400</v>
      </c>
      <c r="E189" s="32">
        <v>23023</v>
      </c>
      <c r="F189" s="32">
        <v>25579</v>
      </c>
      <c r="G189" s="265">
        <v>143086</v>
      </c>
      <c r="H189" s="326">
        <f>202234</f>
        <v>202234</v>
      </c>
      <c r="I189" s="326">
        <f>H189*$L189</f>
        <v>182010.6</v>
      </c>
      <c r="J189" s="326">
        <f>I189*$L189</f>
        <v>163809.54</v>
      </c>
      <c r="K189" s="326"/>
      <c r="L189" s="86">
        <v>0.9</v>
      </c>
      <c r="M189" t="s">
        <v>598</v>
      </c>
    </row>
    <row r="190" spans="1:15" ht="15.5">
      <c r="A190" t="s">
        <v>534</v>
      </c>
      <c r="D190" s="1465">
        <v>17983</v>
      </c>
      <c r="E190" s="32">
        <v>53224</v>
      </c>
      <c r="F190" s="32">
        <v>65290</v>
      </c>
      <c r="G190" s="265">
        <v>100024</v>
      </c>
      <c r="H190" s="279">
        <v>49596</v>
      </c>
      <c r="I190" s="279">
        <f t="shared" ref="I190:J191" si="137">H190*(1+$L190)</f>
        <v>52075.8</v>
      </c>
      <c r="J190" s="279">
        <f t="shared" si="137"/>
        <v>54679.590000000004</v>
      </c>
      <c r="K190" s="279"/>
      <c r="L190" s="86">
        <v>0.05</v>
      </c>
      <c r="M190" t="s">
        <v>599</v>
      </c>
    </row>
    <row r="191" spans="1:15" ht="15.5">
      <c r="A191" t="s">
        <v>600</v>
      </c>
      <c r="D191" s="1465">
        <v>-1414</v>
      </c>
      <c r="E191" s="32">
        <v>-9262</v>
      </c>
      <c r="F191" s="32">
        <v>-10120</v>
      </c>
      <c r="G191" s="265">
        <v>9809</v>
      </c>
      <c r="H191" s="326">
        <v>56229</v>
      </c>
      <c r="I191" s="326">
        <f t="shared" si="137"/>
        <v>64663.35</v>
      </c>
      <c r="J191" s="326">
        <f t="shared" si="137"/>
        <v>74362.852499999994</v>
      </c>
      <c r="K191" s="326"/>
      <c r="L191" s="86">
        <v>0.15</v>
      </c>
    </row>
    <row r="192" spans="1:15" ht="14">
      <c r="A192" t="s">
        <v>601</v>
      </c>
      <c r="D192" s="1465">
        <v>0</v>
      </c>
      <c r="E192">
        <v>0</v>
      </c>
      <c r="F192" s="32">
        <v>0</v>
      </c>
      <c r="G192">
        <v>0</v>
      </c>
      <c r="H192" s="278">
        <v>0</v>
      </c>
      <c r="I192" s="278">
        <v>0</v>
      </c>
      <c r="J192" s="278">
        <v>0</v>
      </c>
      <c r="K192" s="278"/>
    </row>
    <row r="193" spans="1:15" s="64" customFormat="1" ht="14">
      <c r="A193" t="s">
        <v>602</v>
      </c>
      <c r="B193"/>
      <c r="C193"/>
      <c r="D193" s="1465">
        <v>-3105</v>
      </c>
      <c r="E193" s="32">
        <v>9503</v>
      </c>
      <c r="F193" s="32">
        <v>-55928</v>
      </c>
      <c r="G193" s="265">
        <v>28981</v>
      </c>
      <c r="H193" s="279">
        <v>-42115</v>
      </c>
      <c r="I193" s="279">
        <f>AVERAGE(F193:H193)</f>
        <v>-23020.666666666668</v>
      </c>
      <c r="J193" s="279">
        <f>AVERAGE(G193:I193)</f>
        <v>-12051.555555555557</v>
      </c>
      <c r="K193" s="279"/>
      <c r="L193"/>
      <c r="M193" t="s">
        <v>603</v>
      </c>
      <c r="N193"/>
      <c r="O193"/>
    </row>
    <row r="194" spans="1:15" s="64" customFormat="1" ht="14">
      <c r="A194"/>
      <c r="B194"/>
      <c r="C194"/>
      <c r="D194" s="1465">
        <f>D188+D189-SUM(D190:D193)</f>
        <v>-1389688</v>
      </c>
      <c r="E194" s="32"/>
      <c r="F194" s="32"/>
      <c r="G194" s="265"/>
      <c r="H194" s="279"/>
      <c r="I194" s="279"/>
      <c r="J194" s="279"/>
      <c r="K194" s="279"/>
      <c r="L194"/>
      <c r="M194"/>
      <c r="N194"/>
      <c r="O194"/>
    </row>
    <row r="195" spans="1:15" ht="14">
      <c r="A195" s="64" t="s">
        <v>540</v>
      </c>
      <c r="B195" s="64"/>
      <c r="C195" s="64"/>
      <c r="D195" s="256">
        <f>D188+D189-D190+D191+D192+D193</f>
        <v>-1398726</v>
      </c>
      <c r="E195" s="256">
        <f t="shared" ref="E195:G195" si="138">E188+E189-E190+E191+E192+E193</f>
        <v>-1621385</v>
      </c>
      <c r="F195" s="256">
        <f t="shared" si="138"/>
        <v>-811912</v>
      </c>
      <c r="G195" s="256">
        <f t="shared" si="138"/>
        <v>-671499</v>
      </c>
      <c r="H195" s="256">
        <f>H188+H189-H190+H191+H192+H193</f>
        <v>-2181064</v>
      </c>
      <c r="I195" s="256">
        <f>I188+I189-I190+I191+I192+I193</f>
        <v>-614979.60563474626</v>
      </c>
      <c r="J195" s="256">
        <f>J188+J189-J190+J191+J192+J193</f>
        <v>-206595.06181775447</v>
      </c>
      <c r="K195" s="256"/>
      <c r="L195" s="64"/>
      <c r="M195" s="64"/>
      <c r="N195" s="64"/>
      <c r="O195" s="64"/>
    </row>
    <row r="196" spans="1:15" ht="14">
      <c r="A196" t="s">
        <v>604</v>
      </c>
      <c r="D196" s="32">
        <v>3206</v>
      </c>
      <c r="E196" s="32">
        <v>1133</v>
      </c>
      <c r="F196" s="32">
        <v>976</v>
      </c>
      <c r="G196" s="265">
        <v>6632</v>
      </c>
      <c r="H196" s="252">
        <v>8202</v>
      </c>
      <c r="I196" s="252">
        <f>I195*I197</f>
        <v>-92246.940845211939</v>
      </c>
      <c r="J196" s="252">
        <f>J195*J197</f>
        <v>-30989.25927266317</v>
      </c>
      <c r="K196" s="252"/>
    </row>
    <row r="197" spans="1:15" s="64" customFormat="1" ht="14">
      <c r="A197" t="s">
        <v>605</v>
      </c>
      <c r="B197"/>
      <c r="C197"/>
      <c r="D197" s="82">
        <f>D196/D195</f>
        <v>-2.2920857980762493E-3</v>
      </c>
      <c r="E197" s="82">
        <f t="shared" ref="E197:F197" si="139">E196/E195</f>
        <v>-6.9878529775469736E-4</v>
      </c>
      <c r="F197" s="82">
        <f t="shared" si="139"/>
        <v>-1.2021007202751037E-3</v>
      </c>
      <c r="G197" s="82">
        <f>G196/G195</f>
        <v>-9.876410836054856E-3</v>
      </c>
      <c r="H197" s="327">
        <f>H196/H195</f>
        <v>-3.7605498967476425E-3</v>
      </c>
      <c r="I197" s="327">
        <v>0.15</v>
      </c>
      <c r="J197" s="327">
        <v>0.15</v>
      </c>
      <c r="K197" s="327"/>
      <c r="L197" t="s">
        <v>606</v>
      </c>
      <c r="M197"/>
      <c r="N197"/>
      <c r="O197"/>
    </row>
    <row r="198" spans="1:15" ht="14">
      <c r="A198" s="263" t="s">
        <v>543</v>
      </c>
      <c r="B198" s="64"/>
      <c r="C198" s="64"/>
      <c r="D198" s="256">
        <f>D195-D196</f>
        <v>-1401932</v>
      </c>
      <c r="E198" s="256">
        <f t="shared" ref="E198:J198" si="140">E195-E196</f>
        <v>-1622518</v>
      </c>
      <c r="F198" s="256">
        <f t="shared" si="140"/>
        <v>-812888</v>
      </c>
      <c r="G198" s="256">
        <f t="shared" si="140"/>
        <v>-678131</v>
      </c>
      <c r="H198" s="256">
        <f t="shared" si="140"/>
        <v>-2189266</v>
      </c>
      <c r="I198" s="256">
        <f t="shared" si="140"/>
        <v>-522732.66478953429</v>
      </c>
      <c r="J198" s="256">
        <f t="shared" si="140"/>
        <v>-175605.80254509131</v>
      </c>
      <c r="K198" s="256"/>
      <c r="L198" s="64"/>
      <c r="M198" s="64"/>
      <c r="N198" s="64"/>
      <c r="O198" s="64"/>
    </row>
    <row r="199" spans="1:15" ht="14">
      <c r="A199" s="262" t="s">
        <v>607</v>
      </c>
      <c r="D199" s="32">
        <f>-1987825-9206+6066</f>
        <v>-1990965</v>
      </c>
      <c r="E199" s="32">
        <f>0-18184+1313</f>
        <v>-16871</v>
      </c>
      <c r="F199" s="32">
        <f>-47766+760</f>
        <v>-47006</v>
      </c>
      <c r="G199" s="265">
        <f>-1033578+4899</f>
        <v>-1028679</v>
      </c>
      <c r="H199" s="252"/>
      <c r="I199" s="252">
        <f>I200*I198</f>
        <v>0</v>
      </c>
      <c r="J199" s="252">
        <f>J200*J198</f>
        <v>0</v>
      </c>
      <c r="K199" s="252"/>
    </row>
    <row r="200" spans="1:15" ht="14">
      <c r="A200" s="262" t="s">
        <v>608</v>
      </c>
      <c r="D200" s="82">
        <f>D199/D198</f>
        <v>1.4201580390489696</v>
      </c>
      <c r="E200" s="82">
        <f t="shared" ref="E200:F200" si="141">E199/E198</f>
        <v>1.0398035645829506E-2</v>
      </c>
      <c r="F200" s="82">
        <f t="shared" si="141"/>
        <v>5.7825924358583226E-2</v>
      </c>
      <c r="G200" s="82">
        <f>G199/G198</f>
        <v>1.5169325690758866</v>
      </c>
      <c r="H200" s="313"/>
      <c r="I200" s="313">
        <f>H200</f>
        <v>0</v>
      </c>
      <c r="J200" s="313">
        <f>I200</f>
        <v>0</v>
      </c>
      <c r="K200" s="313"/>
    </row>
    <row r="201" spans="1:15" ht="14">
      <c r="A201" s="262" t="s">
        <v>547</v>
      </c>
      <c r="D201" s="252">
        <f>D198+D199</f>
        <v>-3392897</v>
      </c>
      <c r="E201" s="252">
        <f t="shared" ref="E201:J201" si="142">E198+E199</f>
        <v>-1639389</v>
      </c>
      <c r="F201" s="252">
        <f t="shared" si="142"/>
        <v>-859894</v>
      </c>
      <c r="G201" s="252">
        <f t="shared" si="142"/>
        <v>-1706810</v>
      </c>
      <c r="H201" s="252">
        <f t="shared" si="142"/>
        <v>-2189266</v>
      </c>
      <c r="I201" s="252">
        <f t="shared" si="142"/>
        <v>-522732.66478953429</v>
      </c>
      <c r="J201" s="252">
        <f t="shared" si="142"/>
        <v>-175605.80254509131</v>
      </c>
      <c r="K201" s="252"/>
    </row>
    <row r="202" spans="1:15" s="64" customFormat="1" ht="14">
      <c r="A202" s="262" t="s">
        <v>548</v>
      </c>
      <c r="B202"/>
      <c r="C202"/>
      <c r="D202" s="32">
        <v>332153.21100000001</v>
      </c>
      <c r="E202" s="32">
        <v>1029931.705</v>
      </c>
      <c r="F202" s="32">
        <v>1182660.9479999999</v>
      </c>
      <c r="G202" s="32">
        <v>1572702.112</v>
      </c>
      <c r="H202" s="32">
        <v>1478795.6747957361</v>
      </c>
      <c r="I202" s="32">
        <v>1488142.8788969158</v>
      </c>
      <c r="J202" s="279">
        <f>I202</f>
        <v>1488142.8788969158</v>
      </c>
      <c r="K202" s="279"/>
      <c r="L202"/>
      <c r="M202"/>
      <c r="N202"/>
      <c r="O202"/>
    </row>
    <row r="203" spans="1:15" s="64" customFormat="1" ht="14">
      <c r="A203" s="263" t="s">
        <v>550</v>
      </c>
      <c r="D203" s="253">
        <f>D201/D202</f>
        <v>-10.214855336743982</v>
      </c>
      <c r="E203" s="253">
        <f t="shared" ref="E203:J203" si="143">E201/E202</f>
        <v>-1.5917453478141059</v>
      </c>
      <c r="F203" s="253">
        <f t="shared" si="143"/>
        <v>-0.72708412453642635</v>
      </c>
      <c r="G203" s="253">
        <f>G201/G202</f>
        <v>-1.085272275643768</v>
      </c>
      <c r="H203" s="253">
        <f>H201/H202</f>
        <v>-1.480438465782232</v>
      </c>
      <c r="I203" s="253">
        <f>I201/I202</f>
        <v>-0.35126510512015435</v>
      </c>
      <c r="J203" s="253">
        <f t="shared" si="143"/>
        <v>-0.11800332147895565</v>
      </c>
      <c r="K203" s="253"/>
    </row>
    <row r="204" spans="1:15" ht="14">
      <c r="A204" s="263" t="s">
        <v>543</v>
      </c>
      <c r="B204" s="64"/>
      <c r="C204" s="64"/>
      <c r="D204" s="251">
        <f>D208-D205-D206-D207</f>
        <v>-1401932</v>
      </c>
      <c r="E204" s="251">
        <f>E208-E205-E206-E207</f>
        <v>-1622518</v>
      </c>
      <c r="F204" s="251">
        <f>F208-F205-F206-F207</f>
        <v>-812888</v>
      </c>
      <c r="G204" s="251">
        <f>G208-G205-G206-G207</f>
        <v>-630349</v>
      </c>
      <c r="H204" s="251">
        <f>H208-H205-H206-H207</f>
        <v>0</v>
      </c>
      <c r="I204" s="253"/>
      <c r="J204" s="253"/>
      <c r="K204" s="253"/>
      <c r="L204" s="64"/>
      <c r="M204" s="64"/>
      <c r="N204" s="64"/>
      <c r="O204" s="1198"/>
    </row>
    <row r="205" spans="1:15" ht="14">
      <c r="A205" t="s">
        <v>609</v>
      </c>
      <c r="D205" s="32">
        <v>-1987825</v>
      </c>
      <c r="E205" s="246">
        <v>0</v>
      </c>
      <c r="F205" s="265">
        <v>0</v>
      </c>
      <c r="G205" s="265">
        <v>0</v>
      </c>
      <c r="H205" s="279">
        <v>0</v>
      </c>
      <c r="I205" s="279">
        <v>0</v>
      </c>
      <c r="J205" s="279">
        <v>0</v>
      </c>
      <c r="K205" s="279"/>
    </row>
    <row r="206" spans="1:15" ht="14">
      <c r="A206" t="s">
        <v>610</v>
      </c>
      <c r="D206" s="265">
        <v>-9206</v>
      </c>
      <c r="E206" s="265">
        <v>-18184</v>
      </c>
      <c r="F206" s="265">
        <v>-47766</v>
      </c>
      <c r="G206" s="32">
        <v>-1033578</v>
      </c>
      <c r="H206" s="252"/>
      <c r="I206" s="252"/>
      <c r="J206" s="252"/>
      <c r="K206" s="252"/>
    </row>
    <row r="207" spans="1:15" ht="14">
      <c r="A207" t="s">
        <v>611</v>
      </c>
      <c r="D207" s="265">
        <v>6066</v>
      </c>
      <c r="E207" s="265">
        <v>1313</v>
      </c>
      <c r="F207" s="265">
        <v>760</v>
      </c>
      <c r="G207" s="265">
        <v>4899</v>
      </c>
      <c r="H207" s="252"/>
      <c r="I207" s="252"/>
      <c r="J207" s="252"/>
      <c r="K207" s="252"/>
    </row>
    <row r="208" spans="1:15" ht="14">
      <c r="A208" s="262" t="s">
        <v>612</v>
      </c>
      <c r="D208" s="32">
        <v>-3392897</v>
      </c>
      <c r="E208" s="32">
        <v>-1639389</v>
      </c>
      <c r="F208" s="32">
        <v>-859894</v>
      </c>
      <c r="G208" s="32">
        <v>-1659028</v>
      </c>
      <c r="H208" s="252"/>
      <c r="I208" s="252"/>
      <c r="J208" s="252"/>
      <c r="K208" s="252"/>
    </row>
    <row r="209" spans="1:12" ht="14">
      <c r="A209" t="s">
        <v>582</v>
      </c>
      <c r="D209" s="271">
        <f>D208/D202</f>
        <v>-10.214855336743982</v>
      </c>
      <c r="E209" s="271">
        <f>E208/E202</f>
        <v>-1.5917453478141059</v>
      </c>
      <c r="F209" s="271">
        <f>F208/F202</f>
        <v>-0.72708412453642635</v>
      </c>
      <c r="G209" s="271">
        <f>G208/G202</f>
        <v>-1.0548901710891834</v>
      </c>
    </row>
    <row r="210" spans="1:12" ht="14">
      <c r="D210" s="32"/>
      <c r="E210" s="32"/>
      <c r="F210" s="32"/>
      <c r="G210" s="32"/>
    </row>
    <row r="211" spans="1:12" ht="15.5">
      <c r="A211" s="1466" t="s">
        <v>613</v>
      </c>
      <c r="D211" s="32"/>
      <c r="E211" s="32"/>
      <c r="F211" s="32"/>
      <c r="G211" s="32"/>
    </row>
    <row r="212" spans="1:12" ht="14.5">
      <c r="A212" s="319" t="s">
        <v>590</v>
      </c>
      <c r="B212" s="1441"/>
      <c r="C212" s="1441"/>
      <c r="D212" s="1465"/>
      <c r="E212" s="1465"/>
      <c r="F212" s="1465"/>
      <c r="G212" s="1465"/>
      <c r="H212" s="1441"/>
      <c r="I212" s="1441"/>
      <c r="J212" s="1441"/>
      <c r="K212" s="1441"/>
    </row>
    <row r="213" spans="1:12" ht="14">
      <c r="A213" t="s">
        <v>508</v>
      </c>
      <c r="D213" s="100">
        <v>4852470</v>
      </c>
      <c r="E213" s="100">
        <v>7367113</v>
      </c>
      <c r="F213" s="100">
        <v>15182522</v>
      </c>
      <c r="G213" s="100">
        <v>33169740</v>
      </c>
      <c r="H213" s="100">
        <v>45506581</v>
      </c>
      <c r="I213" s="255">
        <f>'Price&amp;Q'!CU65</f>
        <v>47560336.761639833</v>
      </c>
      <c r="J213" s="255">
        <f>'Price&amp;Q'!CV65</f>
        <v>70350953.901562482</v>
      </c>
      <c r="K213" s="255">
        <f>'Price&amp;Q'!CW65</f>
        <v>95608019.291718259</v>
      </c>
    </row>
    <row r="214" spans="1:12" ht="14">
      <c r="A214" t="s">
        <v>510</v>
      </c>
      <c r="D214" s="32"/>
      <c r="E214" s="296">
        <f t="shared" ref="E214:K214" si="144">E213/D213-1</f>
        <v>0.51821917497686742</v>
      </c>
      <c r="F214" s="296">
        <f t="shared" si="144"/>
        <v>1.0608509737803669</v>
      </c>
      <c r="G214" s="296">
        <f t="shared" si="144"/>
        <v>1.1847318910520928</v>
      </c>
      <c r="H214" s="296">
        <f t="shared" si="144"/>
        <v>0.37193059095428538</v>
      </c>
      <c r="I214" s="296">
        <f t="shared" si="144"/>
        <v>4.5130961643544021E-2</v>
      </c>
      <c r="J214" s="296">
        <f t="shared" si="144"/>
        <v>0.47919377135917585</v>
      </c>
      <c r="K214" s="296">
        <f t="shared" si="144"/>
        <v>0.35901525124302291</v>
      </c>
    </row>
    <row r="215" spans="1:12" ht="14">
      <c r="A215" t="s">
        <v>287</v>
      </c>
      <c r="D215" s="1318">
        <v>4930135</v>
      </c>
      <c r="E215" s="1318">
        <v>8096035</v>
      </c>
      <c r="F215" s="1318">
        <v>13255770</v>
      </c>
      <c r="G215" s="1318">
        <v>26516643</v>
      </c>
      <c r="H215" s="1318">
        <v>39271801</v>
      </c>
      <c r="I215" s="255">
        <f>CA!I124</f>
        <v>43978917.074891157</v>
      </c>
      <c r="J215" s="255">
        <f>CA!J124</f>
        <v>58445282.09503682</v>
      </c>
      <c r="K215" s="255">
        <f>CA!K124</f>
        <v>73582190.722301513</v>
      </c>
    </row>
    <row r="216" spans="1:12" ht="14">
      <c r="A216" t="s">
        <v>511</v>
      </c>
      <c r="D216" s="252">
        <f t="shared" ref="D216:J216" si="145">D213-D215</f>
        <v>-77665</v>
      </c>
      <c r="E216" s="252">
        <f t="shared" si="145"/>
        <v>-728922</v>
      </c>
      <c r="F216" s="252">
        <f t="shared" si="145"/>
        <v>1926752</v>
      </c>
      <c r="G216" s="252">
        <f t="shared" si="145"/>
        <v>6653097</v>
      </c>
      <c r="H216" s="252">
        <f t="shared" si="145"/>
        <v>6234780</v>
      </c>
      <c r="I216" s="252">
        <f t="shared" si="145"/>
        <v>3581419.686748676</v>
      </c>
      <c r="J216" s="252">
        <f t="shared" si="145"/>
        <v>11905671.806525663</v>
      </c>
      <c r="K216" s="252">
        <f t="shared" ref="K216" si="146">K213-K215</f>
        <v>22025828.569416746</v>
      </c>
    </row>
    <row r="217" spans="1:12" ht="14">
      <c r="A217" t="s">
        <v>513</v>
      </c>
      <c r="D217" s="296">
        <f t="shared" ref="D217:J217" si="147">D216/D213</f>
        <v>-1.6005250934060387E-2</v>
      </c>
      <c r="E217" s="296">
        <f t="shared" si="147"/>
        <v>-9.8942693019640121E-2</v>
      </c>
      <c r="F217" s="296">
        <f t="shared" si="147"/>
        <v>0.12690592511573506</v>
      </c>
      <c r="G217" s="296">
        <f t="shared" si="147"/>
        <v>0.20057730328908216</v>
      </c>
      <c r="H217" s="296">
        <f t="shared" si="147"/>
        <v>0.13700831534674074</v>
      </c>
      <c r="I217" s="296">
        <f t="shared" si="147"/>
        <v>7.5302656175414179E-2</v>
      </c>
      <c r="J217" s="296">
        <f t="shared" si="147"/>
        <v>0.16923255686318761</v>
      </c>
      <c r="K217" s="296">
        <f t="shared" ref="K217" si="148">K216/K213</f>
        <v>0.23037637148628456</v>
      </c>
    </row>
    <row r="218" spans="1:12" ht="14">
      <c r="A218" t="s">
        <v>592</v>
      </c>
      <c r="D218" s="296">
        <f t="shared" ref="D218:G218" si="149">D216/D233</f>
        <v>0.30352592662070693</v>
      </c>
      <c r="E218" s="296">
        <f t="shared" si="149"/>
        <v>0.60803188463341518</v>
      </c>
      <c r="F218" s="296">
        <f t="shared" si="149"/>
        <v>1.028468271112869</v>
      </c>
      <c r="G218" s="296">
        <f t="shared" si="149"/>
        <v>0.97532248722519155</v>
      </c>
      <c r="H218" s="296">
        <f>H216/H233</f>
        <v>1.2120506384825951</v>
      </c>
      <c r="I218" s="296">
        <f>I216/I233</f>
        <v>1.1128105387902025</v>
      </c>
      <c r="J218" s="296">
        <f>J216/J233</f>
        <v>1.0376427194433897</v>
      </c>
      <c r="K218" s="296">
        <f t="shared" ref="K218" si="150">K216/K233</f>
        <v>1.0280998327797364</v>
      </c>
    </row>
    <row r="219" spans="1:12" ht="14">
      <c r="A219" t="s">
        <v>593</v>
      </c>
      <c r="D219" s="296">
        <f t="shared" ref="D219:K219" si="151">D213/D230</f>
        <v>0.98006511994839196</v>
      </c>
      <c r="E219" s="296">
        <f t="shared" si="151"/>
        <v>0.94149564007430631</v>
      </c>
      <c r="F219" s="296">
        <f t="shared" si="151"/>
        <v>0.93385315341132236</v>
      </c>
      <c r="G219" s="296">
        <f t="shared" si="151"/>
        <v>0.91790324681554669</v>
      </c>
      <c r="H219" s="296">
        <f t="shared" si="151"/>
        <v>0.92364339603910894</v>
      </c>
      <c r="I219" s="296">
        <f t="shared" si="151"/>
        <v>0.92508634315628691</v>
      </c>
      <c r="J219" s="296">
        <f t="shared" si="151"/>
        <v>0.92220053714680728</v>
      </c>
      <c r="K219" s="296">
        <f t="shared" si="151"/>
        <v>0.92364192272415058</v>
      </c>
    </row>
    <row r="220" spans="1:12" ht="14.5">
      <c r="A220" s="319" t="s">
        <v>594</v>
      </c>
      <c r="B220" s="1441"/>
      <c r="C220" s="1441"/>
      <c r="D220" s="1465"/>
      <c r="E220" s="1465"/>
      <c r="F220" s="1465"/>
      <c r="G220" s="1465"/>
      <c r="H220" s="1441"/>
      <c r="I220" s="1467"/>
      <c r="J220" s="1467"/>
      <c r="K220" s="1467"/>
    </row>
    <row r="221" spans="1:12" ht="14">
      <c r="A221" t="s">
        <v>508</v>
      </c>
      <c r="D221" s="100">
        <v>98701</v>
      </c>
      <c r="E221" s="100">
        <v>457791</v>
      </c>
      <c r="F221" s="100">
        <v>1075411</v>
      </c>
      <c r="G221" s="100">
        <v>2966683</v>
      </c>
      <c r="H221" s="100">
        <v>3761980</v>
      </c>
      <c r="I221" s="252">
        <f>I213*I224</f>
        <v>3851444.5423295875</v>
      </c>
      <c r="J221" s="252">
        <f>J213*J224</f>
        <v>5935006.7629379192</v>
      </c>
      <c r="K221" s="252">
        <f t="shared" ref="K221" si="152">K213*K224</f>
        <v>7903977.0127976704</v>
      </c>
    </row>
    <row r="222" spans="1:12" ht="14">
      <c r="A222" t="s">
        <v>510</v>
      </c>
      <c r="D222" s="32"/>
      <c r="E222" s="296">
        <f t="shared" ref="E222:K222" si="153">E221/D221-1</f>
        <v>3.6381596944306542</v>
      </c>
      <c r="F222" s="296">
        <f t="shared" si="153"/>
        <v>1.349130935295801</v>
      </c>
      <c r="G222" s="296">
        <f t="shared" si="153"/>
        <v>1.7586504136558023</v>
      </c>
      <c r="H222" s="296">
        <f t="shared" si="153"/>
        <v>0.26807616452448735</v>
      </c>
      <c r="I222" s="296">
        <f t="shared" si="153"/>
        <v>2.3781238159051199E-2</v>
      </c>
      <c r="J222" s="296">
        <f t="shared" si="153"/>
        <v>0.54098201277696889</v>
      </c>
      <c r="K222" s="296">
        <f t="shared" si="153"/>
        <v>0.33175535066872963</v>
      </c>
    </row>
    <row r="223" spans="1:12" ht="14">
      <c r="A223" t="s">
        <v>287</v>
      </c>
      <c r="D223" s="100">
        <v>276912</v>
      </c>
      <c r="E223" s="100">
        <v>927691</v>
      </c>
      <c r="F223" s="100">
        <v>1128744</v>
      </c>
      <c r="G223" s="100">
        <v>2798347</v>
      </c>
      <c r="H223" s="100">
        <v>4852767</v>
      </c>
      <c r="I223" s="252">
        <f>I221-I225</f>
        <v>4214508.936862723</v>
      </c>
      <c r="J223" s="252">
        <f>J221-J225</f>
        <v>6366910.5918767704</v>
      </c>
      <c r="K223" s="252">
        <f>K221-K225</f>
        <v>8505982.849100871</v>
      </c>
    </row>
    <row r="224" spans="1:12" ht="14">
      <c r="A224" t="s">
        <v>614</v>
      </c>
      <c r="D224" s="296">
        <f>D221/D213</f>
        <v>2.0340362743097844E-2</v>
      </c>
      <c r="E224" s="296">
        <f>E221/E213</f>
        <v>6.2139809719221083E-2</v>
      </c>
      <c r="F224" s="296">
        <f>F221/F213</f>
        <v>7.0832171361253415E-2</v>
      </c>
      <c r="G224" s="296">
        <f>G221/G213</f>
        <v>8.9439440887990079E-2</v>
      </c>
      <c r="H224" s="296">
        <f>H221/H213</f>
        <v>8.2668922106013634E-2</v>
      </c>
      <c r="I224" s="1615">
        <f>AVERAGE(F224:H224)</f>
        <v>8.0980178118419052E-2</v>
      </c>
      <c r="J224" s="1615">
        <f>AVERAGE(G224:I224)</f>
        <v>8.4362847037474264E-2</v>
      </c>
      <c r="K224" s="1615">
        <f t="shared" ref="K224" si="154">AVERAGE(H224:J224)</f>
        <v>8.2670649087302317E-2</v>
      </c>
      <c r="L224" s="943" t="s">
        <v>229</v>
      </c>
    </row>
    <row r="225" spans="1:12" ht="14">
      <c r="A225" t="s">
        <v>511</v>
      </c>
      <c r="D225" s="252">
        <f>D221-D223</f>
        <v>-178211</v>
      </c>
      <c r="E225" s="252">
        <f>E221-E223</f>
        <v>-469900</v>
      </c>
      <c r="F225" s="252">
        <f>F221-F223</f>
        <v>-53333</v>
      </c>
      <c r="G225" s="252">
        <f>G221-G223</f>
        <v>168336</v>
      </c>
      <c r="H225" s="252">
        <f>H221-H223</f>
        <v>-1090787</v>
      </c>
      <c r="I225" s="252">
        <f>I221*I226</f>
        <v>-363064.39453313581</v>
      </c>
      <c r="J225" s="252">
        <f>J221*J226</f>
        <v>-431903.82893885096</v>
      </c>
      <c r="K225" s="252">
        <f>K221*K226</f>
        <v>-602005.83630320115</v>
      </c>
    </row>
    <row r="226" spans="1:12" ht="14">
      <c r="A226" t="s">
        <v>513</v>
      </c>
      <c r="D226" s="296">
        <f>D225/D221</f>
        <v>-1.8055642799971632</v>
      </c>
      <c r="E226" s="296">
        <f>E225/E221</f>
        <v>-1.0264509350336726</v>
      </c>
      <c r="F226" s="296">
        <f>F225/F221</f>
        <v>-4.9593132300115958E-2</v>
      </c>
      <c r="G226" s="296">
        <f>G225/G221</f>
        <v>5.6742159509458878E-2</v>
      </c>
      <c r="H226" s="296">
        <f>H225/H221</f>
        <v>-0.28995023896990413</v>
      </c>
      <c r="I226" s="1615">
        <f>AVERAGE(F226:H226)</f>
        <v>-9.4267070586853741E-2</v>
      </c>
      <c r="J226" s="1615">
        <f>AVERAGE(G226:I226)/1.5</f>
        <v>-7.2772255566066438E-2</v>
      </c>
      <c r="K226" s="1615">
        <f>AVERAGE(H226:J226)/2</f>
        <v>-7.6164927520470715E-2</v>
      </c>
      <c r="L226" s="943" t="s">
        <v>229</v>
      </c>
    </row>
    <row r="227" spans="1:12" ht="14">
      <c r="A227" t="s">
        <v>592</v>
      </c>
      <c r="D227" s="296">
        <f t="shared" ref="D227:E227" si="155">D221/D230</f>
        <v>1.9934880051607994E-2</v>
      </c>
      <c r="E227" s="296">
        <f t="shared" si="155"/>
        <v>5.8504359925693659E-2</v>
      </c>
      <c r="F227" s="296">
        <f t="shared" ref="F227:K227" si="156">F225/F233</f>
        <v>-2.8468271112869037E-2</v>
      </c>
      <c r="G227" s="296">
        <f t="shared" si="156"/>
        <v>2.4677512774808459E-2</v>
      </c>
      <c r="H227" s="296">
        <f t="shared" si="156"/>
        <v>-0.21205063848259514</v>
      </c>
      <c r="I227" s="296">
        <f t="shared" si="156"/>
        <v>-0.11281053879020282</v>
      </c>
      <c r="J227" s="296">
        <f t="shared" si="156"/>
        <v>-3.7642719443389851E-2</v>
      </c>
      <c r="K227" s="296">
        <f t="shared" si="156"/>
        <v>-2.8099832779736184E-2</v>
      </c>
    </row>
    <row r="228" spans="1:12" ht="14">
      <c r="A228" t="s">
        <v>593</v>
      </c>
      <c r="D228" s="296">
        <f t="shared" ref="D228:K228" si="157">D221/D230</f>
        <v>1.9934880051607994E-2</v>
      </c>
      <c r="E228" s="296">
        <f t="shared" si="157"/>
        <v>5.8504359925693659E-2</v>
      </c>
      <c r="F228" s="296">
        <f t="shared" si="157"/>
        <v>6.6146846588677657E-2</v>
      </c>
      <c r="G228" s="296">
        <f t="shared" si="157"/>
        <v>8.2096753184453253E-2</v>
      </c>
      <c r="H228" s="296">
        <f t="shared" si="157"/>
        <v>7.6356603960891001E-2</v>
      </c>
      <c r="I228" s="296">
        <f t="shared" si="157"/>
        <v>7.4913656843713053E-2</v>
      </c>
      <c r="J228" s="296">
        <f t="shared" si="157"/>
        <v>7.7799462853192711E-2</v>
      </c>
      <c r="K228" s="296">
        <f t="shared" si="157"/>
        <v>7.6358077275849451E-2</v>
      </c>
    </row>
    <row r="229" spans="1:12" ht="14.5">
      <c r="A229" s="319" t="s">
        <v>525</v>
      </c>
      <c r="B229" s="1467"/>
      <c r="C229" s="1467"/>
      <c r="D229" s="1468"/>
      <c r="E229" s="1468"/>
      <c r="F229" s="1468"/>
      <c r="G229" s="1468"/>
      <c r="H229" s="1467"/>
      <c r="I229" s="1467"/>
      <c r="J229" s="1467"/>
      <c r="K229" s="1467"/>
    </row>
    <row r="230" spans="1:12" ht="14">
      <c r="A230" s="263" t="s">
        <v>508</v>
      </c>
      <c r="D230" s="1616">
        <v>4951171</v>
      </c>
      <c r="E230" s="1616">
        <v>7824904</v>
      </c>
      <c r="F230" s="1616">
        <v>16257933</v>
      </c>
      <c r="G230" s="1616">
        <v>36136423</v>
      </c>
      <c r="H230" s="1929">
        <v>49268561</v>
      </c>
      <c r="I230" s="256">
        <f>I221+I213</f>
        <v>51411781.30396942</v>
      </c>
      <c r="J230" s="256">
        <f>J221+J213</f>
        <v>76285960.6645004</v>
      </c>
      <c r="K230" s="256">
        <f>K221+K213</f>
        <v>103511996.30451593</v>
      </c>
    </row>
    <row r="231" spans="1:12" ht="14">
      <c r="A231" s="262" t="s">
        <v>526</v>
      </c>
      <c r="D231" s="32"/>
      <c r="E231" s="296">
        <f t="shared" ref="E231:K231" si="158">E230/D230-1</f>
        <v>0.58041481500033032</v>
      </c>
      <c r="F231" s="296">
        <f t="shared" si="158"/>
        <v>1.077716608408231</v>
      </c>
      <c r="G231" s="296">
        <f t="shared" si="158"/>
        <v>1.2226947915211608</v>
      </c>
      <c r="H231" s="296">
        <f>H230/G230-1</f>
        <v>0.36340447974056533</v>
      </c>
      <c r="I231" s="296">
        <f t="shared" si="158"/>
        <v>4.3500769262764249E-2</v>
      </c>
      <c r="J231" s="296">
        <f t="shared" si="158"/>
        <v>0.48382255447372491</v>
      </c>
      <c r="K231" s="296">
        <f t="shared" si="158"/>
        <v>0.35689444562091155</v>
      </c>
    </row>
    <row r="232" spans="1:12" ht="14.5" thickBot="1">
      <c r="A232" s="1627" t="s">
        <v>287</v>
      </c>
      <c r="B232" s="1291"/>
      <c r="C232" s="1291"/>
      <c r="D232" s="1626">
        <f t="shared" ref="D232:K232" si="159">D215+D223</f>
        <v>5207047</v>
      </c>
      <c r="E232" s="1626">
        <f t="shared" si="159"/>
        <v>9023726</v>
      </c>
      <c r="F232" s="1626">
        <f t="shared" si="159"/>
        <v>14384514</v>
      </c>
      <c r="G232" s="1626">
        <f t="shared" si="159"/>
        <v>29314990</v>
      </c>
      <c r="H232" s="1626">
        <f>H215+H223</f>
        <v>44124568</v>
      </c>
      <c r="I232" s="1626">
        <f>I215+I223</f>
        <v>48193426.011753879</v>
      </c>
      <c r="J232" s="1626">
        <f t="shared" si="159"/>
        <v>64812192.686913587</v>
      </c>
      <c r="K232" s="1626">
        <f t="shared" si="159"/>
        <v>82088173.571402386</v>
      </c>
    </row>
    <row r="233" spans="1:12" ht="14">
      <c r="A233" s="263" t="s">
        <v>511</v>
      </c>
      <c r="D233" s="32">
        <f t="shared" ref="D233:J233" si="160">D230-D232</f>
        <v>-255876</v>
      </c>
      <c r="E233" s="32">
        <f t="shared" si="160"/>
        <v>-1198822</v>
      </c>
      <c r="F233" s="32">
        <f t="shared" si="160"/>
        <v>1873419</v>
      </c>
      <c r="G233" s="32">
        <f t="shared" si="160"/>
        <v>6821433</v>
      </c>
      <c r="H233" s="32">
        <f t="shared" si="160"/>
        <v>5143993</v>
      </c>
      <c r="I233" s="252">
        <f>I230-I232</f>
        <v>3218355.292215541</v>
      </c>
      <c r="J233" s="252">
        <f t="shared" si="160"/>
        <v>11473767.977586813</v>
      </c>
      <c r="K233" s="252">
        <f>K230-K232</f>
        <v>21423822.733113542</v>
      </c>
    </row>
    <row r="234" spans="1:12" ht="14">
      <c r="A234" s="262" t="s">
        <v>513</v>
      </c>
      <c r="D234" s="296">
        <f t="shared" ref="D234:K234" si="161">D233/D230</f>
        <v>-5.1679895523705402E-2</v>
      </c>
      <c r="E234" s="296">
        <f t="shared" si="161"/>
        <v>-0.15320596904447645</v>
      </c>
      <c r="F234" s="296">
        <f t="shared" si="161"/>
        <v>0.11523106904180255</v>
      </c>
      <c r="G234" s="296">
        <f t="shared" si="161"/>
        <v>0.18876890499095608</v>
      </c>
      <c r="H234" s="296">
        <f t="shared" si="161"/>
        <v>0.1044072101070701</v>
      </c>
      <c r="I234" s="296">
        <f t="shared" si="161"/>
        <v>6.2599567853663482E-2</v>
      </c>
      <c r="J234" s="296">
        <f t="shared" si="161"/>
        <v>0.150404712448304</v>
      </c>
      <c r="K234" s="296">
        <f t="shared" si="161"/>
        <v>0.20696946728848745</v>
      </c>
    </row>
    <row r="235" spans="1:12" ht="14">
      <c r="A235" s="262"/>
      <c r="D235" s="296"/>
      <c r="E235" s="296"/>
      <c r="F235" s="296"/>
      <c r="G235" s="296"/>
      <c r="H235" s="296"/>
      <c r="I235" s="296"/>
      <c r="J235" s="296"/>
      <c r="K235" s="296"/>
    </row>
    <row r="236" spans="1:12" ht="14">
      <c r="A236" s="262" t="s">
        <v>527</v>
      </c>
      <c r="D236" s="628">
        <v>5341790</v>
      </c>
      <c r="E236" s="628">
        <v>5451787</v>
      </c>
      <c r="F236" s="628">
        <v>3932271</v>
      </c>
      <c r="G236" s="628">
        <v>6878132</v>
      </c>
      <c r="H236" s="628">
        <v>10537119</v>
      </c>
      <c r="I236" s="279">
        <f>I230*23.14%*0.9</f>
        <v>10707017.574364671</v>
      </c>
      <c r="J236" s="252">
        <f>J230*J237</f>
        <v>12709851.334391084</v>
      </c>
      <c r="K236" s="252">
        <f>K230*K237</f>
        <v>13796741.344242232</v>
      </c>
    </row>
    <row r="237" spans="1:12" ht="14">
      <c r="A237" s="262" t="s">
        <v>528</v>
      </c>
      <c r="D237" s="1470">
        <f t="shared" ref="D237:H237" si="162">D236/D230</f>
        <v>1.0788942656191838</v>
      </c>
      <c r="E237" s="1470">
        <f t="shared" si="162"/>
        <v>0.69672254126057009</v>
      </c>
      <c r="F237" s="1470">
        <f t="shared" si="162"/>
        <v>0.2418678315379944</v>
      </c>
      <c r="G237" s="1470">
        <f t="shared" si="162"/>
        <v>0.19033793134422852</v>
      </c>
      <c r="H237" s="1470">
        <f t="shared" si="162"/>
        <v>0.21387105257651021</v>
      </c>
      <c r="I237" s="1470">
        <f>I236/I230</f>
        <v>0.20826</v>
      </c>
      <c r="J237" s="1615">
        <f>I237*0.8</f>
        <v>0.16660800000000001</v>
      </c>
      <c r="K237" s="1615">
        <f>J237*0.8</f>
        <v>0.1332864</v>
      </c>
      <c r="L237" s="1794">
        <v>0.8</v>
      </c>
    </row>
    <row r="238" spans="1:12" ht="14">
      <c r="A238" t="s">
        <v>530</v>
      </c>
      <c r="D238" s="32">
        <v>3997942</v>
      </c>
      <c r="E238" s="32">
        <v>4428580</v>
      </c>
      <c r="F238" s="32">
        <v>2487770</v>
      </c>
      <c r="G238" s="32">
        <v>4591852</v>
      </c>
      <c r="H238" s="32">
        <v>10836261</v>
      </c>
      <c r="I238" s="279">
        <f>I230*24.56%*0.95</f>
        <v>11995396.813842144</v>
      </c>
      <c r="J238" s="252">
        <f>J230*J239</f>
        <v>13422832.956639588</v>
      </c>
      <c r="K238" s="252">
        <f>K230*K239</f>
        <v>14570693.98668926</v>
      </c>
    </row>
    <row r="239" spans="1:12" ht="14">
      <c r="A239" t="s">
        <v>531</v>
      </c>
      <c r="D239" s="296">
        <v>0.80747402988101202</v>
      </c>
      <c r="E239" s="296">
        <v>0.56595965905779799</v>
      </c>
      <c r="F239" s="296">
        <v>0.15301883701944152</v>
      </c>
      <c r="G239" s="296">
        <v>0.12706990949270214</v>
      </c>
      <c r="H239" s="296">
        <v>0.21994271356940992</v>
      </c>
      <c r="I239" s="296">
        <v>0.21994271356940992</v>
      </c>
      <c r="J239" s="406">
        <f>I239*0.8</f>
        <v>0.17595417085552795</v>
      </c>
      <c r="K239" s="406">
        <f>J239*0.8</f>
        <v>0.14076333668442237</v>
      </c>
      <c r="L239" s="1795">
        <v>0.8</v>
      </c>
    </row>
    <row r="240" spans="1:12" ht="14">
      <c r="A240" t="s">
        <v>615</v>
      </c>
      <c r="D240" s="1631">
        <v>0</v>
      </c>
      <c r="E240" s="1631">
        <v>0</v>
      </c>
      <c r="F240" s="1632">
        <v>-61023</v>
      </c>
      <c r="G240" s="1632">
        <v>152248</v>
      </c>
      <c r="H240" s="1632">
        <v>588728</v>
      </c>
      <c r="I240" s="406"/>
      <c r="J240" s="406"/>
      <c r="K240" s="406"/>
    </row>
    <row r="241" spans="1:775 1026:1799 2050:2823 3074:3847 4098:4871 5122:5895 6146:6919 7170:7943 8194:8967 9218:9991 10242:11015 11266:12039 12290:13063 13314:14087 14338:15111 15362:16135" ht="14.5" thickBot="1">
      <c r="A241" s="1628" t="s">
        <v>616</v>
      </c>
      <c r="B241" s="1291"/>
      <c r="C241" s="1291"/>
      <c r="D241" s="1630">
        <f t="shared" ref="D241:H241" si="163">D236+D238+D240</f>
        <v>9339732</v>
      </c>
      <c r="E241" s="1630">
        <f t="shared" si="163"/>
        <v>9880367</v>
      </c>
      <c r="F241" s="1630">
        <f t="shared" si="163"/>
        <v>6359018</v>
      </c>
      <c r="G241" s="1630">
        <f>G236+G238+G240</f>
        <v>11622232</v>
      </c>
      <c r="H241" s="1630">
        <f t="shared" si="163"/>
        <v>21962108</v>
      </c>
      <c r="I241" s="1629">
        <f>I236+I238+I240</f>
        <v>22702414.388206817</v>
      </c>
      <c r="J241" s="1629">
        <f>J236+J238+J240</f>
        <v>26132684.291030671</v>
      </c>
      <c r="K241" s="1629">
        <f>K236+K238+K240</f>
        <v>28367435.330931492</v>
      </c>
    </row>
    <row r="242" spans="1:775 1026:1799 2050:2823 3074:3847 4098:4871 5122:5895 6146:6919 7170:7943 8194:8967 9218:9991 10242:11015 11266:12039 12290:13063 13314:14087 14338:15111 15362:16135" ht="14">
      <c r="A242" s="263" t="s">
        <v>596</v>
      </c>
      <c r="D242" s="252">
        <f t="shared" ref="D242:J242" si="164">D233-D241</f>
        <v>-9595608</v>
      </c>
      <c r="E242" s="252">
        <f t="shared" si="164"/>
        <v>-11079189</v>
      </c>
      <c r="F242" s="252">
        <f t="shared" si="164"/>
        <v>-4485599</v>
      </c>
      <c r="G242" s="252">
        <f t="shared" si="164"/>
        <v>-4800799</v>
      </c>
      <c r="H242" s="252">
        <f>H233-H241</f>
        <v>-16818115</v>
      </c>
      <c r="I242" s="252">
        <f>I233-I241</f>
        <v>-19484059.095991276</v>
      </c>
      <c r="J242" s="252">
        <f t="shared" si="164"/>
        <v>-14658916.313443858</v>
      </c>
      <c r="K242" s="252">
        <f>K233-K241</f>
        <v>-6943612.59781795</v>
      </c>
    </row>
    <row r="243" spans="1:775 1026:1799 2050:2823 3074:3847 4098:4871 5122:5895 6146:6919 7170:7943 8194:8967 9218:9991 10242:11015 11266:12039 12290:13063 13314:14087 14338:15111 15362:16135" ht="14">
      <c r="D243" s="252"/>
      <c r="E243" s="252"/>
      <c r="F243" s="252"/>
      <c r="G243" s="252"/>
      <c r="H243" s="252"/>
      <c r="J243" s="19"/>
    </row>
    <row r="244" spans="1:775 1026:1799 2050:2823 3074:3847 4098:4871 5122:5895 6146:6919 7170:7943 8194:8967 9218:9991 10242:11015 11266:12039 12290:13063 13314:14087 14338:15111 15362:16135" ht="14">
      <c r="A244" s="96" t="s">
        <v>617</v>
      </c>
      <c r="D244" s="1318">
        <v>-123643</v>
      </c>
      <c r="E244" s="1318">
        <v>-370536</v>
      </c>
      <c r="F244" s="1318">
        <v>-426015</v>
      </c>
      <c r="G244" s="1318">
        <v>-637410</v>
      </c>
      <c r="H244" s="1318">
        <v>-333216</v>
      </c>
      <c r="I244" s="1619">
        <f>-('Model 22A NIO '!F56+'Model 22A NIO '!F60)*2.5%</f>
        <v>-404073.125</v>
      </c>
      <c r="J244" s="1619">
        <f>-('Model 22A NIO '!G56+'Model 22A NIO '!G60)*2.5%</f>
        <v>-381305.70754483482</v>
      </c>
      <c r="K244" s="1619">
        <f>-('Model 22A NIO '!H56+'Model 22A NIO '!H60)*2.5%</f>
        <v>-377418.56712760229</v>
      </c>
      <c r="IX244" t="s">
        <v>617</v>
      </c>
      <c r="IY244">
        <v>-123643</v>
      </c>
      <c r="IZ244">
        <v>-370536</v>
      </c>
      <c r="JA244">
        <v>-426015</v>
      </c>
      <c r="JB244">
        <v>-637410</v>
      </c>
      <c r="JC244">
        <v>-333216</v>
      </c>
      <c r="ST244" t="s">
        <v>617</v>
      </c>
      <c r="SU244">
        <v>-123643</v>
      </c>
      <c r="SV244">
        <v>-370536</v>
      </c>
      <c r="SW244">
        <v>-426015</v>
      </c>
      <c r="SX244">
        <v>-637410</v>
      </c>
      <c r="SY244">
        <v>-333216</v>
      </c>
      <c r="ACP244" t="s">
        <v>617</v>
      </c>
      <c r="ACQ244">
        <v>-123643</v>
      </c>
      <c r="ACR244">
        <v>-370536</v>
      </c>
      <c r="ACS244">
        <v>-426015</v>
      </c>
      <c r="ACT244">
        <v>-637410</v>
      </c>
      <c r="ACU244">
        <v>-333216</v>
      </c>
      <c r="AML244" t="s">
        <v>617</v>
      </c>
      <c r="AMM244">
        <v>-123643</v>
      </c>
      <c r="AMN244">
        <v>-370536</v>
      </c>
      <c r="AMO244">
        <v>-426015</v>
      </c>
      <c r="AMP244">
        <v>-637410</v>
      </c>
      <c r="AMQ244">
        <v>-333216</v>
      </c>
      <c r="AWH244" t="s">
        <v>617</v>
      </c>
      <c r="AWI244">
        <v>-123643</v>
      </c>
      <c r="AWJ244">
        <v>-370536</v>
      </c>
      <c r="AWK244">
        <v>-426015</v>
      </c>
      <c r="AWL244">
        <v>-637410</v>
      </c>
      <c r="AWM244">
        <v>-333216</v>
      </c>
      <c r="BGD244" t="s">
        <v>617</v>
      </c>
      <c r="BGE244">
        <v>-123643</v>
      </c>
      <c r="BGF244">
        <v>-370536</v>
      </c>
      <c r="BGG244">
        <v>-426015</v>
      </c>
      <c r="BGH244">
        <v>-637410</v>
      </c>
      <c r="BGI244">
        <v>-333216</v>
      </c>
      <c r="BPZ244" t="s">
        <v>617</v>
      </c>
      <c r="BQA244">
        <v>-123643</v>
      </c>
      <c r="BQB244">
        <v>-370536</v>
      </c>
      <c r="BQC244">
        <v>-426015</v>
      </c>
      <c r="BQD244">
        <v>-637410</v>
      </c>
      <c r="BQE244">
        <v>-333216</v>
      </c>
      <c r="BZV244" t="s">
        <v>617</v>
      </c>
      <c r="BZW244">
        <v>-123643</v>
      </c>
      <c r="BZX244">
        <v>-370536</v>
      </c>
      <c r="BZY244">
        <v>-426015</v>
      </c>
      <c r="BZZ244">
        <v>-637410</v>
      </c>
      <c r="CAA244">
        <v>-333216</v>
      </c>
      <c r="CJR244" t="s">
        <v>617</v>
      </c>
      <c r="CJS244">
        <v>-123643</v>
      </c>
      <c r="CJT244">
        <v>-370536</v>
      </c>
      <c r="CJU244">
        <v>-426015</v>
      </c>
      <c r="CJV244">
        <v>-637410</v>
      </c>
      <c r="CJW244">
        <v>-333216</v>
      </c>
      <c r="CTN244" t="s">
        <v>617</v>
      </c>
      <c r="CTO244">
        <v>-123643</v>
      </c>
      <c r="CTP244">
        <v>-370536</v>
      </c>
      <c r="CTQ244">
        <v>-426015</v>
      </c>
      <c r="CTR244">
        <v>-637410</v>
      </c>
      <c r="CTS244">
        <v>-333216</v>
      </c>
      <c r="DDJ244" t="s">
        <v>617</v>
      </c>
      <c r="DDK244">
        <v>-123643</v>
      </c>
      <c r="DDL244">
        <v>-370536</v>
      </c>
      <c r="DDM244">
        <v>-426015</v>
      </c>
      <c r="DDN244">
        <v>-637410</v>
      </c>
      <c r="DDO244">
        <v>-333216</v>
      </c>
      <c r="DNF244" t="s">
        <v>617</v>
      </c>
      <c r="DNG244">
        <v>-123643</v>
      </c>
      <c r="DNH244">
        <v>-370536</v>
      </c>
      <c r="DNI244">
        <v>-426015</v>
      </c>
      <c r="DNJ244">
        <v>-637410</v>
      </c>
      <c r="DNK244">
        <v>-333216</v>
      </c>
      <c r="DXB244" t="s">
        <v>617</v>
      </c>
      <c r="DXC244">
        <v>-123643</v>
      </c>
      <c r="DXD244">
        <v>-370536</v>
      </c>
      <c r="DXE244">
        <v>-426015</v>
      </c>
      <c r="DXF244">
        <v>-637410</v>
      </c>
      <c r="DXG244">
        <v>-333216</v>
      </c>
      <c r="EGX244" t="s">
        <v>617</v>
      </c>
      <c r="EGY244">
        <v>-123643</v>
      </c>
      <c r="EGZ244">
        <v>-370536</v>
      </c>
      <c r="EHA244">
        <v>-426015</v>
      </c>
      <c r="EHB244">
        <v>-637410</v>
      </c>
      <c r="EHC244">
        <v>-333216</v>
      </c>
      <c r="EQT244" t="s">
        <v>617</v>
      </c>
      <c r="EQU244">
        <v>-123643</v>
      </c>
      <c r="EQV244">
        <v>-370536</v>
      </c>
      <c r="EQW244">
        <v>-426015</v>
      </c>
      <c r="EQX244">
        <v>-637410</v>
      </c>
      <c r="EQY244">
        <v>-333216</v>
      </c>
      <c r="FAP244" t="s">
        <v>617</v>
      </c>
      <c r="FAQ244">
        <v>-123643</v>
      </c>
      <c r="FAR244">
        <v>-370536</v>
      </c>
      <c r="FAS244">
        <v>-426015</v>
      </c>
      <c r="FAT244">
        <v>-637410</v>
      </c>
      <c r="FAU244">
        <v>-333216</v>
      </c>
      <c r="FKL244" t="s">
        <v>617</v>
      </c>
      <c r="FKM244">
        <v>-123643</v>
      </c>
      <c r="FKN244">
        <v>-370536</v>
      </c>
      <c r="FKO244">
        <v>-426015</v>
      </c>
      <c r="FKP244">
        <v>-637410</v>
      </c>
      <c r="FKQ244">
        <v>-333216</v>
      </c>
      <c r="FUH244" t="s">
        <v>617</v>
      </c>
      <c r="FUI244">
        <v>-123643</v>
      </c>
      <c r="FUJ244">
        <v>-370536</v>
      </c>
      <c r="FUK244">
        <v>-426015</v>
      </c>
      <c r="FUL244">
        <v>-637410</v>
      </c>
      <c r="FUM244">
        <v>-333216</v>
      </c>
      <c r="GED244" t="s">
        <v>617</v>
      </c>
      <c r="GEE244">
        <v>-123643</v>
      </c>
      <c r="GEF244">
        <v>-370536</v>
      </c>
      <c r="GEG244">
        <v>-426015</v>
      </c>
      <c r="GEH244">
        <v>-637410</v>
      </c>
      <c r="GEI244">
        <v>-333216</v>
      </c>
      <c r="GNZ244" t="s">
        <v>617</v>
      </c>
      <c r="GOA244">
        <v>-123643</v>
      </c>
      <c r="GOB244">
        <v>-370536</v>
      </c>
      <c r="GOC244">
        <v>-426015</v>
      </c>
      <c r="GOD244">
        <v>-637410</v>
      </c>
      <c r="GOE244">
        <v>-333216</v>
      </c>
      <c r="GXV244" t="s">
        <v>617</v>
      </c>
      <c r="GXW244">
        <v>-123643</v>
      </c>
      <c r="GXX244">
        <v>-370536</v>
      </c>
      <c r="GXY244">
        <v>-426015</v>
      </c>
      <c r="GXZ244">
        <v>-637410</v>
      </c>
      <c r="GYA244">
        <v>-333216</v>
      </c>
      <c r="HHR244" t="s">
        <v>617</v>
      </c>
      <c r="HHS244">
        <v>-123643</v>
      </c>
      <c r="HHT244">
        <v>-370536</v>
      </c>
      <c r="HHU244">
        <v>-426015</v>
      </c>
      <c r="HHV244">
        <v>-637410</v>
      </c>
      <c r="HHW244">
        <v>-333216</v>
      </c>
      <c r="HRN244" t="s">
        <v>617</v>
      </c>
      <c r="HRO244">
        <v>-123643</v>
      </c>
      <c r="HRP244">
        <v>-370536</v>
      </c>
      <c r="HRQ244">
        <v>-426015</v>
      </c>
      <c r="HRR244">
        <v>-637410</v>
      </c>
      <c r="HRS244">
        <v>-333216</v>
      </c>
      <c r="IBJ244" t="s">
        <v>617</v>
      </c>
      <c r="IBK244">
        <v>-123643</v>
      </c>
      <c r="IBL244">
        <v>-370536</v>
      </c>
      <c r="IBM244">
        <v>-426015</v>
      </c>
      <c r="IBN244">
        <v>-637410</v>
      </c>
      <c r="IBO244">
        <v>-333216</v>
      </c>
      <c r="ILF244" t="s">
        <v>617</v>
      </c>
      <c r="ILG244">
        <v>-123643</v>
      </c>
      <c r="ILH244">
        <v>-370536</v>
      </c>
      <c r="ILI244">
        <v>-426015</v>
      </c>
      <c r="ILJ244">
        <v>-637410</v>
      </c>
      <c r="ILK244">
        <v>-333216</v>
      </c>
      <c r="IVB244" t="s">
        <v>617</v>
      </c>
      <c r="IVC244">
        <v>-123643</v>
      </c>
      <c r="IVD244">
        <v>-370536</v>
      </c>
      <c r="IVE244">
        <v>-426015</v>
      </c>
      <c r="IVF244">
        <v>-637410</v>
      </c>
      <c r="IVG244">
        <v>-333216</v>
      </c>
      <c r="JEX244" t="s">
        <v>617</v>
      </c>
      <c r="JEY244">
        <v>-123643</v>
      </c>
      <c r="JEZ244">
        <v>-370536</v>
      </c>
      <c r="JFA244">
        <v>-426015</v>
      </c>
      <c r="JFB244">
        <v>-637410</v>
      </c>
      <c r="JFC244">
        <v>-333216</v>
      </c>
      <c r="JOT244" t="s">
        <v>617</v>
      </c>
      <c r="JOU244">
        <v>-123643</v>
      </c>
      <c r="JOV244">
        <v>-370536</v>
      </c>
      <c r="JOW244">
        <v>-426015</v>
      </c>
      <c r="JOX244">
        <v>-637410</v>
      </c>
      <c r="JOY244">
        <v>-333216</v>
      </c>
      <c r="JYP244" t="s">
        <v>617</v>
      </c>
      <c r="JYQ244">
        <v>-123643</v>
      </c>
      <c r="JYR244">
        <v>-370536</v>
      </c>
      <c r="JYS244">
        <v>-426015</v>
      </c>
      <c r="JYT244">
        <v>-637410</v>
      </c>
      <c r="JYU244">
        <v>-333216</v>
      </c>
      <c r="KIL244" t="s">
        <v>617</v>
      </c>
      <c r="KIM244">
        <v>-123643</v>
      </c>
      <c r="KIN244">
        <v>-370536</v>
      </c>
      <c r="KIO244">
        <v>-426015</v>
      </c>
      <c r="KIP244">
        <v>-637410</v>
      </c>
      <c r="KIQ244">
        <v>-333216</v>
      </c>
      <c r="KSH244" t="s">
        <v>617</v>
      </c>
      <c r="KSI244">
        <v>-123643</v>
      </c>
      <c r="KSJ244">
        <v>-370536</v>
      </c>
      <c r="KSK244">
        <v>-426015</v>
      </c>
      <c r="KSL244">
        <v>-637410</v>
      </c>
      <c r="KSM244">
        <v>-333216</v>
      </c>
      <c r="LCD244" t="s">
        <v>617</v>
      </c>
      <c r="LCE244">
        <v>-123643</v>
      </c>
      <c r="LCF244">
        <v>-370536</v>
      </c>
      <c r="LCG244">
        <v>-426015</v>
      </c>
      <c r="LCH244">
        <v>-637410</v>
      </c>
      <c r="LCI244">
        <v>-333216</v>
      </c>
      <c r="LLZ244" t="s">
        <v>617</v>
      </c>
      <c r="LMA244">
        <v>-123643</v>
      </c>
      <c r="LMB244">
        <v>-370536</v>
      </c>
      <c r="LMC244">
        <v>-426015</v>
      </c>
      <c r="LMD244">
        <v>-637410</v>
      </c>
      <c r="LME244">
        <v>-333216</v>
      </c>
      <c r="LVV244" t="s">
        <v>617</v>
      </c>
      <c r="LVW244">
        <v>-123643</v>
      </c>
      <c r="LVX244">
        <v>-370536</v>
      </c>
      <c r="LVY244">
        <v>-426015</v>
      </c>
      <c r="LVZ244">
        <v>-637410</v>
      </c>
      <c r="LWA244">
        <v>-333216</v>
      </c>
      <c r="MFR244" t="s">
        <v>617</v>
      </c>
      <c r="MFS244">
        <v>-123643</v>
      </c>
      <c r="MFT244">
        <v>-370536</v>
      </c>
      <c r="MFU244">
        <v>-426015</v>
      </c>
      <c r="MFV244">
        <v>-637410</v>
      </c>
      <c r="MFW244">
        <v>-333216</v>
      </c>
      <c r="MPN244" t="s">
        <v>617</v>
      </c>
      <c r="MPO244">
        <v>-123643</v>
      </c>
      <c r="MPP244">
        <v>-370536</v>
      </c>
      <c r="MPQ244">
        <v>-426015</v>
      </c>
      <c r="MPR244">
        <v>-637410</v>
      </c>
      <c r="MPS244">
        <v>-333216</v>
      </c>
      <c r="MZJ244" t="s">
        <v>617</v>
      </c>
      <c r="MZK244">
        <v>-123643</v>
      </c>
      <c r="MZL244">
        <v>-370536</v>
      </c>
      <c r="MZM244">
        <v>-426015</v>
      </c>
      <c r="MZN244">
        <v>-637410</v>
      </c>
      <c r="MZO244">
        <v>-333216</v>
      </c>
      <c r="NJF244" t="s">
        <v>617</v>
      </c>
      <c r="NJG244">
        <v>-123643</v>
      </c>
      <c r="NJH244">
        <v>-370536</v>
      </c>
      <c r="NJI244">
        <v>-426015</v>
      </c>
      <c r="NJJ244">
        <v>-637410</v>
      </c>
      <c r="NJK244">
        <v>-333216</v>
      </c>
      <c r="NTB244" t="s">
        <v>617</v>
      </c>
      <c r="NTC244">
        <v>-123643</v>
      </c>
      <c r="NTD244">
        <v>-370536</v>
      </c>
      <c r="NTE244">
        <v>-426015</v>
      </c>
      <c r="NTF244">
        <v>-637410</v>
      </c>
      <c r="NTG244">
        <v>-333216</v>
      </c>
      <c r="OCX244" t="s">
        <v>617</v>
      </c>
      <c r="OCY244">
        <v>-123643</v>
      </c>
      <c r="OCZ244">
        <v>-370536</v>
      </c>
      <c r="ODA244">
        <v>-426015</v>
      </c>
      <c r="ODB244">
        <v>-637410</v>
      </c>
      <c r="ODC244">
        <v>-333216</v>
      </c>
      <c r="OMT244" t="s">
        <v>617</v>
      </c>
      <c r="OMU244">
        <v>-123643</v>
      </c>
      <c r="OMV244">
        <v>-370536</v>
      </c>
      <c r="OMW244">
        <v>-426015</v>
      </c>
      <c r="OMX244">
        <v>-637410</v>
      </c>
      <c r="OMY244">
        <v>-333216</v>
      </c>
      <c r="OWP244" t="s">
        <v>617</v>
      </c>
      <c r="OWQ244">
        <v>-123643</v>
      </c>
      <c r="OWR244">
        <v>-370536</v>
      </c>
      <c r="OWS244">
        <v>-426015</v>
      </c>
      <c r="OWT244">
        <v>-637410</v>
      </c>
      <c r="OWU244">
        <v>-333216</v>
      </c>
      <c r="PGL244" t="s">
        <v>617</v>
      </c>
      <c r="PGM244">
        <v>-123643</v>
      </c>
      <c r="PGN244">
        <v>-370536</v>
      </c>
      <c r="PGO244">
        <v>-426015</v>
      </c>
      <c r="PGP244">
        <v>-637410</v>
      </c>
      <c r="PGQ244">
        <v>-333216</v>
      </c>
      <c r="PQH244" t="s">
        <v>617</v>
      </c>
      <c r="PQI244">
        <v>-123643</v>
      </c>
      <c r="PQJ244">
        <v>-370536</v>
      </c>
      <c r="PQK244">
        <v>-426015</v>
      </c>
      <c r="PQL244">
        <v>-637410</v>
      </c>
      <c r="PQM244">
        <v>-333216</v>
      </c>
      <c r="QAD244" t="s">
        <v>617</v>
      </c>
      <c r="QAE244">
        <v>-123643</v>
      </c>
      <c r="QAF244">
        <v>-370536</v>
      </c>
      <c r="QAG244">
        <v>-426015</v>
      </c>
      <c r="QAH244">
        <v>-637410</v>
      </c>
      <c r="QAI244">
        <v>-333216</v>
      </c>
      <c r="QJZ244" t="s">
        <v>617</v>
      </c>
      <c r="QKA244">
        <v>-123643</v>
      </c>
      <c r="QKB244">
        <v>-370536</v>
      </c>
      <c r="QKC244">
        <v>-426015</v>
      </c>
      <c r="QKD244">
        <v>-637410</v>
      </c>
      <c r="QKE244">
        <v>-333216</v>
      </c>
      <c r="QTV244" t="s">
        <v>617</v>
      </c>
      <c r="QTW244">
        <v>-123643</v>
      </c>
      <c r="QTX244">
        <v>-370536</v>
      </c>
      <c r="QTY244">
        <v>-426015</v>
      </c>
      <c r="QTZ244">
        <v>-637410</v>
      </c>
      <c r="QUA244">
        <v>-333216</v>
      </c>
      <c r="RDR244" t="s">
        <v>617</v>
      </c>
      <c r="RDS244">
        <v>-123643</v>
      </c>
      <c r="RDT244">
        <v>-370536</v>
      </c>
      <c r="RDU244">
        <v>-426015</v>
      </c>
      <c r="RDV244">
        <v>-637410</v>
      </c>
      <c r="RDW244">
        <v>-333216</v>
      </c>
      <c r="RNN244" t="s">
        <v>617</v>
      </c>
      <c r="RNO244">
        <v>-123643</v>
      </c>
      <c r="RNP244">
        <v>-370536</v>
      </c>
      <c r="RNQ244">
        <v>-426015</v>
      </c>
      <c r="RNR244">
        <v>-637410</v>
      </c>
      <c r="RNS244">
        <v>-333216</v>
      </c>
      <c r="RXJ244" t="s">
        <v>617</v>
      </c>
      <c r="RXK244">
        <v>-123643</v>
      </c>
      <c r="RXL244">
        <v>-370536</v>
      </c>
      <c r="RXM244">
        <v>-426015</v>
      </c>
      <c r="RXN244">
        <v>-637410</v>
      </c>
      <c r="RXO244">
        <v>-333216</v>
      </c>
      <c r="SHF244" t="s">
        <v>617</v>
      </c>
      <c r="SHG244">
        <v>-123643</v>
      </c>
      <c r="SHH244">
        <v>-370536</v>
      </c>
      <c r="SHI244">
        <v>-426015</v>
      </c>
      <c r="SHJ244">
        <v>-637410</v>
      </c>
      <c r="SHK244">
        <v>-333216</v>
      </c>
      <c r="SRB244" t="s">
        <v>617</v>
      </c>
      <c r="SRC244">
        <v>-123643</v>
      </c>
      <c r="SRD244">
        <v>-370536</v>
      </c>
      <c r="SRE244">
        <v>-426015</v>
      </c>
      <c r="SRF244">
        <v>-637410</v>
      </c>
      <c r="SRG244">
        <v>-333216</v>
      </c>
      <c r="TAX244" t="s">
        <v>617</v>
      </c>
      <c r="TAY244">
        <v>-123643</v>
      </c>
      <c r="TAZ244">
        <v>-370536</v>
      </c>
      <c r="TBA244">
        <v>-426015</v>
      </c>
      <c r="TBB244">
        <v>-637410</v>
      </c>
      <c r="TBC244">
        <v>-333216</v>
      </c>
      <c r="TKT244" t="s">
        <v>617</v>
      </c>
      <c r="TKU244">
        <v>-123643</v>
      </c>
      <c r="TKV244">
        <v>-370536</v>
      </c>
      <c r="TKW244">
        <v>-426015</v>
      </c>
      <c r="TKX244">
        <v>-637410</v>
      </c>
      <c r="TKY244">
        <v>-333216</v>
      </c>
      <c r="TUP244" t="s">
        <v>617</v>
      </c>
      <c r="TUQ244">
        <v>-123643</v>
      </c>
      <c r="TUR244">
        <v>-370536</v>
      </c>
      <c r="TUS244">
        <v>-426015</v>
      </c>
      <c r="TUT244">
        <v>-637410</v>
      </c>
      <c r="TUU244">
        <v>-333216</v>
      </c>
      <c r="UEL244" t="s">
        <v>617</v>
      </c>
      <c r="UEM244">
        <v>-123643</v>
      </c>
      <c r="UEN244">
        <v>-370536</v>
      </c>
      <c r="UEO244">
        <v>-426015</v>
      </c>
      <c r="UEP244">
        <v>-637410</v>
      </c>
      <c r="UEQ244">
        <v>-333216</v>
      </c>
      <c r="UOH244" t="s">
        <v>617</v>
      </c>
      <c r="UOI244">
        <v>-123643</v>
      </c>
      <c r="UOJ244">
        <v>-370536</v>
      </c>
      <c r="UOK244">
        <v>-426015</v>
      </c>
      <c r="UOL244">
        <v>-637410</v>
      </c>
      <c r="UOM244">
        <v>-333216</v>
      </c>
      <c r="UYD244" t="s">
        <v>617</v>
      </c>
      <c r="UYE244">
        <v>-123643</v>
      </c>
      <c r="UYF244">
        <v>-370536</v>
      </c>
      <c r="UYG244">
        <v>-426015</v>
      </c>
      <c r="UYH244">
        <v>-637410</v>
      </c>
      <c r="UYI244">
        <v>-333216</v>
      </c>
      <c r="VHZ244" t="s">
        <v>617</v>
      </c>
      <c r="VIA244">
        <v>-123643</v>
      </c>
      <c r="VIB244">
        <v>-370536</v>
      </c>
      <c r="VIC244">
        <v>-426015</v>
      </c>
      <c r="VID244">
        <v>-637410</v>
      </c>
      <c r="VIE244">
        <v>-333216</v>
      </c>
      <c r="VRV244" t="s">
        <v>617</v>
      </c>
      <c r="VRW244">
        <v>-123643</v>
      </c>
      <c r="VRX244">
        <v>-370536</v>
      </c>
      <c r="VRY244">
        <v>-426015</v>
      </c>
      <c r="VRZ244">
        <v>-637410</v>
      </c>
      <c r="VSA244">
        <v>-333216</v>
      </c>
      <c r="WBR244" t="s">
        <v>617</v>
      </c>
      <c r="WBS244">
        <v>-123643</v>
      </c>
      <c r="WBT244">
        <v>-370536</v>
      </c>
      <c r="WBU244">
        <v>-426015</v>
      </c>
      <c r="WBV244">
        <v>-637410</v>
      </c>
      <c r="WBW244">
        <v>-333216</v>
      </c>
      <c r="WLN244" t="s">
        <v>617</v>
      </c>
      <c r="WLO244">
        <v>-123643</v>
      </c>
      <c r="WLP244">
        <v>-370536</v>
      </c>
      <c r="WLQ244">
        <v>-426015</v>
      </c>
      <c r="WLR244">
        <v>-637410</v>
      </c>
      <c r="WLS244">
        <v>-333216</v>
      </c>
      <c r="WVJ244" t="s">
        <v>617</v>
      </c>
      <c r="WVK244">
        <v>-123643</v>
      </c>
      <c r="WVL244">
        <v>-370536</v>
      </c>
      <c r="WVM244">
        <v>-426015</v>
      </c>
      <c r="WVN244">
        <v>-637410</v>
      </c>
      <c r="WVO244">
        <v>-333216</v>
      </c>
    </row>
    <row r="245" spans="1:775 1026:1799 2050:2823 3074:3847 4098:4871 5122:5895 6146:6919 7170:7943 8194:8967 9218:9991 10242:11015 11266:12039 12290:13063 13314:14087 14338:15111 15362:16135" ht="14">
      <c r="A245" s="96"/>
      <c r="D245" s="1318"/>
      <c r="E245" s="1318"/>
      <c r="F245" s="1318"/>
      <c r="G245" s="1318"/>
      <c r="H245" s="1318"/>
      <c r="I245" s="32"/>
      <c r="J245" s="32"/>
      <c r="K245" s="32"/>
    </row>
    <row r="246" spans="1:775 1026:1799 2050:2823 3074:3847 4098:4871 5122:5895 6146:6919 7170:7943 8194:8967 9218:9991 10242:11015 11266:12039 12290:13063 13314:14087 14338:15111 15362:16135" ht="14">
      <c r="A246" s="96" t="s">
        <v>618</v>
      </c>
      <c r="D246" s="1318">
        <v>133384</v>
      </c>
      <c r="E246" s="1318">
        <v>160279</v>
      </c>
      <c r="F246" s="1318">
        <v>166904</v>
      </c>
      <c r="G246" s="1318">
        <v>911833</v>
      </c>
      <c r="H246" s="1318">
        <v>1358719</v>
      </c>
      <c r="I246" s="1932">
        <f>841956/3*4</f>
        <v>1122608</v>
      </c>
      <c r="J246" s="1932">
        <f>I246*0.9</f>
        <v>1010347.2000000001</v>
      </c>
      <c r="K246" s="1932">
        <f>J246*0.9</f>
        <v>909312.4800000001</v>
      </c>
      <c r="L246" s="943">
        <v>0.9</v>
      </c>
      <c r="M246" t="s">
        <v>598</v>
      </c>
      <c r="IX246" t="s">
        <v>618</v>
      </c>
      <c r="IY246" t="s">
        <v>619</v>
      </c>
      <c r="IZ246">
        <v>160279</v>
      </c>
      <c r="JA246">
        <v>166904</v>
      </c>
      <c r="JB246">
        <v>911833</v>
      </c>
      <c r="JC246">
        <v>1358719</v>
      </c>
      <c r="ST246" t="s">
        <v>618</v>
      </c>
      <c r="SU246" t="s">
        <v>619</v>
      </c>
      <c r="SV246">
        <v>160279</v>
      </c>
      <c r="SW246">
        <v>166904</v>
      </c>
      <c r="SX246">
        <v>911833</v>
      </c>
      <c r="SY246">
        <v>1358719</v>
      </c>
      <c r="ACP246" t="s">
        <v>618</v>
      </c>
      <c r="ACQ246" t="s">
        <v>619</v>
      </c>
      <c r="ACR246">
        <v>160279</v>
      </c>
      <c r="ACS246">
        <v>166904</v>
      </c>
      <c r="ACT246">
        <v>911833</v>
      </c>
      <c r="ACU246">
        <v>1358719</v>
      </c>
      <c r="AML246" t="s">
        <v>618</v>
      </c>
      <c r="AMM246" t="s">
        <v>619</v>
      </c>
      <c r="AMN246">
        <v>160279</v>
      </c>
      <c r="AMO246">
        <v>166904</v>
      </c>
      <c r="AMP246">
        <v>911833</v>
      </c>
      <c r="AMQ246">
        <v>1358719</v>
      </c>
      <c r="AWH246" t="s">
        <v>618</v>
      </c>
      <c r="AWI246" t="s">
        <v>619</v>
      </c>
      <c r="AWJ246">
        <v>160279</v>
      </c>
      <c r="AWK246">
        <v>166904</v>
      </c>
      <c r="AWL246">
        <v>911833</v>
      </c>
      <c r="AWM246">
        <v>1358719</v>
      </c>
      <c r="BGD246" t="s">
        <v>618</v>
      </c>
      <c r="BGE246" t="s">
        <v>619</v>
      </c>
      <c r="BGF246">
        <v>160279</v>
      </c>
      <c r="BGG246">
        <v>166904</v>
      </c>
      <c r="BGH246">
        <v>911833</v>
      </c>
      <c r="BGI246">
        <v>1358719</v>
      </c>
      <c r="BPZ246" t="s">
        <v>618</v>
      </c>
      <c r="BQA246" t="s">
        <v>619</v>
      </c>
      <c r="BQB246">
        <v>160279</v>
      </c>
      <c r="BQC246">
        <v>166904</v>
      </c>
      <c r="BQD246">
        <v>911833</v>
      </c>
      <c r="BQE246">
        <v>1358719</v>
      </c>
      <c r="BZV246" t="s">
        <v>618</v>
      </c>
      <c r="BZW246" t="s">
        <v>619</v>
      </c>
      <c r="BZX246">
        <v>160279</v>
      </c>
      <c r="BZY246">
        <v>166904</v>
      </c>
      <c r="BZZ246">
        <v>911833</v>
      </c>
      <c r="CAA246">
        <v>1358719</v>
      </c>
      <c r="CJR246" t="s">
        <v>618</v>
      </c>
      <c r="CJS246" t="s">
        <v>619</v>
      </c>
      <c r="CJT246">
        <v>160279</v>
      </c>
      <c r="CJU246">
        <v>166904</v>
      </c>
      <c r="CJV246">
        <v>911833</v>
      </c>
      <c r="CJW246">
        <v>1358719</v>
      </c>
      <c r="CTN246" t="s">
        <v>618</v>
      </c>
      <c r="CTO246" t="s">
        <v>619</v>
      </c>
      <c r="CTP246">
        <v>160279</v>
      </c>
      <c r="CTQ246">
        <v>166904</v>
      </c>
      <c r="CTR246">
        <v>911833</v>
      </c>
      <c r="CTS246">
        <v>1358719</v>
      </c>
      <c r="DDJ246" t="s">
        <v>618</v>
      </c>
      <c r="DDK246" t="s">
        <v>619</v>
      </c>
      <c r="DDL246">
        <v>160279</v>
      </c>
      <c r="DDM246">
        <v>166904</v>
      </c>
      <c r="DDN246">
        <v>911833</v>
      </c>
      <c r="DDO246">
        <v>1358719</v>
      </c>
      <c r="DNF246" t="s">
        <v>618</v>
      </c>
      <c r="DNG246" t="s">
        <v>619</v>
      </c>
      <c r="DNH246">
        <v>160279</v>
      </c>
      <c r="DNI246">
        <v>166904</v>
      </c>
      <c r="DNJ246">
        <v>911833</v>
      </c>
      <c r="DNK246">
        <v>1358719</v>
      </c>
      <c r="DXB246" t="s">
        <v>618</v>
      </c>
      <c r="DXC246" t="s">
        <v>619</v>
      </c>
      <c r="DXD246">
        <v>160279</v>
      </c>
      <c r="DXE246">
        <v>166904</v>
      </c>
      <c r="DXF246">
        <v>911833</v>
      </c>
      <c r="DXG246">
        <v>1358719</v>
      </c>
      <c r="EGX246" t="s">
        <v>618</v>
      </c>
      <c r="EGY246" t="s">
        <v>619</v>
      </c>
      <c r="EGZ246">
        <v>160279</v>
      </c>
      <c r="EHA246">
        <v>166904</v>
      </c>
      <c r="EHB246">
        <v>911833</v>
      </c>
      <c r="EHC246">
        <v>1358719</v>
      </c>
      <c r="EQT246" t="s">
        <v>618</v>
      </c>
      <c r="EQU246" t="s">
        <v>619</v>
      </c>
      <c r="EQV246">
        <v>160279</v>
      </c>
      <c r="EQW246">
        <v>166904</v>
      </c>
      <c r="EQX246">
        <v>911833</v>
      </c>
      <c r="EQY246">
        <v>1358719</v>
      </c>
      <c r="FAP246" t="s">
        <v>618</v>
      </c>
      <c r="FAQ246" t="s">
        <v>619</v>
      </c>
      <c r="FAR246">
        <v>160279</v>
      </c>
      <c r="FAS246">
        <v>166904</v>
      </c>
      <c r="FAT246">
        <v>911833</v>
      </c>
      <c r="FAU246">
        <v>1358719</v>
      </c>
      <c r="FKL246" t="s">
        <v>618</v>
      </c>
      <c r="FKM246" t="s">
        <v>619</v>
      </c>
      <c r="FKN246">
        <v>160279</v>
      </c>
      <c r="FKO246">
        <v>166904</v>
      </c>
      <c r="FKP246">
        <v>911833</v>
      </c>
      <c r="FKQ246">
        <v>1358719</v>
      </c>
      <c r="FUH246" t="s">
        <v>618</v>
      </c>
      <c r="FUI246" t="s">
        <v>619</v>
      </c>
      <c r="FUJ246">
        <v>160279</v>
      </c>
      <c r="FUK246">
        <v>166904</v>
      </c>
      <c r="FUL246">
        <v>911833</v>
      </c>
      <c r="FUM246">
        <v>1358719</v>
      </c>
      <c r="GED246" t="s">
        <v>618</v>
      </c>
      <c r="GEE246" t="s">
        <v>619</v>
      </c>
      <c r="GEF246">
        <v>160279</v>
      </c>
      <c r="GEG246">
        <v>166904</v>
      </c>
      <c r="GEH246">
        <v>911833</v>
      </c>
      <c r="GEI246">
        <v>1358719</v>
      </c>
      <c r="GNZ246" t="s">
        <v>618</v>
      </c>
      <c r="GOA246" t="s">
        <v>619</v>
      </c>
      <c r="GOB246">
        <v>160279</v>
      </c>
      <c r="GOC246">
        <v>166904</v>
      </c>
      <c r="GOD246">
        <v>911833</v>
      </c>
      <c r="GOE246">
        <v>1358719</v>
      </c>
      <c r="GXV246" t="s">
        <v>618</v>
      </c>
      <c r="GXW246" t="s">
        <v>619</v>
      </c>
      <c r="GXX246">
        <v>160279</v>
      </c>
      <c r="GXY246">
        <v>166904</v>
      </c>
      <c r="GXZ246">
        <v>911833</v>
      </c>
      <c r="GYA246">
        <v>1358719</v>
      </c>
      <c r="HHR246" t="s">
        <v>618</v>
      </c>
      <c r="HHS246" t="s">
        <v>619</v>
      </c>
      <c r="HHT246">
        <v>160279</v>
      </c>
      <c r="HHU246">
        <v>166904</v>
      </c>
      <c r="HHV246">
        <v>911833</v>
      </c>
      <c r="HHW246">
        <v>1358719</v>
      </c>
      <c r="HRN246" t="s">
        <v>618</v>
      </c>
      <c r="HRO246" t="s">
        <v>619</v>
      </c>
      <c r="HRP246">
        <v>160279</v>
      </c>
      <c r="HRQ246">
        <v>166904</v>
      </c>
      <c r="HRR246">
        <v>911833</v>
      </c>
      <c r="HRS246">
        <v>1358719</v>
      </c>
      <c r="IBJ246" t="s">
        <v>618</v>
      </c>
      <c r="IBK246" t="s">
        <v>619</v>
      </c>
      <c r="IBL246">
        <v>160279</v>
      </c>
      <c r="IBM246">
        <v>166904</v>
      </c>
      <c r="IBN246">
        <v>911833</v>
      </c>
      <c r="IBO246">
        <v>1358719</v>
      </c>
      <c r="ILF246" t="s">
        <v>618</v>
      </c>
      <c r="ILG246" t="s">
        <v>619</v>
      </c>
      <c r="ILH246">
        <v>160279</v>
      </c>
      <c r="ILI246">
        <v>166904</v>
      </c>
      <c r="ILJ246">
        <v>911833</v>
      </c>
      <c r="ILK246">
        <v>1358719</v>
      </c>
      <c r="IVB246" t="s">
        <v>618</v>
      </c>
      <c r="IVC246" t="s">
        <v>619</v>
      </c>
      <c r="IVD246">
        <v>160279</v>
      </c>
      <c r="IVE246">
        <v>166904</v>
      </c>
      <c r="IVF246">
        <v>911833</v>
      </c>
      <c r="IVG246">
        <v>1358719</v>
      </c>
      <c r="JEX246" t="s">
        <v>618</v>
      </c>
      <c r="JEY246" t="s">
        <v>619</v>
      </c>
      <c r="JEZ246">
        <v>160279</v>
      </c>
      <c r="JFA246">
        <v>166904</v>
      </c>
      <c r="JFB246">
        <v>911833</v>
      </c>
      <c r="JFC246">
        <v>1358719</v>
      </c>
      <c r="JOT246" t="s">
        <v>618</v>
      </c>
      <c r="JOU246" t="s">
        <v>619</v>
      </c>
      <c r="JOV246">
        <v>160279</v>
      </c>
      <c r="JOW246">
        <v>166904</v>
      </c>
      <c r="JOX246">
        <v>911833</v>
      </c>
      <c r="JOY246">
        <v>1358719</v>
      </c>
      <c r="JYP246" t="s">
        <v>618</v>
      </c>
      <c r="JYQ246" t="s">
        <v>619</v>
      </c>
      <c r="JYR246">
        <v>160279</v>
      </c>
      <c r="JYS246">
        <v>166904</v>
      </c>
      <c r="JYT246">
        <v>911833</v>
      </c>
      <c r="JYU246">
        <v>1358719</v>
      </c>
      <c r="KIL246" t="s">
        <v>618</v>
      </c>
      <c r="KIM246" t="s">
        <v>619</v>
      </c>
      <c r="KIN246">
        <v>160279</v>
      </c>
      <c r="KIO246">
        <v>166904</v>
      </c>
      <c r="KIP246">
        <v>911833</v>
      </c>
      <c r="KIQ246">
        <v>1358719</v>
      </c>
      <c r="KSH246" t="s">
        <v>618</v>
      </c>
      <c r="KSI246" t="s">
        <v>619</v>
      </c>
      <c r="KSJ246">
        <v>160279</v>
      </c>
      <c r="KSK246">
        <v>166904</v>
      </c>
      <c r="KSL246">
        <v>911833</v>
      </c>
      <c r="KSM246">
        <v>1358719</v>
      </c>
      <c r="LCD246" t="s">
        <v>618</v>
      </c>
      <c r="LCE246" t="s">
        <v>619</v>
      </c>
      <c r="LCF246">
        <v>160279</v>
      </c>
      <c r="LCG246">
        <v>166904</v>
      </c>
      <c r="LCH246">
        <v>911833</v>
      </c>
      <c r="LCI246">
        <v>1358719</v>
      </c>
      <c r="LLZ246" t="s">
        <v>618</v>
      </c>
      <c r="LMA246" t="s">
        <v>619</v>
      </c>
      <c r="LMB246">
        <v>160279</v>
      </c>
      <c r="LMC246">
        <v>166904</v>
      </c>
      <c r="LMD246">
        <v>911833</v>
      </c>
      <c r="LME246">
        <v>1358719</v>
      </c>
      <c r="LVV246" t="s">
        <v>618</v>
      </c>
      <c r="LVW246" t="s">
        <v>619</v>
      </c>
      <c r="LVX246">
        <v>160279</v>
      </c>
      <c r="LVY246">
        <v>166904</v>
      </c>
      <c r="LVZ246">
        <v>911833</v>
      </c>
      <c r="LWA246">
        <v>1358719</v>
      </c>
      <c r="MFR246" t="s">
        <v>618</v>
      </c>
      <c r="MFS246" t="s">
        <v>619</v>
      </c>
      <c r="MFT246">
        <v>160279</v>
      </c>
      <c r="MFU246">
        <v>166904</v>
      </c>
      <c r="MFV246">
        <v>911833</v>
      </c>
      <c r="MFW246">
        <v>1358719</v>
      </c>
      <c r="MPN246" t="s">
        <v>618</v>
      </c>
      <c r="MPO246" t="s">
        <v>619</v>
      </c>
      <c r="MPP246">
        <v>160279</v>
      </c>
      <c r="MPQ246">
        <v>166904</v>
      </c>
      <c r="MPR246">
        <v>911833</v>
      </c>
      <c r="MPS246">
        <v>1358719</v>
      </c>
      <c r="MZJ246" t="s">
        <v>618</v>
      </c>
      <c r="MZK246" t="s">
        <v>619</v>
      </c>
      <c r="MZL246">
        <v>160279</v>
      </c>
      <c r="MZM246">
        <v>166904</v>
      </c>
      <c r="MZN246">
        <v>911833</v>
      </c>
      <c r="MZO246">
        <v>1358719</v>
      </c>
      <c r="NJF246" t="s">
        <v>618</v>
      </c>
      <c r="NJG246" t="s">
        <v>619</v>
      </c>
      <c r="NJH246">
        <v>160279</v>
      </c>
      <c r="NJI246">
        <v>166904</v>
      </c>
      <c r="NJJ246">
        <v>911833</v>
      </c>
      <c r="NJK246">
        <v>1358719</v>
      </c>
      <c r="NTB246" t="s">
        <v>618</v>
      </c>
      <c r="NTC246" t="s">
        <v>619</v>
      </c>
      <c r="NTD246">
        <v>160279</v>
      </c>
      <c r="NTE246">
        <v>166904</v>
      </c>
      <c r="NTF246">
        <v>911833</v>
      </c>
      <c r="NTG246">
        <v>1358719</v>
      </c>
      <c r="OCX246" t="s">
        <v>618</v>
      </c>
      <c r="OCY246" t="s">
        <v>619</v>
      </c>
      <c r="OCZ246">
        <v>160279</v>
      </c>
      <c r="ODA246">
        <v>166904</v>
      </c>
      <c r="ODB246">
        <v>911833</v>
      </c>
      <c r="ODC246">
        <v>1358719</v>
      </c>
      <c r="OMT246" t="s">
        <v>618</v>
      </c>
      <c r="OMU246" t="s">
        <v>619</v>
      </c>
      <c r="OMV246">
        <v>160279</v>
      </c>
      <c r="OMW246">
        <v>166904</v>
      </c>
      <c r="OMX246">
        <v>911833</v>
      </c>
      <c r="OMY246">
        <v>1358719</v>
      </c>
      <c r="OWP246" t="s">
        <v>618</v>
      </c>
      <c r="OWQ246" t="s">
        <v>619</v>
      </c>
      <c r="OWR246">
        <v>160279</v>
      </c>
      <c r="OWS246">
        <v>166904</v>
      </c>
      <c r="OWT246">
        <v>911833</v>
      </c>
      <c r="OWU246">
        <v>1358719</v>
      </c>
      <c r="PGL246" t="s">
        <v>618</v>
      </c>
      <c r="PGM246" t="s">
        <v>619</v>
      </c>
      <c r="PGN246">
        <v>160279</v>
      </c>
      <c r="PGO246">
        <v>166904</v>
      </c>
      <c r="PGP246">
        <v>911833</v>
      </c>
      <c r="PGQ246">
        <v>1358719</v>
      </c>
      <c r="PQH246" t="s">
        <v>618</v>
      </c>
      <c r="PQI246" t="s">
        <v>619</v>
      </c>
      <c r="PQJ246">
        <v>160279</v>
      </c>
      <c r="PQK246">
        <v>166904</v>
      </c>
      <c r="PQL246">
        <v>911833</v>
      </c>
      <c r="PQM246">
        <v>1358719</v>
      </c>
      <c r="QAD246" t="s">
        <v>618</v>
      </c>
      <c r="QAE246" t="s">
        <v>619</v>
      </c>
      <c r="QAF246">
        <v>160279</v>
      </c>
      <c r="QAG246">
        <v>166904</v>
      </c>
      <c r="QAH246">
        <v>911833</v>
      </c>
      <c r="QAI246">
        <v>1358719</v>
      </c>
      <c r="QJZ246" t="s">
        <v>618</v>
      </c>
      <c r="QKA246" t="s">
        <v>619</v>
      </c>
      <c r="QKB246">
        <v>160279</v>
      </c>
      <c r="QKC246">
        <v>166904</v>
      </c>
      <c r="QKD246">
        <v>911833</v>
      </c>
      <c r="QKE246">
        <v>1358719</v>
      </c>
      <c r="QTV246" t="s">
        <v>618</v>
      </c>
      <c r="QTW246" t="s">
        <v>619</v>
      </c>
      <c r="QTX246">
        <v>160279</v>
      </c>
      <c r="QTY246">
        <v>166904</v>
      </c>
      <c r="QTZ246">
        <v>911833</v>
      </c>
      <c r="QUA246">
        <v>1358719</v>
      </c>
      <c r="RDR246" t="s">
        <v>618</v>
      </c>
      <c r="RDS246" t="s">
        <v>619</v>
      </c>
      <c r="RDT246">
        <v>160279</v>
      </c>
      <c r="RDU246">
        <v>166904</v>
      </c>
      <c r="RDV246">
        <v>911833</v>
      </c>
      <c r="RDW246">
        <v>1358719</v>
      </c>
      <c r="RNN246" t="s">
        <v>618</v>
      </c>
      <c r="RNO246" t="s">
        <v>619</v>
      </c>
      <c r="RNP246">
        <v>160279</v>
      </c>
      <c r="RNQ246">
        <v>166904</v>
      </c>
      <c r="RNR246">
        <v>911833</v>
      </c>
      <c r="RNS246">
        <v>1358719</v>
      </c>
      <c r="RXJ246" t="s">
        <v>618</v>
      </c>
      <c r="RXK246" t="s">
        <v>619</v>
      </c>
      <c r="RXL246">
        <v>160279</v>
      </c>
      <c r="RXM246">
        <v>166904</v>
      </c>
      <c r="RXN246">
        <v>911833</v>
      </c>
      <c r="RXO246">
        <v>1358719</v>
      </c>
      <c r="SHF246" t="s">
        <v>618</v>
      </c>
      <c r="SHG246" t="s">
        <v>619</v>
      </c>
      <c r="SHH246">
        <v>160279</v>
      </c>
      <c r="SHI246">
        <v>166904</v>
      </c>
      <c r="SHJ246">
        <v>911833</v>
      </c>
      <c r="SHK246">
        <v>1358719</v>
      </c>
      <c r="SRB246" t="s">
        <v>618</v>
      </c>
      <c r="SRC246" t="s">
        <v>619</v>
      </c>
      <c r="SRD246">
        <v>160279</v>
      </c>
      <c r="SRE246">
        <v>166904</v>
      </c>
      <c r="SRF246">
        <v>911833</v>
      </c>
      <c r="SRG246">
        <v>1358719</v>
      </c>
      <c r="TAX246" t="s">
        <v>618</v>
      </c>
      <c r="TAY246" t="s">
        <v>619</v>
      </c>
      <c r="TAZ246">
        <v>160279</v>
      </c>
      <c r="TBA246">
        <v>166904</v>
      </c>
      <c r="TBB246">
        <v>911833</v>
      </c>
      <c r="TBC246">
        <v>1358719</v>
      </c>
      <c r="TKT246" t="s">
        <v>618</v>
      </c>
      <c r="TKU246" t="s">
        <v>619</v>
      </c>
      <c r="TKV246">
        <v>160279</v>
      </c>
      <c r="TKW246">
        <v>166904</v>
      </c>
      <c r="TKX246">
        <v>911833</v>
      </c>
      <c r="TKY246">
        <v>1358719</v>
      </c>
      <c r="TUP246" t="s">
        <v>618</v>
      </c>
      <c r="TUQ246" t="s">
        <v>619</v>
      </c>
      <c r="TUR246">
        <v>160279</v>
      </c>
      <c r="TUS246">
        <v>166904</v>
      </c>
      <c r="TUT246">
        <v>911833</v>
      </c>
      <c r="TUU246">
        <v>1358719</v>
      </c>
      <c r="UEL246" t="s">
        <v>618</v>
      </c>
      <c r="UEM246" t="s">
        <v>619</v>
      </c>
      <c r="UEN246">
        <v>160279</v>
      </c>
      <c r="UEO246">
        <v>166904</v>
      </c>
      <c r="UEP246">
        <v>911833</v>
      </c>
      <c r="UEQ246">
        <v>1358719</v>
      </c>
      <c r="UOH246" t="s">
        <v>618</v>
      </c>
      <c r="UOI246" t="s">
        <v>619</v>
      </c>
      <c r="UOJ246">
        <v>160279</v>
      </c>
      <c r="UOK246">
        <v>166904</v>
      </c>
      <c r="UOL246">
        <v>911833</v>
      </c>
      <c r="UOM246">
        <v>1358719</v>
      </c>
      <c r="UYD246" t="s">
        <v>618</v>
      </c>
      <c r="UYE246" t="s">
        <v>619</v>
      </c>
      <c r="UYF246">
        <v>160279</v>
      </c>
      <c r="UYG246">
        <v>166904</v>
      </c>
      <c r="UYH246">
        <v>911833</v>
      </c>
      <c r="UYI246">
        <v>1358719</v>
      </c>
      <c r="VHZ246" t="s">
        <v>618</v>
      </c>
      <c r="VIA246" t="s">
        <v>619</v>
      </c>
      <c r="VIB246">
        <v>160279</v>
      </c>
      <c r="VIC246">
        <v>166904</v>
      </c>
      <c r="VID246">
        <v>911833</v>
      </c>
      <c r="VIE246">
        <v>1358719</v>
      </c>
      <c r="VRV246" t="s">
        <v>618</v>
      </c>
      <c r="VRW246" t="s">
        <v>619</v>
      </c>
      <c r="VRX246">
        <v>160279</v>
      </c>
      <c r="VRY246">
        <v>166904</v>
      </c>
      <c r="VRZ246">
        <v>911833</v>
      </c>
      <c r="VSA246">
        <v>1358719</v>
      </c>
      <c r="WBR246" t="s">
        <v>618</v>
      </c>
      <c r="WBS246" t="s">
        <v>619</v>
      </c>
      <c r="WBT246">
        <v>160279</v>
      </c>
      <c r="WBU246">
        <v>166904</v>
      </c>
      <c r="WBV246">
        <v>911833</v>
      </c>
      <c r="WBW246">
        <v>1358719</v>
      </c>
      <c r="WLN246" t="s">
        <v>618</v>
      </c>
      <c r="WLO246" t="s">
        <v>619</v>
      </c>
      <c r="WLP246">
        <v>160279</v>
      </c>
      <c r="WLQ246">
        <v>166904</v>
      </c>
      <c r="WLR246">
        <v>911833</v>
      </c>
      <c r="WLS246">
        <v>1358719</v>
      </c>
      <c r="WVJ246" t="s">
        <v>618</v>
      </c>
      <c r="WVK246" t="s">
        <v>619</v>
      </c>
      <c r="WVL246">
        <v>160279</v>
      </c>
      <c r="WVM246">
        <v>166904</v>
      </c>
      <c r="WVN246">
        <v>911833</v>
      </c>
      <c r="WVO246">
        <v>1358719</v>
      </c>
    </row>
    <row r="247" spans="1:775 1026:1799 2050:2823 3074:3847 4098:4871 5122:5895 6146:6919 7170:7943 8194:8967 9218:9991 10242:11015 11266:12039 12290:13063 13314:14087 14338:15111 15362:16135" ht="14">
      <c r="A247" s="96" t="s">
        <v>620</v>
      </c>
      <c r="D247" s="1318">
        <v>-9722</v>
      </c>
      <c r="E247" s="1318">
        <v>-64478</v>
      </c>
      <c r="F247" s="1318">
        <v>-66030</v>
      </c>
      <c r="G247" s="1318">
        <v>62510</v>
      </c>
      <c r="H247" s="1318">
        <v>377775</v>
      </c>
      <c r="I247" s="1619">
        <f t="shared" ref="I247:K248" si="165">AVERAGE(F247:H247)</f>
        <v>124751.66666666667</v>
      </c>
      <c r="J247" s="1619">
        <f t="shared" si="165"/>
        <v>188345.55555555553</v>
      </c>
      <c r="K247" s="1619">
        <f t="shared" si="165"/>
        <v>230290.74074074076</v>
      </c>
      <c r="L247" s="943" t="s">
        <v>229</v>
      </c>
      <c r="IX247" t="s">
        <v>620</v>
      </c>
      <c r="IY247">
        <v>-9722</v>
      </c>
      <c r="IZ247">
        <v>-64478</v>
      </c>
      <c r="JA247">
        <v>-66030</v>
      </c>
      <c r="JB247">
        <v>62510</v>
      </c>
      <c r="JC247">
        <v>377775</v>
      </c>
      <c r="ST247" t="s">
        <v>620</v>
      </c>
      <c r="SU247">
        <v>-9722</v>
      </c>
      <c r="SV247">
        <v>-64478</v>
      </c>
      <c r="SW247">
        <v>-66030</v>
      </c>
      <c r="SX247">
        <v>62510</v>
      </c>
      <c r="SY247">
        <v>377775</v>
      </c>
      <c r="ACP247" t="s">
        <v>620</v>
      </c>
      <c r="ACQ247">
        <v>-9722</v>
      </c>
      <c r="ACR247">
        <v>-64478</v>
      </c>
      <c r="ACS247">
        <v>-66030</v>
      </c>
      <c r="ACT247">
        <v>62510</v>
      </c>
      <c r="ACU247">
        <v>377775</v>
      </c>
      <c r="AML247" t="s">
        <v>620</v>
      </c>
      <c r="AMM247">
        <v>-9722</v>
      </c>
      <c r="AMN247">
        <v>-64478</v>
      </c>
      <c r="AMO247">
        <v>-66030</v>
      </c>
      <c r="AMP247">
        <v>62510</v>
      </c>
      <c r="AMQ247">
        <v>377775</v>
      </c>
      <c r="AWH247" t="s">
        <v>620</v>
      </c>
      <c r="AWI247">
        <v>-9722</v>
      </c>
      <c r="AWJ247">
        <v>-64478</v>
      </c>
      <c r="AWK247">
        <v>-66030</v>
      </c>
      <c r="AWL247">
        <v>62510</v>
      </c>
      <c r="AWM247">
        <v>377775</v>
      </c>
      <c r="BGD247" t="s">
        <v>620</v>
      </c>
      <c r="BGE247">
        <v>-9722</v>
      </c>
      <c r="BGF247">
        <v>-64478</v>
      </c>
      <c r="BGG247">
        <v>-66030</v>
      </c>
      <c r="BGH247">
        <v>62510</v>
      </c>
      <c r="BGI247">
        <v>377775</v>
      </c>
      <c r="BPZ247" t="s">
        <v>620</v>
      </c>
      <c r="BQA247">
        <v>-9722</v>
      </c>
      <c r="BQB247">
        <v>-64478</v>
      </c>
      <c r="BQC247">
        <v>-66030</v>
      </c>
      <c r="BQD247">
        <v>62510</v>
      </c>
      <c r="BQE247">
        <v>377775</v>
      </c>
      <c r="BZV247" t="s">
        <v>620</v>
      </c>
      <c r="BZW247">
        <v>-9722</v>
      </c>
      <c r="BZX247">
        <v>-64478</v>
      </c>
      <c r="BZY247">
        <v>-66030</v>
      </c>
      <c r="BZZ247">
        <v>62510</v>
      </c>
      <c r="CAA247">
        <v>377775</v>
      </c>
      <c r="CJR247" t="s">
        <v>620</v>
      </c>
      <c r="CJS247">
        <v>-9722</v>
      </c>
      <c r="CJT247">
        <v>-64478</v>
      </c>
      <c r="CJU247">
        <v>-66030</v>
      </c>
      <c r="CJV247">
        <v>62510</v>
      </c>
      <c r="CJW247">
        <v>377775</v>
      </c>
      <c r="CTN247" t="s">
        <v>620</v>
      </c>
      <c r="CTO247">
        <v>-9722</v>
      </c>
      <c r="CTP247">
        <v>-64478</v>
      </c>
      <c r="CTQ247">
        <v>-66030</v>
      </c>
      <c r="CTR247">
        <v>62510</v>
      </c>
      <c r="CTS247">
        <v>377775</v>
      </c>
      <c r="DDJ247" t="s">
        <v>620</v>
      </c>
      <c r="DDK247">
        <v>-9722</v>
      </c>
      <c r="DDL247">
        <v>-64478</v>
      </c>
      <c r="DDM247">
        <v>-66030</v>
      </c>
      <c r="DDN247">
        <v>62510</v>
      </c>
      <c r="DDO247">
        <v>377775</v>
      </c>
      <c r="DNF247" t="s">
        <v>620</v>
      </c>
      <c r="DNG247">
        <v>-9722</v>
      </c>
      <c r="DNH247">
        <v>-64478</v>
      </c>
      <c r="DNI247">
        <v>-66030</v>
      </c>
      <c r="DNJ247">
        <v>62510</v>
      </c>
      <c r="DNK247">
        <v>377775</v>
      </c>
      <c r="DXB247" t="s">
        <v>620</v>
      </c>
      <c r="DXC247">
        <v>-9722</v>
      </c>
      <c r="DXD247">
        <v>-64478</v>
      </c>
      <c r="DXE247">
        <v>-66030</v>
      </c>
      <c r="DXF247">
        <v>62510</v>
      </c>
      <c r="DXG247">
        <v>377775</v>
      </c>
      <c r="EGX247" t="s">
        <v>620</v>
      </c>
      <c r="EGY247">
        <v>-9722</v>
      </c>
      <c r="EGZ247">
        <v>-64478</v>
      </c>
      <c r="EHA247">
        <v>-66030</v>
      </c>
      <c r="EHB247">
        <v>62510</v>
      </c>
      <c r="EHC247">
        <v>377775</v>
      </c>
      <c r="EQT247" t="s">
        <v>620</v>
      </c>
      <c r="EQU247">
        <v>-9722</v>
      </c>
      <c r="EQV247">
        <v>-64478</v>
      </c>
      <c r="EQW247">
        <v>-66030</v>
      </c>
      <c r="EQX247">
        <v>62510</v>
      </c>
      <c r="EQY247">
        <v>377775</v>
      </c>
      <c r="FAP247" t="s">
        <v>620</v>
      </c>
      <c r="FAQ247">
        <v>-9722</v>
      </c>
      <c r="FAR247">
        <v>-64478</v>
      </c>
      <c r="FAS247">
        <v>-66030</v>
      </c>
      <c r="FAT247">
        <v>62510</v>
      </c>
      <c r="FAU247">
        <v>377775</v>
      </c>
      <c r="FKL247" t="s">
        <v>620</v>
      </c>
      <c r="FKM247">
        <v>-9722</v>
      </c>
      <c r="FKN247">
        <v>-64478</v>
      </c>
      <c r="FKO247">
        <v>-66030</v>
      </c>
      <c r="FKP247">
        <v>62510</v>
      </c>
      <c r="FKQ247">
        <v>377775</v>
      </c>
      <c r="FUH247" t="s">
        <v>620</v>
      </c>
      <c r="FUI247">
        <v>-9722</v>
      </c>
      <c r="FUJ247">
        <v>-64478</v>
      </c>
      <c r="FUK247">
        <v>-66030</v>
      </c>
      <c r="FUL247">
        <v>62510</v>
      </c>
      <c r="FUM247">
        <v>377775</v>
      </c>
      <c r="GED247" t="s">
        <v>620</v>
      </c>
      <c r="GEE247">
        <v>-9722</v>
      </c>
      <c r="GEF247">
        <v>-64478</v>
      </c>
      <c r="GEG247">
        <v>-66030</v>
      </c>
      <c r="GEH247">
        <v>62510</v>
      </c>
      <c r="GEI247">
        <v>377775</v>
      </c>
      <c r="GNZ247" t="s">
        <v>620</v>
      </c>
      <c r="GOA247">
        <v>-9722</v>
      </c>
      <c r="GOB247">
        <v>-64478</v>
      </c>
      <c r="GOC247">
        <v>-66030</v>
      </c>
      <c r="GOD247">
        <v>62510</v>
      </c>
      <c r="GOE247">
        <v>377775</v>
      </c>
      <c r="GXV247" t="s">
        <v>620</v>
      </c>
      <c r="GXW247">
        <v>-9722</v>
      </c>
      <c r="GXX247">
        <v>-64478</v>
      </c>
      <c r="GXY247">
        <v>-66030</v>
      </c>
      <c r="GXZ247">
        <v>62510</v>
      </c>
      <c r="GYA247">
        <v>377775</v>
      </c>
      <c r="HHR247" t="s">
        <v>620</v>
      </c>
      <c r="HHS247">
        <v>-9722</v>
      </c>
      <c r="HHT247">
        <v>-64478</v>
      </c>
      <c r="HHU247">
        <v>-66030</v>
      </c>
      <c r="HHV247">
        <v>62510</v>
      </c>
      <c r="HHW247">
        <v>377775</v>
      </c>
      <c r="HRN247" t="s">
        <v>620</v>
      </c>
      <c r="HRO247">
        <v>-9722</v>
      </c>
      <c r="HRP247">
        <v>-64478</v>
      </c>
      <c r="HRQ247">
        <v>-66030</v>
      </c>
      <c r="HRR247">
        <v>62510</v>
      </c>
      <c r="HRS247">
        <v>377775</v>
      </c>
      <c r="IBJ247" t="s">
        <v>620</v>
      </c>
      <c r="IBK247">
        <v>-9722</v>
      </c>
      <c r="IBL247">
        <v>-64478</v>
      </c>
      <c r="IBM247">
        <v>-66030</v>
      </c>
      <c r="IBN247">
        <v>62510</v>
      </c>
      <c r="IBO247">
        <v>377775</v>
      </c>
      <c r="ILF247" t="s">
        <v>620</v>
      </c>
      <c r="ILG247">
        <v>-9722</v>
      </c>
      <c r="ILH247">
        <v>-64478</v>
      </c>
      <c r="ILI247">
        <v>-66030</v>
      </c>
      <c r="ILJ247">
        <v>62510</v>
      </c>
      <c r="ILK247">
        <v>377775</v>
      </c>
      <c r="IVB247" t="s">
        <v>620</v>
      </c>
      <c r="IVC247">
        <v>-9722</v>
      </c>
      <c r="IVD247">
        <v>-64478</v>
      </c>
      <c r="IVE247">
        <v>-66030</v>
      </c>
      <c r="IVF247">
        <v>62510</v>
      </c>
      <c r="IVG247">
        <v>377775</v>
      </c>
      <c r="JEX247" t="s">
        <v>620</v>
      </c>
      <c r="JEY247">
        <v>-9722</v>
      </c>
      <c r="JEZ247">
        <v>-64478</v>
      </c>
      <c r="JFA247">
        <v>-66030</v>
      </c>
      <c r="JFB247">
        <v>62510</v>
      </c>
      <c r="JFC247">
        <v>377775</v>
      </c>
      <c r="JOT247" t="s">
        <v>620</v>
      </c>
      <c r="JOU247">
        <v>-9722</v>
      </c>
      <c r="JOV247">
        <v>-64478</v>
      </c>
      <c r="JOW247">
        <v>-66030</v>
      </c>
      <c r="JOX247">
        <v>62510</v>
      </c>
      <c r="JOY247">
        <v>377775</v>
      </c>
      <c r="JYP247" t="s">
        <v>620</v>
      </c>
      <c r="JYQ247">
        <v>-9722</v>
      </c>
      <c r="JYR247">
        <v>-64478</v>
      </c>
      <c r="JYS247">
        <v>-66030</v>
      </c>
      <c r="JYT247">
        <v>62510</v>
      </c>
      <c r="JYU247">
        <v>377775</v>
      </c>
      <c r="KIL247" t="s">
        <v>620</v>
      </c>
      <c r="KIM247">
        <v>-9722</v>
      </c>
      <c r="KIN247">
        <v>-64478</v>
      </c>
      <c r="KIO247">
        <v>-66030</v>
      </c>
      <c r="KIP247">
        <v>62510</v>
      </c>
      <c r="KIQ247">
        <v>377775</v>
      </c>
      <c r="KSH247" t="s">
        <v>620</v>
      </c>
      <c r="KSI247">
        <v>-9722</v>
      </c>
      <c r="KSJ247">
        <v>-64478</v>
      </c>
      <c r="KSK247">
        <v>-66030</v>
      </c>
      <c r="KSL247">
        <v>62510</v>
      </c>
      <c r="KSM247">
        <v>377775</v>
      </c>
      <c r="LCD247" t="s">
        <v>620</v>
      </c>
      <c r="LCE247">
        <v>-9722</v>
      </c>
      <c r="LCF247">
        <v>-64478</v>
      </c>
      <c r="LCG247">
        <v>-66030</v>
      </c>
      <c r="LCH247">
        <v>62510</v>
      </c>
      <c r="LCI247">
        <v>377775</v>
      </c>
      <c r="LLZ247" t="s">
        <v>620</v>
      </c>
      <c r="LMA247">
        <v>-9722</v>
      </c>
      <c r="LMB247">
        <v>-64478</v>
      </c>
      <c r="LMC247">
        <v>-66030</v>
      </c>
      <c r="LMD247">
        <v>62510</v>
      </c>
      <c r="LME247">
        <v>377775</v>
      </c>
      <c r="LVV247" t="s">
        <v>620</v>
      </c>
      <c r="LVW247">
        <v>-9722</v>
      </c>
      <c r="LVX247">
        <v>-64478</v>
      </c>
      <c r="LVY247">
        <v>-66030</v>
      </c>
      <c r="LVZ247">
        <v>62510</v>
      </c>
      <c r="LWA247">
        <v>377775</v>
      </c>
      <c r="MFR247" t="s">
        <v>620</v>
      </c>
      <c r="MFS247">
        <v>-9722</v>
      </c>
      <c r="MFT247">
        <v>-64478</v>
      </c>
      <c r="MFU247">
        <v>-66030</v>
      </c>
      <c r="MFV247">
        <v>62510</v>
      </c>
      <c r="MFW247">
        <v>377775</v>
      </c>
      <c r="MPN247" t="s">
        <v>620</v>
      </c>
      <c r="MPO247">
        <v>-9722</v>
      </c>
      <c r="MPP247">
        <v>-64478</v>
      </c>
      <c r="MPQ247">
        <v>-66030</v>
      </c>
      <c r="MPR247">
        <v>62510</v>
      </c>
      <c r="MPS247">
        <v>377775</v>
      </c>
      <c r="MZJ247" t="s">
        <v>620</v>
      </c>
      <c r="MZK247">
        <v>-9722</v>
      </c>
      <c r="MZL247">
        <v>-64478</v>
      </c>
      <c r="MZM247">
        <v>-66030</v>
      </c>
      <c r="MZN247">
        <v>62510</v>
      </c>
      <c r="MZO247">
        <v>377775</v>
      </c>
      <c r="NJF247" t="s">
        <v>620</v>
      </c>
      <c r="NJG247">
        <v>-9722</v>
      </c>
      <c r="NJH247">
        <v>-64478</v>
      </c>
      <c r="NJI247">
        <v>-66030</v>
      </c>
      <c r="NJJ247">
        <v>62510</v>
      </c>
      <c r="NJK247">
        <v>377775</v>
      </c>
      <c r="NTB247" t="s">
        <v>620</v>
      </c>
      <c r="NTC247">
        <v>-9722</v>
      </c>
      <c r="NTD247">
        <v>-64478</v>
      </c>
      <c r="NTE247">
        <v>-66030</v>
      </c>
      <c r="NTF247">
        <v>62510</v>
      </c>
      <c r="NTG247">
        <v>377775</v>
      </c>
      <c r="OCX247" t="s">
        <v>620</v>
      </c>
      <c r="OCY247">
        <v>-9722</v>
      </c>
      <c r="OCZ247">
        <v>-64478</v>
      </c>
      <c r="ODA247">
        <v>-66030</v>
      </c>
      <c r="ODB247">
        <v>62510</v>
      </c>
      <c r="ODC247">
        <v>377775</v>
      </c>
      <c r="OMT247" t="s">
        <v>620</v>
      </c>
      <c r="OMU247">
        <v>-9722</v>
      </c>
      <c r="OMV247">
        <v>-64478</v>
      </c>
      <c r="OMW247">
        <v>-66030</v>
      </c>
      <c r="OMX247">
        <v>62510</v>
      </c>
      <c r="OMY247">
        <v>377775</v>
      </c>
      <c r="OWP247" t="s">
        <v>620</v>
      </c>
      <c r="OWQ247">
        <v>-9722</v>
      </c>
      <c r="OWR247">
        <v>-64478</v>
      </c>
      <c r="OWS247">
        <v>-66030</v>
      </c>
      <c r="OWT247">
        <v>62510</v>
      </c>
      <c r="OWU247">
        <v>377775</v>
      </c>
      <c r="PGL247" t="s">
        <v>620</v>
      </c>
      <c r="PGM247">
        <v>-9722</v>
      </c>
      <c r="PGN247">
        <v>-64478</v>
      </c>
      <c r="PGO247">
        <v>-66030</v>
      </c>
      <c r="PGP247">
        <v>62510</v>
      </c>
      <c r="PGQ247">
        <v>377775</v>
      </c>
      <c r="PQH247" t="s">
        <v>620</v>
      </c>
      <c r="PQI247">
        <v>-9722</v>
      </c>
      <c r="PQJ247">
        <v>-64478</v>
      </c>
      <c r="PQK247">
        <v>-66030</v>
      </c>
      <c r="PQL247">
        <v>62510</v>
      </c>
      <c r="PQM247">
        <v>377775</v>
      </c>
      <c r="QAD247" t="s">
        <v>620</v>
      </c>
      <c r="QAE247">
        <v>-9722</v>
      </c>
      <c r="QAF247">
        <v>-64478</v>
      </c>
      <c r="QAG247">
        <v>-66030</v>
      </c>
      <c r="QAH247">
        <v>62510</v>
      </c>
      <c r="QAI247">
        <v>377775</v>
      </c>
      <c r="QJZ247" t="s">
        <v>620</v>
      </c>
      <c r="QKA247">
        <v>-9722</v>
      </c>
      <c r="QKB247">
        <v>-64478</v>
      </c>
      <c r="QKC247">
        <v>-66030</v>
      </c>
      <c r="QKD247">
        <v>62510</v>
      </c>
      <c r="QKE247">
        <v>377775</v>
      </c>
      <c r="QTV247" t="s">
        <v>620</v>
      </c>
      <c r="QTW247">
        <v>-9722</v>
      </c>
      <c r="QTX247">
        <v>-64478</v>
      </c>
      <c r="QTY247">
        <v>-66030</v>
      </c>
      <c r="QTZ247">
        <v>62510</v>
      </c>
      <c r="QUA247">
        <v>377775</v>
      </c>
      <c r="RDR247" t="s">
        <v>620</v>
      </c>
      <c r="RDS247">
        <v>-9722</v>
      </c>
      <c r="RDT247">
        <v>-64478</v>
      </c>
      <c r="RDU247">
        <v>-66030</v>
      </c>
      <c r="RDV247">
        <v>62510</v>
      </c>
      <c r="RDW247">
        <v>377775</v>
      </c>
      <c r="RNN247" t="s">
        <v>620</v>
      </c>
      <c r="RNO247">
        <v>-9722</v>
      </c>
      <c r="RNP247">
        <v>-64478</v>
      </c>
      <c r="RNQ247">
        <v>-66030</v>
      </c>
      <c r="RNR247">
        <v>62510</v>
      </c>
      <c r="RNS247">
        <v>377775</v>
      </c>
      <c r="RXJ247" t="s">
        <v>620</v>
      </c>
      <c r="RXK247">
        <v>-9722</v>
      </c>
      <c r="RXL247">
        <v>-64478</v>
      </c>
      <c r="RXM247">
        <v>-66030</v>
      </c>
      <c r="RXN247">
        <v>62510</v>
      </c>
      <c r="RXO247">
        <v>377775</v>
      </c>
      <c r="SHF247" t="s">
        <v>620</v>
      </c>
      <c r="SHG247">
        <v>-9722</v>
      </c>
      <c r="SHH247">
        <v>-64478</v>
      </c>
      <c r="SHI247">
        <v>-66030</v>
      </c>
      <c r="SHJ247">
        <v>62510</v>
      </c>
      <c r="SHK247">
        <v>377775</v>
      </c>
      <c r="SRB247" t="s">
        <v>620</v>
      </c>
      <c r="SRC247">
        <v>-9722</v>
      </c>
      <c r="SRD247">
        <v>-64478</v>
      </c>
      <c r="SRE247">
        <v>-66030</v>
      </c>
      <c r="SRF247">
        <v>62510</v>
      </c>
      <c r="SRG247">
        <v>377775</v>
      </c>
      <c r="TAX247" t="s">
        <v>620</v>
      </c>
      <c r="TAY247">
        <v>-9722</v>
      </c>
      <c r="TAZ247">
        <v>-64478</v>
      </c>
      <c r="TBA247">
        <v>-66030</v>
      </c>
      <c r="TBB247">
        <v>62510</v>
      </c>
      <c r="TBC247">
        <v>377775</v>
      </c>
      <c r="TKT247" t="s">
        <v>620</v>
      </c>
      <c r="TKU247">
        <v>-9722</v>
      </c>
      <c r="TKV247">
        <v>-64478</v>
      </c>
      <c r="TKW247">
        <v>-66030</v>
      </c>
      <c r="TKX247">
        <v>62510</v>
      </c>
      <c r="TKY247">
        <v>377775</v>
      </c>
      <c r="TUP247" t="s">
        <v>620</v>
      </c>
      <c r="TUQ247">
        <v>-9722</v>
      </c>
      <c r="TUR247">
        <v>-64478</v>
      </c>
      <c r="TUS247">
        <v>-66030</v>
      </c>
      <c r="TUT247">
        <v>62510</v>
      </c>
      <c r="TUU247">
        <v>377775</v>
      </c>
      <c r="UEL247" t="s">
        <v>620</v>
      </c>
      <c r="UEM247">
        <v>-9722</v>
      </c>
      <c r="UEN247">
        <v>-64478</v>
      </c>
      <c r="UEO247">
        <v>-66030</v>
      </c>
      <c r="UEP247">
        <v>62510</v>
      </c>
      <c r="UEQ247">
        <v>377775</v>
      </c>
      <c r="UOH247" t="s">
        <v>620</v>
      </c>
      <c r="UOI247">
        <v>-9722</v>
      </c>
      <c r="UOJ247">
        <v>-64478</v>
      </c>
      <c r="UOK247">
        <v>-66030</v>
      </c>
      <c r="UOL247">
        <v>62510</v>
      </c>
      <c r="UOM247">
        <v>377775</v>
      </c>
      <c r="UYD247" t="s">
        <v>620</v>
      </c>
      <c r="UYE247">
        <v>-9722</v>
      </c>
      <c r="UYF247">
        <v>-64478</v>
      </c>
      <c r="UYG247">
        <v>-66030</v>
      </c>
      <c r="UYH247">
        <v>62510</v>
      </c>
      <c r="UYI247">
        <v>377775</v>
      </c>
      <c r="VHZ247" t="s">
        <v>620</v>
      </c>
      <c r="VIA247">
        <v>-9722</v>
      </c>
      <c r="VIB247">
        <v>-64478</v>
      </c>
      <c r="VIC247">
        <v>-66030</v>
      </c>
      <c r="VID247">
        <v>62510</v>
      </c>
      <c r="VIE247">
        <v>377775</v>
      </c>
      <c r="VRV247" t="s">
        <v>620</v>
      </c>
      <c r="VRW247">
        <v>-9722</v>
      </c>
      <c r="VRX247">
        <v>-64478</v>
      </c>
      <c r="VRY247">
        <v>-66030</v>
      </c>
      <c r="VRZ247">
        <v>62510</v>
      </c>
      <c r="VSA247">
        <v>377775</v>
      </c>
      <c r="WBR247" t="s">
        <v>620</v>
      </c>
      <c r="WBS247">
        <v>-9722</v>
      </c>
      <c r="WBT247">
        <v>-64478</v>
      </c>
      <c r="WBU247">
        <v>-66030</v>
      </c>
      <c r="WBV247">
        <v>62510</v>
      </c>
      <c r="WBW247">
        <v>377775</v>
      </c>
      <c r="WLN247" t="s">
        <v>620</v>
      </c>
      <c r="WLO247">
        <v>-9722</v>
      </c>
      <c r="WLP247">
        <v>-64478</v>
      </c>
      <c r="WLQ247">
        <v>-66030</v>
      </c>
      <c r="WLR247">
        <v>62510</v>
      </c>
      <c r="WLS247">
        <v>377775</v>
      </c>
      <c r="WVJ247" t="s">
        <v>620</v>
      </c>
      <c r="WVK247">
        <v>-9722</v>
      </c>
      <c r="WVL247">
        <v>-64478</v>
      </c>
      <c r="WVM247">
        <v>-66030</v>
      </c>
      <c r="WVN247">
        <v>62510</v>
      </c>
      <c r="WVO247">
        <v>377775</v>
      </c>
    </row>
    <row r="248" spans="1:775 1026:1799 2050:2823 3074:3847 4098:4871 5122:5895 6146:6919 7170:7943 8194:8967 9218:9991 10242:11015 11266:12039 12290:13063 13314:14087 14338:15111 15362:16135" ht="14">
      <c r="A248" s="96" t="s">
        <v>621</v>
      </c>
      <c r="D248" s="1318">
        <v>-21346</v>
      </c>
      <c r="E248" s="1318">
        <v>66160</v>
      </c>
      <c r="F248" s="1318">
        <v>-364928</v>
      </c>
      <c r="G248" s="1318">
        <v>184686</v>
      </c>
      <c r="H248" s="1318">
        <v>-282952</v>
      </c>
      <c r="I248" s="1619">
        <f t="shared" si="165"/>
        <v>-154398</v>
      </c>
      <c r="J248" s="1619">
        <f t="shared" si="165"/>
        <v>-84221.333333333328</v>
      </c>
      <c r="K248" s="1619">
        <f>AVERAGE(H248:J248)</f>
        <v>-173857.11111111109</v>
      </c>
      <c r="L248" s="943" t="s">
        <v>229</v>
      </c>
      <c r="IX248" t="s">
        <v>621</v>
      </c>
      <c r="IY248">
        <v>-21346</v>
      </c>
      <c r="IZ248">
        <v>66160</v>
      </c>
      <c r="JA248" t="s">
        <v>619</v>
      </c>
      <c r="JB248" t="s">
        <v>619</v>
      </c>
      <c r="JC248" t="s">
        <v>619</v>
      </c>
      <c r="ST248" t="s">
        <v>621</v>
      </c>
      <c r="SU248">
        <v>-21346</v>
      </c>
      <c r="SV248">
        <v>66160</v>
      </c>
      <c r="SW248" t="s">
        <v>619</v>
      </c>
      <c r="SX248" t="s">
        <v>619</v>
      </c>
      <c r="SY248" t="s">
        <v>619</v>
      </c>
      <c r="ACP248" t="s">
        <v>621</v>
      </c>
      <c r="ACQ248">
        <v>-21346</v>
      </c>
      <c r="ACR248">
        <v>66160</v>
      </c>
      <c r="ACS248" t="s">
        <v>619</v>
      </c>
      <c r="ACT248" t="s">
        <v>619</v>
      </c>
      <c r="ACU248" t="s">
        <v>619</v>
      </c>
      <c r="AML248" t="s">
        <v>621</v>
      </c>
      <c r="AMM248">
        <v>-21346</v>
      </c>
      <c r="AMN248">
        <v>66160</v>
      </c>
      <c r="AMO248" t="s">
        <v>619</v>
      </c>
      <c r="AMP248" t="s">
        <v>619</v>
      </c>
      <c r="AMQ248" t="s">
        <v>619</v>
      </c>
      <c r="AWH248" t="s">
        <v>621</v>
      </c>
      <c r="AWI248">
        <v>-21346</v>
      </c>
      <c r="AWJ248">
        <v>66160</v>
      </c>
      <c r="AWK248" t="s">
        <v>619</v>
      </c>
      <c r="AWL248" t="s">
        <v>619</v>
      </c>
      <c r="AWM248" t="s">
        <v>619</v>
      </c>
      <c r="BGD248" t="s">
        <v>621</v>
      </c>
      <c r="BGE248">
        <v>-21346</v>
      </c>
      <c r="BGF248">
        <v>66160</v>
      </c>
      <c r="BGG248" t="s">
        <v>619</v>
      </c>
      <c r="BGH248" t="s">
        <v>619</v>
      </c>
      <c r="BGI248" t="s">
        <v>619</v>
      </c>
      <c r="BPZ248" t="s">
        <v>621</v>
      </c>
      <c r="BQA248">
        <v>-21346</v>
      </c>
      <c r="BQB248">
        <v>66160</v>
      </c>
      <c r="BQC248" t="s">
        <v>619</v>
      </c>
      <c r="BQD248" t="s">
        <v>619</v>
      </c>
      <c r="BQE248" t="s">
        <v>619</v>
      </c>
      <c r="BZV248" t="s">
        <v>621</v>
      </c>
      <c r="BZW248">
        <v>-21346</v>
      </c>
      <c r="BZX248">
        <v>66160</v>
      </c>
      <c r="BZY248" t="s">
        <v>619</v>
      </c>
      <c r="BZZ248" t="s">
        <v>619</v>
      </c>
      <c r="CAA248" t="s">
        <v>619</v>
      </c>
      <c r="CJR248" t="s">
        <v>621</v>
      </c>
      <c r="CJS248">
        <v>-21346</v>
      </c>
      <c r="CJT248">
        <v>66160</v>
      </c>
      <c r="CJU248" t="s">
        <v>619</v>
      </c>
      <c r="CJV248" t="s">
        <v>619</v>
      </c>
      <c r="CJW248" t="s">
        <v>619</v>
      </c>
      <c r="CTN248" t="s">
        <v>621</v>
      </c>
      <c r="CTO248">
        <v>-21346</v>
      </c>
      <c r="CTP248">
        <v>66160</v>
      </c>
      <c r="CTQ248" t="s">
        <v>619</v>
      </c>
      <c r="CTR248" t="s">
        <v>619</v>
      </c>
      <c r="CTS248" t="s">
        <v>619</v>
      </c>
      <c r="DDJ248" t="s">
        <v>621</v>
      </c>
      <c r="DDK248">
        <v>-21346</v>
      </c>
      <c r="DDL248">
        <v>66160</v>
      </c>
      <c r="DDM248" t="s">
        <v>619</v>
      </c>
      <c r="DDN248" t="s">
        <v>619</v>
      </c>
      <c r="DDO248" t="s">
        <v>619</v>
      </c>
      <c r="DNF248" t="s">
        <v>621</v>
      </c>
      <c r="DNG248">
        <v>-21346</v>
      </c>
      <c r="DNH248">
        <v>66160</v>
      </c>
      <c r="DNI248" t="s">
        <v>619</v>
      </c>
      <c r="DNJ248" t="s">
        <v>619</v>
      </c>
      <c r="DNK248" t="s">
        <v>619</v>
      </c>
      <c r="DXB248" t="s">
        <v>621</v>
      </c>
      <c r="DXC248">
        <v>-21346</v>
      </c>
      <c r="DXD248">
        <v>66160</v>
      </c>
      <c r="DXE248" t="s">
        <v>619</v>
      </c>
      <c r="DXF248" t="s">
        <v>619</v>
      </c>
      <c r="DXG248" t="s">
        <v>619</v>
      </c>
      <c r="EGX248" t="s">
        <v>621</v>
      </c>
      <c r="EGY248">
        <v>-21346</v>
      </c>
      <c r="EGZ248">
        <v>66160</v>
      </c>
      <c r="EHA248" t="s">
        <v>619</v>
      </c>
      <c r="EHB248" t="s">
        <v>619</v>
      </c>
      <c r="EHC248" t="s">
        <v>619</v>
      </c>
      <c r="EQT248" t="s">
        <v>621</v>
      </c>
      <c r="EQU248">
        <v>-21346</v>
      </c>
      <c r="EQV248">
        <v>66160</v>
      </c>
      <c r="EQW248" t="s">
        <v>619</v>
      </c>
      <c r="EQX248" t="s">
        <v>619</v>
      </c>
      <c r="EQY248" t="s">
        <v>619</v>
      </c>
      <c r="FAP248" t="s">
        <v>621</v>
      </c>
      <c r="FAQ248">
        <v>-21346</v>
      </c>
      <c r="FAR248">
        <v>66160</v>
      </c>
      <c r="FAS248" t="s">
        <v>619</v>
      </c>
      <c r="FAT248" t="s">
        <v>619</v>
      </c>
      <c r="FAU248" t="s">
        <v>619</v>
      </c>
      <c r="FKL248" t="s">
        <v>621</v>
      </c>
      <c r="FKM248">
        <v>-21346</v>
      </c>
      <c r="FKN248">
        <v>66160</v>
      </c>
      <c r="FKO248" t="s">
        <v>619</v>
      </c>
      <c r="FKP248" t="s">
        <v>619</v>
      </c>
      <c r="FKQ248" t="s">
        <v>619</v>
      </c>
      <c r="FUH248" t="s">
        <v>621</v>
      </c>
      <c r="FUI248">
        <v>-21346</v>
      </c>
      <c r="FUJ248">
        <v>66160</v>
      </c>
      <c r="FUK248" t="s">
        <v>619</v>
      </c>
      <c r="FUL248" t="s">
        <v>619</v>
      </c>
      <c r="FUM248" t="s">
        <v>619</v>
      </c>
      <c r="GED248" t="s">
        <v>621</v>
      </c>
      <c r="GEE248">
        <v>-21346</v>
      </c>
      <c r="GEF248">
        <v>66160</v>
      </c>
      <c r="GEG248" t="s">
        <v>619</v>
      </c>
      <c r="GEH248" t="s">
        <v>619</v>
      </c>
      <c r="GEI248" t="s">
        <v>619</v>
      </c>
      <c r="GNZ248" t="s">
        <v>621</v>
      </c>
      <c r="GOA248">
        <v>-21346</v>
      </c>
      <c r="GOB248">
        <v>66160</v>
      </c>
      <c r="GOC248" t="s">
        <v>619</v>
      </c>
      <c r="GOD248" t="s">
        <v>619</v>
      </c>
      <c r="GOE248" t="s">
        <v>619</v>
      </c>
      <c r="GXV248" t="s">
        <v>621</v>
      </c>
      <c r="GXW248">
        <v>-21346</v>
      </c>
      <c r="GXX248">
        <v>66160</v>
      </c>
      <c r="GXY248" t="s">
        <v>619</v>
      </c>
      <c r="GXZ248" t="s">
        <v>619</v>
      </c>
      <c r="GYA248" t="s">
        <v>619</v>
      </c>
      <c r="HHR248" t="s">
        <v>621</v>
      </c>
      <c r="HHS248">
        <v>-21346</v>
      </c>
      <c r="HHT248">
        <v>66160</v>
      </c>
      <c r="HHU248" t="s">
        <v>619</v>
      </c>
      <c r="HHV248" t="s">
        <v>619</v>
      </c>
      <c r="HHW248" t="s">
        <v>619</v>
      </c>
      <c r="HRN248" t="s">
        <v>621</v>
      </c>
      <c r="HRO248">
        <v>-21346</v>
      </c>
      <c r="HRP248">
        <v>66160</v>
      </c>
      <c r="HRQ248" t="s">
        <v>619</v>
      </c>
      <c r="HRR248" t="s">
        <v>619</v>
      </c>
      <c r="HRS248" t="s">
        <v>619</v>
      </c>
      <c r="IBJ248" t="s">
        <v>621</v>
      </c>
      <c r="IBK248">
        <v>-21346</v>
      </c>
      <c r="IBL248">
        <v>66160</v>
      </c>
      <c r="IBM248" t="s">
        <v>619</v>
      </c>
      <c r="IBN248" t="s">
        <v>619</v>
      </c>
      <c r="IBO248" t="s">
        <v>619</v>
      </c>
      <c r="ILF248" t="s">
        <v>621</v>
      </c>
      <c r="ILG248">
        <v>-21346</v>
      </c>
      <c r="ILH248">
        <v>66160</v>
      </c>
      <c r="ILI248" t="s">
        <v>619</v>
      </c>
      <c r="ILJ248" t="s">
        <v>619</v>
      </c>
      <c r="ILK248" t="s">
        <v>619</v>
      </c>
      <c r="IVB248" t="s">
        <v>621</v>
      </c>
      <c r="IVC248">
        <v>-21346</v>
      </c>
      <c r="IVD248">
        <v>66160</v>
      </c>
      <c r="IVE248" t="s">
        <v>619</v>
      </c>
      <c r="IVF248" t="s">
        <v>619</v>
      </c>
      <c r="IVG248" t="s">
        <v>619</v>
      </c>
      <c r="JEX248" t="s">
        <v>621</v>
      </c>
      <c r="JEY248">
        <v>-21346</v>
      </c>
      <c r="JEZ248">
        <v>66160</v>
      </c>
      <c r="JFA248" t="s">
        <v>619</v>
      </c>
      <c r="JFB248" t="s">
        <v>619</v>
      </c>
      <c r="JFC248" t="s">
        <v>619</v>
      </c>
      <c r="JOT248" t="s">
        <v>621</v>
      </c>
      <c r="JOU248">
        <v>-21346</v>
      </c>
      <c r="JOV248">
        <v>66160</v>
      </c>
      <c r="JOW248" t="s">
        <v>619</v>
      </c>
      <c r="JOX248" t="s">
        <v>619</v>
      </c>
      <c r="JOY248" t="s">
        <v>619</v>
      </c>
      <c r="JYP248" t="s">
        <v>621</v>
      </c>
      <c r="JYQ248">
        <v>-21346</v>
      </c>
      <c r="JYR248">
        <v>66160</v>
      </c>
      <c r="JYS248" t="s">
        <v>619</v>
      </c>
      <c r="JYT248" t="s">
        <v>619</v>
      </c>
      <c r="JYU248" t="s">
        <v>619</v>
      </c>
      <c r="KIL248" t="s">
        <v>621</v>
      </c>
      <c r="KIM248">
        <v>-21346</v>
      </c>
      <c r="KIN248">
        <v>66160</v>
      </c>
      <c r="KIO248" t="s">
        <v>619</v>
      </c>
      <c r="KIP248" t="s">
        <v>619</v>
      </c>
      <c r="KIQ248" t="s">
        <v>619</v>
      </c>
      <c r="KSH248" t="s">
        <v>621</v>
      </c>
      <c r="KSI248">
        <v>-21346</v>
      </c>
      <c r="KSJ248">
        <v>66160</v>
      </c>
      <c r="KSK248" t="s">
        <v>619</v>
      </c>
      <c r="KSL248" t="s">
        <v>619</v>
      </c>
      <c r="KSM248" t="s">
        <v>619</v>
      </c>
      <c r="LCD248" t="s">
        <v>621</v>
      </c>
      <c r="LCE248">
        <v>-21346</v>
      </c>
      <c r="LCF248">
        <v>66160</v>
      </c>
      <c r="LCG248" t="s">
        <v>619</v>
      </c>
      <c r="LCH248" t="s">
        <v>619</v>
      </c>
      <c r="LCI248" t="s">
        <v>619</v>
      </c>
      <c r="LLZ248" t="s">
        <v>621</v>
      </c>
      <c r="LMA248">
        <v>-21346</v>
      </c>
      <c r="LMB248">
        <v>66160</v>
      </c>
      <c r="LMC248" t="s">
        <v>619</v>
      </c>
      <c r="LMD248" t="s">
        <v>619</v>
      </c>
      <c r="LME248" t="s">
        <v>619</v>
      </c>
      <c r="LVV248" t="s">
        <v>621</v>
      </c>
      <c r="LVW248">
        <v>-21346</v>
      </c>
      <c r="LVX248">
        <v>66160</v>
      </c>
      <c r="LVY248" t="s">
        <v>619</v>
      </c>
      <c r="LVZ248" t="s">
        <v>619</v>
      </c>
      <c r="LWA248" t="s">
        <v>619</v>
      </c>
      <c r="MFR248" t="s">
        <v>621</v>
      </c>
      <c r="MFS248">
        <v>-21346</v>
      </c>
      <c r="MFT248">
        <v>66160</v>
      </c>
      <c r="MFU248" t="s">
        <v>619</v>
      </c>
      <c r="MFV248" t="s">
        <v>619</v>
      </c>
      <c r="MFW248" t="s">
        <v>619</v>
      </c>
      <c r="MPN248" t="s">
        <v>621</v>
      </c>
      <c r="MPO248">
        <v>-21346</v>
      </c>
      <c r="MPP248">
        <v>66160</v>
      </c>
      <c r="MPQ248" t="s">
        <v>619</v>
      </c>
      <c r="MPR248" t="s">
        <v>619</v>
      </c>
      <c r="MPS248" t="s">
        <v>619</v>
      </c>
      <c r="MZJ248" t="s">
        <v>621</v>
      </c>
      <c r="MZK248">
        <v>-21346</v>
      </c>
      <c r="MZL248">
        <v>66160</v>
      </c>
      <c r="MZM248" t="s">
        <v>619</v>
      </c>
      <c r="MZN248" t="s">
        <v>619</v>
      </c>
      <c r="MZO248" t="s">
        <v>619</v>
      </c>
      <c r="NJF248" t="s">
        <v>621</v>
      </c>
      <c r="NJG248">
        <v>-21346</v>
      </c>
      <c r="NJH248">
        <v>66160</v>
      </c>
      <c r="NJI248" t="s">
        <v>619</v>
      </c>
      <c r="NJJ248" t="s">
        <v>619</v>
      </c>
      <c r="NJK248" t="s">
        <v>619</v>
      </c>
      <c r="NTB248" t="s">
        <v>621</v>
      </c>
      <c r="NTC248">
        <v>-21346</v>
      </c>
      <c r="NTD248">
        <v>66160</v>
      </c>
      <c r="NTE248" t="s">
        <v>619</v>
      </c>
      <c r="NTF248" t="s">
        <v>619</v>
      </c>
      <c r="NTG248" t="s">
        <v>619</v>
      </c>
      <c r="OCX248" t="s">
        <v>621</v>
      </c>
      <c r="OCY248">
        <v>-21346</v>
      </c>
      <c r="OCZ248">
        <v>66160</v>
      </c>
      <c r="ODA248" t="s">
        <v>619</v>
      </c>
      <c r="ODB248" t="s">
        <v>619</v>
      </c>
      <c r="ODC248" t="s">
        <v>619</v>
      </c>
      <c r="OMT248" t="s">
        <v>621</v>
      </c>
      <c r="OMU248">
        <v>-21346</v>
      </c>
      <c r="OMV248">
        <v>66160</v>
      </c>
      <c r="OMW248" t="s">
        <v>619</v>
      </c>
      <c r="OMX248" t="s">
        <v>619</v>
      </c>
      <c r="OMY248" t="s">
        <v>619</v>
      </c>
      <c r="OWP248" t="s">
        <v>621</v>
      </c>
      <c r="OWQ248">
        <v>-21346</v>
      </c>
      <c r="OWR248">
        <v>66160</v>
      </c>
      <c r="OWS248" t="s">
        <v>619</v>
      </c>
      <c r="OWT248" t="s">
        <v>619</v>
      </c>
      <c r="OWU248" t="s">
        <v>619</v>
      </c>
      <c r="PGL248" t="s">
        <v>621</v>
      </c>
      <c r="PGM248">
        <v>-21346</v>
      </c>
      <c r="PGN248">
        <v>66160</v>
      </c>
      <c r="PGO248" t="s">
        <v>619</v>
      </c>
      <c r="PGP248" t="s">
        <v>619</v>
      </c>
      <c r="PGQ248" t="s">
        <v>619</v>
      </c>
      <c r="PQH248" t="s">
        <v>621</v>
      </c>
      <c r="PQI248">
        <v>-21346</v>
      </c>
      <c r="PQJ248">
        <v>66160</v>
      </c>
      <c r="PQK248" t="s">
        <v>619</v>
      </c>
      <c r="PQL248" t="s">
        <v>619</v>
      </c>
      <c r="PQM248" t="s">
        <v>619</v>
      </c>
      <c r="QAD248" t="s">
        <v>621</v>
      </c>
      <c r="QAE248">
        <v>-21346</v>
      </c>
      <c r="QAF248">
        <v>66160</v>
      </c>
      <c r="QAG248" t="s">
        <v>619</v>
      </c>
      <c r="QAH248" t="s">
        <v>619</v>
      </c>
      <c r="QAI248" t="s">
        <v>619</v>
      </c>
      <c r="QJZ248" t="s">
        <v>621</v>
      </c>
      <c r="QKA248">
        <v>-21346</v>
      </c>
      <c r="QKB248">
        <v>66160</v>
      </c>
      <c r="QKC248" t="s">
        <v>619</v>
      </c>
      <c r="QKD248" t="s">
        <v>619</v>
      </c>
      <c r="QKE248" t="s">
        <v>619</v>
      </c>
      <c r="QTV248" t="s">
        <v>621</v>
      </c>
      <c r="QTW248">
        <v>-21346</v>
      </c>
      <c r="QTX248">
        <v>66160</v>
      </c>
      <c r="QTY248" t="s">
        <v>619</v>
      </c>
      <c r="QTZ248" t="s">
        <v>619</v>
      </c>
      <c r="QUA248" t="s">
        <v>619</v>
      </c>
      <c r="RDR248" t="s">
        <v>621</v>
      </c>
      <c r="RDS248">
        <v>-21346</v>
      </c>
      <c r="RDT248">
        <v>66160</v>
      </c>
      <c r="RDU248" t="s">
        <v>619</v>
      </c>
      <c r="RDV248" t="s">
        <v>619</v>
      </c>
      <c r="RDW248" t="s">
        <v>619</v>
      </c>
      <c r="RNN248" t="s">
        <v>621</v>
      </c>
      <c r="RNO248">
        <v>-21346</v>
      </c>
      <c r="RNP248">
        <v>66160</v>
      </c>
      <c r="RNQ248" t="s">
        <v>619</v>
      </c>
      <c r="RNR248" t="s">
        <v>619</v>
      </c>
      <c r="RNS248" t="s">
        <v>619</v>
      </c>
      <c r="RXJ248" t="s">
        <v>621</v>
      </c>
      <c r="RXK248">
        <v>-21346</v>
      </c>
      <c r="RXL248">
        <v>66160</v>
      </c>
      <c r="RXM248" t="s">
        <v>619</v>
      </c>
      <c r="RXN248" t="s">
        <v>619</v>
      </c>
      <c r="RXO248" t="s">
        <v>619</v>
      </c>
      <c r="SHF248" t="s">
        <v>621</v>
      </c>
      <c r="SHG248">
        <v>-21346</v>
      </c>
      <c r="SHH248">
        <v>66160</v>
      </c>
      <c r="SHI248" t="s">
        <v>619</v>
      </c>
      <c r="SHJ248" t="s">
        <v>619</v>
      </c>
      <c r="SHK248" t="s">
        <v>619</v>
      </c>
      <c r="SRB248" t="s">
        <v>621</v>
      </c>
      <c r="SRC248">
        <v>-21346</v>
      </c>
      <c r="SRD248">
        <v>66160</v>
      </c>
      <c r="SRE248" t="s">
        <v>619</v>
      </c>
      <c r="SRF248" t="s">
        <v>619</v>
      </c>
      <c r="SRG248" t="s">
        <v>619</v>
      </c>
      <c r="TAX248" t="s">
        <v>621</v>
      </c>
      <c r="TAY248">
        <v>-21346</v>
      </c>
      <c r="TAZ248">
        <v>66160</v>
      </c>
      <c r="TBA248" t="s">
        <v>619</v>
      </c>
      <c r="TBB248" t="s">
        <v>619</v>
      </c>
      <c r="TBC248" t="s">
        <v>619</v>
      </c>
      <c r="TKT248" t="s">
        <v>621</v>
      </c>
      <c r="TKU248">
        <v>-21346</v>
      </c>
      <c r="TKV248">
        <v>66160</v>
      </c>
      <c r="TKW248" t="s">
        <v>619</v>
      </c>
      <c r="TKX248" t="s">
        <v>619</v>
      </c>
      <c r="TKY248" t="s">
        <v>619</v>
      </c>
      <c r="TUP248" t="s">
        <v>621</v>
      </c>
      <c r="TUQ248">
        <v>-21346</v>
      </c>
      <c r="TUR248">
        <v>66160</v>
      </c>
      <c r="TUS248" t="s">
        <v>619</v>
      </c>
      <c r="TUT248" t="s">
        <v>619</v>
      </c>
      <c r="TUU248" t="s">
        <v>619</v>
      </c>
      <c r="UEL248" t="s">
        <v>621</v>
      </c>
      <c r="UEM248">
        <v>-21346</v>
      </c>
      <c r="UEN248">
        <v>66160</v>
      </c>
      <c r="UEO248" t="s">
        <v>619</v>
      </c>
      <c r="UEP248" t="s">
        <v>619</v>
      </c>
      <c r="UEQ248" t="s">
        <v>619</v>
      </c>
      <c r="UOH248" t="s">
        <v>621</v>
      </c>
      <c r="UOI248">
        <v>-21346</v>
      </c>
      <c r="UOJ248">
        <v>66160</v>
      </c>
      <c r="UOK248" t="s">
        <v>619</v>
      </c>
      <c r="UOL248" t="s">
        <v>619</v>
      </c>
      <c r="UOM248" t="s">
        <v>619</v>
      </c>
      <c r="UYD248" t="s">
        <v>621</v>
      </c>
      <c r="UYE248">
        <v>-21346</v>
      </c>
      <c r="UYF248">
        <v>66160</v>
      </c>
      <c r="UYG248" t="s">
        <v>619</v>
      </c>
      <c r="UYH248" t="s">
        <v>619</v>
      </c>
      <c r="UYI248" t="s">
        <v>619</v>
      </c>
      <c r="VHZ248" t="s">
        <v>621</v>
      </c>
      <c r="VIA248">
        <v>-21346</v>
      </c>
      <c r="VIB248">
        <v>66160</v>
      </c>
      <c r="VIC248" t="s">
        <v>619</v>
      </c>
      <c r="VID248" t="s">
        <v>619</v>
      </c>
      <c r="VIE248" t="s">
        <v>619</v>
      </c>
      <c r="VRV248" t="s">
        <v>621</v>
      </c>
      <c r="VRW248">
        <v>-21346</v>
      </c>
      <c r="VRX248">
        <v>66160</v>
      </c>
      <c r="VRY248" t="s">
        <v>619</v>
      </c>
      <c r="VRZ248" t="s">
        <v>619</v>
      </c>
      <c r="VSA248" t="s">
        <v>619</v>
      </c>
      <c r="WBR248" t="s">
        <v>621</v>
      </c>
      <c r="WBS248">
        <v>-21346</v>
      </c>
      <c r="WBT248">
        <v>66160</v>
      </c>
      <c r="WBU248" t="s">
        <v>619</v>
      </c>
      <c r="WBV248" t="s">
        <v>619</v>
      </c>
      <c r="WBW248" t="s">
        <v>619</v>
      </c>
      <c r="WLN248" t="s">
        <v>621</v>
      </c>
      <c r="WLO248">
        <v>-21346</v>
      </c>
      <c r="WLP248">
        <v>66160</v>
      </c>
      <c r="WLQ248" t="s">
        <v>619</v>
      </c>
      <c r="WLR248" t="s">
        <v>619</v>
      </c>
      <c r="WLS248" t="s">
        <v>619</v>
      </c>
      <c r="WVJ248" t="s">
        <v>621</v>
      </c>
      <c r="WVK248">
        <v>-21346</v>
      </c>
      <c r="WVL248">
        <v>66160</v>
      </c>
      <c r="WVM248" t="s">
        <v>619</v>
      </c>
      <c r="WVN248" t="s">
        <v>619</v>
      </c>
      <c r="WVO248" t="s">
        <v>619</v>
      </c>
    </row>
    <row r="249" spans="1:775 1026:1799 2050:2823 3074:3847 4098:4871 5122:5895 6146:6919 7170:7943 8194:8967 9218:9991 10242:11015 11266:12039 12290:13063 13314:14087 14338:15111 15362:16135" ht="14">
      <c r="A249" s="96" t="s">
        <v>622</v>
      </c>
      <c r="D249" s="98">
        <v>0</v>
      </c>
      <c r="E249" s="98">
        <v>0</v>
      </c>
      <c r="F249" s="98">
        <v>0</v>
      </c>
      <c r="G249" s="98">
        <v>0</v>
      </c>
      <c r="H249" s="100">
        <v>138332</v>
      </c>
      <c r="I249" s="98">
        <v>0</v>
      </c>
      <c r="J249" s="98">
        <v>0</v>
      </c>
      <c r="K249" s="98">
        <v>0</v>
      </c>
      <c r="IX249" t="s">
        <v>622</v>
      </c>
      <c r="IY249" t="s">
        <v>619</v>
      </c>
      <c r="IZ249" t="s">
        <v>619</v>
      </c>
      <c r="JA249" t="s">
        <v>619</v>
      </c>
      <c r="JB249" t="s">
        <v>619</v>
      </c>
      <c r="JC249">
        <v>138332</v>
      </c>
      <c r="ST249" t="s">
        <v>622</v>
      </c>
      <c r="SU249" t="s">
        <v>619</v>
      </c>
      <c r="SV249" t="s">
        <v>619</v>
      </c>
      <c r="SW249" t="s">
        <v>619</v>
      </c>
      <c r="SX249" t="s">
        <v>619</v>
      </c>
      <c r="SY249">
        <v>138332</v>
      </c>
      <c r="ACP249" t="s">
        <v>622</v>
      </c>
      <c r="ACQ249" t="s">
        <v>619</v>
      </c>
      <c r="ACR249" t="s">
        <v>619</v>
      </c>
      <c r="ACS249" t="s">
        <v>619</v>
      </c>
      <c r="ACT249" t="s">
        <v>619</v>
      </c>
      <c r="ACU249">
        <v>138332</v>
      </c>
      <c r="AML249" t="s">
        <v>622</v>
      </c>
      <c r="AMM249" t="s">
        <v>619</v>
      </c>
      <c r="AMN249" t="s">
        <v>619</v>
      </c>
      <c r="AMO249" t="s">
        <v>619</v>
      </c>
      <c r="AMP249" t="s">
        <v>619</v>
      </c>
      <c r="AMQ249">
        <v>138332</v>
      </c>
      <c r="AWH249" t="s">
        <v>622</v>
      </c>
      <c r="AWI249" t="s">
        <v>619</v>
      </c>
      <c r="AWJ249" t="s">
        <v>619</v>
      </c>
      <c r="AWK249" t="s">
        <v>619</v>
      </c>
      <c r="AWL249" t="s">
        <v>619</v>
      </c>
      <c r="AWM249">
        <v>138332</v>
      </c>
      <c r="BGD249" t="s">
        <v>622</v>
      </c>
      <c r="BGE249" t="s">
        <v>619</v>
      </c>
      <c r="BGF249" t="s">
        <v>619</v>
      </c>
      <c r="BGG249" t="s">
        <v>619</v>
      </c>
      <c r="BGH249" t="s">
        <v>619</v>
      </c>
      <c r="BGI249">
        <v>138332</v>
      </c>
      <c r="BPZ249" t="s">
        <v>622</v>
      </c>
      <c r="BQA249" t="s">
        <v>619</v>
      </c>
      <c r="BQB249" t="s">
        <v>619</v>
      </c>
      <c r="BQC249" t="s">
        <v>619</v>
      </c>
      <c r="BQD249" t="s">
        <v>619</v>
      </c>
      <c r="BQE249">
        <v>138332</v>
      </c>
      <c r="BZV249" t="s">
        <v>622</v>
      </c>
      <c r="BZW249" t="s">
        <v>619</v>
      </c>
      <c r="BZX249" t="s">
        <v>619</v>
      </c>
      <c r="BZY249" t="s">
        <v>619</v>
      </c>
      <c r="BZZ249" t="s">
        <v>619</v>
      </c>
      <c r="CAA249">
        <v>138332</v>
      </c>
      <c r="CJR249" t="s">
        <v>622</v>
      </c>
      <c r="CJS249" t="s">
        <v>619</v>
      </c>
      <c r="CJT249" t="s">
        <v>619</v>
      </c>
      <c r="CJU249" t="s">
        <v>619</v>
      </c>
      <c r="CJV249" t="s">
        <v>619</v>
      </c>
      <c r="CJW249">
        <v>138332</v>
      </c>
      <c r="CTN249" t="s">
        <v>622</v>
      </c>
      <c r="CTO249" t="s">
        <v>619</v>
      </c>
      <c r="CTP249" t="s">
        <v>619</v>
      </c>
      <c r="CTQ249" t="s">
        <v>619</v>
      </c>
      <c r="CTR249" t="s">
        <v>619</v>
      </c>
      <c r="CTS249">
        <v>138332</v>
      </c>
      <c r="DDJ249" t="s">
        <v>622</v>
      </c>
      <c r="DDK249" t="s">
        <v>619</v>
      </c>
      <c r="DDL249" t="s">
        <v>619</v>
      </c>
      <c r="DDM249" t="s">
        <v>619</v>
      </c>
      <c r="DDN249" t="s">
        <v>619</v>
      </c>
      <c r="DDO249">
        <v>138332</v>
      </c>
      <c r="DNF249" t="s">
        <v>622</v>
      </c>
      <c r="DNG249" t="s">
        <v>619</v>
      </c>
      <c r="DNH249" t="s">
        <v>619</v>
      </c>
      <c r="DNI249" t="s">
        <v>619</v>
      </c>
      <c r="DNJ249" t="s">
        <v>619</v>
      </c>
      <c r="DNK249">
        <v>138332</v>
      </c>
      <c r="DXB249" t="s">
        <v>622</v>
      </c>
      <c r="DXC249" t="s">
        <v>619</v>
      </c>
      <c r="DXD249" t="s">
        <v>619</v>
      </c>
      <c r="DXE249" t="s">
        <v>619</v>
      </c>
      <c r="DXF249" t="s">
        <v>619</v>
      </c>
      <c r="DXG249">
        <v>138332</v>
      </c>
      <c r="EGX249" t="s">
        <v>622</v>
      </c>
      <c r="EGY249" t="s">
        <v>619</v>
      </c>
      <c r="EGZ249" t="s">
        <v>619</v>
      </c>
      <c r="EHA249" t="s">
        <v>619</v>
      </c>
      <c r="EHB249" t="s">
        <v>619</v>
      </c>
      <c r="EHC249">
        <v>138332</v>
      </c>
      <c r="EQT249" t="s">
        <v>622</v>
      </c>
      <c r="EQU249" t="s">
        <v>619</v>
      </c>
      <c r="EQV249" t="s">
        <v>619</v>
      </c>
      <c r="EQW249" t="s">
        <v>619</v>
      </c>
      <c r="EQX249" t="s">
        <v>619</v>
      </c>
      <c r="EQY249">
        <v>138332</v>
      </c>
      <c r="FAP249" t="s">
        <v>622</v>
      </c>
      <c r="FAQ249" t="s">
        <v>619</v>
      </c>
      <c r="FAR249" t="s">
        <v>619</v>
      </c>
      <c r="FAS249" t="s">
        <v>619</v>
      </c>
      <c r="FAT249" t="s">
        <v>619</v>
      </c>
      <c r="FAU249">
        <v>138332</v>
      </c>
      <c r="FKL249" t="s">
        <v>622</v>
      </c>
      <c r="FKM249" t="s">
        <v>619</v>
      </c>
      <c r="FKN249" t="s">
        <v>619</v>
      </c>
      <c r="FKO249" t="s">
        <v>619</v>
      </c>
      <c r="FKP249" t="s">
        <v>619</v>
      </c>
      <c r="FKQ249">
        <v>138332</v>
      </c>
      <c r="FUH249" t="s">
        <v>622</v>
      </c>
      <c r="FUI249" t="s">
        <v>619</v>
      </c>
      <c r="FUJ249" t="s">
        <v>619</v>
      </c>
      <c r="FUK249" t="s">
        <v>619</v>
      </c>
      <c r="FUL249" t="s">
        <v>619</v>
      </c>
      <c r="FUM249">
        <v>138332</v>
      </c>
      <c r="GED249" t="s">
        <v>622</v>
      </c>
      <c r="GEE249" t="s">
        <v>619</v>
      </c>
      <c r="GEF249" t="s">
        <v>619</v>
      </c>
      <c r="GEG249" t="s">
        <v>619</v>
      </c>
      <c r="GEH249" t="s">
        <v>619</v>
      </c>
      <c r="GEI249">
        <v>138332</v>
      </c>
      <c r="GNZ249" t="s">
        <v>622</v>
      </c>
      <c r="GOA249" t="s">
        <v>619</v>
      </c>
      <c r="GOB249" t="s">
        <v>619</v>
      </c>
      <c r="GOC249" t="s">
        <v>619</v>
      </c>
      <c r="GOD249" t="s">
        <v>619</v>
      </c>
      <c r="GOE249">
        <v>138332</v>
      </c>
      <c r="GXV249" t="s">
        <v>622</v>
      </c>
      <c r="GXW249" t="s">
        <v>619</v>
      </c>
      <c r="GXX249" t="s">
        <v>619</v>
      </c>
      <c r="GXY249" t="s">
        <v>619</v>
      </c>
      <c r="GXZ249" t="s">
        <v>619</v>
      </c>
      <c r="GYA249">
        <v>138332</v>
      </c>
      <c r="HHR249" t="s">
        <v>622</v>
      </c>
      <c r="HHS249" t="s">
        <v>619</v>
      </c>
      <c r="HHT249" t="s">
        <v>619</v>
      </c>
      <c r="HHU249" t="s">
        <v>619</v>
      </c>
      <c r="HHV249" t="s">
        <v>619</v>
      </c>
      <c r="HHW249">
        <v>138332</v>
      </c>
      <c r="HRN249" t="s">
        <v>622</v>
      </c>
      <c r="HRO249" t="s">
        <v>619</v>
      </c>
      <c r="HRP249" t="s">
        <v>619</v>
      </c>
      <c r="HRQ249" t="s">
        <v>619</v>
      </c>
      <c r="HRR249" t="s">
        <v>619</v>
      </c>
      <c r="HRS249">
        <v>138332</v>
      </c>
      <c r="IBJ249" t="s">
        <v>622</v>
      </c>
      <c r="IBK249" t="s">
        <v>619</v>
      </c>
      <c r="IBL249" t="s">
        <v>619</v>
      </c>
      <c r="IBM249" t="s">
        <v>619</v>
      </c>
      <c r="IBN249" t="s">
        <v>619</v>
      </c>
      <c r="IBO249">
        <v>138332</v>
      </c>
      <c r="ILF249" t="s">
        <v>622</v>
      </c>
      <c r="ILG249" t="s">
        <v>619</v>
      </c>
      <c r="ILH249" t="s">
        <v>619</v>
      </c>
      <c r="ILI249" t="s">
        <v>619</v>
      </c>
      <c r="ILJ249" t="s">
        <v>619</v>
      </c>
      <c r="ILK249">
        <v>138332</v>
      </c>
      <c r="IVB249" t="s">
        <v>622</v>
      </c>
      <c r="IVC249" t="s">
        <v>619</v>
      </c>
      <c r="IVD249" t="s">
        <v>619</v>
      </c>
      <c r="IVE249" t="s">
        <v>619</v>
      </c>
      <c r="IVF249" t="s">
        <v>619</v>
      </c>
      <c r="IVG249">
        <v>138332</v>
      </c>
      <c r="JEX249" t="s">
        <v>622</v>
      </c>
      <c r="JEY249" t="s">
        <v>619</v>
      </c>
      <c r="JEZ249" t="s">
        <v>619</v>
      </c>
      <c r="JFA249" t="s">
        <v>619</v>
      </c>
      <c r="JFB249" t="s">
        <v>619</v>
      </c>
      <c r="JFC249">
        <v>138332</v>
      </c>
      <c r="JOT249" t="s">
        <v>622</v>
      </c>
      <c r="JOU249" t="s">
        <v>619</v>
      </c>
      <c r="JOV249" t="s">
        <v>619</v>
      </c>
      <c r="JOW249" t="s">
        <v>619</v>
      </c>
      <c r="JOX249" t="s">
        <v>619</v>
      </c>
      <c r="JOY249">
        <v>138332</v>
      </c>
      <c r="JYP249" t="s">
        <v>622</v>
      </c>
      <c r="JYQ249" t="s">
        <v>619</v>
      </c>
      <c r="JYR249" t="s">
        <v>619</v>
      </c>
      <c r="JYS249" t="s">
        <v>619</v>
      </c>
      <c r="JYT249" t="s">
        <v>619</v>
      </c>
      <c r="JYU249">
        <v>138332</v>
      </c>
      <c r="KIL249" t="s">
        <v>622</v>
      </c>
      <c r="KIM249" t="s">
        <v>619</v>
      </c>
      <c r="KIN249" t="s">
        <v>619</v>
      </c>
      <c r="KIO249" t="s">
        <v>619</v>
      </c>
      <c r="KIP249" t="s">
        <v>619</v>
      </c>
      <c r="KIQ249">
        <v>138332</v>
      </c>
      <c r="KSH249" t="s">
        <v>622</v>
      </c>
      <c r="KSI249" t="s">
        <v>619</v>
      </c>
      <c r="KSJ249" t="s">
        <v>619</v>
      </c>
      <c r="KSK249" t="s">
        <v>619</v>
      </c>
      <c r="KSL249" t="s">
        <v>619</v>
      </c>
      <c r="KSM249">
        <v>138332</v>
      </c>
      <c r="LCD249" t="s">
        <v>622</v>
      </c>
      <c r="LCE249" t="s">
        <v>619</v>
      </c>
      <c r="LCF249" t="s">
        <v>619</v>
      </c>
      <c r="LCG249" t="s">
        <v>619</v>
      </c>
      <c r="LCH249" t="s">
        <v>619</v>
      </c>
      <c r="LCI249">
        <v>138332</v>
      </c>
      <c r="LLZ249" t="s">
        <v>622</v>
      </c>
      <c r="LMA249" t="s">
        <v>619</v>
      </c>
      <c r="LMB249" t="s">
        <v>619</v>
      </c>
      <c r="LMC249" t="s">
        <v>619</v>
      </c>
      <c r="LMD249" t="s">
        <v>619</v>
      </c>
      <c r="LME249">
        <v>138332</v>
      </c>
      <c r="LVV249" t="s">
        <v>622</v>
      </c>
      <c r="LVW249" t="s">
        <v>619</v>
      </c>
      <c r="LVX249" t="s">
        <v>619</v>
      </c>
      <c r="LVY249" t="s">
        <v>619</v>
      </c>
      <c r="LVZ249" t="s">
        <v>619</v>
      </c>
      <c r="LWA249">
        <v>138332</v>
      </c>
      <c r="MFR249" t="s">
        <v>622</v>
      </c>
      <c r="MFS249" t="s">
        <v>619</v>
      </c>
      <c r="MFT249" t="s">
        <v>619</v>
      </c>
      <c r="MFU249" t="s">
        <v>619</v>
      </c>
      <c r="MFV249" t="s">
        <v>619</v>
      </c>
      <c r="MFW249">
        <v>138332</v>
      </c>
      <c r="MPN249" t="s">
        <v>622</v>
      </c>
      <c r="MPO249" t="s">
        <v>619</v>
      </c>
      <c r="MPP249" t="s">
        <v>619</v>
      </c>
      <c r="MPQ249" t="s">
        <v>619</v>
      </c>
      <c r="MPR249" t="s">
        <v>619</v>
      </c>
      <c r="MPS249">
        <v>138332</v>
      </c>
      <c r="MZJ249" t="s">
        <v>622</v>
      </c>
      <c r="MZK249" t="s">
        <v>619</v>
      </c>
      <c r="MZL249" t="s">
        <v>619</v>
      </c>
      <c r="MZM249" t="s">
        <v>619</v>
      </c>
      <c r="MZN249" t="s">
        <v>619</v>
      </c>
      <c r="MZO249">
        <v>138332</v>
      </c>
      <c r="NJF249" t="s">
        <v>622</v>
      </c>
      <c r="NJG249" t="s">
        <v>619</v>
      </c>
      <c r="NJH249" t="s">
        <v>619</v>
      </c>
      <c r="NJI249" t="s">
        <v>619</v>
      </c>
      <c r="NJJ249" t="s">
        <v>619</v>
      </c>
      <c r="NJK249">
        <v>138332</v>
      </c>
      <c r="NTB249" t="s">
        <v>622</v>
      </c>
      <c r="NTC249" t="s">
        <v>619</v>
      </c>
      <c r="NTD249" t="s">
        <v>619</v>
      </c>
      <c r="NTE249" t="s">
        <v>619</v>
      </c>
      <c r="NTF249" t="s">
        <v>619</v>
      </c>
      <c r="NTG249">
        <v>138332</v>
      </c>
      <c r="OCX249" t="s">
        <v>622</v>
      </c>
      <c r="OCY249" t="s">
        <v>619</v>
      </c>
      <c r="OCZ249" t="s">
        <v>619</v>
      </c>
      <c r="ODA249" t="s">
        <v>619</v>
      </c>
      <c r="ODB249" t="s">
        <v>619</v>
      </c>
      <c r="ODC249">
        <v>138332</v>
      </c>
      <c r="OMT249" t="s">
        <v>622</v>
      </c>
      <c r="OMU249" t="s">
        <v>619</v>
      </c>
      <c r="OMV249" t="s">
        <v>619</v>
      </c>
      <c r="OMW249" t="s">
        <v>619</v>
      </c>
      <c r="OMX249" t="s">
        <v>619</v>
      </c>
      <c r="OMY249">
        <v>138332</v>
      </c>
      <c r="OWP249" t="s">
        <v>622</v>
      </c>
      <c r="OWQ249" t="s">
        <v>619</v>
      </c>
      <c r="OWR249" t="s">
        <v>619</v>
      </c>
      <c r="OWS249" t="s">
        <v>619</v>
      </c>
      <c r="OWT249" t="s">
        <v>619</v>
      </c>
      <c r="OWU249">
        <v>138332</v>
      </c>
      <c r="PGL249" t="s">
        <v>622</v>
      </c>
      <c r="PGM249" t="s">
        <v>619</v>
      </c>
      <c r="PGN249" t="s">
        <v>619</v>
      </c>
      <c r="PGO249" t="s">
        <v>619</v>
      </c>
      <c r="PGP249" t="s">
        <v>619</v>
      </c>
      <c r="PGQ249">
        <v>138332</v>
      </c>
      <c r="PQH249" t="s">
        <v>622</v>
      </c>
      <c r="PQI249" t="s">
        <v>619</v>
      </c>
      <c r="PQJ249" t="s">
        <v>619</v>
      </c>
      <c r="PQK249" t="s">
        <v>619</v>
      </c>
      <c r="PQL249" t="s">
        <v>619</v>
      </c>
      <c r="PQM249">
        <v>138332</v>
      </c>
      <c r="QAD249" t="s">
        <v>622</v>
      </c>
      <c r="QAE249" t="s">
        <v>619</v>
      </c>
      <c r="QAF249" t="s">
        <v>619</v>
      </c>
      <c r="QAG249" t="s">
        <v>619</v>
      </c>
      <c r="QAH249" t="s">
        <v>619</v>
      </c>
      <c r="QAI249">
        <v>138332</v>
      </c>
      <c r="QJZ249" t="s">
        <v>622</v>
      </c>
      <c r="QKA249" t="s">
        <v>619</v>
      </c>
      <c r="QKB249" t="s">
        <v>619</v>
      </c>
      <c r="QKC249" t="s">
        <v>619</v>
      </c>
      <c r="QKD249" t="s">
        <v>619</v>
      </c>
      <c r="QKE249">
        <v>138332</v>
      </c>
      <c r="QTV249" t="s">
        <v>622</v>
      </c>
      <c r="QTW249" t="s">
        <v>619</v>
      </c>
      <c r="QTX249" t="s">
        <v>619</v>
      </c>
      <c r="QTY249" t="s">
        <v>619</v>
      </c>
      <c r="QTZ249" t="s">
        <v>619</v>
      </c>
      <c r="QUA249">
        <v>138332</v>
      </c>
      <c r="RDR249" t="s">
        <v>622</v>
      </c>
      <c r="RDS249" t="s">
        <v>619</v>
      </c>
      <c r="RDT249" t="s">
        <v>619</v>
      </c>
      <c r="RDU249" t="s">
        <v>619</v>
      </c>
      <c r="RDV249" t="s">
        <v>619</v>
      </c>
      <c r="RDW249">
        <v>138332</v>
      </c>
      <c r="RNN249" t="s">
        <v>622</v>
      </c>
      <c r="RNO249" t="s">
        <v>619</v>
      </c>
      <c r="RNP249" t="s">
        <v>619</v>
      </c>
      <c r="RNQ249" t="s">
        <v>619</v>
      </c>
      <c r="RNR249" t="s">
        <v>619</v>
      </c>
      <c r="RNS249">
        <v>138332</v>
      </c>
      <c r="RXJ249" t="s">
        <v>622</v>
      </c>
      <c r="RXK249" t="s">
        <v>619</v>
      </c>
      <c r="RXL249" t="s">
        <v>619</v>
      </c>
      <c r="RXM249" t="s">
        <v>619</v>
      </c>
      <c r="RXN249" t="s">
        <v>619</v>
      </c>
      <c r="RXO249">
        <v>138332</v>
      </c>
      <c r="SHF249" t="s">
        <v>622</v>
      </c>
      <c r="SHG249" t="s">
        <v>619</v>
      </c>
      <c r="SHH249" t="s">
        <v>619</v>
      </c>
      <c r="SHI249" t="s">
        <v>619</v>
      </c>
      <c r="SHJ249" t="s">
        <v>619</v>
      </c>
      <c r="SHK249">
        <v>138332</v>
      </c>
      <c r="SRB249" t="s">
        <v>622</v>
      </c>
      <c r="SRC249" t="s">
        <v>619</v>
      </c>
      <c r="SRD249" t="s">
        <v>619</v>
      </c>
      <c r="SRE249" t="s">
        <v>619</v>
      </c>
      <c r="SRF249" t="s">
        <v>619</v>
      </c>
      <c r="SRG249">
        <v>138332</v>
      </c>
      <c r="TAX249" t="s">
        <v>622</v>
      </c>
      <c r="TAY249" t="s">
        <v>619</v>
      </c>
      <c r="TAZ249" t="s">
        <v>619</v>
      </c>
      <c r="TBA249" t="s">
        <v>619</v>
      </c>
      <c r="TBB249" t="s">
        <v>619</v>
      </c>
      <c r="TBC249">
        <v>138332</v>
      </c>
      <c r="TKT249" t="s">
        <v>622</v>
      </c>
      <c r="TKU249" t="s">
        <v>619</v>
      </c>
      <c r="TKV249" t="s">
        <v>619</v>
      </c>
      <c r="TKW249" t="s">
        <v>619</v>
      </c>
      <c r="TKX249" t="s">
        <v>619</v>
      </c>
      <c r="TKY249">
        <v>138332</v>
      </c>
      <c r="TUP249" t="s">
        <v>622</v>
      </c>
      <c r="TUQ249" t="s">
        <v>619</v>
      </c>
      <c r="TUR249" t="s">
        <v>619</v>
      </c>
      <c r="TUS249" t="s">
        <v>619</v>
      </c>
      <c r="TUT249" t="s">
        <v>619</v>
      </c>
      <c r="TUU249">
        <v>138332</v>
      </c>
      <c r="UEL249" t="s">
        <v>622</v>
      </c>
      <c r="UEM249" t="s">
        <v>619</v>
      </c>
      <c r="UEN249" t="s">
        <v>619</v>
      </c>
      <c r="UEO249" t="s">
        <v>619</v>
      </c>
      <c r="UEP249" t="s">
        <v>619</v>
      </c>
      <c r="UEQ249">
        <v>138332</v>
      </c>
      <c r="UOH249" t="s">
        <v>622</v>
      </c>
      <c r="UOI249" t="s">
        <v>619</v>
      </c>
      <c r="UOJ249" t="s">
        <v>619</v>
      </c>
      <c r="UOK249" t="s">
        <v>619</v>
      </c>
      <c r="UOL249" t="s">
        <v>619</v>
      </c>
      <c r="UOM249">
        <v>138332</v>
      </c>
      <c r="UYD249" t="s">
        <v>622</v>
      </c>
      <c r="UYE249" t="s">
        <v>619</v>
      </c>
      <c r="UYF249" t="s">
        <v>619</v>
      </c>
      <c r="UYG249" t="s">
        <v>619</v>
      </c>
      <c r="UYH249" t="s">
        <v>619</v>
      </c>
      <c r="UYI249">
        <v>138332</v>
      </c>
      <c r="VHZ249" t="s">
        <v>622</v>
      </c>
      <c r="VIA249" t="s">
        <v>619</v>
      </c>
      <c r="VIB249" t="s">
        <v>619</v>
      </c>
      <c r="VIC249" t="s">
        <v>619</v>
      </c>
      <c r="VID249" t="s">
        <v>619</v>
      </c>
      <c r="VIE249">
        <v>138332</v>
      </c>
      <c r="VRV249" t="s">
        <v>622</v>
      </c>
      <c r="VRW249" t="s">
        <v>619</v>
      </c>
      <c r="VRX249" t="s">
        <v>619</v>
      </c>
      <c r="VRY249" t="s">
        <v>619</v>
      </c>
      <c r="VRZ249" t="s">
        <v>619</v>
      </c>
      <c r="VSA249">
        <v>138332</v>
      </c>
      <c r="WBR249" t="s">
        <v>622</v>
      </c>
      <c r="WBS249" t="s">
        <v>619</v>
      </c>
      <c r="WBT249" t="s">
        <v>619</v>
      </c>
      <c r="WBU249" t="s">
        <v>619</v>
      </c>
      <c r="WBV249" t="s">
        <v>619</v>
      </c>
      <c r="WBW249">
        <v>138332</v>
      </c>
      <c r="WLN249" t="s">
        <v>622</v>
      </c>
      <c r="WLO249" t="s">
        <v>619</v>
      </c>
      <c r="WLP249" t="s">
        <v>619</v>
      </c>
      <c r="WLQ249" t="s">
        <v>619</v>
      </c>
      <c r="WLR249" t="s">
        <v>619</v>
      </c>
      <c r="WLS249">
        <v>138332</v>
      </c>
      <c r="WVJ249" t="s">
        <v>622</v>
      </c>
      <c r="WVK249" t="s">
        <v>619</v>
      </c>
      <c r="WVL249" t="s">
        <v>619</v>
      </c>
      <c r="WVM249" t="s">
        <v>619</v>
      </c>
      <c r="WVN249" t="s">
        <v>619</v>
      </c>
      <c r="WVO249">
        <v>138332</v>
      </c>
    </row>
    <row r="250" spans="1:775 1026:1799 2050:2823 3074:3847 4098:4871 5122:5895 6146:6919 7170:7943 8194:8967 9218:9991 10242:11015 11266:12039 12290:13063 13314:14087 14338:15111 15362:16135" ht="14">
      <c r="A250" s="654" t="s">
        <v>621</v>
      </c>
      <c r="D250" s="1634">
        <f t="shared" ref="D250:J250" si="166">SUM(D246:D249)</f>
        <v>102316</v>
      </c>
      <c r="E250" s="1634">
        <f t="shared" si="166"/>
        <v>161961</v>
      </c>
      <c r="F250" s="1634">
        <f t="shared" si="166"/>
        <v>-264054</v>
      </c>
      <c r="G250" s="1634">
        <f t="shared" si="166"/>
        <v>1159029</v>
      </c>
      <c r="H250" s="1634">
        <f t="shared" si="166"/>
        <v>1591874</v>
      </c>
      <c r="I250" s="1634">
        <f>SUM(I246:I249)</f>
        <v>1092961.6666666667</v>
      </c>
      <c r="J250" s="1634">
        <f t="shared" si="166"/>
        <v>1114471.4222222224</v>
      </c>
      <c r="K250" s="1634">
        <f>SUM(K246:K249)</f>
        <v>965746.10962962976</v>
      </c>
    </row>
    <row r="251" spans="1:775 1026:1799 2050:2823 3074:3847 4098:4871 5122:5895 6146:6919 7170:7943 8194:8967 9218:9991 10242:11015 11266:12039 12290:13063 13314:14087 14338:15111 15362:16135" s="1518" customFormat="1" ht="14">
      <c r="A251" s="1803" t="s">
        <v>623</v>
      </c>
      <c r="D251" s="1637"/>
      <c r="E251" s="1637"/>
      <c r="F251" s="1637"/>
      <c r="G251" s="1637"/>
      <c r="H251" s="1637"/>
      <c r="I251" s="1804">
        <f>-I232-I241+I250</f>
        <v>-69802878.733294025</v>
      </c>
      <c r="J251" s="1804">
        <f>-J232-J241+J250</f>
        <v>-89830405.555722028</v>
      </c>
      <c r="K251" s="1804">
        <f>-K232-K241+K250</f>
        <v>-109489862.79270425</v>
      </c>
    </row>
    <row r="252" spans="1:775 1026:1799 2050:2823 3074:3847 4098:4871 5122:5895 6146:6919 7170:7943 8194:8967 9218:9991 10242:11015 11266:12039 12290:13063 13314:14087 14338:15111 15362:16135" ht="14">
      <c r="A252" s="64" t="s">
        <v>540</v>
      </c>
      <c r="D252" s="256">
        <f t="shared" ref="D252:H252" si="167">D242+D244+D250</f>
        <v>-9616935</v>
      </c>
      <c r="E252" s="256">
        <f t="shared" si="167"/>
        <v>-11287764</v>
      </c>
      <c r="F252" s="256">
        <f t="shared" si="167"/>
        <v>-5175668</v>
      </c>
      <c r="G252" s="256">
        <f t="shared" si="167"/>
        <v>-4279180</v>
      </c>
      <c r="H252" s="256">
        <f t="shared" si="167"/>
        <v>-15559457</v>
      </c>
      <c r="I252" s="256">
        <f>I242+I244+I250</f>
        <v>-18795170.554324608</v>
      </c>
      <c r="J252" s="256">
        <f>J242+J244+J250</f>
        <v>-13925750.59876647</v>
      </c>
      <c r="K252" s="256">
        <f>K242+K244+K250</f>
        <v>-6355285.055315922</v>
      </c>
    </row>
    <row r="253" spans="1:775 1026:1799 2050:2823 3074:3847 4098:4871 5122:5895 6146:6919 7170:7943 8194:8967 9218:9991 10242:11015 11266:12039 12290:13063 13314:14087 14338:15111 15362:16135" ht="14">
      <c r="A253" t="s">
        <v>604</v>
      </c>
      <c r="D253" s="1318">
        <v>22044</v>
      </c>
      <c r="E253" s="1318">
        <v>7888</v>
      </c>
      <c r="F253" s="1318">
        <v>6368</v>
      </c>
      <c r="G253" s="1318">
        <v>42265</v>
      </c>
      <c r="H253" s="1318">
        <v>55103</v>
      </c>
      <c r="I253" s="252">
        <f>I252*I254</f>
        <v>59905.898692316456</v>
      </c>
      <c r="J253" s="252">
        <f>J252*J254</f>
        <v>44385.583103539284</v>
      </c>
      <c r="K253" s="252">
        <f>K252*K254</f>
        <v>20256.217499284579</v>
      </c>
    </row>
    <row r="254" spans="1:775 1026:1799 2050:2823 3074:3847 4098:4871 5122:5895 6146:6919 7170:7943 8194:8967 9218:9991 10242:11015 11266:12039 12290:13063 13314:14087 14338:15111 15362:16135" ht="14.5" thickBot="1">
      <c r="A254" s="1291" t="s">
        <v>605</v>
      </c>
      <c r="B254" s="1291"/>
      <c r="C254" s="1291"/>
      <c r="D254" s="1636">
        <f>D253/D252</f>
        <v>-2.2922064046393162E-3</v>
      </c>
      <c r="E254" s="1636">
        <f t="shared" ref="E254:H254" si="168">E253/E252</f>
        <v>-6.9880979084963155E-4</v>
      </c>
      <c r="F254" s="1636">
        <f t="shared" si="168"/>
        <v>-1.2303725818580327E-3</v>
      </c>
      <c r="G254" s="1636">
        <f t="shared" si="168"/>
        <v>-9.8768923017961384E-3</v>
      </c>
      <c r="H254" s="1636">
        <f t="shared" si="168"/>
        <v>-3.5414474939581761E-3</v>
      </c>
      <c r="I254" s="1933">
        <f>H254*0.9</f>
        <v>-3.1873027445623587E-3</v>
      </c>
      <c r="J254" s="1933">
        <f>I254</f>
        <v>-3.1873027445623587E-3</v>
      </c>
      <c r="K254" s="1933">
        <f>J254</f>
        <v>-3.1873027445623587E-3</v>
      </c>
    </row>
    <row r="255" spans="1:775 1026:1799 2050:2823 3074:3847 4098:4871 5122:5895 6146:6919 7170:7943 8194:8967 9218:9991 10242:11015 11266:12039 12290:13063 13314:14087 14338:15111 15362:16135" ht="14">
      <c r="A255" s="263" t="s">
        <v>543</v>
      </c>
      <c r="D255" s="256">
        <f>D252-D253</f>
        <v>-9638979</v>
      </c>
      <c r="E255" s="256">
        <f t="shared" ref="E255:H255" si="169">E252-E253</f>
        <v>-11295652</v>
      </c>
      <c r="F255" s="256">
        <f t="shared" si="169"/>
        <v>-5182036</v>
      </c>
      <c r="G255" s="256">
        <f t="shared" si="169"/>
        <v>-4321445</v>
      </c>
      <c r="H255" s="256">
        <f t="shared" si="169"/>
        <v>-15614560</v>
      </c>
      <c r="I255" s="256">
        <f>I252-I253</f>
        <v>-18855076.453016926</v>
      </c>
      <c r="J255" s="256">
        <f>J252-J253</f>
        <v>-13970136.18187001</v>
      </c>
      <c r="K255" s="256">
        <f>K252-K253</f>
        <v>-6375541.272815207</v>
      </c>
    </row>
    <row r="256" spans="1:775 1026:1799 2050:2823 3074:3847 4098:4871 5122:5895 6146:6919 7170:7943 8194:8967 9218:9991 10242:11015 11266:12039 12290:13063 13314:14087 14338:15111 15362:16135" ht="14">
      <c r="A256" t="s">
        <v>609</v>
      </c>
      <c r="D256" s="1318">
        <v>-13667291</v>
      </c>
      <c r="E256" s="1318">
        <v>0</v>
      </c>
      <c r="F256" s="1318">
        <v>0</v>
      </c>
      <c r="G256" s="1318">
        <v>0</v>
      </c>
      <c r="H256" s="1318">
        <v>0</v>
      </c>
      <c r="I256" s="32">
        <f>H256</f>
        <v>0</v>
      </c>
      <c r="J256" s="32">
        <f>I256</f>
        <v>0</v>
      </c>
      <c r="K256" s="32">
        <f>J256</f>
        <v>0</v>
      </c>
    </row>
    <row r="257" spans="1:12" ht="14">
      <c r="A257" t="s">
        <v>610</v>
      </c>
      <c r="D257" s="1318">
        <v>-63297</v>
      </c>
      <c r="E257" s="1318">
        <v>-126590</v>
      </c>
      <c r="F257" s="1318">
        <v>-311670</v>
      </c>
      <c r="G257" s="1318">
        <v>-6586579</v>
      </c>
      <c r="H257" s="1318">
        <v>-279355</v>
      </c>
    </row>
    <row r="258" spans="1:12" ht="14">
      <c r="A258" t="s">
        <v>624</v>
      </c>
      <c r="D258" s="252">
        <f>SUM(D256:D257)</f>
        <v>-13730588</v>
      </c>
      <c r="E258" s="252">
        <f t="shared" ref="E258:H258" si="170">SUM(E256:E257)</f>
        <v>-126590</v>
      </c>
      <c r="F258" s="252">
        <f t="shared" si="170"/>
        <v>-311670</v>
      </c>
      <c r="G258" s="252">
        <f t="shared" si="170"/>
        <v>-6586579</v>
      </c>
      <c r="H258" s="252">
        <f t="shared" si="170"/>
        <v>-279355</v>
      </c>
      <c r="I258" s="252">
        <f>SUM(I256:I257)</f>
        <v>0</v>
      </c>
      <c r="J258" s="252">
        <f>SUM(J256:J257)</f>
        <v>0</v>
      </c>
      <c r="K258" s="252">
        <f>SUM(K256:K257)</f>
        <v>0</v>
      </c>
    </row>
    <row r="259" spans="1:12" ht="14">
      <c r="A259" t="s">
        <v>625</v>
      </c>
      <c r="D259" s="1318">
        <v>-41705</v>
      </c>
      <c r="E259" s="1318">
        <v>-9141</v>
      </c>
      <c r="F259" s="1318">
        <v>-4962</v>
      </c>
      <c r="G259" s="1318">
        <v>-31219</v>
      </c>
      <c r="H259" s="1318">
        <v>-157014</v>
      </c>
      <c r="I259" s="252">
        <f>I255*I260</f>
        <v>-114622.25601183098</v>
      </c>
      <c r="J259" s="252">
        <f>J255*J260</f>
        <v>-108775.84753113209</v>
      </c>
      <c r="K259" s="252">
        <f>K255*K260</f>
        <v>-50836.539756695725</v>
      </c>
    </row>
    <row r="260" spans="1:12" ht="14">
      <c r="A260" s="262" t="s">
        <v>608</v>
      </c>
      <c r="D260" s="1639">
        <f>D259/D255</f>
        <v>4.3267030667874682E-3</v>
      </c>
      <c r="E260" s="1639">
        <f>E259/E255</f>
        <v>8.0924943509237007E-4</v>
      </c>
      <c r="F260" s="1639">
        <f>F259/F255</f>
        <v>9.5753869714529198E-4</v>
      </c>
      <c r="G260" s="1639">
        <f>G259/G255</f>
        <v>7.2242039410428689E-3</v>
      </c>
      <c r="H260" s="1639">
        <f>H259/H255</f>
        <v>1.0055614759557746E-2</v>
      </c>
      <c r="I260" s="406">
        <f>AVERAGE(F260:H260)</f>
        <v>6.0791191325819697E-3</v>
      </c>
      <c r="J260" s="406">
        <f>AVERAGE(G260:I260)</f>
        <v>7.7863126110608617E-3</v>
      </c>
      <c r="K260" s="406">
        <f>AVERAGE(H260:J260)</f>
        <v>7.973682167733526E-3</v>
      </c>
      <c r="L260" s="943" t="s">
        <v>229</v>
      </c>
    </row>
    <row r="261" spans="1:12" ht="14">
      <c r="A261" s="262" t="s">
        <v>612</v>
      </c>
      <c r="D261" s="252">
        <f t="shared" ref="D261:J261" si="171">D255+D258-D259</f>
        <v>-23327862</v>
      </c>
      <c r="E261" s="252">
        <f t="shared" si="171"/>
        <v>-11413101</v>
      </c>
      <c r="F261" s="252">
        <f t="shared" si="171"/>
        <v>-5488744</v>
      </c>
      <c r="G261" s="252">
        <f t="shared" si="171"/>
        <v>-10876805</v>
      </c>
      <c r="H261" s="252">
        <f t="shared" si="171"/>
        <v>-15736901</v>
      </c>
      <c r="I261" s="252">
        <f>I255+I258-I259</f>
        <v>-18740454.197005093</v>
      </c>
      <c r="J261" s="252">
        <f t="shared" si="171"/>
        <v>-13861360.334338877</v>
      </c>
      <c r="K261" s="252">
        <f>K255+K258-K259</f>
        <v>-6324704.7330585113</v>
      </c>
    </row>
    <row r="262" spans="1:12" ht="14">
      <c r="A262" s="262" t="s">
        <v>548</v>
      </c>
      <c r="D262" s="265">
        <v>332153211</v>
      </c>
      <c r="E262" s="265">
        <v>1029931705</v>
      </c>
      <c r="F262" s="265">
        <v>1182660948</v>
      </c>
      <c r="G262" s="265">
        <v>1572702112</v>
      </c>
      <c r="H262" s="1638">
        <v>1636999280</v>
      </c>
      <c r="I262" s="1934">
        <f>H262</f>
        <v>1636999280</v>
      </c>
      <c r="J262" s="1934">
        <f>I262</f>
        <v>1636999280</v>
      </c>
      <c r="K262" s="1934">
        <f>J262</f>
        <v>1636999280</v>
      </c>
    </row>
    <row r="263" spans="1:12" ht="14">
      <c r="A263" s="263" t="s">
        <v>626</v>
      </c>
      <c r="D263" s="1490">
        <f>D261*1000/D262</f>
        <v>-70.232233883176278</v>
      </c>
      <c r="E263" s="1490">
        <f t="shared" ref="E263:H263" si="172">E261*1000/E262</f>
        <v>-11.081415344913573</v>
      </c>
      <c r="F263" s="1490">
        <f t="shared" si="172"/>
        <v>-4.6410122945904524</v>
      </c>
      <c r="G263" s="1490">
        <f t="shared" si="172"/>
        <v>-6.9159982154331843</v>
      </c>
      <c r="H263" s="921">
        <f t="shared" si="172"/>
        <v>-9.6132607950811071</v>
      </c>
      <c r="I263" s="921">
        <f>I261*1000/I262</f>
        <v>-11.448052803667142</v>
      </c>
      <c r="J263" s="921">
        <f>J261*1000/J262</f>
        <v>-8.4675421081057998</v>
      </c>
      <c r="K263" s="921">
        <f>K261*1000/K262</f>
        <v>-3.8635965270910271</v>
      </c>
    </row>
    <row r="264" spans="1:12" ht="14">
      <c r="A264" s="263" t="s">
        <v>627</v>
      </c>
      <c r="D264" s="921"/>
      <c r="E264" s="921"/>
      <c r="F264" s="921"/>
      <c r="G264" s="921">
        <f>G263/Valuation!M64</f>
        <v>-1.0891335772335724</v>
      </c>
      <c r="H264" s="921">
        <f>H263/Valuation!N64</f>
        <v>-1.3932262021856676</v>
      </c>
      <c r="I264" s="921">
        <f>I263/7.11</f>
        <v>-1.610134008954591</v>
      </c>
      <c r="J264" s="921">
        <f t="shared" ref="J264:K264" si="173">J263/7.11</f>
        <v>-1.1909341924199437</v>
      </c>
      <c r="K264" s="921">
        <f t="shared" si="173"/>
        <v>-0.54340316836723301</v>
      </c>
    </row>
    <row r="265" spans="1:12" ht="14">
      <c r="A265" s="262"/>
      <c r="D265" s="32"/>
      <c r="E265" s="32"/>
      <c r="F265" s="32"/>
      <c r="G265" s="32"/>
    </row>
    <row r="266" spans="1:12" ht="14.25" customHeight="1">
      <c r="A266" s="1805" t="s">
        <v>628</v>
      </c>
      <c r="B266" s="918"/>
      <c r="C266" s="918"/>
      <c r="D266" s="38">
        <v>2018</v>
      </c>
      <c r="E266" s="38">
        <v>2019</v>
      </c>
      <c r="F266" s="38">
        <v>2020</v>
      </c>
      <c r="G266" s="62">
        <v>2021</v>
      </c>
      <c r="H266" s="62">
        <v>2022</v>
      </c>
      <c r="I266" s="515" t="s">
        <v>219</v>
      </c>
      <c r="J266" s="515" t="s">
        <v>12</v>
      </c>
      <c r="K266" s="515" t="s">
        <v>13</v>
      </c>
    </row>
    <row r="267" spans="1:12" s="918" customFormat="1" ht="14.25" customHeight="1">
      <c r="A267" s="319" t="s">
        <v>590</v>
      </c>
    </row>
    <row r="268" spans="1:12" ht="14.25" customHeight="1">
      <c r="A268" t="s">
        <v>508</v>
      </c>
      <c r="D268" s="19"/>
      <c r="E268" s="19">
        <v>280967</v>
      </c>
      <c r="F268" s="19">
        <v>9282703</v>
      </c>
      <c r="G268" s="19">
        <v>26128469</v>
      </c>
      <c r="H268" s="1252">
        <v>44106434</v>
      </c>
      <c r="I268" s="85">
        <f>'Price&amp;Q'!CU74</f>
        <v>114582758.52870899</v>
      </c>
      <c r="J268" s="85">
        <f>'Price&amp;Q'!CV74</f>
        <v>175761951.0128364</v>
      </c>
      <c r="K268" s="85">
        <f>'Price&amp;Q'!CW74</f>
        <v>226562815.44869888</v>
      </c>
      <c r="L268" t="s">
        <v>119</v>
      </c>
    </row>
    <row r="269" spans="1:12" ht="14.25" customHeight="1">
      <c r="A269" t="s">
        <v>526</v>
      </c>
      <c r="E269" s="82"/>
      <c r="F269" s="82">
        <f t="shared" ref="F269:K269" si="174">F268/E268-1</f>
        <v>32.038410204757142</v>
      </c>
      <c r="G269" s="82">
        <f t="shared" si="174"/>
        <v>1.8147479241768267</v>
      </c>
      <c r="H269" s="1248">
        <f t="shared" si="174"/>
        <v>0.68806040644784816</v>
      </c>
      <c r="I269" s="82">
        <f t="shared" si="174"/>
        <v>1.5978694747507585</v>
      </c>
      <c r="J269" s="82">
        <f t="shared" si="174"/>
        <v>0.53393017649159491</v>
      </c>
      <c r="K269" s="82">
        <f t="shared" si="174"/>
        <v>0.28903220602138369</v>
      </c>
    </row>
    <row r="270" spans="1:12" ht="14.25" customHeight="1">
      <c r="A270" t="s">
        <v>287</v>
      </c>
      <c r="E270" s="19">
        <v>279555</v>
      </c>
      <c r="F270" s="19">
        <v>7763628</v>
      </c>
      <c r="G270" s="19">
        <v>20755578</v>
      </c>
      <c r="H270" s="1252">
        <v>35688343</v>
      </c>
      <c r="I270" s="85">
        <f>CA!I173</f>
        <v>89544614.760840952</v>
      </c>
      <c r="J270" s="85">
        <f>CA!J173</f>
        <v>138140543.14314756</v>
      </c>
      <c r="K270" s="85">
        <f>CA!K173</f>
        <v>176242076.31886134</v>
      </c>
      <c r="L270" t="s">
        <v>512</v>
      </c>
    </row>
    <row r="271" spans="1:12" ht="14.25" customHeight="1">
      <c r="A271" t="s">
        <v>511</v>
      </c>
      <c r="E271" s="75">
        <f>E268-E270</f>
        <v>1412</v>
      </c>
      <c r="F271" s="75">
        <f t="shared" ref="F271:G271" si="175">F268-F270</f>
        <v>1519075</v>
      </c>
      <c r="G271" s="75">
        <f t="shared" si="175"/>
        <v>5372891</v>
      </c>
      <c r="H271" s="1249">
        <f>H268-H270</f>
        <v>8418091</v>
      </c>
      <c r="I271" s="75">
        <f>I268-I270</f>
        <v>25038143.767868042</v>
      </c>
      <c r="J271" s="75">
        <f t="shared" ref="J271:K271" si="176">J268-J270</f>
        <v>37621407.869688839</v>
      </c>
      <c r="K271" s="75">
        <f t="shared" si="176"/>
        <v>50320739.129837543</v>
      </c>
    </row>
    <row r="272" spans="1:12" ht="14.25" customHeight="1">
      <c r="A272" t="s">
        <v>513</v>
      </c>
      <c r="E272" s="82">
        <f>E271/E268</f>
        <v>5.0255012154452302E-3</v>
      </c>
      <c r="F272" s="82">
        <f t="shared" ref="F272:G272" si="177">F271/F268</f>
        <v>0.16364576136929082</v>
      </c>
      <c r="G272" s="82">
        <f t="shared" si="177"/>
        <v>0.20563359452863464</v>
      </c>
      <c r="H272" s="1248">
        <f>H271/H268</f>
        <v>0.19085857179022905</v>
      </c>
      <c r="I272" s="983">
        <f>I271/I268</f>
        <v>0.21851580542629956</v>
      </c>
      <c r="J272" s="983">
        <f t="shared" ref="J272:K272" si="178">J271/J268</f>
        <v>0.21404750944612147</v>
      </c>
      <c r="K272" s="983">
        <f t="shared" si="178"/>
        <v>0.22210502208925709</v>
      </c>
    </row>
    <row r="273" spans="1:15" ht="14.25" customHeight="1">
      <c r="A273" t="s">
        <v>592</v>
      </c>
      <c r="E273" s="82">
        <f t="shared" ref="E273:K273" si="179">E271/E$288</f>
        <v>-14.863157894736842</v>
      </c>
      <c r="F273" s="82">
        <f t="shared" si="179"/>
        <v>0.98046650862077311</v>
      </c>
      <c r="G273" s="82">
        <f t="shared" si="179"/>
        <v>0.93255817021189447</v>
      </c>
      <c r="H273" s="1248">
        <f t="shared" si="179"/>
        <v>0.95763985395069384</v>
      </c>
      <c r="I273" s="82">
        <f t="shared" si="179"/>
        <v>0.96387360366037889</v>
      </c>
      <c r="J273" s="82">
        <f t="shared" si="179"/>
        <v>0.959721235712793</v>
      </c>
      <c r="K273" s="82">
        <f t="shared" si="179"/>
        <v>0.96317786687680074</v>
      </c>
    </row>
    <row r="274" spans="1:15" ht="14.25" customHeight="1">
      <c r="A274" t="s">
        <v>593</v>
      </c>
      <c r="E274" s="82">
        <f>E268/E$285</f>
        <v>0.98804361968864174</v>
      </c>
      <c r="F274" s="82">
        <f t="shared" ref="F274:G274" si="180">F268/F$285</f>
        <v>0.98161010992418107</v>
      </c>
      <c r="G274" s="82">
        <f t="shared" si="180"/>
        <v>0.9673707067355124</v>
      </c>
      <c r="H274" s="1248">
        <f>H268/H$285</f>
        <v>0.97393541643554715</v>
      </c>
      <c r="I274" s="82">
        <f t="shared" ref="I274:K274" si="181">I268/I$285</f>
        <v>0.97427067526162825</v>
      </c>
      <c r="J274" s="82">
        <f t="shared" si="181"/>
        <v>0.97184852594932658</v>
      </c>
      <c r="K274" s="82">
        <f t="shared" si="181"/>
        <v>0.97335035866883923</v>
      </c>
    </row>
    <row r="275" spans="1:15" ht="14.5">
      <c r="A275" s="319" t="s">
        <v>594</v>
      </c>
      <c r="B275" s="259"/>
      <c r="C275" s="259"/>
      <c r="D275" s="259"/>
      <c r="E275" s="259"/>
      <c r="F275" s="259"/>
      <c r="G275" s="259"/>
      <c r="H275" s="259"/>
      <c r="I275" s="259"/>
      <c r="J275" s="259"/>
      <c r="K275" s="259"/>
      <c r="L275" s="259"/>
      <c r="M275" s="259"/>
      <c r="N275" s="259"/>
      <c r="O275" s="259"/>
    </row>
    <row r="276" spans="1:15" ht="14.25" customHeight="1">
      <c r="A276" t="s">
        <v>508</v>
      </c>
      <c r="E276" s="19">
        <v>3400</v>
      </c>
      <c r="F276" s="19">
        <v>173906</v>
      </c>
      <c r="G276" s="19">
        <v>881310</v>
      </c>
      <c r="H276" s="1252">
        <v>1180382</v>
      </c>
      <c r="I276" s="75">
        <f>I279*I268</f>
        <v>3025993.7802314637</v>
      </c>
      <c r="J276" s="75">
        <f>J279*J268</f>
        <v>5091285.1858269768</v>
      </c>
      <c r="K276" s="75">
        <f t="shared" ref="K276" si="182">K279*K268</f>
        <v>6203128.9318505563</v>
      </c>
      <c r="L276" t="s">
        <v>629</v>
      </c>
    </row>
    <row r="277" spans="1:15" ht="14.25" customHeight="1">
      <c r="A277" t="s">
        <v>510</v>
      </c>
      <c r="F277" s="82">
        <f>F276/E276-1</f>
        <v>50.148823529411764</v>
      </c>
      <c r="G277" s="82">
        <f>G276/F276-1</f>
        <v>4.0677377433786068</v>
      </c>
      <c r="H277" s="1248">
        <f>H276/G276-1</f>
        <v>0.33934937763102657</v>
      </c>
      <c r="I277" s="82">
        <f t="shared" ref="I277:K277" si="183">I276/H276-1</f>
        <v>1.5635716066760286</v>
      </c>
      <c r="J277" s="82">
        <f t="shared" si="183"/>
        <v>0.68251673849690975</v>
      </c>
      <c r="K277" s="82">
        <f t="shared" si="183"/>
        <v>0.21838174555978696</v>
      </c>
    </row>
    <row r="278" spans="1:15" ht="14.25" customHeight="1">
      <c r="A278" t="s">
        <v>287</v>
      </c>
      <c r="E278" s="19">
        <v>4907</v>
      </c>
      <c r="F278" s="19">
        <v>143642</v>
      </c>
      <c r="G278" s="19">
        <v>492747</v>
      </c>
      <c r="H278" s="1252">
        <v>808017</v>
      </c>
      <c r="I278" s="75">
        <f>I276-I280</f>
        <v>2087553.4059631289</v>
      </c>
      <c r="J278" s="75">
        <f t="shared" ref="J278:K278" si="184">J276-J280</f>
        <v>3512343.5480391989</v>
      </c>
      <c r="K278" s="75">
        <f t="shared" si="184"/>
        <v>4279375.2630656548</v>
      </c>
    </row>
    <row r="279" spans="1:15" ht="14.25" customHeight="1">
      <c r="A279" t="s">
        <v>595</v>
      </c>
      <c r="E279" s="82">
        <f>E276/E268</f>
        <v>1.2101065249655653E-2</v>
      </c>
      <c r="F279" s="82">
        <f t="shared" ref="F279:H279" si="185">F276/F268</f>
        <v>1.8734413887851416E-2</v>
      </c>
      <c r="G279" s="82">
        <f t="shared" si="185"/>
        <v>3.372987525598993E-2</v>
      </c>
      <c r="H279" s="1248">
        <f t="shared" si="185"/>
        <v>2.6762127266965179E-2</v>
      </c>
      <c r="I279" s="313">
        <f>AVERAGE(F279:H279)</f>
        <v>2.6408805470268842E-2</v>
      </c>
      <c r="J279" s="313">
        <f t="shared" ref="J279:K279" si="186">AVERAGE(G279:I279)</f>
        <v>2.8966935997741319E-2</v>
      </c>
      <c r="K279" s="313">
        <f t="shared" si="186"/>
        <v>2.7379289578325111E-2</v>
      </c>
      <c r="L279" t="s">
        <v>229</v>
      </c>
    </row>
    <row r="280" spans="1:15" ht="14.25" customHeight="1">
      <c r="A280" t="s">
        <v>511</v>
      </c>
      <c r="E280" s="252">
        <f>E276-E278</f>
        <v>-1507</v>
      </c>
      <c r="F280" s="75">
        <f t="shared" ref="F280:H280" si="187">F276-F278</f>
        <v>30264</v>
      </c>
      <c r="G280" s="75">
        <f t="shared" si="187"/>
        <v>388563</v>
      </c>
      <c r="H280" s="1249">
        <f t="shared" si="187"/>
        <v>372365</v>
      </c>
      <c r="I280" s="75">
        <f>I281*I276</f>
        <v>938440.37426833494</v>
      </c>
      <c r="J280" s="75">
        <f t="shared" ref="J280:K280" si="188">J281*J276</f>
        <v>1578941.6377877782</v>
      </c>
      <c r="K280" s="75">
        <f t="shared" si="188"/>
        <v>1923753.668784902</v>
      </c>
    </row>
    <row r="281" spans="1:15" ht="14.25" customHeight="1">
      <c r="A281" t="s">
        <v>513</v>
      </c>
      <c r="E281" s="82">
        <f>E280/E276</f>
        <v>-0.44323529411764706</v>
      </c>
      <c r="F281" s="82">
        <f t="shared" ref="F281:G281" si="189">F280/F276</f>
        <v>0.17402504801444457</v>
      </c>
      <c r="G281" s="82">
        <f t="shared" si="189"/>
        <v>0.44089253497634201</v>
      </c>
      <c r="H281" s="1248">
        <f t="shared" ref="H281" si="190">H280/H276</f>
        <v>0.3154614353658392</v>
      </c>
      <c r="I281" s="327">
        <f>AVERAGE(F281:H281)</f>
        <v>0.31012633945220863</v>
      </c>
      <c r="J281" s="327">
        <f>I281</f>
        <v>0.31012633945220863</v>
      </c>
      <c r="K281" s="327">
        <f>J281</f>
        <v>0.31012633945220863</v>
      </c>
    </row>
    <row r="282" spans="1:15" ht="14.25" customHeight="1">
      <c r="A282" t="s">
        <v>592</v>
      </c>
      <c r="E282" s="82">
        <f t="shared" ref="E282:K282" si="191">E280/E$288</f>
        <v>15.863157894736842</v>
      </c>
      <c r="F282" s="82">
        <f t="shared" si="191"/>
        <v>1.9533491379226883E-2</v>
      </c>
      <c r="G282" s="82">
        <f t="shared" si="191"/>
        <v>6.7441829788105576E-2</v>
      </c>
      <c r="H282" s="1248">
        <f t="shared" si="191"/>
        <v>4.2360146049306199E-2</v>
      </c>
      <c r="I282" s="82">
        <f t="shared" si="191"/>
        <v>3.6126396339621093E-2</v>
      </c>
      <c r="J282" s="82">
        <f t="shared" si="191"/>
        <v>4.0278764287206906E-2</v>
      </c>
      <c r="K282" s="82">
        <f t="shared" si="191"/>
        <v>3.6822133123199284E-2</v>
      </c>
    </row>
    <row r="283" spans="1:15" ht="14.25" customHeight="1">
      <c r="A283" t="s">
        <v>593</v>
      </c>
      <c r="E283" s="82">
        <f>E276/E$285</f>
        <v>1.1956380311358209E-2</v>
      </c>
      <c r="F283" s="82">
        <f t="shared" ref="F283:G283" si="192">F276/F$285</f>
        <v>1.8389890075818933E-2</v>
      </c>
      <c r="G283" s="82">
        <f t="shared" si="192"/>
        <v>3.2629293264487651E-2</v>
      </c>
      <c r="H283" s="1248">
        <f t="shared" ref="H283:K283" si="193">H276/H$285</f>
        <v>2.6064583564452841E-2</v>
      </c>
      <c r="I283" s="82">
        <f>I276/I$285</f>
        <v>2.5729324738371806E-2</v>
      </c>
      <c r="J283" s="82">
        <f>J276/J$285</f>
        <v>2.8151474050673385E-2</v>
      </c>
      <c r="K283" s="82">
        <f t="shared" si="193"/>
        <v>2.6649641331160757E-2</v>
      </c>
    </row>
    <row r="284" spans="1:15" s="64" customFormat="1" ht="14.5">
      <c r="A284" s="319" t="s">
        <v>525</v>
      </c>
      <c r="B284" s="259"/>
      <c r="C284" s="259"/>
      <c r="D284" s="259"/>
      <c r="E284" s="259"/>
      <c r="F284" s="259"/>
      <c r="G284" s="259"/>
      <c r="H284" s="259"/>
      <c r="I284" s="259"/>
      <c r="J284" s="259"/>
      <c r="K284" s="259"/>
      <c r="L284" s="259"/>
      <c r="M284" s="259"/>
      <c r="N284" s="259"/>
      <c r="O284" s="259"/>
    </row>
    <row r="285" spans="1:15" s="64" customFormat="1" ht="14.25" customHeight="1">
      <c r="A285" s="263" t="s">
        <v>508</v>
      </c>
      <c r="E285" s="920">
        <f>E268+E276</f>
        <v>284367</v>
      </c>
      <c r="F285" s="920">
        <f t="shared" ref="F285:G285" si="194">F268+F276</f>
        <v>9456609</v>
      </c>
      <c r="G285" s="920">
        <f t="shared" si="194"/>
        <v>27009779</v>
      </c>
      <c r="H285" s="1247">
        <f t="shared" ref="H285" si="195">H268+H276</f>
        <v>45286816</v>
      </c>
      <c r="I285" s="920">
        <f>I276+I268</f>
        <v>117608752.30894046</v>
      </c>
      <c r="J285" s="920">
        <f t="shared" ref="J285:K285" si="196">J276+J268</f>
        <v>180853236.19866338</v>
      </c>
      <c r="K285" s="920">
        <f t="shared" si="196"/>
        <v>232765944.38054943</v>
      </c>
    </row>
    <row r="286" spans="1:15" ht="14.25" customHeight="1">
      <c r="A286" s="262" t="s">
        <v>526</v>
      </c>
      <c r="F286" s="82">
        <f>F285/E285-1</f>
        <v>32.2549451940626</v>
      </c>
      <c r="G286" s="82">
        <f>G285/F285-1</f>
        <v>1.8561801592938862</v>
      </c>
      <c r="H286" s="1248">
        <f>H285/G285-1</f>
        <v>0.67668221202402279</v>
      </c>
      <c r="I286" s="82">
        <f t="shared" ref="I286:K286" si="197">I285/H285-1</f>
        <v>1.5969755151022422</v>
      </c>
      <c r="J286" s="82">
        <f t="shared" si="197"/>
        <v>0.5377532083971881</v>
      </c>
      <c r="K286" s="82">
        <f t="shared" si="197"/>
        <v>0.28704329141703089</v>
      </c>
    </row>
    <row r="287" spans="1:15" ht="14.25" customHeight="1">
      <c r="A287" s="262" t="s">
        <v>287</v>
      </c>
      <c r="E287" s="75">
        <f t="shared" ref="E287:K287" si="198">E270+E278</f>
        <v>284462</v>
      </c>
      <c r="F287" s="75">
        <f t="shared" si="198"/>
        <v>7907270</v>
      </c>
      <c r="G287" s="75">
        <f t="shared" si="198"/>
        <v>21248325</v>
      </c>
      <c r="H287" s="1249">
        <f t="shared" si="198"/>
        <v>36496360</v>
      </c>
      <c r="I287" s="75">
        <f t="shared" si="198"/>
        <v>91632168.166804075</v>
      </c>
      <c r="J287" s="75">
        <f t="shared" si="198"/>
        <v>141652886.69118676</v>
      </c>
      <c r="K287" s="75">
        <f t="shared" si="198"/>
        <v>180521451.581927</v>
      </c>
    </row>
    <row r="288" spans="1:15" s="64" customFormat="1" ht="14.25" customHeight="1">
      <c r="A288" s="263" t="s">
        <v>511</v>
      </c>
      <c r="E288" s="256">
        <f>E271+E280</f>
        <v>-95</v>
      </c>
      <c r="F288" s="256">
        <f>F271+F280</f>
        <v>1549339</v>
      </c>
      <c r="G288" s="256">
        <f>G271+G280</f>
        <v>5761454</v>
      </c>
      <c r="H288" s="1250">
        <f>H271+H280</f>
        <v>8790456</v>
      </c>
      <c r="I288" s="920">
        <f>I280+I271</f>
        <v>25976584.142136376</v>
      </c>
      <c r="J288" s="920">
        <f>J280+J271</f>
        <v>39200349.50747662</v>
      </c>
      <c r="K288" s="920">
        <f>K280+K271</f>
        <v>52244492.798622444</v>
      </c>
    </row>
    <row r="289" spans="1:12" ht="14.25" customHeight="1">
      <c r="A289" s="262" t="s">
        <v>513</v>
      </c>
      <c r="E289" s="296">
        <f t="shared" ref="E289:K289" si="199">E288/E285</f>
        <v>-3.3407533222912645E-4</v>
      </c>
      <c r="F289" s="296">
        <f t="shared" si="199"/>
        <v>0.16383663530976061</v>
      </c>
      <c r="G289" s="296">
        <f t="shared" si="199"/>
        <v>0.21330992748959554</v>
      </c>
      <c r="H289" s="1251">
        <f t="shared" si="199"/>
        <v>0.19410629354026568</v>
      </c>
      <c r="I289" s="1082">
        <f>I288/I285</f>
        <v>0.22087288260570784</v>
      </c>
      <c r="J289" s="1082">
        <f t="shared" si="199"/>
        <v>0.21675227013585691</v>
      </c>
      <c r="K289" s="1082">
        <f t="shared" si="199"/>
        <v>0.22445075862647604</v>
      </c>
    </row>
    <row r="290" spans="1:12" ht="14.25" customHeight="1">
      <c r="A290" s="262" t="s">
        <v>527</v>
      </c>
      <c r="D290" s="19">
        <v>337200</v>
      </c>
      <c r="E290" s="19">
        <v>689379</v>
      </c>
      <c r="F290" s="19">
        <v>1118819</v>
      </c>
      <c r="G290" s="19">
        <v>3492385</v>
      </c>
      <c r="H290" s="1252">
        <v>5665301</v>
      </c>
      <c r="I290" s="1231">
        <f>I291*I285</f>
        <v>9408700.1847152375</v>
      </c>
      <c r="J290" s="75">
        <f>J291*J285</f>
        <v>12298020.061509112</v>
      </c>
      <c r="K290" s="75">
        <f>K291*K285</f>
        <v>12662467.37430189</v>
      </c>
    </row>
    <row r="291" spans="1:12" ht="14.25" customHeight="1">
      <c r="A291" s="262" t="s">
        <v>528</v>
      </c>
      <c r="D291" s="82"/>
      <c r="E291" s="82">
        <f>E290/E285</f>
        <v>2.4242580890187679</v>
      </c>
      <c r="F291" s="82">
        <f>F290/F285</f>
        <v>0.11831080252974402</v>
      </c>
      <c r="G291" s="82">
        <f>G290/G285</f>
        <v>0.12930076177224553</v>
      </c>
      <c r="H291" s="1248">
        <f>H290/H285</f>
        <v>0.12509824051220558</v>
      </c>
      <c r="I291" s="982">
        <v>0.08</v>
      </c>
      <c r="J291" s="313">
        <f>I291*0.85</f>
        <v>6.8000000000000005E-2</v>
      </c>
      <c r="K291" s="313">
        <f t="shared" ref="K291" si="200">J291*0.8</f>
        <v>5.4400000000000004E-2</v>
      </c>
    </row>
    <row r="292" spans="1:12" ht="14.25" customHeight="1">
      <c r="A292" t="s">
        <v>530</v>
      </c>
      <c r="D292" s="19">
        <v>793717</v>
      </c>
      <c r="E292" s="19">
        <v>1169140</v>
      </c>
      <c r="F292" s="19">
        <v>1099857</v>
      </c>
      <c r="G292" s="19">
        <v>3286389</v>
      </c>
      <c r="H292" s="1252">
        <v>6780032</v>
      </c>
      <c r="I292" s="1232">
        <f>I293*I285</f>
        <v>9996743.94625994</v>
      </c>
      <c r="J292" s="920">
        <f>J293*J285</f>
        <v>14603898.823042069</v>
      </c>
      <c r="K292" s="920">
        <f>K293*K285</f>
        <v>15036680.006983494</v>
      </c>
    </row>
    <row r="293" spans="1:12" ht="14.25" customHeight="1">
      <c r="A293" t="s">
        <v>531</v>
      </c>
      <c r="E293" s="82">
        <f>E292/E285</f>
        <v>4.1113771991827459</v>
      </c>
      <c r="F293" s="82">
        <f>F292/F285</f>
        <v>0.11630564402102275</v>
      </c>
      <c r="G293" s="82">
        <f>G292/G285</f>
        <v>0.12167404257546868</v>
      </c>
      <c r="H293" s="1248">
        <f>H292/H285</f>
        <v>0.14971315271976726</v>
      </c>
      <c r="I293" s="982">
        <v>8.5000000000000006E-2</v>
      </c>
      <c r="J293" s="313">
        <f>I293*0.95</f>
        <v>8.0750000000000002E-2</v>
      </c>
      <c r="K293" s="313">
        <f>J293*0.8</f>
        <v>6.4600000000000005E-2</v>
      </c>
    </row>
    <row r="294" spans="1:12" ht="14.25" customHeight="1">
      <c r="A294" s="1246" t="s">
        <v>616</v>
      </c>
      <c r="D294" s="505">
        <v>1130917</v>
      </c>
      <c r="E294" s="505">
        <v>1858519</v>
      </c>
      <c r="F294" s="505">
        <v>2218676</v>
      </c>
      <c r="G294" s="505">
        <v>6778774</v>
      </c>
      <c r="H294" s="1253">
        <v>12445333</v>
      </c>
      <c r="I294" s="920">
        <f>I290+I292</f>
        <v>19405444.130975179</v>
      </c>
      <c r="J294" s="920">
        <f t="shared" ref="J294" si="201">J290+J292</f>
        <v>26901918.884551182</v>
      </c>
      <c r="K294" s="920">
        <f>K290+K292</f>
        <v>27699147.381285384</v>
      </c>
    </row>
    <row r="295" spans="1:12" s="64" customFormat="1" ht="14.25" customHeight="1">
      <c r="A295" s="263" t="s">
        <v>596</v>
      </c>
      <c r="D295" s="1233">
        <f>D288-D294</f>
        <v>-1130917</v>
      </c>
      <c r="E295" s="1233">
        <f t="shared" ref="E295:J295" si="202">E288-E294</f>
        <v>-1858614</v>
      </c>
      <c r="F295" s="1233">
        <f t="shared" si="202"/>
        <v>-669337</v>
      </c>
      <c r="G295" s="1233">
        <f t="shared" si="202"/>
        <v>-1017320</v>
      </c>
      <c r="H295" s="1254">
        <f t="shared" si="202"/>
        <v>-3654877</v>
      </c>
      <c r="I295" s="1233">
        <f>I288-I294</f>
        <v>6571140.011161197</v>
      </c>
      <c r="J295" s="1233">
        <f t="shared" si="202"/>
        <v>12298430.622925438</v>
      </c>
      <c r="K295" s="1233">
        <f>K288-K294</f>
        <v>24545345.41733706</v>
      </c>
    </row>
    <row r="296" spans="1:12" ht="14.25" customHeight="1">
      <c r="A296" t="s">
        <v>597</v>
      </c>
      <c r="D296" s="19">
        <v>3582</v>
      </c>
      <c r="E296" s="19">
        <v>30256</v>
      </c>
      <c r="F296" s="19">
        <v>41316</v>
      </c>
      <c r="H296" s="1255"/>
    </row>
    <row r="297" spans="1:12" ht="14.25" customHeight="1">
      <c r="A297" t="s">
        <v>601</v>
      </c>
      <c r="D297" s="19">
        <v>68135</v>
      </c>
      <c r="E297" s="19">
        <v>49375</v>
      </c>
      <c r="F297" s="19">
        <v>213600</v>
      </c>
      <c r="G297" s="19"/>
      <c r="H297" s="1255"/>
    </row>
    <row r="298" spans="1:12" ht="14.25" customHeight="1">
      <c r="A298" t="s">
        <v>630</v>
      </c>
      <c r="B298" t="s">
        <v>602</v>
      </c>
      <c r="D298" s="75">
        <f>D296+D297</f>
        <v>71717</v>
      </c>
      <c r="E298" s="75">
        <f>E296+E297</f>
        <v>79631</v>
      </c>
      <c r="F298" s="19">
        <v>254916</v>
      </c>
      <c r="G298" s="19">
        <v>740432</v>
      </c>
      <c r="H298" s="1252">
        <v>976229</v>
      </c>
      <c r="I298" s="1261">
        <f>'Model 22A Li'!E41*2.35%</f>
        <v>1373564.4955</v>
      </c>
      <c r="J298" s="1261">
        <f>'Model 22A Li'!F41*2.35%</f>
        <v>1445406.975477153</v>
      </c>
      <c r="K298" s="1261">
        <f>'Model 22A Li'!G41*2.35%</f>
        <v>1671847.6060282185</v>
      </c>
      <c r="L298" s="582"/>
    </row>
    <row r="299" spans="1:12" ht="14.25" customHeight="1">
      <c r="A299" t="s">
        <v>534</v>
      </c>
      <c r="B299" t="s">
        <v>631</v>
      </c>
      <c r="D299" s="1224">
        <f>-63467</f>
        <v>-63467</v>
      </c>
      <c r="E299" s="1224">
        <f>-83667</f>
        <v>-83667</v>
      </c>
      <c r="F299" s="1224">
        <f>-66916</f>
        <v>-66916</v>
      </c>
      <c r="G299" s="1224">
        <f>-63244</f>
        <v>-63244</v>
      </c>
      <c r="H299" s="1256">
        <f>-106340</f>
        <v>-106340</v>
      </c>
      <c r="I299" s="1239">
        <f>-('Model 22A Li'!E57+'Model 22A Li'!E61)*2.5%</f>
        <v>-240538.92500000002</v>
      </c>
      <c r="J299" s="1239">
        <f>-('Model 22A Li'!F57+'Model 22A Li'!F61)*2.5%</f>
        <v>-222925.12697437755</v>
      </c>
      <c r="K299" s="1239">
        <f>-('Model 22A Li'!G57+'Model 22A Li'!G61)*2.5%</f>
        <v>-208040.04009547291</v>
      </c>
      <c r="L299" s="582"/>
    </row>
    <row r="300" spans="1:12" ht="14.25" customHeight="1">
      <c r="A300" t="s">
        <v>632</v>
      </c>
      <c r="B300" t="s">
        <v>602</v>
      </c>
      <c r="D300" s="1224">
        <v>-35826</v>
      </c>
      <c r="E300" s="1224">
        <v>-162725</v>
      </c>
      <c r="F300" s="1224">
        <v>-2520</v>
      </c>
      <c r="H300" s="1255"/>
    </row>
    <row r="301" spans="1:12" ht="14.25" customHeight="1">
      <c r="A301" s="96" t="s">
        <v>633</v>
      </c>
      <c r="B301" t="s">
        <v>602</v>
      </c>
      <c r="D301" s="1224">
        <v>-3726</v>
      </c>
      <c r="E301" s="1224">
        <v>31977</v>
      </c>
      <c r="F301" s="1224">
        <v>-6719</v>
      </c>
      <c r="H301" s="1255"/>
    </row>
    <row r="302" spans="1:12" ht="14.25" customHeight="1">
      <c r="A302" s="96" t="s">
        <v>634</v>
      </c>
      <c r="B302" t="s">
        <v>602</v>
      </c>
      <c r="D302" s="32"/>
      <c r="E302" s="1224">
        <v>-426425</v>
      </c>
      <c r="F302" s="19">
        <v>272327</v>
      </c>
      <c r="H302" s="1255"/>
    </row>
    <row r="303" spans="1:12" ht="14.25" customHeight="1">
      <c r="A303" t="s">
        <v>602</v>
      </c>
      <c r="B303" t="s">
        <v>602</v>
      </c>
      <c r="D303" s="1224">
        <v>-3077</v>
      </c>
      <c r="E303" s="32">
        <v>1949</v>
      </c>
      <c r="F303" s="32">
        <v>29372</v>
      </c>
      <c r="G303" s="32">
        <v>187320</v>
      </c>
      <c r="H303" s="1252">
        <v>625633</v>
      </c>
      <c r="I303" s="238">
        <f>AVERAGE(F303:H303)</f>
        <v>280775</v>
      </c>
      <c r="J303" s="238">
        <f>AVERAGE(G303:I303)</f>
        <v>364576</v>
      </c>
      <c r="K303" s="238">
        <f>AVERAGE(H303:J303)</f>
        <v>423661.33333333331</v>
      </c>
      <c r="L303" t="s">
        <v>229</v>
      </c>
    </row>
    <row r="304" spans="1:12" s="64" customFormat="1" ht="14.25" customHeight="1">
      <c r="A304" s="64" t="s">
        <v>540</v>
      </c>
      <c r="D304" s="256">
        <f>D295+D298+D299+D300+D301+D302+D303</f>
        <v>-1165296</v>
      </c>
      <c r="E304" s="256">
        <f>E295+E298+E299+E300+E301+E302+E303</f>
        <v>-2417874</v>
      </c>
      <c r="F304" s="256">
        <f>F295+F298+F299+F300+F301+F302+F303</f>
        <v>-188877</v>
      </c>
      <c r="G304" s="256">
        <f>G295+G298+G299+G302+G303</f>
        <v>-152812</v>
      </c>
      <c r="H304" s="1250">
        <f>H295+H298+H299+H302+H303</f>
        <v>-2159355</v>
      </c>
      <c r="I304" s="256">
        <f>I295+I298+I299+I302+I303</f>
        <v>7984940.5816611974</v>
      </c>
      <c r="J304" s="256">
        <f>J295+J298+J299+J302+J303</f>
        <v>13885488.471428214</v>
      </c>
      <c r="K304" s="256">
        <f>K295+K298+K299+K302+K303</f>
        <v>26432814.316603135</v>
      </c>
    </row>
    <row r="305" spans="1:17" ht="14.25" customHeight="1">
      <c r="A305" t="s">
        <v>635</v>
      </c>
      <c r="D305" s="19">
        <v>0</v>
      </c>
      <c r="E305" s="19">
        <v>0</v>
      </c>
      <c r="F305" s="32">
        <v>22847</v>
      </c>
      <c r="G305" s="32">
        <v>-168643</v>
      </c>
      <c r="H305" s="1257">
        <v>127007</v>
      </c>
      <c r="I305" s="1229">
        <f>-I304*I306</f>
        <v>-1197741.0872491796</v>
      </c>
      <c r="J305" s="1229">
        <f>-J304*J306</f>
        <v>-2082823.270714232</v>
      </c>
      <c r="K305" s="1229">
        <f>-K304*K306</f>
        <v>-3964922.1474904702</v>
      </c>
    </row>
    <row r="306" spans="1:17" ht="14.25" customHeight="1">
      <c r="A306" t="s">
        <v>636</v>
      </c>
      <c r="D306" s="82">
        <f>ABS(D305/D304)</f>
        <v>0</v>
      </c>
      <c r="E306" s="82">
        <f>ABS(E305/E304)</f>
        <v>0</v>
      </c>
      <c r="F306" s="82">
        <f>ABS(F305/F304)</f>
        <v>0.12096231939304415</v>
      </c>
      <c r="G306" s="82">
        <f>ABS(G305/G304)</f>
        <v>1.1035978849828547</v>
      </c>
      <c r="H306" s="1248">
        <f>ABS(H305/H304)</f>
        <v>5.8817100476762738E-2</v>
      </c>
      <c r="I306" s="327">
        <v>0.15</v>
      </c>
      <c r="J306" s="327">
        <v>0.15</v>
      </c>
      <c r="K306" s="327">
        <v>0.15</v>
      </c>
    </row>
    <row r="307" spans="1:17" s="32" customFormat="1" ht="14.25" customHeight="1">
      <c r="A307" s="32" t="s">
        <v>637</v>
      </c>
      <c r="D307" s="1229">
        <f>D304+D305</f>
        <v>-1165296</v>
      </c>
      <c r="E307" s="1229">
        <f t="shared" ref="E307:K307" si="203">E304+E305</f>
        <v>-2417874</v>
      </c>
      <c r="F307" s="1229">
        <f t="shared" si="203"/>
        <v>-166030</v>
      </c>
      <c r="G307" s="1229">
        <f t="shared" si="203"/>
        <v>-321455</v>
      </c>
      <c r="H307" s="1258">
        <f t="shared" si="203"/>
        <v>-2032348</v>
      </c>
      <c r="I307" s="1229">
        <f>I304+I305</f>
        <v>6787199.494412018</v>
      </c>
      <c r="J307" s="1229">
        <f t="shared" si="203"/>
        <v>11802665.200713981</v>
      </c>
      <c r="K307" s="1229">
        <f t="shared" si="203"/>
        <v>22467892.169112664</v>
      </c>
    </row>
    <row r="308" spans="1:17" ht="14.25" customHeight="1">
      <c r="A308" s="96" t="s">
        <v>638</v>
      </c>
      <c r="D308" s="1224">
        <v>-367022</v>
      </c>
      <c r="E308" s="1224">
        <v>-20662</v>
      </c>
      <c r="F308" s="1224">
        <v>14373</v>
      </c>
      <c r="G308" s="1224">
        <v>0</v>
      </c>
      <c r="H308" s="1256">
        <v>0</v>
      </c>
      <c r="I308" s="1240">
        <v>0</v>
      </c>
      <c r="J308" s="1240">
        <v>0</v>
      </c>
      <c r="K308" s="1240">
        <v>0</v>
      </c>
      <c r="N308" s="1053"/>
    </row>
    <row r="309" spans="1:17" ht="14.25" customHeight="1">
      <c r="A309" s="263" t="s">
        <v>639</v>
      </c>
      <c r="D309" s="1233">
        <f>D307+D308</f>
        <v>-1532318</v>
      </c>
      <c r="E309" s="1233">
        <f t="shared" ref="E309:K309" si="204">E307+E308</f>
        <v>-2438536</v>
      </c>
      <c r="F309" s="1234">
        <f t="shared" si="204"/>
        <v>-151657</v>
      </c>
      <c r="G309" s="1234">
        <f t="shared" si="204"/>
        <v>-321455</v>
      </c>
      <c r="H309" s="1259">
        <f t="shared" si="204"/>
        <v>-2032348</v>
      </c>
      <c r="I309" s="1234">
        <f>I307+I308</f>
        <v>6787199.494412018</v>
      </c>
      <c r="J309" s="1234">
        <f t="shared" si="204"/>
        <v>11802665.200713981</v>
      </c>
      <c r="K309" s="1234">
        <f t="shared" si="204"/>
        <v>22467892.169112664</v>
      </c>
      <c r="M309" s="1205"/>
      <c r="N309" s="1053"/>
      <c r="O309" s="1053"/>
      <c r="P309" s="1053"/>
      <c r="Q309" s="1053"/>
    </row>
    <row r="310" spans="1:17" ht="14.25" customHeight="1">
      <c r="A310" s="1241" t="s">
        <v>640</v>
      </c>
      <c r="D310" s="1224">
        <v>-317320</v>
      </c>
      <c r="E310" s="1224">
        <v>-843071</v>
      </c>
      <c r="F310" s="1224">
        <v>-640328</v>
      </c>
      <c r="G310" s="1224">
        <v>0</v>
      </c>
      <c r="H310" s="1256">
        <v>0</v>
      </c>
      <c r="I310" s="1239">
        <v>0</v>
      </c>
      <c r="J310" s="1239">
        <v>0</v>
      </c>
      <c r="K310" s="1239">
        <v>0</v>
      </c>
      <c r="M310" s="1205"/>
      <c r="N310" s="1053"/>
      <c r="O310" s="1053"/>
      <c r="P310" s="1053"/>
      <c r="Q310" s="1053"/>
    </row>
    <row r="311" spans="1:17" ht="14.25" customHeight="1">
      <c r="A311" s="263" t="s">
        <v>641</v>
      </c>
      <c r="D311" s="1224">
        <v>0</v>
      </c>
      <c r="E311" s="1224">
        <v>0</v>
      </c>
      <c r="F311" s="1224">
        <v>0</v>
      </c>
      <c r="G311" s="1224">
        <v>0</v>
      </c>
      <c r="H311" s="1256">
        <v>-20133</v>
      </c>
      <c r="I311" s="1239">
        <v>0</v>
      </c>
      <c r="J311" s="1239">
        <v>0</v>
      </c>
      <c r="K311" s="1239">
        <v>0</v>
      </c>
      <c r="M311" s="1205"/>
      <c r="N311" s="1235"/>
      <c r="O311" s="1235"/>
      <c r="P311" s="1235"/>
      <c r="Q311" s="1235"/>
    </row>
    <row r="312" spans="1:17" ht="14.25" customHeight="1">
      <c r="A312" s="262" t="s">
        <v>642</v>
      </c>
      <c r="D312" s="1229">
        <f>D309+D310-D311</f>
        <v>-1849638</v>
      </c>
      <c r="E312" s="1229">
        <f t="shared" ref="E312:H312" si="205">E309+E310-E311</f>
        <v>-3281607</v>
      </c>
      <c r="F312" s="1229">
        <f t="shared" si="205"/>
        <v>-791985</v>
      </c>
      <c r="G312" s="1229">
        <f t="shared" si="205"/>
        <v>-321455</v>
      </c>
      <c r="H312" s="1258">
        <f t="shared" si="205"/>
        <v>-2012215</v>
      </c>
      <c r="I312" s="1229">
        <f>I309</f>
        <v>6787199.494412018</v>
      </c>
      <c r="J312" s="1229">
        <f t="shared" ref="J312:K312" si="206">J309</f>
        <v>11802665.200713981</v>
      </c>
      <c r="K312" s="1229">
        <f t="shared" si="206"/>
        <v>22467892.169112664</v>
      </c>
    </row>
    <row r="313" spans="1:17" ht="14.25" customHeight="1">
      <c r="A313" s="262" t="s">
        <v>643</v>
      </c>
      <c r="D313" s="19">
        <v>255000</v>
      </c>
      <c r="E313" s="19">
        <v>255000</v>
      </c>
      <c r="F313" s="19">
        <v>870003.27800000005</v>
      </c>
      <c r="G313" s="19">
        <v>1853320.4480000001</v>
      </c>
      <c r="H313" s="1252">
        <v>1941230.9979999999</v>
      </c>
      <c r="I313" s="238">
        <v>1941230.9979999999</v>
      </c>
      <c r="J313" s="238">
        <v>1941230.9979999999</v>
      </c>
      <c r="K313" s="238">
        <v>1941230.9979999999</v>
      </c>
    </row>
    <row r="314" spans="1:17" ht="14.25" customHeight="1">
      <c r="A314" s="1200" t="s">
        <v>626</v>
      </c>
      <c r="D314" s="921">
        <f>D312/D313</f>
        <v>-7.2534823529411767</v>
      </c>
      <c r="E314" s="921">
        <f t="shared" ref="E314:J314" si="207">E312/E313</f>
        <v>-12.869047058823529</v>
      </c>
      <c r="F314" s="921">
        <f t="shared" si="207"/>
        <v>-0.91032415627289165</v>
      </c>
      <c r="G314" s="921">
        <f>G312/G313</f>
        <v>-0.17344814834741412</v>
      </c>
      <c r="H314" s="1260">
        <f>H312/H313</f>
        <v>-1.0365664890335735</v>
      </c>
      <c r="I314" s="1199">
        <f>I312/I313</f>
        <v>3.4963378914743757</v>
      </c>
      <c r="J314" s="1199">
        <f t="shared" si="207"/>
        <v>6.0799900747896372</v>
      </c>
      <c r="K314" s="1199">
        <f>K312/K313</f>
        <v>11.574043579698012</v>
      </c>
    </row>
    <row r="316" spans="1:17" ht="14.25" customHeight="1">
      <c r="A316" s="917" t="s">
        <v>213</v>
      </c>
    </row>
    <row r="317" spans="1:17" s="918" customFormat="1" ht="14.25" customHeight="1">
      <c r="A317" s="319" t="s">
        <v>590</v>
      </c>
    </row>
    <row r="318" spans="1:17" ht="14.25" customHeight="1">
      <c r="A318" t="s">
        <v>508</v>
      </c>
      <c r="D318" s="923">
        <v>4153</v>
      </c>
      <c r="E318" s="923">
        <v>2171231</v>
      </c>
      <c r="F318" s="923">
        <v>5546754</v>
      </c>
      <c r="G318" s="923">
        <v>20041955</v>
      </c>
      <c r="H318" s="923">
        <v>24839637</v>
      </c>
      <c r="I318" s="248">
        <f>'Price&amp;Q'!CU79</f>
        <v>19338301.798059233</v>
      </c>
      <c r="J318" s="248">
        <f>'Price&amp;Q'!CV79</f>
        <v>17897157.377472449</v>
      </c>
      <c r="K318" s="248">
        <f>'Price&amp;Q'!CW79</f>
        <v>13561176.840398587</v>
      </c>
      <c r="L318" t="s">
        <v>644</v>
      </c>
    </row>
    <row r="319" spans="1:17" ht="14.25" customHeight="1">
      <c r="A319" t="s">
        <v>526</v>
      </c>
      <c r="E319" s="82">
        <f>E318/D318-1</f>
        <v>521.81025764507581</v>
      </c>
      <c r="F319" s="82">
        <f t="shared" ref="F319:H319" si="208">F318/E318-1</f>
        <v>1.5546586245314296</v>
      </c>
      <c r="G319" s="82">
        <f t="shared" si="208"/>
        <v>2.6132763414422202</v>
      </c>
      <c r="H319" s="82">
        <f t="shared" si="208"/>
        <v>0.23938193654261775</v>
      </c>
      <c r="I319" s="82">
        <f t="shared" ref="I319" si="209">I318/H318-1</f>
        <v>-0.22147405785119834</v>
      </c>
      <c r="J319" s="82">
        <f t="shared" ref="J319" si="210">J318/I318-1</f>
        <v>-7.4522801207467682E-2</v>
      </c>
      <c r="K319" s="82">
        <f t="shared" ref="K319" si="211">K318/J318-1</f>
        <v>-0.24227202374225398</v>
      </c>
    </row>
    <row r="320" spans="1:17" ht="14.25" customHeight="1">
      <c r="A320" t="s">
        <v>287</v>
      </c>
      <c r="D320" s="923">
        <v>8220</v>
      </c>
      <c r="E320" s="923">
        <v>2733531</v>
      </c>
      <c r="F320" s="923">
        <v>5350479</v>
      </c>
      <c r="G320" s="923">
        <v>17733036</v>
      </c>
      <c r="H320" s="923">
        <v>22493122</v>
      </c>
      <c r="I320" s="248">
        <f>CA!I433</f>
        <v>16262972.386363916</v>
      </c>
      <c r="J320" s="248">
        <f>CA!J433</f>
        <v>15855826.025727648</v>
      </c>
      <c r="K320" s="248">
        <f>CA!K433</f>
        <v>12424215.150838964</v>
      </c>
      <c r="L320" t="s">
        <v>645</v>
      </c>
    </row>
    <row r="321" spans="1:12" ht="14.25" customHeight="1">
      <c r="A321" t="s">
        <v>511</v>
      </c>
      <c r="D321" s="249">
        <f>D318-D320</f>
        <v>-4067</v>
      </c>
      <c r="E321" s="249">
        <f t="shared" ref="E321:H321" si="212">E318-E320</f>
        <v>-562300</v>
      </c>
      <c r="F321" s="928">
        <f t="shared" si="212"/>
        <v>196275</v>
      </c>
      <c r="G321" s="928">
        <f t="shared" si="212"/>
        <v>2308919</v>
      </c>
      <c r="H321" s="928">
        <f t="shared" si="212"/>
        <v>2346515</v>
      </c>
      <c r="I321" s="928">
        <f t="shared" ref="I321:K321" si="213">I318-I320</f>
        <v>3075329.4116953164</v>
      </c>
      <c r="J321" s="928">
        <f t="shared" si="213"/>
        <v>2041331.3517448008</v>
      </c>
      <c r="K321" s="928">
        <f t="shared" si="213"/>
        <v>1136961.6895596236</v>
      </c>
    </row>
    <row r="322" spans="1:12" ht="14.25" customHeight="1">
      <c r="A322" t="s">
        <v>513</v>
      </c>
      <c r="D322" s="82">
        <f>D321/D318</f>
        <v>-0.97929207801589213</v>
      </c>
      <c r="E322" s="82">
        <f t="shared" ref="E322:H322" si="214">E321/E318</f>
        <v>-0.25897751091431542</v>
      </c>
      <c r="F322" s="82">
        <f t="shared" si="214"/>
        <v>3.5385560636004412E-2</v>
      </c>
      <c r="G322" s="82">
        <f t="shared" si="214"/>
        <v>0.11520428022116605</v>
      </c>
      <c r="H322" s="82">
        <f t="shared" si="214"/>
        <v>9.4466557623205202E-2</v>
      </c>
      <c r="I322" s="82">
        <f t="shared" ref="I322:K322" si="215">I321/I318</f>
        <v>0.15902789416617505</v>
      </c>
      <c r="J322" s="82">
        <f t="shared" si="215"/>
        <v>0.11405897085725301</v>
      </c>
      <c r="K322" s="82">
        <f t="shared" si="215"/>
        <v>8.3839456039879079E-2</v>
      </c>
    </row>
    <row r="323" spans="1:12" ht="14.25" customHeight="1">
      <c r="A323" t="s">
        <v>592</v>
      </c>
      <c r="D323" s="82">
        <f>D321/D$338</f>
        <v>1.722575180008471</v>
      </c>
      <c r="E323" s="82">
        <f t="shared" ref="E323:H323" si="216">E321/E$338</f>
        <v>1.0074515221064211</v>
      </c>
      <c r="F323" s="82">
        <f t="shared" si="216"/>
        <v>0.73790645477820516</v>
      </c>
      <c r="G323" s="82">
        <f t="shared" si="216"/>
        <v>0.88040822785413464</v>
      </c>
      <c r="H323" s="82">
        <f t="shared" si="216"/>
        <v>0.75978559709570448</v>
      </c>
      <c r="I323" s="82">
        <f t="shared" ref="I323:K323" si="217">I321/I$338</f>
        <v>0.89385713699564584</v>
      </c>
      <c r="J323" s="82">
        <f t="shared" si="217"/>
        <v>0.84307975866420293</v>
      </c>
      <c r="K323" s="82">
        <f t="shared" si="217"/>
        <v>0.78378405651088312</v>
      </c>
    </row>
    <row r="324" spans="1:12" ht="14.25" customHeight="1">
      <c r="A324" t="s">
        <v>593</v>
      </c>
      <c r="D324" s="82">
        <f>D318/D$335</f>
        <v>0.42787966206470224</v>
      </c>
      <c r="E324" s="82">
        <f t="shared" ref="E324:H324" si="218">E318/E$335</f>
        <v>0.93538395127732454</v>
      </c>
      <c r="F324" s="82">
        <f t="shared" si="218"/>
        <v>0.9490844188743226</v>
      </c>
      <c r="G324" s="82">
        <f t="shared" si="218"/>
        <v>0.95491852037706459</v>
      </c>
      <c r="H324" s="82">
        <f t="shared" si="218"/>
        <v>0.92494980193534049</v>
      </c>
      <c r="I324" s="82">
        <f t="shared" ref="I324:K324" si="219">I318/I$335</f>
        <v>0.94280428460114585</v>
      </c>
      <c r="J324" s="82">
        <f t="shared" si="219"/>
        <v>0.9407293351649445</v>
      </c>
      <c r="K324" s="82">
        <f t="shared" si="219"/>
        <v>0.93609285063772862</v>
      </c>
    </row>
    <row r="325" spans="1:12" s="918" customFormat="1" ht="14.25" customHeight="1">
      <c r="A325" s="929" t="s">
        <v>646</v>
      </c>
    </row>
    <row r="326" spans="1:12" ht="14.25" customHeight="1">
      <c r="A326" t="s">
        <v>508</v>
      </c>
      <c r="D326" s="923">
        <v>5553</v>
      </c>
      <c r="E326" s="923">
        <v>149988</v>
      </c>
      <c r="F326" s="923">
        <v>297567</v>
      </c>
      <c r="G326" s="923">
        <v>946176</v>
      </c>
      <c r="H326" s="923">
        <v>2015482</v>
      </c>
      <c r="I326" s="249">
        <f>I329*I318</f>
        <v>1173168.2004466821</v>
      </c>
      <c r="J326" s="249">
        <f t="shared" ref="J326:K326" si="220">J329*J318</f>
        <v>1127610.6492782212</v>
      </c>
      <c r="K326" s="249">
        <f t="shared" si="220"/>
        <v>925822.85323203239</v>
      </c>
    </row>
    <row r="327" spans="1:12" ht="14.25" customHeight="1">
      <c r="A327" t="s">
        <v>510</v>
      </c>
      <c r="E327" s="82">
        <f>E326/D326-1</f>
        <v>26.010264721772014</v>
      </c>
      <c r="F327" s="82">
        <f t="shared" ref="F327:H327" si="221">F326/E326-1</f>
        <v>0.98393871509720787</v>
      </c>
      <c r="G327" s="82">
        <f t="shared" si="221"/>
        <v>2.1797074272348747</v>
      </c>
      <c r="H327" s="82">
        <f t="shared" si="221"/>
        <v>1.1301343513257578</v>
      </c>
      <c r="I327" s="82">
        <f t="shared" ref="I327" si="222">I326/H326-1</f>
        <v>-0.41792176737540598</v>
      </c>
      <c r="J327" s="82">
        <f t="shared" ref="J327" si="223">J326/I326-1</f>
        <v>-3.8832923660149454E-2</v>
      </c>
      <c r="K327" s="82">
        <f t="shared" ref="K327" si="224">K326/J326-1</f>
        <v>-0.17895165869119123</v>
      </c>
    </row>
    <row r="328" spans="1:12" ht="14.25" customHeight="1">
      <c r="A328" t="s">
        <v>287</v>
      </c>
      <c r="D328" s="923">
        <v>3847</v>
      </c>
      <c r="E328" s="923">
        <v>145829</v>
      </c>
      <c r="F328" s="923">
        <v>227853</v>
      </c>
      <c r="G328" s="923">
        <v>632540</v>
      </c>
      <c r="H328" s="923">
        <v>1273606</v>
      </c>
      <c r="I328" s="249">
        <f>I326-I330</f>
        <v>807982.02591325971</v>
      </c>
      <c r="J328" s="249">
        <f t="shared" ref="J328:K328" si="225">J326-J330</f>
        <v>747662.95741374569</v>
      </c>
      <c r="K328" s="249">
        <f t="shared" si="225"/>
        <v>612178.75397150987</v>
      </c>
    </row>
    <row r="329" spans="1:12" ht="14.25" customHeight="1">
      <c r="A329" t="s">
        <v>595</v>
      </c>
      <c r="D329" s="82">
        <f>D326/D318</f>
        <v>1.3371057067180352</v>
      </c>
      <c r="E329" s="82">
        <f t="shared" ref="E329:H329" si="226">E326/E318</f>
        <v>6.9079706396970197E-2</v>
      </c>
      <c r="F329" s="82">
        <f t="shared" si="226"/>
        <v>5.3647051951465671E-2</v>
      </c>
      <c r="G329" s="82">
        <f t="shared" si="226"/>
        <v>4.7209765713973513E-2</v>
      </c>
      <c r="H329" s="82">
        <f t="shared" si="226"/>
        <v>8.1139752565627263E-2</v>
      </c>
      <c r="I329" s="313">
        <f>AVERAGE(F329:H329)</f>
        <v>6.0665523410355492E-2</v>
      </c>
      <c r="J329" s="313">
        <f t="shared" ref="J329:K329" si="227">AVERAGE(G329:I329)</f>
        <v>6.3005013896652098E-2</v>
      </c>
      <c r="K329" s="313">
        <f t="shared" si="227"/>
        <v>6.8270096624211615E-2</v>
      </c>
      <c r="L329" t="s">
        <v>229</v>
      </c>
    </row>
    <row r="330" spans="1:12" ht="14.25" customHeight="1">
      <c r="A330" t="s">
        <v>511</v>
      </c>
      <c r="D330" s="928">
        <f>D326-D328</f>
        <v>1706</v>
      </c>
      <c r="E330" s="928">
        <f>E326-E328</f>
        <v>4159</v>
      </c>
      <c r="F330" s="928">
        <f>F326-F328</f>
        <v>69714</v>
      </c>
      <c r="G330" s="928">
        <f>G326-G328</f>
        <v>313636</v>
      </c>
      <c r="H330" s="928">
        <f>H326-H328</f>
        <v>741876</v>
      </c>
      <c r="I330" s="249">
        <f>I331*I326</f>
        <v>365186.17453342234</v>
      </c>
      <c r="J330" s="249">
        <f t="shared" ref="J330:K330" si="228">J331*J326</f>
        <v>379947.69186447549</v>
      </c>
      <c r="K330" s="249">
        <f t="shared" si="228"/>
        <v>313644.09926052258</v>
      </c>
    </row>
    <row r="331" spans="1:12" ht="14.25" customHeight="1">
      <c r="A331" t="s">
        <v>513</v>
      </c>
      <c r="D331" s="82">
        <f>D330/D326</f>
        <v>0.30722132180803169</v>
      </c>
      <c r="E331" s="82">
        <f t="shared" ref="E331:H331" si="229">E330/E326</f>
        <v>2.7728884977464865E-2</v>
      </c>
      <c r="F331" s="82">
        <f t="shared" si="229"/>
        <v>0.23428001088830414</v>
      </c>
      <c r="G331" s="82">
        <f t="shared" si="229"/>
        <v>0.33147744182900435</v>
      </c>
      <c r="H331" s="82">
        <f t="shared" si="229"/>
        <v>0.36808862594654779</v>
      </c>
      <c r="I331" s="313">
        <f>AVERAGE(F331:H331)</f>
        <v>0.31128202622128542</v>
      </c>
      <c r="J331" s="313">
        <f t="shared" ref="J331:K331" si="230">AVERAGE(G331:I331)</f>
        <v>0.33694936466561254</v>
      </c>
      <c r="K331" s="313">
        <f t="shared" si="230"/>
        <v>0.33877333894448186</v>
      </c>
      <c r="L331" t="s">
        <v>229</v>
      </c>
    </row>
    <row r="332" spans="1:12" ht="14.25" customHeight="1">
      <c r="A332" t="s">
        <v>592</v>
      </c>
      <c r="D332" s="82">
        <f>D330/D$338</f>
        <v>-0.72257518000847099</v>
      </c>
      <c r="E332" s="82">
        <f t="shared" ref="E332:H332" si="231">E330/E$338</f>
        <v>-7.451522106421137E-3</v>
      </c>
      <c r="F332" s="82">
        <f t="shared" si="231"/>
        <v>0.2620935452217949</v>
      </c>
      <c r="G332" s="82">
        <f t="shared" si="231"/>
        <v>0.11959177214586539</v>
      </c>
      <c r="H332" s="82">
        <f t="shared" si="231"/>
        <v>0.24021440290429547</v>
      </c>
      <c r="I332" s="82">
        <f t="shared" ref="I332:K332" si="232">I330/I$338</f>
        <v>0.10614286300435419</v>
      </c>
      <c r="J332" s="82">
        <f t="shared" si="232"/>
        <v>0.15692024133579704</v>
      </c>
      <c r="K332" s="82">
        <f t="shared" si="232"/>
        <v>0.21621594348911691</v>
      </c>
    </row>
    <row r="333" spans="1:12" ht="14.25" customHeight="1">
      <c r="A333" t="s">
        <v>593</v>
      </c>
      <c r="D333" s="82">
        <f>D326/D$335</f>
        <v>0.57212033793529771</v>
      </c>
      <c r="E333" s="82">
        <f t="shared" ref="E333:H333" si="233">E326/E$335</f>
        <v>6.4616048722675457E-2</v>
      </c>
      <c r="F333" s="82">
        <f t="shared" si="233"/>
        <v>5.0915581125677387E-2</v>
      </c>
      <c r="G333" s="82">
        <f t="shared" si="233"/>
        <v>4.5081479622935461E-2</v>
      </c>
      <c r="H333" s="82">
        <f t="shared" si="233"/>
        <v>7.5050198064659485E-2</v>
      </c>
      <c r="I333" s="82">
        <f t="shared" ref="I333:K333" si="234">I326/I$335</f>
        <v>5.719571539885427E-2</v>
      </c>
      <c r="J333" s="82">
        <f t="shared" si="234"/>
        <v>5.9270664835055609E-2</v>
      </c>
      <c r="K333" s="82">
        <f t="shared" si="234"/>
        <v>6.3907149362271432E-2</v>
      </c>
    </row>
    <row r="334" spans="1:12" s="918" customFormat="1" ht="14.25" customHeight="1">
      <c r="A334" s="929" t="s">
        <v>525</v>
      </c>
    </row>
    <row r="335" spans="1:12" ht="14.25" customHeight="1">
      <c r="A335" s="263" t="s">
        <v>508</v>
      </c>
      <c r="D335" s="930">
        <f>D318+D326</f>
        <v>9706</v>
      </c>
      <c r="E335" s="930">
        <f t="shared" ref="E335:H335" si="235">E318+E326</f>
        <v>2321219</v>
      </c>
      <c r="F335" s="930">
        <f t="shared" si="235"/>
        <v>5844321</v>
      </c>
      <c r="G335" s="930">
        <f t="shared" si="235"/>
        <v>20988131</v>
      </c>
      <c r="H335" s="930">
        <f t="shared" si="235"/>
        <v>26855119</v>
      </c>
      <c r="I335" s="930">
        <f t="shared" ref="I335:K335" si="236">I318+I326</f>
        <v>20511469.998505913</v>
      </c>
      <c r="J335" s="930">
        <f t="shared" si="236"/>
        <v>19024768.026750669</v>
      </c>
      <c r="K335" s="930">
        <f t="shared" si="236"/>
        <v>14486999.693630619</v>
      </c>
    </row>
    <row r="336" spans="1:12" ht="14.25" customHeight="1">
      <c r="A336" s="262" t="s">
        <v>526</v>
      </c>
      <c r="E336" s="82">
        <f>E335/D335-1</f>
        <v>238.15299814547703</v>
      </c>
      <c r="F336" s="82">
        <f t="shared" ref="F336:H336" si="237">F335/E335-1</f>
        <v>1.5177809590564268</v>
      </c>
      <c r="G336" s="82">
        <f t="shared" si="237"/>
        <v>2.5912009282173241</v>
      </c>
      <c r="H336" s="82">
        <f t="shared" si="237"/>
        <v>0.27953837337874443</v>
      </c>
      <c r="I336" s="82">
        <f t="shared" ref="I336" si="238">I335/H335-1</f>
        <v>-0.23621749736033892</v>
      </c>
      <c r="J336" s="82">
        <f t="shared" ref="J336" si="239">J335/I335-1</f>
        <v>-7.2481493128651264E-2</v>
      </c>
      <c r="K336" s="82">
        <f t="shared" ref="K336" si="240">K335/J335-1</f>
        <v>-0.2385189836080791</v>
      </c>
    </row>
    <row r="337" spans="1:12" ht="14.25" customHeight="1">
      <c r="A337" s="262" t="s">
        <v>287</v>
      </c>
      <c r="D337" s="928">
        <f>D320+D328</f>
        <v>12067</v>
      </c>
      <c r="E337" s="928">
        <f t="shared" ref="E337:H337" si="241">E320+E328</f>
        <v>2879360</v>
      </c>
      <c r="F337" s="928">
        <f t="shared" si="241"/>
        <v>5578332</v>
      </c>
      <c r="G337" s="928">
        <f t="shared" si="241"/>
        <v>18365576</v>
      </c>
      <c r="H337" s="928">
        <f t="shared" si="241"/>
        <v>23766728</v>
      </c>
      <c r="I337" s="928">
        <f t="shared" ref="I337:K337" si="242">I320+I328</f>
        <v>17070954.412277177</v>
      </c>
      <c r="J337" s="928">
        <f t="shared" si="242"/>
        <v>16603488.983141394</v>
      </c>
      <c r="K337" s="928">
        <f t="shared" si="242"/>
        <v>13036393.904810473</v>
      </c>
    </row>
    <row r="338" spans="1:12" ht="14.25" customHeight="1">
      <c r="A338" s="263" t="s">
        <v>511</v>
      </c>
      <c r="D338" s="251">
        <f>D321+D330</f>
        <v>-2361</v>
      </c>
      <c r="E338" s="251">
        <f t="shared" ref="E338:H338" si="243">E321+E330</f>
        <v>-558141</v>
      </c>
      <c r="F338" s="930">
        <f t="shared" si="243"/>
        <v>265989</v>
      </c>
      <c r="G338" s="930">
        <f t="shared" si="243"/>
        <v>2622555</v>
      </c>
      <c r="H338" s="930">
        <f t="shared" si="243"/>
        <v>3088391</v>
      </c>
      <c r="I338" s="930">
        <f t="shared" ref="I338:K338" si="244">I321+I330</f>
        <v>3440515.5862287385</v>
      </c>
      <c r="J338" s="930">
        <f t="shared" si="244"/>
        <v>2421279.0436092764</v>
      </c>
      <c r="K338" s="930">
        <f t="shared" si="244"/>
        <v>1450605.7888201461</v>
      </c>
    </row>
    <row r="339" spans="1:12" ht="14.25" customHeight="1">
      <c r="A339" s="262" t="s">
        <v>513</v>
      </c>
      <c r="D339" s="82">
        <f>D338/D335</f>
        <v>-0.24325159695033999</v>
      </c>
      <c r="E339" s="82">
        <f t="shared" ref="E339:H339" si="245">E338/E335</f>
        <v>-0.24045167646826948</v>
      </c>
      <c r="F339" s="82">
        <f t="shared" si="245"/>
        <v>4.5512387153272382E-2</v>
      </c>
      <c r="G339" s="82">
        <f t="shared" si="245"/>
        <v>0.12495419434917764</v>
      </c>
      <c r="H339" s="82">
        <f t="shared" si="245"/>
        <v>0.11500194804573385</v>
      </c>
      <c r="I339" s="82">
        <f t="shared" ref="I339:K339" si="246">I338/I335</f>
        <v>0.16773617817149872</v>
      </c>
      <c r="J339" s="82">
        <f t="shared" si="246"/>
        <v>0.12726983268362185</v>
      </c>
      <c r="K339" s="82">
        <f t="shared" si="246"/>
        <v>0.10013155377216734</v>
      </c>
    </row>
    <row r="340" spans="1:12" ht="14.25" customHeight="1">
      <c r="A340" s="262" t="s">
        <v>527</v>
      </c>
      <c r="D340" s="923">
        <v>642541</v>
      </c>
      <c r="E340" s="923">
        <v>1164569</v>
      </c>
      <c r="F340" s="923">
        <v>2920649</v>
      </c>
      <c r="G340" s="923">
        <v>5305433</v>
      </c>
      <c r="H340" s="923">
        <v>6688246</v>
      </c>
      <c r="I340" s="249">
        <f>I341*I335</f>
        <v>6847912.2891489249</v>
      </c>
      <c r="J340" s="249">
        <f t="shared" ref="J340:K340" si="247">J341*J335</f>
        <v>5299599.2781183841</v>
      </c>
      <c r="K340" s="249">
        <f t="shared" si="247"/>
        <v>4160038.8145830538</v>
      </c>
    </row>
    <row r="341" spans="1:12" ht="14.25" customHeight="1">
      <c r="A341" s="262" t="s">
        <v>528</v>
      </c>
      <c r="D341" s="82">
        <f>D340/D335</f>
        <v>66.200391510405936</v>
      </c>
      <c r="E341" s="82">
        <f t="shared" ref="E341:H341" si="248">E340/E335</f>
        <v>0.50170578476223049</v>
      </c>
      <c r="F341" s="82">
        <f t="shared" si="248"/>
        <v>0.49974137286435844</v>
      </c>
      <c r="G341" s="82">
        <f t="shared" si="248"/>
        <v>0.25278253694909758</v>
      </c>
      <c r="H341" s="82">
        <f t="shared" si="248"/>
        <v>0.24904920361738112</v>
      </c>
      <c r="I341" s="313">
        <f>AVERAGE(F341:H341)</f>
        <v>0.33385770447694568</v>
      </c>
      <c r="J341" s="313">
        <f t="shared" ref="J341:K341" si="249">AVERAGE(G341:I341)</f>
        <v>0.27856314834780815</v>
      </c>
      <c r="K341" s="313">
        <f t="shared" si="249"/>
        <v>0.28715668548071166</v>
      </c>
      <c r="L341" t="s">
        <v>229</v>
      </c>
    </row>
    <row r="342" spans="1:12" ht="14.25" customHeight="1">
      <c r="A342" t="s">
        <v>530</v>
      </c>
      <c r="D342" s="923">
        <v>1051219</v>
      </c>
      <c r="E342" s="923">
        <v>2070158</v>
      </c>
      <c r="F342" s="923">
        <v>1725906</v>
      </c>
      <c r="G342" s="923">
        <v>4114267</v>
      </c>
      <c r="H342" s="923">
        <v>5214836</v>
      </c>
      <c r="I342" s="249">
        <f>I343*I335</f>
        <v>4687046.4442610126</v>
      </c>
      <c r="J342" s="249">
        <f t="shared" ref="J342:K342" si="250">J343*J335</f>
        <v>3923673.7805961915</v>
      </c>
      <c r="K342" s="249">
        <f t="shared" si="250"/>
        <v>3037116.971181416</v>
      </c>
    </row>
    <row r="343" spans="1:12" ht="14.25" customHeight="1">
      <c r="A343" t="s">
        <v>531</v>
      </c>
      <c r="D343" s="82">
        <f>D342/D335</f>
        <v>108.30609932000824</v>
      </c>
      <c r="E343" s="82">
        <f t="shared" ref="E343:H343" si="251">E342/E335</f>
        <v>0.89184088188145971</v>
      </c>
      <c r="F343" s="82">
        <f t="shared" si="251"/>
        <v>0.29531334777812512</v>
      </c>
      <c r="G343" s="82">
        <f t="shared" si="251"/>
        <v>0.19602826950146252</v>
      </c>
      <c r="H343" s="82">
        <f t="shared" si="251"/>
        <v>0.1941840585401986</v>
      </c>
      <c r="I343" s="313">
        <f>AVERAGE(F343:H343)</f>
        <v>0.22850855860659544</v>
      </c>
      <c r="J343" s="313">
        <f t="shared" ref="J343:K343" si="252">AVERAGE(G343:I343)</f>
        <v>0.20624029554941883</v>
      </c>
      <c r="K343" s="313">
        <f t="shared" si="252"/>
        <v>0.20964430423207095</v>
      </c>
      <c r="L343" t="s">
        <v>229</v>
      </c>
    </row>
    <row r="344" spans="1:12" ht="14.25" customHeight="1">
      <c r="A344" t="s">
        <v>647</v>
      </c>
      <c r="D344" s="923">
        <v>1487</v>
      </c>
      <c r="E344" s="923">
        <v>12294</v>
      </c>
      <c r="F344" s="923">
        <v>86830</v>
      </c>
      <c r="G344" s="923">
        <v>217740</v>
      </c>
      <c r="H344" s="923">
        <v>109168</v>
      </c>
      <c r="I344" s="928">
        <f>H344</f>
        <v>109168</v>
      </c>
      <c r="J344" s="928">
        <f t="shared" ref="J344:K344" si="253">I344</f>
        <v>109168</v>
      </c>
      <c r="K344" s="928">
        <f t="shared" si="253"/>
        <v>109168</v>
      </c>
    </row>
    <row r="345" spans="1:12" ht="14.25" customHeight="1">
      <c r="A345" s="263" t="s">
        <v>596</v>
      </c>
      <c r="D345" s="251">
        <f>D338-D340-D342+D344</f>
        <v>-1694634</v>
      </c>
      <c r="E345" s="251">
        <f t="shared" ref="E345:K345" si="254">E338-E340-E342+E344</f>
        <v>-3780574</v>
      </c>
      <c r="F345" s="251">
        <f t="shared" si="254"/>
        <v>-4293736</v>
      </c>
      <c r="G345" s="251">
        <f t="shared" si="254"/>
        <v>-6579405</v>
      </c>
      <c r="H345" s="251">
        <f t="shared" si="254"/>
        <v>-8705523</v>
      </c>
      <c r="I345" s="251">
        <f t="shared" si="254"/>
        <v>-7985275.1471811989</v>
      </c>
      <c r="J345" s="251">
        <f t="shared" si="254"/>
        <v>-6692826.0151052997</v>
      </c>
      <c r="K345" s="251">
        <f t="shared" si="254"/>
        <v>-5637381.9969443232</v>
      </c>
    </row>
    <row r="346" spans="1:12" ht="14.25" customHeight="1">
      <c r="A346" t="s">
        <v>597</v>
      </c>
      <c r="D346" s="923">
        <v>65376</v>
      </c>
      <c r="E346" s="923">
        <v>88843</v>
      </c>
      <c r="F346" s="923">
        <v>133036</v>
      </c>
      <c r="G346" s="923">
        <v>743034</v>
      </c>
      <c r="H346" s="923">
        <v>1058771</v>
      </c>
      <c r="I346" s="238">
        <f t="shared" ref="I346:K349" si="255">H346*(1+$L346)</f>
        <v>1164648.1000000001</v>
      </c>
      <c r="J346" s="238">
        <f t="shared" si="255"/>
        <v>1281112.9100000001</v>
      </c>
      <c r="K346" s="238">
        <f t="shared" si="255"/>
        <v>1409224.2010000004</v>
      </c>
      <c r="L346" s="926">
        <v>0.1</v>
      </c>
    </row>
    <row r="347" spans="1:12" ht="14.25" customHeight="1">
      <c r="A347" t="s">
        <v>534</v>
      </c>
      <c r="D347" s="923">
        <v>5822</v>
      </c>
      <c r="E347" s="923">
        <v>32017</v>
      </c>
      <c r="F347" s="923">
        <v>22451</v>
      </c>
      <c r="G347" s="923">
        <v>55336</v>
      </c>
      <c r="H347" s="923">
        <v>132192</v>
      </c>
      <c r="I347" s="238">
        <f t="shared" si="255"/>
        <v>145411.20000000001</v>
      </c>
      <c r="J347" s="238">
        <f t="shared" si="255"/>
        <v>159952.32000000004</v>
      </c>
      <c r="K347" s="238">
        <f t="shared" si="255"/>
        <v>175947.55200000005</v>
      </c>
      <c r="L347" s="926">
        <v>0.1</v>
      </c>
    </row>
    <row r="348" spans="1:12" ht="14.25" customHeight="1">
      <c r="A348" t="s">
        <v>648</v>
      </c>
      <c r="D348" s="30">
        <v>254361</v>
      </c>
      <c r="E348" s="30">
        <v>27679</v>
      </c>
      <c r="F348" s="30">
        <v>1362025</v>
      </c>
      <c r="G348" s="30">
        <v>79262</v>
      </c>
      <c r="H348" s="30">
        <v>59357</v>
      </c>
      <c r="I348" s="238">
        <f t="shared" si="255"/>
        <v>65292.700000000004</v>
      </c>
      <c r="J348" s="238">
        <f t="shared" si="255"/>
        <v>71821.970000000016</v>
      </c>
      <c r="K348" s="238">
        <f t="shared" si="255"/>
        <v>79004.16700000003</v>
      </c>
      <c r="L348" s="926">
        <v>0.1</v>
      </c>
    </row>
    <row r="349" spans="1:12" ht="14.25" customHeight="1">
      <c r="A349" t="s">
        <v>649</v>
      </c>
      <c r="D349" s="30"/>
      <c r="E349" s="30"/>
      <c r="F349" s="30"/>
      <c r="G349" s="30">
        <v>591506</v>
      </c>
      <c r="H349" s="30">
        <v>25062</v>
      </c>
      <c r="I349" s="238">
        <f t="shared" si="255"/>
        <v>27568.2</v>
      </c>
      <c r="J349" s="238">
        <f t="shared" si="255"/>
        <v>30325.020000000004</v>
      </c>
      <c r="K349" s="238">
        <f t="shared" si="255"/>
        <v>33357.522000000004</v>
      </c>
      <c r="L349" s="926">
        <v>0.1</v>
      </c>
    </row>
    <row r="350" spans="1:12" ht="14.25" customHeight="1">
      <c r="A350" t="s">
        <v>650</v>
      </c>
      <c r="D350" s="30">
        <v>-18104</v>
      </c>
      <c r="E350" s="30">
        <v>4397</v>
      </c>
      <c r="F350" s="30">
        <v>90364</v>
      </c>
      <c r="G350" s="30">
        <v>383833</v>
      </c>
      <c r="H350" s="30">
        <v>-1423833</v>
      </c>
      <c r="I350" s="323">
        <f>AVERAGE(F350:H350)</f>
        <v>-316545.33333333331</v>
      </c>
      <c r="J350" s="323">
        <f>AVERAGE(G350:I350)</f>
        <v>-452181.77777777775</v>
      </c>
      <c r="K350" s="323">
        <f>AVERAGE(H350:J350)</f>
        <v>-730853.37037037034</v>
      </c>
      <c r="L350" t="s">
        <v>229</v>
      </c>
    </row>
    <row r="351" spans="1:12" ht="14.25" customHeight="1">
      <c r="A351" s="631" t="s">
        <v>540</v>
      </c>
      <c r="D351" s="251">
        <f>D345+D346-D347+D348+D349+D350</f>
        <v>-1398823</v>
      </c>
      <c r="E351" s="251">
        <f t="shared" ref="E351:H351" si="256">E345+E346-E347+E348+E349+E350</f>
        <v>-3691672</v>
      </c>
      <c r="F351" s="251">
        <f t="shared" si="256"/>
        <v>-2730762</v>
      </c>
      <c r="G351" s="251">
        <f t="shared" si="256"/>
        <v>-4837106</v>
      </c>
      <c r="H351" s="251">
        <f t="shared" si="256"/>
        <v>-9118358</v>
      </c>
      <c r="I351" s="251">
        <f>I345+I346-I347+I348+I349+I350</f>
        <v>-7189722.6805145312</v>
      </c>
      <c r="J351" s="251">
        <f>J345+J346-J347+J348+J349+J350</f>
        <v>-5921700.2128830785</v>
      </c>
      <c r="K351" s="251">
        <f>K345+K346-K347+K348+K349+K350</f>
        <v>-5022597.0293146931</v>
      </c>
    </row>
    <row r="352" spans="1:12" ht="14.25" customHeight="1">
      <c r="A352" t="s">
        <v>604</v>
      </c>
      <c r="D352" s="30">
        <v>0</v>
      </c>
      <c r="E352" s="30">
        <v>-1</v>
      </c>
      <c r="F352" s="30">
        <v>-1223</v>
      </c>
      <c r="G352" s="30">
        <v>-25990</v>
      </c>
      <c r="H352" s="30">
        <v>-24731</v>
      </c>
      <c r="I352" s="249">
        <f>I351*I353</f>
        <v>-35948.613402572657</v>
      </c>
      <c r="J352" s="249">
        <f>J351*J353</f>
        <v>-29608.501064415392</v>
      </c>
      <c r="K352" s="249">
        <f>K351*K353</f>
        <v>-25112.985146573465</v>
      </c>
    </row>
    <row r="353" spans="1:12" ht="14.25" customHeight="1">
      <c r="A353" t="s">
        <v>605</v>
      </c>
      <c r="D353" s="82">
        <f>D352/D351</f>
        <v>0</v>
      </c>
      <c r="E353" s="82">
        <f t="shared" ref="E353:H353" si="257">E352/E351</f>
        <v>2.7087996983480655E-7</v>
      </c>
      <c r="F353" s="82">
        <f t="shared" si="257"/>
        <v>4.4786034081329681E-4</v>
      </c>
      <c r="G353" s="82">
        <f t="shared" si="257"/>
        <v>5.3730474378688416E-3</v>
      </c>
      <c r="H353" s="82">
        <f t="shared" si="257"/>
        <v>2.712220774836873E-3</v>
      </c>
      <c r="I353" s="313">
        <f>0.5%</f>
        <v>5.0000000000000001E-3</v>
      </c>
      <c r="J353" s="313">
        <f>0.5%</f>
        <v>5.0000000000000001E-3</v>
      </c>
      <c r="K353" s="313">
        <f>0.5%</f>
        <v>5.0000000000000001E-3</v>
      </c>
    </row>
    <row r="354" spans="1:12" ht="14.25" customHeight="1">
      <c r="A354" t="s">
        <v>651</v>
      </c>
      <c r="D354" s="82"/>
      <c r="E354" s="82"/>
      <c r="F354" s="82"/>
      <c r="G354" s="82"/>
      <c r="H354" s="264">
        <v>4117</v>
      </c>
      <c r="I354" s="323">
        <f>H354</f>
        <v>4117</v>
      </c>
      <c r="J354" s="323">
        <f>I354</f>
        <v>4117</v>
      </c>
      <c r="K354" s="323">
        <f>J354</f>
        <v>4117</v>
      </c>
    </row>
    <row r="355" spans="1:12" ht="14.25" customHeight="1">
      <c r="A355" s="263" t="s">
        <v>543</v>
      </c>
      <c r="D355" s="251">
        <f>D351+D352+D354</f>
        <v>-1398823</v>
      </c>
      <c r="E355" s="251">
        <f t="shared" ref="E355:H355" si="258">E351+E352+E354</f>
        <v>-3691673</v>
      </c>
      <c r="F355" s="251">
        <f t="shared" si="258"/>
        <v>-2731985</v>
      </c>
      <c r="G355" s="251">
        <f t="shared" si="258"/>
        <v>-4863096</v>
      </c>
      <c r="H355" s="251">
        <f t="shared" si="258"/>
        <v>-9138972</v>
      </c>
      <c r="I355" s="251">
        <f>I351+I352+I354</f>
        <v>-7221554.2939171037</v>
      </c>
      <c r="J355" s="251">
        <f>J351+J352+J354</f>
        <v>-5947191.7139474936</v>
      </c>
      <c r="K355" s="251">
        <f>K351+K352+K354</f>
        <v>-5043593.0144612668</v>
      </c>
    </row>
    <row r="356" spans="1:12" ht="14.25" customHeight="1">
      <c r="A356" s="262" t="s">
        <v>607</v>
      </c>
      <c r="D356" s="249">
        <f>D355-D358</f>
        <v>859021</v>
      </c>
      <c r="E356" s="249">
        <f t="shared" ref="E356:H356" si="259">E355-E358</f>
        <v>954049</v>
      </c>
      <c r="F356" s="249">
        <f t="shared" si="259"/>
        <v>2882177</v>
      </c>
      <c r="G356" s="249">
        <f t="shared" si="259"/>
        <v>918168</v>
      </c>
      <c r="H356" s="249">
        <f t="shared" si="259"/>
        <v>-3192573</v>
      </c>
      <c r="I356" s="249">
        <f>I355*I357</f>
        <v>2153088.3009047345</v>
      </c>
      <c r="J356" s="249">
        <f>J355*J357</f>
        <v>272806.71622697858</v>
      </c>
      <c r="K356" s="249">
        <f>K355*K357</f>
        <v>-8939.1081816717124</v>
      </c>
    </row>
    <row r="357" spans="1:12" ht="14.25" customHeight="1">
      <c r="A357" s="262" t="s">
        <v>608</v>
      </c>
      <c r="D357" s="82">
        <f>D356/D355</f>
        <v>-0.61410271349556023</v>
      </c>
      <c r="E357" s="82">
        <f t="shared" ref="E357:H357" si="260">E356/E355</f>
        <v>-0.25843269433668692</v>
      </c>
      <c r="F357" s="82">
        <f t="shared" si="260"/>
        <v>-1.0549754116512353</v>
      </c>
      <c r="G357" s="82">
        <f t="shared" si="260"/>
        <v>-0.18880318217037048</v>
      </c>
      <c r="H357" s="82">
        <f t="shared" si="260"/>
        <v>0.34933611789159658</v>
      </c>
      <c r="I357" s="313">
        <f>AVERAGE(F357:H357)</f>
        <v>-0.29814749197666973</v>
      </c>
      <c r="J357" s="313">
        <f>AVERAGE(G357:I357)</f>
        <v>-4.5871518751814548E-2</v>
      </c>
      <c r="K357" s="313">
        <f>AVERAGE(H357:J357)</f>
        <v>1.7723690543707653E-3</v>
      </c>
      <c r="L357" t="s">
        <v>229</v>
      </c>
    </row>
    <row r="358" spans="1:12" ht="14.25" customHeight="1">
      <c r="A358" s="262" t="s">
        <v>547</v>
      </c>
      <c r="D358" s="30">
        <v>-2257844</v>
      </c>
      <c r="E358" s="30">
        <v>-4645722</v>
      </c>
      <c r="F358" s="30">
        <v>-5614162</v>
      </c>
      <c r="G358" s="30">
        <v>-5781264</v>
      </c>
      <c r="H358" s="30">
        <v>-5946399</v>
      </c>
      <c r="I358" s="249">
        <f>I355-I356</f>
        <v>-9374642.5948218387</v>
      </c>
      <c r="J358" s="249">
        <f>J355-J356</f>
        <v>-6219998.4301744718</v>
      </c>
      <c r="K358" s="249">
        <f>K355-K356</f>
        <v>-5034653.9062795946</v>
      </c>
    </row>
    <row r="359" spans="1:12" ht="14.25" customHeight="1">
      <c r="A359" s="262" t="s">
        <v>548</v>
      </c>
      <c r="D359" s="923">
        <v>330176.07</v>
      </c>
      <c r="E359" s="923">
        <v>349450.58</v>
      </c>
      <c r="F359" s="923">
        <v>754270.91399999999</v>
      </c>
      <c r="G359" s="923">
        <v>1642906.4</v>
      </c>
      <c r="H359" s="923">
        <v>1712533.564</v>
      </c>
      <c r="I359" s="932">
        <f>H359</f>
        <v>1712533.564</v>
      </c>
      <c r="J359" s="932">
        <f>I359</f>
        <v>1712533.564</v>
      </c>
      <c r="K359" s="932">
        <f>J359</f>
        <v>1712533.564</v>
      </c>
    </row>
    <row r="360" spans="1:12" ht="14.25" customHeight="1">
      <c r="A360" s="263" t="s">
        <v>550</v>
      </c>
      <c r="D360" s="931">
        <f>D358/D359</f>
        <v>-6.8383029696852349</v>
      </c>
      <c r="E360" s="931">
        <f t="shared" ref="E360:H360" si="261">E358/E359</f>
        <v>-13.294360535901815</v>
      </c>
      <c r="F360" s="931">
        <f t="shared" si="261"/>
        <v>-7.4431638497464325</v>
      </c>
      <c r="G360" s="931">
        <f t="shared" si="261"/>
        <v>-3.518924754325627</v>
      </c>
      <c r="H360" s="931">
        <f t="shared" si="261"/>
        <v>-3.4722817263276715</v>
      </c>
      <c r="I360" s="931">
        <f>I358/I359</f>
        <v>-5.474136561110833</v>
      </c>
      <c r="J360" s="931">
        <f>J358/J359</f>
        <v>-3.6320446856797908</v>
      </c>
      <c r="K360" s="931">
        <f>K358/K359</f>
        <v>-2.9398862668244874</v>
      </c>
    </row>
  </sheetData>
  <phoneticPr fontId="4"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7A884-164A-4329-9424-E566A0FB0B95}">
  <dimension ref="A1:WVO1041"/>
  <sheetViews>
    <sheetView zoomScale="113" zoomScaleNormal="90" workbookViewId="0">
      <pane xSplit="1" ySplit="2" topLeftCell="G574" activePane="bottomRight" state="frozen"/>
      <selection pane="topRight" activeCell="B1" sqref="B1"/>
      <selection pane="bottomLeft" activeCell="A3" sqref="A3"/>
      <selection pane="bottomRight" activeCell="G574" sqref="G574"/>
    </sheetView>
  </sheetViews>
  <sheetFormatPr defaultColWidth="8.83203125" defaultRowHeight="14"/>
  <cols>
    <col min="1" max="1" width="70.1640625" customWidth="1"/>
    <col min="2" max="2" width="43" bestFit="1" customWidth="1"/>
    <col min="3" max="3" width="22.1640625" customWidth="1"/>
    <col min="4" max="5" width="16.1640625" customWidth="1"/>
    <col min="6" max="6" width="17" customWidth="1"/>
    <col min="7" max="7" width="18" customWidth="1"/>
    <col min="8" max="8" width="22.75" bestFit="1" customWidth="1"/>
    <col min="9" max="9" width="17.4140625" customWidth="1"/>
    <col min="10" max="10" width="16.25" bestFit="1" customWidth="1"/>
    <col min="11" max="11" width="15.1640625" bestFit="1" customWidth="1"/>
    <col min="12" max="12" width="13.83203125" customWidth="1"/>
    <col min="13" max="13" width="13" customWidth="1"/>
    <col min="14" max="14" width="13.4140625" customWidth="1"/>
  </cols>
  <sheetData>
    <row r="1" spans="1:14" ht="21" customHeight="1">
      <c r="A1" s="1967" t="s">
        <v>652</v>
      </c>
      <c r="B1" s="1967"/>
      <c r="C1" s="1967"/>
      <c r="D1" s="1967"/>
      <c r="E1" s="1967"/>
      <c r="F1" s="1967"/>
      <c r="G1" s="1967"/>
      <c r="H1" s="1967"/>
      <c r="I1" s="1967"/>
      <c r="J1" s="1967"/>
      <c r="K1" s="1967"/>
      <c r="L1" s="1967"/>
      <c r="M1" s="1967"/>
      <c r="N1" s="1967"/>
    </row>
    <row r="2" spans="1:14" ht="14.15" customHeight="1">
      <c r="A2" s="101" t="s">
        <v>653</v>
      </c>
      <c r="B2" s="101" t="s">
        <v>654</v>
      </c>
      <c r="C2" s="102" t="s">
        <v>655</v>
      </c>
      <c r="D2" s="102" t="s">
        <v>656</v>
      </c>
      <c r="E2" s="102" t="s">
        <v>657</v>
      </c>
      <c r="F2" s="102" t="s">
        <v>658</v>
      </c>
      <c r="G2" s="102" t="s">
        <v>659</v>
      </c>
      <c r="H2" s="102"/>
      <c r="I2" s="102" t="s">
        <v>660</v>
      </c>
      <c r="J2" s="102" t="s">
        <v>661</v>
      </c>
    </row>
    <row r="3" spans="1:14">
      <c r="A3" s="96" t="s">
        <v>662</v>
      </c>
      <c r="B3" s="96"/>
      <c r="C3" s="97">
        <v>42735</v>
      </c>
      <c r="D3" s="97">
        <v>43100</v>
      </c>
      <c r="E3" s="97">
        <v>43465</v>
      </c>
      <c r="F3" s="97">
        <v>43830</v>
      </c>
      <c r="G3" s="97">
        <v>44196</v>
      </c>
      <c r="H3" s="97"/>
      <c r="I3" s="97">
        <v>44561</v>
      </c>
      <c r="J3" s="97">
        <v>44926</v>
      </c>
    </row>
    <row r="4" spans="1:14">
      <c r="A4" s="96" t="s">
        <v>663</v>
      </c>
      <c r="B4" s="96"/>
      <c r="C4" s="98" t="s">
        <v>664</v>
      </c>
      <c r="D4" s="98" t="s">
        <v>664</v>
      </c>
      <c r="E4" s="98" t="s">
        <v>664</v>
      </c>
      <c r="F4" s="98" t="s">
        <v>664</v>
      </c>
      <c r="G4" s="98" t="s">
        <v>664</v>
      </c>
      <c r="H4" s="98"/>
      <c r="I4" s="98" t="s">
        <v>664</v>
      </c>
      <c r="J4" s="98" t="s">
        <v>664</v>
      </c>
    </row>
    <row r="5" spans="1:14">
      <c r="A5" s="96" t="s">
        <v>665</v>
      </c>
      <c r="B5" s="96"/>
      <c r="C5" s="98" t="s">
        <v>666</v>
      </c>
      <c r="D5" s="98" t="s">
        <v>666</v>
      </c>
      <c r="E5" s="98" t="s">
        <v>666</v>
      </c>
      <c r="F5" s="98" t="s">
        <v>666</v>
      </c>
      <c r="G5" s="98" t="s">
        <v>666</v>
      </c>
      <c r="H5" s="98"/>
      <c r="I5" s="98" t="s">
        <v>666</v>
      </c>
      <c r="J5" s="98" t="s">
        <v>666</v>
      </c>
    </row>
    <row r="6" spans="1:14">
      <c r="A6" s="99" t="s">
        <v>667</v>
      </c>
      <c r="B6" s="99"/>
      <c r="C6" s="96"/>
      <c r="D6" s="96"/>
      <c r="E6" s="96"/>
      <c r="F6" s="96"/>
      <c r="G6" s="96"/>
      <c r="H6" s="96"/>
    </row>
    <row r="7" spans="1:14">
      <c r="A7" s="96" t="s">
        <v>668</v>
      </c>
      <c r="B7" s="96"/>
      <c r="C7" s="100">
        <v>5589007</v>
      </c>
      <c r="D7" s="100">
        <v>8535000</v>
      </c>
      <c r="E7" s="100">
        <v>17632000</v>
      </c>
      <c r="F7" s="100">
        <v>19952000</v>
      </c>
      <c r="G7" s="100">
        <v>26184000</v>
      </c>
      <c r="H7" s="100"/>
      <c r="I7" s="628">
        <v>45590000</v>
      </c>
      <c r="J7" s="628">
        <v>68986000</v>
      </c>
    </row>
    <row r="8" spans="1:14">
      <c r="A8" s="96" t="s">
        <v>669</v>
      </c>
      <c r="B8" s="96"/>
      <c r="C8" s="100">
        <v>181394</v>
      </c>
      <c r="D8" s="100">
        <v>1116000</v>
      </c>
      <c r="E8" s="100">
        <v>1555000</v>
      </c>
      <c r="F8" s="100">
        <v>1531000</v>
      </c>
      <c r="G8" s="100">
        <v>1994000</v>
      </c>
      <c r="H8" s="100"/>
      <c r="I8" s="628">
        <v>2789000</v>
      </c>
      <c r="J8" s="628">
        <v>3909000</v>
      </c>
    </row>
    <row r="9" spans="1:14">
      <c r="A9" s="96" t="s">
        <v>670</v>
      </c>
      <c r="B9" s="96"/>
      <c r="C9" s="100">
        <v>467972</v>
      </c>
      <c r="D9" s="100">
        <v>1001000</v>
      </c>
      <c r="E9" s="100">
        <v>1391000</v>
      </c>
      <c r="F9" s="100">
        <v>2226000</v>
      </c>
      <c r="G9" s="100">
        <v>2306000</v>
      </c>
      <c r="H9" s="100"/>
      <c r="I9" s="628">
        <v>3802000</v>
      </c>
      <c r="J9" s="628">
        <v>6091000</v>
      </c>
    </row>
    <row r="10" spans="1:14">
      <c r="A10" s="96" t="s">
        <v>281</v>
      </c>
      <c r="B10" s="96"/>
      <c r="C10" s="100">
        <v>761759</v>
      </c>
      <c r="D10" s="100">
        <v>1107000</v>
      </c>
      <c r="E10" s="100">
        <v>883000</v>
      </c>
      <c r="F10" s="100">
        <v>869000</v>
      </c>
      <c r="G10" s="100">
        <v>1052000</v>
      </c>
      <c r="H10" s="100"/>
      <c r="I10" s="628">
        <v>1642000</v>
      </c>
      <c r="J10" s="628">
        <v>2476000</v>
      </c>
    </row>
    <row r="11" spans="1:14">
      <c r="A11" s="96" t="s">
        <v>671</v>
      </c>
      <c r="B11" s="96"/>
      <c r="C11" s="100">
        <v>7000132</v>
      </c>
      <c r="D11" s="100">
        <v>11759000</v>
      </c>
      <c r="E11" s="100">
        <v>21461000</v>
      </c>
      <c r="F11" s="100">
        <v>24578000</v>
      </c>
      <c r="G11" s="100">
        <v>31536000</v>
      </c>
      <c r="H11" s="100"/>
      <c r="I11" s="628">
        <v>53823000</v>
      </c>
      <c r="J11" s="628">
        <v>81462000</v>
      </c>
    </row>
    <row r="12" spans="1:14">
      <c r="A12" s="99" t="s">
        <v>672</v>
      </c>
      <c r="B12" s="99"/>
      <c r="C12" s="919">
        <f>C14+C15</f>
        <v>-4750081</v>
      </c>
      <c r="D12" s="96"/>
      <c r="E12" s="96"/>
      <c r="F12" s="96"/>
      <c r="G12" s="96"/>
      <c r="H12" s="96"/>
      <c r="I12" s="628"/>
      <c r="J12" s="628"/>
    </row>
    <row r="13" spans="1:14">
      <c r="A13" s="96" t="s">
        <v>670</v>
      </c>
      <c r="B13" s="96"/>
      <c r="C13" s="100">
        <v>-472462</v>
      </c>
      <c r="D13" s="100">
        <v>-1229000</v>
      </c>
      <c r="E13" s="100">
        <v>-1880000</v>
      </c>
      <c r="F13" s="100">
        <v>-2770000</v>
      </c>
      <c r="G13" s="100">
        <v>-2671000</v>
      </c>
      <c r="H13" s="100"/>
      <c r="I13" s="628">
        <v>-3906000</v>
      </c>
      <c r="J13" s="628">
        <v>-5880000</v>
      </c>
    </row>
    <row r="14" spans="1:14">
      <c r="A14" s="96" t="s">
        <v>673</v>
      </c>
      <c r="B14" s="96"/>
      <c r="C14" s="100">
        <v>-4268087</v>
      </c>
      <c r="D14" s="100">
        <v>-6725000</v>
      </c>
      <c r="E14" s="100">
        <v>-13686000</v>
      </c>
      <c r="F14" s="100">
        <v>-15939000</v>
      </c>
      <c r="G14" s="100">
        <v>-19696000</v>
      </c>
      <c r="H14" s="100"/>
      <c r="I14" s="628">
        <v>-32415000</v>
      </c>
      <c r="J14" s="628">
        <v>-49599000</v>
      </c>
    </row>
    <row r="15" spans="1:14">
      <c r="A15" s="96" t="s">
        <v>281</v>
      </c>
      <c r="B15" s="96"/>
      <c r="C15" s="100">
        <v>-481994</v>
      </c>
      <c r="D15" s="100">
        <v>-708000</v>
      </c>
      <c r="E15" s="100">
        <v>-488000</v>
      </c>
      <c r="F15" s="100">
        <v>-459000</v>
      </c>
      <c r="G15" s="100">
        <v>-563000</v>
      </c>
      <c r="H15" s="100"/>
      <c r="I15" s="100">
        <v>-978000</v>
      </c>
      <c r="J15" s="628">
        <v>-1509000</v>
      </c>
    </row>
    <row r="16" spans="1:14">
      <c r="A16" s="96" t="s">
        <v>669</v>
      </c>
      <c r="B16" s="96"/>
      <c r="C16" s="100">
        <v>-178332</v>
      </c>
      <c r="D16" s="100">
        <v>-874000</v>
      </c>
      <c r="E16" s="100">
        <v>-1365000</v>
      </c>
      <c r="F16" s="100">
        <v>-1341000</v>
      </c>
      <c r="G16" s="100">
        <v>-1976000</v>
      </c>
      <c r="H16" s="100"/>
      <c r="I16" s="628">
        <v>-2918000</v>
      </c>
      <c r="J16" s="628">
        <v>-3621000</v>
      </c>
    </row>
    <row r="17" spans="1:10">
      <c r="A17" s="96" t="s">
        <v>674</v>
      </c>
      <c r="B17" s="96"/>
      <c r="C17" s="100">
        <v>-1432189</v>
      </c>
      <c r="D17" s="100">
        <v>-2477000</v>
      </c>
      <c r="E17" s="100">
        <v>-2835000</v>
      </c>
      <c r="F17" s="100">
        <v>-2646000</v>
      </c>
      <c r="G17" s="100">
        <v>-3145000</v>
      </c>
      <c r="H17" s="100"/>
      <c r="I17" s="628">
        <v>-4517000</v>
      </c>
      <c r="J17" s="628">
        <v>-3946000</v>
      </c>
    </row>
    <row r="18" spans="1:10">
      <c r="A18" s="96" t="s">
        <v>675</v>
      </c>
      <c r="B18" s="96"/>
      <c r="C18" s="100">
        <v>-834408</v>
      </c>
      <c r="D18" s="100">
        <v>-1378000</v>
      </c>
      <c r="E18" s="100">
        <v>-1460000</v>
      </c>
      <c r="F18" s="100">
        <v>-1343000</v>
      </c>
      <c r="G18" s="100">
        <v>-1491000</v>
      </c>
      <c r="H18" s="100"/>
      <c r="I18" s="628">
        <v>-2593000</v>
      </c>
      <c r="J18" s="628">
        <v>-3075000</v>
      </c>
    </row>
    <row r="19" spans="1:10">
      <c r="A19" s="96" t="s">
        <v>676</v>
      </c>
      <c r="B19" s="96"/>
      <c r="C19" s="98">
        <v>0</v>
      </c>
      <c r="D19" s="98">
        <v>0</v>
      </c>
      <c r="E19" s="100">
        <v>-135000</v>
      </c>
      <c r="F19" s="100">
        <v>-149000</v>
      </c>
      <c r="G19" s="98">
        <v>0</v>
      </c>
      <c r="H19" s="98"/>
      <c r="I19" s="628">
        <v>27000</v>
      </c>
      <c r="J19" s="628">
        <v>-176000</v>
      </c>
    </row>
    <row r="20" spans="1:10">
      <c r="A20" s="96" t="s">
        <v>617</v>
      </c>
      <c r="B20" s="96"/>
      <c r="C20" s="100">
        <v>-198810</v>
      </c>
      <c r="D20" s="100">
        <v>-471000</v>
      </c>
      <c r="E20" s="100">
        <v>-663000</v>
      </c>
      <c r="F20" s="100">
        <v>-685000</v>
      </c>
      <c r="G20" s="100">
        <v>-748000</v>
      </c>
      <c r="H20" s="100"/>
      <c r="I20" s="628">
        <v>-371000</v>
      </c>
      <c r="J20" s="628">
        <v>-191000</v>
      </c>
    </row>
    <row r="21" spans="1:10">
      <c r="A21" s="96" t="s">
        <v>677</v>
      </c>
      <c r="B21" s="96"/>
      <c r="C21" s="100">
        <v>8530</v>
      </c>
      <c r="D21" s="100">
        <v>19000</v>
      </c>
      <c r="E21" s="100">
        <v>24000</v>
      </c>
      <c r="F21" s="100">
        <v>44000</v>
      </c>
      <c r="G21" s="100">
        <v>30000</v>
      </c>
      <c r="H21" s="100"/>
      <c r="I21" s="628">
        <v>56000</v>
      </c>
      <c r="J21" s="628">
        <v>297000</v>
      </c>
    </row>
    <row r="22" spans="1:10">
      <c r="A22" s="96" t="s">
        <v>678</v>
      </c>
      <c r="B22" s="96"/>
      <c r="C22" s="100">
        <v>111272</v>
      </c>
      <c r="D22" s="100">
        <v>-125000</v>
      </c>
      <c r="E22" s="100">
        <v>22000</v>
      </c>
      <c r="F22" s="100">
        <v>45000</v>
      </c>
      <c r="G22" s="100">
        <v>-122000</v>
      </c>
      <c r="H22" s="100"/>
      <c r="I22" s="628">
        <v>135000</v>
      </c>
      <c r="J22" s="628">
        <v>-43000</v>
      </c>
    </row>
    <row r="23" spans="1:10">
      <c r="A23" s="96" t="s">
        <v>679</v>
      </c>
      <c r="B23" s="96"/>
      <c r="C23" s="100">
        <v>-746348</v>
      </c>
      <c r="D23" s="100">
        <v>-2209000</v>
      </c>
      <c r="E23" s="100">
        <v>-1005000</v>
      </c>
      <c r="F23" s="100">
        <v>-665000</v>
      </c>
      <c r="G23" s="100">
        <v>1154000</v>
      </c>
      <c r="H23" s="100"/>
      <c r="I23" s="628">
        <v>6343000</v>
      </c>
      <c r="J23" s="628">
        <v>13719000</v>
      </c>
    </row>
    <row r="24" spans="1:10">
      <c r="A24" s="99" t="s">
        <v>680</v>
      </c>
      <c r="B24" s="99"/>
      <c r="C24" s="919"/>
      <c r="D24" s="96"/>
      <c r="E24" s="96"/>
      <c r="F24" s="96"/>
      <c r="G24" s="96"/>
      <c r="H24" s="96"/>
      <c r="I24" s="628"/>
      <c r="J24" s="628"/>
    </row>
    <row r="25" spans="1:10">
      <c r="A25" s="96" t="s">
        <v>681</v>
      </c>
      <c r="B25" s="96"/>
      <c r="C25" s="100">
        <v>-26698</v>
      </c>
      <c r="D25" s="100">
        <v>-32000</v>
      </c>
      <c r="E25" s="100">
        <v>-58000</v>
      </c>
      <c r="F25" s="100">
        <v>-110000</v>
      </c>
      <c r="G25" s="100">
        <v>-292000</v>
      </c>
      <c r="H25" s="100"/>
      <c r="I25" s="628">
        <v>-699000</v>
      </c>
      <c r="J25" s="628">
        <v>-1132000</v>
      </c>
    </row>
    <row r="26" spans="1:10">
      <c r="A26" s="96" t="s">
        <v>682</v>
      </c>
      <c r="B26" s="96"/>
      <c r="C26" s="100">
        <v>98132</v>
      </c>
      <c r="D26" s="100">
        <v>279000</v>
      </c>
      <c r="E26" s="100">
        <v>87000</v>
      </c>
      <c r="F26" s="100">
        <v>-87000</v>
      </c>
      <c r="G26" s="100">
        <v>-141000</v>
      </c>
      <c r="H26" s="100"/>
      <c r="I26" s="628">
        <v>-125000</v>
      </c>
      <c r="J26" s="628">
        <v>-31000</v>
      </c>
    </row>
    <row r="27" spans="1:10">
      <c r="A27" s="96" t="s">
        <v>683</v>
      </c>
      <c r="B27" s="96"/>
      <c r="C27" s="100">
        <v>-674914</v>
      </c>
      <c r="D27" s="100">
        <v>-1962000</v>
      </c>
      <c r="E27" s="100">
        <v>-976000</v>
      </c>
      <c r="F27" s="100">
        <v>-862000</v>
      </c>
      <c r="G27" s="100">
        <v>721000</v>
      </c>
      <c r="H27" s="100"/>
      <c r="I27" s="628">
        <v>5519000</v>
      </c>
      <c r="J27" s="628">
        <v>12556000</v>
      </c>
    </row>
    <row r="28" spans="1:10">
      <c r="A28" s="99" t="s">
        <v>684</v>
      </c>
      <c r="B28" s="99"/>
      <c r="C28" s="96"/>
      <c r="D28" s="96"/>
      <c r="E28" s="96"/>
      <c r="F28" s="96"/>
      <c r="G28" s="96"/>
      <c r="H28" s="96"/>
      <c r="I28" s="628"/>
      <c r="J28" s="628"/>
    </row>
    <row r="29" spans="1:10">
      <c r="A29" s="96" t="s">
        <v>685</v>
      </c>
      <c r="B29" s="96"/>
      <c r="C29" s="98">
        <v>0</v>
      </c>
      <c r="D29" s="98">
        <v>0</v>
      </c>
      <c r="E29" s="98">
        <v>0</v>
      </c>
      <c r="F29" s="100">
        <v>-8000</v>
      </c>
      <c r="G29" s="100">
        <v>-31000</v>
      </c>
      <c r="H29" s="100"/>
      <c r="I29" s="628"/>
      <c r="J29" s="628"/>
    </row>
    <row r="30" spans="1:10">
      <c r="A30" s="96" t="s">
        <v>686</v>
      </c>
      <c r="B30" s="96"/>
      <c r="C30" s="98">
        <v>0</v>
      </c>
      <c r="D30" s="98">
        <v>0</v>
      </c>
      <c r="E30" s="100">
        <v>-976000</v>
      </c>
      <c r="F30" s="100">
        <v>-870000</v>
      </c>
      <c r="G30" s="100">
        <v>690000</v>
      </c>
      <c r="H30" s="100"/>
      <c r="I30" s="628"/>
      <c r="J30" s="628"/>
    </row>
    <row r="31" spans="1:10">
      <c r="A31" s="99" t="s">
        <v>687</v>
      </c>
      <c r="B31" s="99"/>
      <c r="C31" s="96"/>
      <c r="D31" s="96"/>
      <c r="E31" s="96"/>
      <c r="F31" s="96"/>
      <c r="G31" s="96"/>
      <c r="H31" s="96"/>
      <c r="I31" s="628"/>
      <c r="J31" s="628"/>
    </row>
    <row r="32" spans="1:10">
      <c r="A32" s="96" t="s">
        <v>688</v>
      </c>
      <c r="B32" s="96"/>
      <c r="C32" s="100">
        <v>1599257</v>
      </c>
      <c r="D32" s="100">
        <v>2223000</v>
      </c>
      <c r="E32" s="100">
        <v>4042000</v>
      </c>
      <c r="F32" s="100">
        <v>4069000</v>
      </c>
      <c r="G32" s="100">
        <v>6630000</v>
      </c>
      <c r="H32" s="100"/>
      <c r="I32" s="628"/>
      <c r="J32" s="628"/>
    </row>
    <row r="33" spans="1:14">
      <c r="A33" s="96" t="s">
        <v>689</v>
      </c>
      <c r="B33" s="96"/>
      <c r="C33" s="100">
        <v>-667340</v>
      </c>
      <c r="D33" s="100">
        <v>-1632000</v>
      </c>
      <c r="E33" s="100">
        <v>-388000</v>
      </c>
      <c r="F33" s="100">
        <v>-69000</v>
      </c>
      <c r="G33" s="100">
        <v>1994000</v>
      </c>
      <c r="H33" s="100"/>
      <c r="I33" s="628"/>
      <c r="J33" s="628"/>
    </row>
    <row r="34" spans="1:14">
      <c r="A34" s="96" t="s">
        <v>690</v>
      </c>
      <c r="B34" s="96"/>
      <c r="C34" s="100">
        <v>-4.68</v>
      </c>
      <c r="D34" s="100">
        <v>-11.83</v>
      </c>
      <c r="E34" s="100">
        <v>-1.1399999999999999</v>
      </c>
      <c r="F34" s="100">
        <v>-0.98</v>
      </c>
      <c r="G34" s="100">
        <v>0.74</v>
      </c>
      <c r="H34" s="100"/>
      <c r="I34" s="628"/>
      <c r="J34" s="628"/>
    </row>
    <row r="35" spans="1:14">
      <c r="A35" s="96" t="s">
        <v>691</v>
      </c>
      <c r="B35" s="96"/>
      <c r="C35" s="100">
        <v>-4.68</v>
      </c>
      <c r="D35" s="100">
        <v>-11.83</v>
      </c>
      <c r="E35" s="100">
        <v>-1.1399999999999999</v>
      </c>
      <c r="F35" s="100">
        <v>-0.98</v>
      </c>
      <c r="G35" s="100">
        <v>0.64</v>
      </c>
      <c r="H35" s="100"/>
      <c r="I35" s="628"/>
      <c r="J35" s="628"/>
    </row>
    <row r="38" spans="1:14" ht="18">
      <c r="A38" s="1968" t="s">
        <v>692</v>
      </c>
      <c r="B38" s="1968"/>
      <c r="C38" s="1969"/>
      <c r="D38" s="1969"/>
      <c r="E38" s="1969"/>
      <c r="F38" s="1969"/>
      <c r="G38" s="1969"/>
      <c r="H38" s="1969"/>
      <c r="I38" s="1969"/>
      <c r="J38" s="1969"/>
      <c r="K38" s="1969"/>
      <c r="L38" s="1969"/>
      <c r="M38" s="1969"/>
      <c r="N38" s="1969"/>
    </row>
    <row r="39" spans="1:14" ht="14.15" customHeight="1">
      <c r="A39" s="101" t="s">
        <v>653</v>
      </c>
      <c r="B39" s="101"/>
      <c r="C39" s="102" t="s">
        <v>655</v>
      </c>
      <c r="D39" s="102" t="s">
        <v>656</v>
      </c>
      <c r="E39" s="102" t="s">
        <v>657</v>
      </c>
      <c r="F39" s="102" t="s">
        <v>658</v>
      </c>
      <c r="G39" s="102" t="s">
        <v>659</v>
      </c>
      <c r="H39" s="102"/>
      <c r="I39" s="102" t="s">
        <v>660</v>
      </c>
      <c r="J39" s="102" t="s">
        <v>661</v>
      </c>
    </row>
    <row r="40" spans="1:14">
      <c r="A40" s="96" t="s">
        <v>662</v>
      </c>
      <c r="B40" s="96"/>
      <c r="C40" s="97">
        <v>42735</v>
      </c>
      <c r="D40" s="97">
        <v>43100</v>
      </c>
      <c r="E40" s="97">
        <v>43465</v>
      </c>
      <c r="F40" s="97">
        <v>43830</v>
      </c>
      <c r="G40" s="97">
        <v>44196</v>
      </c>
      <c r="H40" s="97"/>
      <c r="I40" s="97">
        <v>44561</v>
      </c>
      <c r="J40" s="97">
        <v>44926</v>
      </c>
    </row>
    <row r="41" spans="1:14">
      <c r="A41" s="96" t="s">
        <v>663</v>
      </c>
      <c r="B41" s="96"/>
      <c r="C41" s="98" t="s">
        <v>664</v>
      </c>
      <c r="D41" s="98" t="s">
        <v>664</v>
      </c>
      <c r="E41" s="98" t="s">
        <v>664</v>
      </c>
      <c r="F41" s="98" t="s">
        <v>664</v>
      </c>
      <c r="G41" s="98" t="s">
        <v>664</v>
      </c>
      <c r="H41" s="98"/>
      <c r="I41" s="98" t="s">
        <v>664</v>
      </c>
      <c r="J41" s="98" t="s">
        <v>664</v>
      </c>
    </row>
    <row r="42" spans="1:14">
      <c r="A42" s="96" t="s">
        <v>665</v>
      </c>
      <c r="B42" s="96"/>
      <c r="C42" s="98" t="s">
        <v>666</v>
      </c>
      <c r="D42" s="98" t="s">
        <v>666</v>
      </c>
      <c r="E42" s="98" t="s">
        <v>666</v>
      </c>
      <c r="F42" s="98" t="s">
        <v>666</v>
      </c>
      <c r="G42" s="98" t="s">
        <v>666</v>
      </c>
      <c r="H42" s="98"/>
      <c r="I42" s="98" t="s">
        <v>666</v>
      </c>
      <c r="J42" s="98" t="s">
        <v>666</v>
      </c>
    </row>
    <row r="43" spans="1:14">
      <c r="A43" s="99" t="s">
        <v>693</v>
      </c>
      <c r="B43" s="99"/>
      <c r="C43" s="96"/>
      <c r="D43" s="96"/>
      <c r="E43" s="96"/>
      <c r="F43" s="96"/>
      <c r="G43" s="96"/>
      <c r="H43" s="96"/>
    </row>
    <row r="44" spans="1:14">
      <c r="A44" s="96" t="s">
        <v>694</v>
      </c>
      <c r="B44" s="96"/>
      <c r="C44" s="385">
        <v>3393216</v>
      </c>
      <c r="D44" s="385">
        <v>3367914</v>
      </c>
      <c r="E44" s="385">
        <v>3686000</v>
      </c>
      <c r="F44" s="385">
        <v>6268000</v>
      </c>
      <c r="G44" s="385">
        <v>19384000</v>
      </c>
      <c r="H44" s="385"/>
      <c r="I44" s="385">
        <f>131000+17576000</f>
        <v>17707000</v>
      </c>
      <c r="J44" s="235">
        <f>5932000+16253000</f>
        <v>22185000</v>
      </c>
    </row>
    <row r="45" spans="1:14">
      <c r="A45" s="96" t="s">
        <v>695</v>
      </c>
      <c r="B45" s="96"/>
      <c r="C45" s="385">
        <v>499142</v>
      </c>
      <c r="D45" s="385">
        <v>515381</v>
      </c>
      <c r="E45" s="385">
        <v>949000</v>
      </c>
      <c r="F45" s="385">
        <v>1324000</v>
      </c>
      <c r="G45" s="385">
        <v>1886000</v>
      </c>
      <c r="H45" s="385"/>
      <c r="I45" s="385">
        <v>1913000</v>
      </c>
      <c r="J45" s="235">
        <v>2952000</v>
      </c>
    </row>
    <row r="46" spans="1:14">
      <c r="A46" s="96" t="s">
        <v>696</v>
      </c>
      <c r="B46" s="96"/>
      <c r="C46" s="385">
        <v>2067454</v>
      </c>
      <c r="D46" s="385">
        <v>2263537</v>
      </c>
      <c r="E46" s="385">
        <v>3113000</v>
      </c>
      <c r="F46" s="385">
        <v>3552000</v>
      </c>
      <c r="G46" s="385">
        <v>4101000</v>
      </c>
      <c r="H46" s="385"/>
      <c r="I46" s="385">
        <v>5757000</v>
      </c>
      <c r="J46" s="235">
        <v>12839000</v>
      </c>
    </row>
    <row r="47" spans="1:14">
      <c r="A47" s="96" t="s">
        <v>697</v>
      </c>
      <c r="B47" s="96"/>
      <c r="C47" s="385">
        <v>194465</v>
      </c>
      <c r="D47" s="385">
        <v>268365</v>
      </c>
      <c r="E47" s="385">
        <v>366000</v>
      </c>
      <c r="F47" s="385">
        <v>959000</v>
      </c>
      <c r="G47" s="385">
        <v>1346000</v>
      </c>
      <c r="H47" s="385"/>
      <c r="I47" s="385">
        <v>1723000</v>
      </c>
      <c r="J47" s="235">
        <v>2941000</v>
      </c>
    </row>
    <row r="48" spans="1:14">
      <c r="A48" s="96" t="s">
        <v>698</v>
      </c>
      <c r="B48" s="96"/>
      <c r="C48" s="385">
        <v>105519</v>
      </c>
      <c r="D48" s="385">
        <v>155323</v>
      </c>
      <c r="E48" s="385">
        <v>193000</v>
      </c>
      <c r="F48" s="385">
        <v>0</v>
      </c>
      <c r="G48" s="385">
        <v>0</v>
      </c>
      <c r="H48" s="385"/>
      <c r="I48" s="385">
        <v>0</v>
      </c>
      <c r="J48" s="385">
        <v>0</v>
      </c>
    </row>
    <row r="49" spans="1:10">
      <c r="A49" s="96" t="s">
        <v>699</v>
      </c>
      <c r="B49" s="96"/>
      <c r="C49" s="385">
        <v>6259796</v>
      </c>
      <c r="D49" s="385">
        <v>6570520</v>
      </c>
      <c r="E49" s="385">
        <v>8307000</v>
      </c>
      <c r="F49" s="385">
        <v>12103000</v>
      </c>
      <c r="G49" s="385">
        <v>26717000</v>
      </c>
      <c r="H49" s="385"/>
      <c r="I49" s="385">
        <v>27100000</v>
      </c>
      <c r="J49" s="235">
        <v>40917000</v>
      </c>
    </row>
    <row r="50" spans="1:10">
      <c r="A50" s="99" t="s">
        <v>700</v>
      </c>
      <c r="B50" s="99"/>
      <c r="C50" s="385"/>
      <c r="D50" s="385"/>
      <c r="E50" s="385"/>
      <c r="F50" s="385"/>
      <c r="G50" s="385"/>
      <c r="H50" s="385"/>
      <c r="I50" s="385"/>
      <c r="J50" s="235"/>
    </row>
    <row r="51" spans="1:10">
      <c r="A51" s="96" t="s">
        <v>701</v>
      </c>
      <c r="B51" s="96" t="s">
        <v>702</v>
      </c>
      <c r="C51" s="385">
        <v>0</v>
      </c>
      <c r="D51" s="385">
        <v>0</v>
      </c>
      <c r="E51" s="385">
        <v>0</v>
      </c>
      <c r="F51" s="385">
        <v>1218000</v>
      </c>
      <c r="G51" s="385">
        <v>1558000</v>
      </c>
      <c r="H51" s="385"/>
      <c r="I51" s="385">
        <v>2016000</v>
      </c>
      <c r="J51" s="235">
        <v>2563000</v>
      </c>
    </row>
    <row r="52" spans="1:10">
      <c r="A52" s="361" t="s">
        <v>703</v>
      </c>
      <c r="B52" s="96" t="s">
        <v>702</v>
      </c>
      <c r="C52" s="385">
        <v>5982957</v>
      </c>
      <c r="D52" s="385">
        <v>10027522</v>
      </c>
      <c r="E52" s="385">
        <v>11330000</v>
      </c>
      <c r="F52" s="385">
        <v>10396000</v>
      </c>
      <c r="G52" s="385">
        <v>12747000</v>
      </c>
      <c r="H52" s="385"/>
      <c r="I52" s="384">
        <v>18884000</v>
      </c>
      <c r="J52" s="235">
        <v>23548000</v>
      </c>
    </row>
    <row r="53" spans="1:10">
      <c r="A53" s="361" t="s">
        <v>704</v>
      </c>
      <c r="B53" s="96">
        <v>0</v>
      </c>
      <c r="C53" s="386">
        <v>954494</v>
      </c>
      <c r="D53" s="385">
        <v>1723794</v>
      </c>
      <c r="E53" s="385">
        <v>2699000</v>
      </c>
      <c r="F53" s="385">
        <v>3734000</v>
      </c>
      <c r="G53" s="385">
        <v>5117000</v>
      </c>
      <c r="H53" s="385"/>
      <c r="I53" s="385">
        <v>6731000</v>
      </c>
      <c r="J53" s="235">
        <v>9041000</v>
      </c>
    </row>
    <row r="54" spans="1:10" s="645" customFormat="1">
      <c r="A54" s="382" t="s">
        <v>705</v>
      </c>
      <c r="B54" s="381" t="s">
        <v>706</v>
      </c>
      <c r="C54" s="643">
        <v>3134080</v>
      </c>
      <c r="D54" s="643">
        <v>4116604</v>
      </c>
      <c r="E54" s="643">
        <v>2090000</v>
      </c>
      <c r="F54" s="643">
        <v>2447000</v>
      </c>
      <c r="G54" s="643">
        <v>3091000</v>
      </c>
      <c r="H54" s="643"/>
      <c r="I54" s="643">
        <v>4511000</v>
      </c>
      <c r="J54" s="644">
        <v>5035000</v>
      </c>
    </row>
    <row r="55" spans="1:10">
      <c r="A55" s="361" t="s">
        <v>707</v>
      </c>
      <c r="B55" s="96" t="s">
        <v>708</v>
      </c>
      <c r="C55" s="385">
        <v>3134080</v>
      </c>
      <c r="D55" s="385">
        <v>4116604</v>
      </c>
      <c r="E55" s="385">
        <v>2090000</v>
      </c>
      <c r="F55" s="385">
        <v>2447000</v>
      </c>
      <c r="G55" s="385">
        <v>3091000</v>
      </c>
      <c r="H55" s="385"/>
      <c r="I55" s="385">
        <v>4511000</v>
      </c>
      <c r="J55" s="235">
        <v>5035000</v>
      </c>
    </row>
    <row r="56" spans="1:10" s="645" customFormat="1">
      <c r="A56" s="382" t="s">
        <v>709</v>
      </c>
      <c r="B56" s="381" t="s">
        <v>706</v>
      </c>
      <c r="C56" s="643">
        <v>5919880</v>
      </c>
      <c r="D56" s="643">
        <v>6347490</v>
      </c>
      <c r="E56" s="643">
        <v>6271000</v>
      </c>
      <c r="F56" s="643">
        <v>6138000</v>
      </c>
      <c r="G56" s="643">
        <v>5979000</v>
      </c>
      <c r="H56" s="643"/>
      <c r="I56" s="643">
        <v>5765000</v>
      </c>
      <c r="J56" s="644">
        <v>5489000</v>
      </c>
    </row>
    <row r="57" spans="1:10">
      <c r="A57" s="361" t="s">
        <v>710</v>
      </c>
      <c r="B57" s="96" t="s">
        <v>702</v>
      </c>
      <c r="C57" s="385">
        <v>5919880</v>
      </c>
      <c r="D57" s="385">
        <v>6347490</v>
      </c>
      <c r="E57" s="385">
        <v>6271000</v>
      </c>
      <c r="F57" s="385">
        <v>6138000</v>
      </c>
      <c r="G57" s="385">
        <v>5979000</v>
      </c>
      <c r="H57" s="385"/>
      <c r="I57" s="385">
        <v>5765000</v>
      </c>
      <c r="J57" s="235">
        <v>5489000</v>
      </c>
    </row>
    <row r="58" spans="1:10">
      <c r="A58" s="96" t="s">
        <v>711</v>
      </c>
      <c r="B58" s="96" t="s">
        <v>712</v>
      </c>
      <c r="C58" s="385">
        <v>506302</v>
      </c>
      <c r="D58" s="385">
        <v>456652</v>
      </c>
      <c r="E58" s="385">
        <v>422000</v>
      </c>
      <c r="F58" s="385">
        <v>393000</v>
      </c>
      <c r="G58" s="385">
        <v>0</v>
      </c>
      <c r="H58" s="385"/>
      <c r="I58" s="385">
        <v>0</v>
      </c>
      <c r="J58" s="385">
        <v>0</v>
      </c>
    </row>
    <row r="59" spans="1:10">
      <c r="A59" s="96" t="s">
        <v>713</v>
      </c>
      <c r="B59" s="96" t="s">
        <v>713</v>
      </c>
      <c r="C59" s="385">
        <v>0</v>
      </c>
      <c r="D59" s="385">
        <v>60237</v>
      </c>
      <c r="E59" s="385">
        <v>68000</v>
      </c>
      <c r="F59" s="385">
        <v>198000</v>
      </c>
      <c r="G59" s="385">
        <v>207000</v>
      </c>
      <c r="H59" s="385"/>
      <c r="I59" s="385">
        <v>200000</v>
      </c>
      <c r="J59" s="235">
        <v>194000</v>
      </c>
    </row>
    <row r="60" spans="1:10">
      <c r="A60" s="96" t="s">
        <v>714</v>
      </c>
      <c r="B60" s="96" t="s">
        <v>715</v>
      </c>
      <c r="C60" s="385"/>
      <c r="D60" s="385"/>
      <c r="E60" s="385"/>
      <c r="F60" s="385"/>
      <c r="G60" s="385"/>
      <c r="H60" s="385"/>
      <c r="I60" s="385">
        <v>1260000</v>
      </c>
      <c r="J60" s="235">
        <v>184000</v>
      </c>
    </row>
    <row r="61" spans="1:10">
      <c r="A61" s="96" t="s">
        <v>716</v>
      </c>
      <c r="B61" s="96" t="s">
        <v>715</v>
      </c>
      <c r="C61" s="385">
        <v>376145</v>
      </c>
      <c r="D61" s="385">
        <v>361502</v>
      </c>
      <c r="E61" s="385">
        <v>282000</v>
      </c>
      <c r="F61" s="385">
        <v>339000</v>
      </c>
      <c r="G61" s="385">
        <v>313000</v>
      </c>
      <c r="H61" s="385"/>
      <c r="I61" s="385">
        <v>257000</v>
      </c>
      <c r="J61" s="235">
        <v>215000</v>
      </c>
    </row>
    <row r="62" spans="1:10">
      <c r="A62" s="96" t="s">
        <v>698</v>
      </c>
      <c r="B62" s="96" t="s">
        <v>717</v>
      </c>
      <c r="C62" s="385">
        <v>268165</v>
      </c>
      <c r="D62" s="385">
        <v>441722</v>
      </c>
      <c r="E62" s="385">
        <v>398000</v>
      </c>
      <c r="F62" s="385">
        <v>269000</v>
      </c>
      <c r="G62" s="385">
        <v>0</v>
      </c>
      <c r="H62" s="385"/>
      <c r="I62" s="385">
        <v>0</v>
      </c>
      <c r="J62" s="385">
        <v>0</v>
      </c>
    </row>
    <row r="63" spans="1:10" s="5" customFormat="1">
      <c r="A63" s="381" t="s">
        <v>718</v>
      </c>
      <c r="B63" s="381" t="s">
        <v>706</v>
      </c>
      <c r="C63" s="386">
        <v>268165</v>
      </c>
      <c r="D63" s="386">
        <v>441722</v>
      </c>
      <c r="E63" s="386">
        <v>398000</v>
      </c>
      <c r="F63" s="386">
        <v>269000</v>
      </c>
      <c r="G63" s="386">
        <v>0</v>
      </c>
      <c r="H63" s="386"/>
      <c r="I63" s="386">
        <v>0</v>
      </c>
      <c r="J63" s="386">
        <v>0</v>
      </c>
    </row>
    <row r="64" spans="1:10">
      <c r="A64" s="96" t="s">
        <v>719</v>
      </c>
      <c r="B64" s="96" t="s">
        <v>717</v>
      </c>
      <c r="C64" s="385">
        <v>216751</v>
      </c>
      <c r="D64" s="385">
        <v>273123</v>
      </c>
      <c r="E64" s="385">
        <v>572000</v>
      </c>
      <c r="F64" s="385">
        <v>808000</v>
      </c>
      <c r="G64" s="385">
        <v>1536000</v>
      </c>
      <c r="H64" s="385"/>
      <c r="I64" s="385">
        <v>2138000</v>
      </c>
      <c r="J64" s="235">
        <v>4193000</v>
      </c>
    </row>
    <row r="65" spans="1:11" s="5" customFormat="1">
      <c r="A65" s="381" t="s">
        <v>720</v>
      </c>
      <c r="B65" s="381" t="s">
        <v>706</v>
      </c>
      <c r="C65" s="386">
        <v>216751</v>
      </c>
      <c r="D65" s="386">
        <v>273123</v>
      </c>
      <c r="E65" s="386">
        <v>572000</v>
      </c>
      <c r="F65" s="386">
        <v>808000</v>
      </c>
      <c r="G65" s="386">
        <v>1536000</v>
      </c>
      <c r="H65" s="386"/>
      <c r="I65" s="386">
        <v>2138000</v>
      </c>
      <c r="J65" s="642">
        <v>4193000</v>
      </c>
    </row>
    <row r="66" spans="1:11" s="64" customFormat="1">
      <c r="A66" s="654" t="s">
        <v>721</v>
      </c>
      <c r="B66" s="654"/>
      <c r="C66" s="655">
        <v>22664076</v>
      </c>
      <c r="D66" s="655">
        <v>28655372</v>
      </c>
      <c r="E66" s="655">
        <v>29740000</v>
      </c>
      <c r="F66" s="655">
        <v>34309000</v>
      </c>
      <c r="G66" s="655">
        <v>52148000</v>
      </c>
      <c r="H66" s="655"/>
      <c r="I66" s="655">
        <v>62131000</v>
      </c>
      <c r="J66" s="656">
        <v>82338000</v>
      </c>
    </row>
    <row r="67" spans="1:11">
      <c r="A67" s="96"/>
      <c r="B67" s="96"/>
      <c r="C67" s="650">
        <f t="shared" ref="C67:J67" si="0">C51+C52+C55+C57+C58+C59+C60+C61+C62+C64+C49</f>
        <v>22664076</v>
      </c>
      <c r="D67" s="650">
        <f t="shared" si="0"/>
        <v>28655372</v>
      </c>
      <c r="E67" s="650">
        <f t="shared" si="0"/>
        <v>29740000</v>
      </c>
      <c r="F67" s="650">
        <f t="shared" si="0"/>
        <v>34309000</v>
      </c>
      <c r="G67" s="650">
        <f t="shared" si="0"/>
        <v>52148000</v>
      </c>
      <c r="H67" s="650"/>
      <c r="I67" s="650">
        <f t="shared" si="0"/>
        <v>62131000</v>
      </c>
      <c r="J67" s="650">
        <f t="shared" si="0"/>
        <v>82338000</v>
      </c>
      <c r="K67" s="235"/>
    </row>
    <row r="68" spans="1:11">
      <c r="A68" s="99" t="s">
        <v>722</v>
      </c>
      <c r="B68" s="99"/>
      <c r="C68" s="96"/>
      <c r="D68" s="96"/>
      <c r="E68" s="96"/>
      <c r="F68" s="96"/>
      <c r="G68" s="96"/>
      <c r="H68" s="96"/>
      <c r="J68" s="235"/>
    </row>
    <row r="69" spans="1:11">
      <c r="A69" s="96" t="s">
        <v>723</v>
      </c>
      <c r="B69" s="96" t="s">
        <v>724</v>
      </c>
      <c r="C69" s="100">
        <v>1860341</v>
      </c>
      <c r="D69" s="100">
        <v>2390250</v>
      </c>
      <c r="E69" s="100">
        <v>3405000</v>
      </c>
      <c r="F69" s="100">
        <v>3771000</v>
      </c>
      <c r="G69" s="100">
        <v>6051000</v>
      </c>
      <c r="H69" s="100"/>
      <c r="I69" s="235">
        <v>10025000</v>
      </c>
      <c r="J69" s="235">
        <v>15255000</v>
      </c>
    </row>
    <row r="70" spans="1:11">
      <c r="A70" s="96" t="s">
        <v>725</v>
      </c>
      <c r="B70" s="96" t="s">
        <v>726</v>
      </c>
      <c r="C70" s="100">
        <v>1210028</v>
      </c>
      <c r="D70" s="100">
        <v>1731366</v>
      </c>
      <c r="E70" s="100">
        <v>2094000</v>
      </c>
      <c r="F70" s="100">
        <v>3222000</v>
      </c>
      <c r="G70" s="100">
        <v>3855000</v>
      </c>
      <c r="H70" s="100"/>
      <c r="I70" s="235">
        <v>5719000</v>
      </c>
      <c r="J70" s="235">
        <v>7142000</v>
      </c>
    </row>
    <row r="71" spans="1:11" s="5" customFormat="1">
      <c r="A71" s="381" t="s">
        <v>727</v>
      </c>
      <c r="B71" s="381" t="s">
        <v>706</v>
      </c>
      <c r="C71" s="223">
        <v>1210028</v>
      </c>
      <c r="D71" s="223">
        <v>1731366</v>
      </c>
      <c r="E71" s="223">
        <v>2094000</v>
      </c>
      <c r="F71" s="223">
        <v>3222000</v>
      </c>
      <c r="G71" s="223">
        <v>3855000</v>
      </c>
      <c r="H71" s="223"/>
      <c r="I71" s="642">
        <v>5719000</v>
      </c>
      <c r="J71" s="642">
        <v>7142000</v>
      </c>
    </row>
    <row r="72" spans="1:11">
      <c r="A72" s="96" t="s">
        <v>728</v>
      </c>
      <c r="B72" s="96" t="s">
        <v>729</v>
      </c>
      <c r="C72" s="100">
        <v>984211</v>
      </c>
      <c r="D72" s="100">
        <v>796549</v>
      </c>
      <c r="E72" s="100">
        <v>2568000</v>
      </c>
      <c r="F72" s="100">
        <v>1785000</v>
      </c>
      <c r="G72" s="100">
        <v>2132000</v>
      </c>
      <c r="H72" s="100"/>
      <c r="I72" s="235">
        <v>1589000</v>
      </c>
      <c r="J72" s="235">
        <v>1502000</v>
      </c>
    </row>
    <row r="73" spans="1:11">
      <c r="A73" s="96" t="s">
        <v>730</v>
      </c>
      <c r="B73" s="96" t="s">
        <v>729</v>
      </c>
      <c r="C73" s="100">
        <v>8784</v>
      </c>
      <c r="D73" s="100">
        <v>70</v>
      </c>
      <c r="E73" s="98">
        <v>0</v>
      </c>
      <c r="F73" s="98">
        <v>0</v>
      </c>
      <c r="G73" s="100">
        <v>0</v>
      </c>
      <c r="H73" s="100"/>
      <c r="I73" s="98">
        <v>0</v>
      </c>
      <c r="J73" s="98">
        <v>0</v>
      </c>
    </row>
    <row r="74" spans="1:11">
      <c r="A74" s="96" t="s">
        <v>731</v>
      </c>
      <c r="B74" s="96" t="s">
        <v>729</v>
      </c>
      <c r="C74" s="100">
        <v>165936</v>
      </c>
      <c r="D74" s="98">
        <v>0</v>
      </c>
      <c r="E74" s="98">
        <v>0</v>
      </c>
      <c r="F74" s="98">
        <v>0</v>
      </c>
      <c r="G74" s="98">
        <v>0</v>
      </c>
      <c r="H74" s="98"/>
      <c r="I74" s="98">
        <v>0</v>
      </c>
      <c r="J74" s="98">
        <v>0</v>
      </c>
    </row>
    <row r="75" spans="1:11">
      <c r="A75" s="96" t="s">
        <v>732</v>
      </c>
      <c r="B75" s="96" t="s">
        <v>729</v>
      </c>
      <c r="C75" s="98">
        <v>0</v>
      </c>
      <c r="D75" s="100">
        <v>100000</v>
      </c>
      <c r="E75" s="98">
        <v>0</v>
      </c>
      <c r="F75" s="98">
        <v>0</v>
      </c>
      <c r="G75" s="98">
        <v>0</v>
      </c>
      <c r="H75" s="98"/>
      <c r="I75" s="98">
        <v>0</v>
      </c>
      <c r="J75" s="98">
        <v>0</v>
      </c>
    </row>
    <row r="76" spans="1:11" s="5" customFormat="1">
      <c r="A76" s="381" t="s">
        <v>733</v>
      </c>
      <c r="B76" s="381" t="s">
        <v>706</v>
      </c>
      <c r="C76" s="223">
        <v>984211</v>
      </c>
      <c r="D76" s="223">
        <v>796549</v>
      </c>
      <c r="E76" s="223">
        <v>2568000</v>
      </c>
      <c r="F76" s="223">
        <v>1785000</v>
      </c>
      <c r="G76" s="223">
        <v>2132000</v>
      </c>
      <c r="H76" s="223"/>
      <c r="I76" s="642">
        <v>1589000</v>
      </c>
      <c r="J76" s="642">
        <v>1502000</v>
      </c>
    </row>
    <row r="77" spans="1:11">
      <c r="A77" s="96" t="s">
        <v>734</v>
      </c>
      <c r="B77" s="96" t="s">
        <v>726</v>
      </c>
      <c r="C77" s="100">
        <v>763126</v>
      </c>
      <c r="D77" s="100">
        <v>1015253</v>
      </c>
      <c r="E77" s="100">
        <v>630000</v>
      </c>
      <c r="F77" s="100">
        <v>1163000</v>
      </c>
      <c r="G77" s="100">
        <v>1458000</v>
      </c>
      <c r="H77" s="100"/>
      <c r="I77" s="235">
        <v>1447000</v>
      </c>
      <c r="J77" s="235">
        <v>1747000</v>
      </c>
    </row>
    <row r="78" spans="1:11">
      <c r="A78" s="96" t="s">
        <v>735</v>
      </c>
      <c r="B78" s="96" t="s">
        <v>726</v>
      </c>
      <c r="C78" s="100">
        <v>663859</v>
      </c>
      <c r="D78" s="100">
        <v>853919</v>
      </c>
      <c r="E78" s="100">
        <v>793000</v>
      </c>
      <c r="F78" s="100">
        <v>726000</v>
      </c>
      <c r="G78" s="100">
        <v>752000</v>
      </c>
      <c r="H78" s="100"/>
      <c r="I78" s="235">
        <v>925000</v>
      </c>
      <c r="J78" s="235">
        <v>1063000</v>
      </c>
    </row>
    <row r="79" spans="1:11">
      <c r="A79" s="96" t="s">
        <v>736</v>
      </c>
      <c r="B79" s="96" t="s">
        <v>726</v>
      </c>
      <c r="C79" s="100">
        <v>179504</v>
      </c>
      <c r="D79" s="100">
        <v>787333</v>
      </c>
      <c r="E79" s="100">
        <v>503000</v>
      </c>
      <c r="F79" s="100">
        <v>0</v>
      </c>
      <c r="G79" s="98">
        <v>0</v>
      </c>
      <c r="H79" s="98"/>
      <c r="I79" s="98">
        <v>0</v>
      </c>
      <c r="J79" s="98">
        <v>0</v>
      </c>
    </row>
    <row r="80" spans="1:11">
      <c r="A80" s="96" t="s">
        <v>737</v>
      </c>
      <c r="B80" s="96"/>
      <c r="C80" s="100">
        <v>5835789</v>
      </c>
      <c r="D80" s="100">
        <v>7674740</v>
      </c>
      <c r="E80" s="100">
        <v>9993000</v>
      </c>
      <c r="F80" s="100">
        <v>10667000</v>
      </c>
      <c r="G80" s="100">
        <v>14248000</v>
      </c>
      <c r="H80" s="100"/>
      <c r="I80" s="100">
        <v>19705000</v>
      </c>
      <c r="J80" s="100">
        <v>26709000</v>
      </c>
    </row>
    <row r="81" spans="1:11">
      <c r="A81" s="96"/>
      <c r="B81" s="96"/>
      <c r="C81" s="651">
        <f t="shared" ref="C81:J81" si="1">SUM(C69:C79)-C71-C76</f>
        <v>5835789</v>
      </c>
      <c r="D81" s="651">
        <f t="shared" si="1"/>
        <v>7674740</v>
      </c>
      <c r="E81" s="651">
        <f t="shared" si="1"/>
        <v>9993000</v>
      </c>
      <c r="F81" s="651">
        <f t="shared" si="1"/>
        <v>10667000</v>
      </c>
      <c r="G81" s="651">
        <f t="shared" si="1"/>
        <v>14248000</v>
      </c>
      <c r="H81" s="651"/>
      <c r="I81" s="651">
        <f t="shared" si="1"/>
        <v>19705000</v>
      </c>
      <c r="J81" s="651">
        <f t="shared" si="1"/>
        <v>26709000</v>
      </c>
    </row>
    <row r="82" spans="1:11">
      <c r="A82" s="99" t="s">
        <v>738</v>
      </c>
      <c r="B82" s="99"/>
      <c r="F82" s="96"/>
      <c r="G82" s="96"/>
      <c r="H82" s="96"/>
      <c r="I82" s="235"/>
      <c r="J82" s="235"/>
    </row>
    <row r="83" spans="1:11">
      <c r="A83" s="96" t="s">
        <v>739</v>
      </c>
      <c r="B83" s="120" t="s">
        <v>740</v>
      </c>
      <c r="C83" s="100">
        <v>5860049</v>
      </c>
      <c r="D83" s="100">
        <v>9418319</v>
      </c>
      <c r="E83" s="98">
        <v>0</v>
      </c>
      <c r="F83" s="98">
        <v>0</v>
      </c>
      <c r="G83" s="98">
        <v>0</v>
      </c>
      <c r="H83" s="98"/>
      <c r="I83" s="98">
        <v>0</v>
      </c>
      <c r="J83" s="98">
        <v>0</v>
      </c>
    </row>
    <row r="84" spans="1:11">
      <c r="A84" s="96" t="s">
        <v>730</v>
      </c>
      <c r="B84" s="120" t="s">
        <v>740</v>
      </c>
      <c r="C84" s="98">
        <v>0</v>
      </c>
      <c r="D84" s="98">
        <v>0</v>
      </c>
      <c r="E84" s="98">
        <v>0</v>
      </c>
      <c r="F84" s="98">
        <v>0</v>
      </c>
      <c r="G84" s="100">
        <v>51000</v>
      </c>
      <c r="H84" s="100"/>
      <c r="I84" s="98">
        <v>0</v>
      </c>
      <c r="J84" s="98">
        <v>0</v>
      </c>
    </row>
    <row r="85" spans="1:11">
      <c r="A85" s="96" t="s">
        <v>741</v>
      </c>
      <c r="B85" s="120" t="s">
        <v>740</v>
      </c>
      <c r="C85" s="100">
        <v>99164</v>
      </c>
      <c r="D85" s="98">
        <v>0</v>
      </c>
      <c r="E85" s="98">
        <v>0</v>
      </c>
      <c r="F85" s="98">
        <v>0</v>
      </c>
      <c r="G85" s="98">
        <v>0</v>
      </c>
      <c r="H85" s="98"/>
      <c r="I85" s="98">
        <v>0</v>
      </c>
      <c r="J85" s="98">
        <v>0</v>
      </c>
    </row>
    <row r="86" spans="1:11">
      <c r="A86" s="96" t="s">
        <v>742</v>
      </c>
      <c r="B86" s="120" t="s">
        <v>740</v>
      </c>
      <c r="C86" s="100">
        <v>10287</v>
      </c>
      <c r="D86" s="98">
        <v>0</v>
      </c>
      <c r="E86" s="98">
        <v>0</v>
      </c>
      <c r="F86" s="98">
        <v>0</v>
      </c>
      <c r="G86" s="98">
        <v>0</v>
      </c>
      <c r="H86" s="98"/>
      <c r="I86" s="98">
        <v>0</v>
      </c>
      <c r="J86" s="98">
        <v>0</v>
      </c>
    </row>
    <row r="87" spans="1:11">
      <c r="A87" s="96" t="s">
        <v>743</v>
      </c>
      <c r="B87" s="120" t="s">
        <v>740</v>
      </c>
      <c r="C87" s="98">
        <v>0</v>
      </c>
      <c r="D87" s="98">
        <v>0</v>
      </c>
      <c r="E87" s="100">
        <v>9404000</v>
      </c>
      <c r="F87" s="100">
        <v>11634000</v>
      </c>
      <c r="G87" s="100">
        <v>9556000</v>
      </c>
      <c r="H87" s="100"/>
      <c r="I87" s="235">
        <v>5245000</v>
      </c>
      <c r="J87" s="235">
        <v>1597000</v>
      </c>
    </row>
    <row r="88" spans="1:11">
      <c r="A88" s="96" t="s">
        <v>744</v>
      </c>
      <c r="B88" s="120" t="s">
        <v>745</v>
      </c>
      <c r="C88" s="100">
        <v>851790</v>
      </c>
      <c r="D88" s="100">
        <v>1177799</v>
      </c>
      <c r="E88" s="100">
        <v>991000</v>
      </c>
      <c r="F88" s="100">
        <v>1207000</v>
      </c>
      <c r="G88" s="100">
        <v>1284000</v>
      </c>
      <c r="H88" s="100"/>
      <c r="I88" s="235">
        <v>2052000</v>
      </c>
      <c r="J88" s="235">
        <v>2804000</v>
      </c>
    </row>
    <row r="89" spans="1:11" s="5" customFormat="1">
      <c r="A89" s="381" t="s">
        <v>746</v>
      </c>
      <c r="B89" s="381" t="s">
        <v>706</v>
      </c>
      <c r="C89" s="223">
        <v>851790</v>
      </c>
      <c r="D89" s="223">
        <v>1177799</v>
      </c>
      <c r="E89" s="223">
        <v>991000</v>
      </c>
      <c r="F89" s="223">
        <v>1207000</v>
      </c>
      <c r="G89" s="223">
        <v>1284000</v>
      </c>
      <c r="H89" s="223"/>
      <c r="I89" s="642">
        <v>2052000</v>
      </c>
      <c r="J89" s="642">
        <v>2804000</v>
      </c>
    </row>
    <row r="90" spans="1:11">
      <c r="A90" s="96" t="s">
        <v>747</v>
      </c>
      <c r="B90" s="120" t="s">
        <v>745</v>
      </c>
      <c r="C90" s="100">
        <v>1891449</v>
      </c>
      <c r="D90" s="100">
        <v>2442970</v>
      </c>
      <c r="E90" s="100">
        <v>2710000</v>
      </c>
      <c r="F90" s="100">
        <v>2655000</v>
      </c>
      <c r="G90" s="100">
        <v>3330000</v>
      </c>
      <c r="H90" s="100"/>
      <c r="I90" s="235">
        <v>3546000</v>
      </c>
      <c r="J90" s="235">
        <v>5330000</v>
      </c>
    </row>
    <row r="91" spans="1:11">
      <c r="A91" s="96" t="s">
        <v>748</v>
      </c>
      <c r="B91" s="120" t="s">
        <v>745</v>
      </c>
      <c r="C91" s="100">
        <v>2210423</v>
      </c>
      <c r="D91" s="100">
        <v>2309222</v>
      </c>
      <c r="E91" s="100">
        <v>329000</v>
      </c>
      <c r="F91" s="100">
        <v>36000</v>
      </c>
      <c r="G91" s="98">
        <v>0</v>
      </c>
      <c r="H91" s="98"/>
      <c r="I91" s="98">
        <v>0</v>
      </c>
      <c r="J91" s="98">
        <v>0</v>
      </c>
    </row>
    <row r="92" spans="1:11" s="5" customFormat="1">
      <c r="A92" s="381" t="s">
        <v>749</v>
      </c>
      <c r="B92" s="381" t="s">
        <v>706</v>
      </c>
      <c r="C92" s="223">
        <v>2210423</v>
      </c>
      <c r="D92" s="223">
        <v>2309222</v>
      </c>
      <c r="E92" s="223">
        <v>329000</v>
      </c>
      <c r="F92" s="223">
        <v>36000</v>
      </c>
      <c r="G92" s="647">
        <v>0</v>
      </c>
      <c r="H92" s="647"/>
      <c r="I92" s="647">
        <v>0</v>
      </c>
      <c r="J92" s="647">
        <v>0</v>
      </c>
    </row>
    <row r="93" spans="1:11">
      <c r="A93" s="96" t="s">
        <v>750</v>
      </c>
      <c r="B93" s="96"/>
      <c r="C93" s="651">
        <f t="shared" ref="C93:J93" si="2">SUM(C83:C92)-C89-C92</f>
        <v>10923162</v>
      </c>
      <c r="D93" s="651">
        <f t="shared" si="2"/>
        <v>15348310</v>
      </c>
      <c r="E93" s="651">
        <f t="shared" si="2"/>
        <v>13434000</v>
      </c>
      <c r="F93" s="651">
        <f t="shared" si="2"/>
        <v>15532000</v>
      </c>
      <c r="G93" s="651">
        <f t="shared" si="2"/>
        <v>14221000</v>
      </c>
      <c r="H93" s="651"/>
      <c r="I93" s="651">
        <f t="shared" si="2"/>
        <v>10843000</v>
      </c>
      <c r="J93" s="651">
        <f t="shared" si="2"/>
        <v>9731000</v>
      </c>
    </row>
    <row r="94" spans="1:11" s="64" customFormat="1">
      <c r="A94" s="654" t="s">
        <v>751</v>
      </c>
      <c r="B94" s="153"/>
      <c r="C94" s="657">
        <v>16758951</v>
      </c>
      <c r="D94" s="657">
        <v>23023050</v>
      </c>
      <c r="E94" s="657">
        <v>23427000</v>
      </c>
      <c r="F94" s="658">
        <v>26199000</v>
      </c>
      <c r="G94" s="657">
        <v>28469000</v>
      </c>
      <c r="H94" s="657"/>
      <c r="I94" s="659">
        <v>30548000</v>
      </c>
      <c r="J94" s="659">
        <v>36440000</v>
      </c>
      <c r="K94" s="660"/>
    </row>
    <row r="95" spans="1:11">
      <c r="A95" s="96"/>
      <c r="B95" s="120"/>
      <c r="C95" s="252">
        <f t="shared" ref="C95:J95" si="3">C93+C81</f>
        <v>16758951</v>
      </c>
      <c r="D95" s="252">
        <f t="shared" si="3"/>
        <v>23023050</v>
      </c>
      <c r="E95" s="252">
        <f t="shared" si="3"/>
        <v>23427000</v>
      </c>
      <c r="F95" s="626">
        <f t="shared" si="3"/>
        <v>26199000</v>
      </c>
      <c r="G95" s="252">
        <f t="shared" si="3"/>
        <v>28469000</v>
      </c>
      <c r="H95" s="252"/>
      <c r="I95" s="252">
        <f t="shared" si="3"/>
        <v>30548000</v>
      </c>
      <c r="J95" s="252">
        <f t="shared" si="3"/>
        <v>36440000</v>
      </c>
      <c r="K95" s="646"/>
    </row>
    <row r="96" spans="1:11">
      <c r="A96" s="96" t="s">
        <v>752</v>
      </c>
      <c r="B96" s="120" t="s">
        <v>745</v>
      </c>
      <c r="C96" s="100">
        <v>367039</v>
      </c>
      <c r="D96" s="100">
        <v>397734</v>
      </c>
      <c r="E96" s="100">
        <v>556000</v>
      </c>
      <c r="F96" s="100">
        <v>643000</v>
      </c>
      <c r="G96" s="100">
        <v>604000</v>
      </c>
      <c r="H96" s="100"/>
      <c r="I96" s="235">
        <v>568000</v>
      </c>
      <c r="J96" s="235">
        <v>409000</v>
      </c>
      <c r="K96" s="646"/>
    </row>
    <row r="97" spans="1:14">
      <c r="A97" s="99" t="s">
        <v>753</v>
      </c>
      <c r="B97" s="99"/>
      <c r="C97" s="648">
        <f>SUM(C95:C96)</f>
        <v>17125990</v>
      </c>
      <c r="D97" s="648"/>
      <c r="E97" s="648"/>
      <c r="F97" s="648"/>
      <c r="G97" s="96"/>
      <c r="H97" s="96"/>
      <c r="I97" s="642"/>
      <c r="J97" s="642"/>
    </row>
    <row r="98" spans="1:14">
      <c r="A98" s="96" t="s">
        <v>754</v>
      </c>
      <c r="B98" s="120" t="s">
        <v>755</v>
      </c>
      <c r="C98" s="100">
        <v>161</v>
      </c>
      <c r="D98" s="100">
        <v>169</v>
      </c>
      <c r="E98" s="98">
        <v>0</v>
      </c>
      <c r="F98" s="100">
        <v>1000</v>
      </c>
      <c r="G98" s="100">
        <v>1000</v>
      </c>
      <c r="H98" s="100"/>
      <c r="I98" s="235">
        <v>3000</v>
      </c>
      <c r="J98" s="235">
        <v>3000</v>
      </c>
    </row>
    <row r="99" spans="1:14">
      <c r="A99" s="96" t="s">
        <v>756</v>
      </c>
      <c r="B99" s="120" t="s">
        <v>755</v>
      </c>
      <c r="C99" s="100">
        <v>7773727</v>
      </c>
      <c r="D99" s="100">
        <v>9178024</v>
      </c>
      <c r="E99" s="100">
        <v>10249000</v>
      </c>
      <c r="F99" s="100">
        <v>12736000</v>
      </c>
      <c r="G99" s="100">
        <v>27260000</v>
      </c>
      <c r="H99" s="100"/>
      <c r="I99" s="235">
        <v>29803000</v>
      </c>
      <c r="J99" s="235">
        <v>32177000</v>
      </c>
    </row>
    <row r="100" spans="1:14">
      <c r="A100" s="96" t="s">
        <v>757</v>
      </c>
      <c r="B100" s="120" t="s">
        <v>758</v>
      </c>
      <c r="C100" s="100">
        <v>-2997237</v>
      </c>
      <c r="D100" s="100">
        <v>-4974299</v>
      </c>
      <c r="E100" s="100">
        <v>-5318000</v>
      </c>
      <c r="F100" s="100">
        <v>-6083000</v>
      </c>
      <c r="G100" s="100">
        <v>-5399000</v>
      </c>
      <c r="H100" s="100"/>
      <c r="I100" s="98">
        <v>0</v>
      </c>
      <c r="J100" s="98">
        <v>0</v>
      </c>
    </row>
    <row r="101" spans="1:14">
      <c r="A101" s="96" t="s">
        <v>759</v>
      </c>
      <c r="B101" s="120" t="s">
        <v>760</v>
      </c>
      <c r="C101" s="100">
        <v>-23740</v>
      </c>
      <c r="D101" s="100">
        <v>33348</v>
      </c>
      <c r="E101" s="100">
        <v>-8000</v>
      </c>
      <c r="F101" s="100">
        <v>-36000</v>
      </c>
      <c r="G101" s="100">
        <v>363000</v>
      </c>
      <c r="H101" s="100"/>
      <c r="I101" s="235">
        <v>54000</v>
      </c>
      <c r="J101" s="628">
        <v>-361000</v>
      </c>
    </row>
    <row r="102" spans="1:14" s="5" customFormat="1">
      <c r="A102" s="381" t="s">
        <v>761</v>
      </c>
      <c r="B102" s="381" t="s">
        <v>706</v>
      </c>
      <c r="C102" s="223">
        <v>-23740</v>
      </c>
      <c r="D102" s="223">
        <v>33348</v>
      </c>
      <c r="E102" s="223">
        <v>-8000</v>
      </c>
      <c r="F102" s="223">
        <v>-36000</v>
      </c>
      <c r="G102" s="223">
        <v>363000</v>
      </c>
      <c r="H102" s="223"/>
      <c r="I102" s="642">
        <v>54000</v>
      </c>
      <c r="J102" s="649">
        <v>-361000</v>
      </c>
    </row>
    <row r="103" spans="1:14">
      <c r="A103" s="96" t="s">
        <v>762</v>
      </c>
      <c r="B103" s="120" t="s">
        <v>758</v>
      </c>
      <c r="C103" s="100"/>
      <c r="D103" s="100"/>
      <c r="E103" s="100"/>
      <c r="F103" s="100"/>
      <c r="G103" s="100"/>
      <c r="H103" s="100"/>
      <c r="I103" s="235">
        <v>329000</v>
      </c>
      <c r="J103" s="628">
        <v>12885000</v>
      </c>
    </row>
    <row r="104" spans="1:14">
      <c r="A104" s="96" t="s">
        <v>763</v>
      </c>
      <c r="B104" s="96"/>
      <c r="C104" s="100">
        <v>4752911</v>
      </c>
      <c r="D104" s="100">
        <v>4237242</v>
      </c>
      <c r="E104" s="100">
        <v>4923000</v>
      </c>
      <c r="F104" s="100">
        <v>6618000</v>
      </c>
      <c r="G104" s="100">
        <v>22225000</v>
      </c>
      <c r="H104" s="100"/>
      <c r="I104" s="235">
        <v>30189000</v>
      </c>
      <c r="J104" s="235">
        <v>44704000</v>
      </c>
      <c r="K104" s="235"/>
    </row>
    <row r="105" spans="1:14">
      <c r="A105" s="96" t="s">
        <v>764</v>
      </c>
      <c r="B105" s="121" t="s">
        <v>765</v>
      </c>
      <c r="C105" s="100">
        <v>785175</v>
      </c>
      <c r="D105" s="100">
        <v>997346</v>
      </c>
      <c r="E105" s="100">
        <v>834000</v>
      </c>
      <c r="F105" s="100">
        <v>849000</v>
      </c>
      <c r="G105" s="100">
        <v>850000</v>
      </c>
      <c r="H105" s="100"/>
      <c r="I105" s="235">
        <v>826000</v>
      </c>
      <c r="J105" s="235">
        <v>785000</v>
      </c>
      <c r="K105" s="235"/>
    </row>
    <row r="106" spans="1:14">
      <c r="A106" s="96" t="s">
        <v>766</v>
      </c>
      <c r="B106" s="96"/>
      <c r="C106" s="100">
        <v>22664076</v>
      </c>
      <c r="D106" s="100">
        <v>28655372</v>
      </c>
      <c r="E106" s="100">
        <v>29740000</v>
      </c>
      <c r="F106" s="100">
        <v>34309000</v>
      </c>
      <c r="G106" s="100">
        <v>52148000</v>
      </c>
      <c r="H106" s="100"/>
      <c r="I106" s="235">
        <v>62131000</v>
      </c>
      <c r="J106" s="235">
        <v>82338000</v>
      </c>
    </row>
    <row r="107" spans="1:14">
      <c r="C107" s="653">
        <f t="shared" ref="C107:J107" si="4">C104+C95+C96+C105</f>
        <v>22664076</v>
      </c>
      <c r="D107" s="653">
        <f t="shared" si="4"/>
        <v>28655372</v>
      </c>
      <c r="E107" s="653">
        <f t="shared" si="4"/>
        <v>29740000</v>
      </c>
      <c r="F107" s="653">
        <f t="shared" si="4"/>
        <v>34309000</v>
      </c>
      <c r="G107" s="653">
        <f t="shared" si="4"/>
        <v>52148000</v>
      </c>
      <c r="H107" s="653"/>
      <c r="I107" s="653">
        <f t="shared" si="4"/>
        <v>62131000</v>
      </c>
      <c r="J107" s="653">
        <f t="shared" si="4"/>
        <v>82338000</v>
      </c>
    </row>
    <row r="108" spans="1:14">
      <c r="C108" s="652">
        <f>C107+C96</f>
        <v>23031115</v>
      </c>
    </row>
    <row r="109" spans="1:14">
      <c r="A109" s="1966" t="s">
        <v>767</v>
      </c>
      <c r="B109" s="1966"/>
      <c r="C109" s="1966"/>
      <c r="D109" s="1966"/>
      <c r="E109" s="1966"/>
      <c r="F109" s="1966"/>
      <c r="G109" s="1966"/>
      <c r="H109" s="1966"/>
      <c r="I109" s="1966"/>
      <c r="J109" s="1966"/>
      <c r="K109" s="1966"/>
      <c r="L109" s="1966"/>
      <c r="M109" s="1966"/>
      <c r="N109" s="1966"/>
    </row>
    <row r="110" spans="1:14" ht="15.65" customHeight="1">
      <c r="A110" s="101" t="s">
        <v>653</v>
      </c>
      <c r="B110" s="101"/>
      <c r="C110" s="102" t="s">
        <v>655</v>
      </c>
      <c r="D110" s="102" t="s">
        <v>656</v>
      </c>
      <c r="E110" s="102" t="s">
        <v>657</v>
      </c>
      <c r="F110" s="102" t="s">
        <v>658</v>
      </c>
      <c r="G110" s="102" t="s">
        <v>659</v>
      </c>
      <c r="H110" s="102"/>
      <c r="I110" s="102" t="s">
        <v>660</v>
      </c>
      <c r="J110" s="102" t="s">
        <v>661</v>
      </c>
    </row>
    <row r="111" spans="1:14">
      <c r="A111" s="96" t="s">
        <v>662</v>
      </c>
      <c r="B111" s="96"/>
      <c r="C111" s="97">
        <v>42735</v>
      </c>
      <c r="D111" s="97">
        <v>43100</v>
      </c>
      <c r="E111" s="97">
        <v>43465</v>
      </c>
      <c r="F111" s="97">
        <v>43830</v>
      </c>
      <c r="G111" s="97">
        <v>44196</v>
      </c>
      <c r="H111" s="97"/>
      <c r="I111" s="97">
        <v>44561</v>
      </c>
      <c r="J111" s="97">
        <v>44926</v>
      </c>
    </row>
    <row r="112" spans="1:14">
      <c r="A112" s="96" t="s">
        <v>663</v>
      </c>
      <c r="B112" s="96"/>
      <c r="C112" s="98" t="s">
        <v>664</v>
      </c>
      <c r="D112" s="98" t="s">
        <v>664</v>
      </c>
      <c r="E112" s="98" t="s">
        <v>664</v>
      </c>
      <c r="F112" s="98" t="s">
        <v>664</v>
      </c>
      <c r="G112" s="98" t="s">
        <v>664</v>
      </c>
      <c r="H112" s="98"/>
      <c r="I112" s="98" t="s">
        <v>664</v>
      </c>
      <c r="J112" s="98" t="s">
        <v>664</v>
      </c>
    </row>
    <row r="113" spans="1:10">
      <c r="A113" s="96" t="s">
        <v>665</v>
      </c>
      <c r="B113" s="96"/>
      <c r="C113" s="98" t="s">
        <v>666</v>
      </c>
      <c r="D113" s="98" t="s">
        <v>666</v>
      </c>
      <c r="E113" s="98" t="s">
        <v>666</v>
      </c>
      <c r="F113" s="98" t="s">
        <v>666</v>
      </c>
      <c r="G113" s="98" t="s">
        <v>666</v>
      </c>
      <c r="H113" s="98"/>
      <c r="I113" s="98" t="s">
        <v>666</v>
      </c>
      <c r="J113" s="98" t="s">
        <v>666</v>
      </c>
    </row>
    <row r="114" spans="1:10">
      <c r="A114" s="96"/>
      <c r="B114" s="96"/>
      <c r="C114" s="98"/>
      <c r="D114" s="98"/>
      <c r="E114" s="98"/>
      <c r="F114" s="98"/>
      <c r="G114" s="98"/>
      <c r="H114" s="98"/>
    </row>
    <row r="115" spans="1:10">
      <c r="A115" s="99" t="s">
        <v>768</v>
      </c>
      <c r="B115" s="99"/>
      <c r="C115" s="96"/>
      <c r="D115" s="96"/>
      <c r="E115" s="96"/>
      <c r="F115" s="96"/>
      <c r="G115" s="96"/>
      <c r="H115" s="96"/>
    </row>
    <row r="116" spans="1:10">
      <c r="A116" s="96" t="s">
        <v>683</v>
      </c>
      <c r="B116" s="96"/>
      <c r="C116" s="100">
        <v>-773046</v>
      </c>
      <c r="D116" s="100">
        <v>-2240578</v>
      </c>
      <c r="E116" s="100">
        <v>-1062582</v>
      </c>
      <c r="F116" s="100">
        <v>-775000</v>
      </c>
      <c r="G116" s="100">
        <v>862000</v>
      </c>
      <c r="H116" s="100"/>
      <c r="I116" s="628">
        <v>5644000</v>
      </c>
      <c r="J116" s="628">
        <v>12587000</v>
      </c>
    </row>
    <row r="117" spans="1:10">
      <c r="A117" s="96" t="s">
        <v>769</v>
      </c>
      <c r="B117" s="96" t="s">
        <v>770</v>
      </c>
      <c r="C117" s="100">
        <v>947099</v>
      </c>
      <c r="D117" s="100">
        <v>1636003</v>
      </c>
      <c r="E117" s="100">
        <v>1901050</v>
      </c>
      <c r="F117" s="100">
        <v>2154000</v>
      </c>
      <c r="G117" s="100">
        <v>2322000</v>
      </c>
      <c r="H117" s="100"/>
      <c r="I117" s="628">
        <v>2911000</v>
      </c>
      <c r="J117" s="628">
        <v>3747000</v>
      </c>
    </row>
    <row r="118" spans="1:10">
      <c r="A118" s="96" t="s">
        <v>771</v>
      </c>
      <c r="B118" s="96" t="s">
        <v>771</v>
      </c>
      <c r="C118" s="100">
        <v>94690</v>
      </c>
      <c r="D118" s="100">
        <v>91037</v>
      </c>
      <c r="E118" s="100">
        <v>158730</v>
      </c>
      <c r="F118" s="100">
        <v>188000</v>
      </c>
      <c r="G118" s="100">
        <v>180000</v>
      </c>
      <c r="H118" s="100"/>
      <c r="I118" s="98">
        <v>0</v>
      </c>
      <c r="J118" s="98">
        <v>0</v>
      </c>
    </row>
    <row r="119" spans="1:10">
      <c r="A119" s="96" t="s">
        <v>772</v>
      </c>
      <c r="B119" s="96" t="s">
        <v>773</v>
      </c>
      <c r="C119" s="100">
        <v>34633</v>
      </c>
      <c r="D119" s="100">
        <v>105770</v>
      </c>
      <c r="E119" s="100">
        <v>161361</v>
      </c>
      <c r="F119" s="100">
        <v>146000</v>
      </c>
      <c r="G119" s="100">
        <v>117000</v>
      </c>
      <c r="H119" s="100"/>
      <c r="I119" s="98">
        <v>0</v>
      </c>
      <c r="J119" s="98">
        <v>0</v>
      </c>
    </row>
    <row r="120" spans="1:10">
      <c r="A120" s="96" t="s">
        <v>774</v>
      </c>
      <c r="B120" s="96" t="s">
        <v>775</v>
      </c>
      <c r="C120" s="100">
        <v>-88727</v>
      </c>
      <c r="D120" s="100">
        <v>57746</v>
      </c>
      <c r="E120" s="98">
        <v>0</v>
      </c>
      <c r="F120" s="98">
        <v>0</v>
      </c>
      <c r="G120" s="98">
        <v>0</v>
      </c>
      <c r="H120" s="98"/>
      <c r="I120" s="98">
        <v>0</v>
      </c>
      <c r="J120" s="98">
        <v>0</v>
      </c>
    </row>
    <row r="121" spans="1:10" s="5" customFormat="1" ht="14.5">
      <c r="A121" s="381" t="s">
        <v>776</v>
      </c>
      <c r="B121" s="663" t="s">
        <v>706</v>
      </c>
      <c r="C121" s="223">
        <v>-88727</v>
      </c>
      <c r="D121" s="223">
        <v>57746</v>
      </c>
      <c r="E121" s="647">
        <v>0</v>
      </c>
      <c r="F121" s="647">
        <v>0</v>
      </c>
      <c r="G121" s="647">
        <v>0</v>
      </c>
      <c r="H121" s="647"/>
      <c r="I121" s="647">
        <v>0</v>
      </c>
      <c r="J121" s="647">
        <v>0</v>
      </c>
    </row>
    <row r="122" spans="1:10" ht="14.5">
      <c r="A122" s="96" t="s">
        <v>777</v>
      </c>
      <c r="B122" s="215" t="s">
        <v>778</v>
      </c>
      <c r="C122" s="100">
        <v>334225</v>
      </c>
      <c r="D122" s="100">
        <v>466760</v>
      </c>
      <c r="E122" s="100">
        <v>749024</v>
      </c>
      <c r="F122" s="100">
        <v>898000</v>
      </c>
      <c r="G122" s="100">
        <v>1734000</v>
      </c>
      <c r="H122" s="100"/>
      <c r="I122" s="628">
        <v>2121000</v>
      </c>
      <c r="J122" s="628">
        <v>1560000</v>
      </c>
    </row>
    <row r="123" spans="1:10">
      <c r="A123" s="96" t="s">
        <v>779</v>
      </c>
      <c r="B123" s="121" t="s">
        <v>780</v>
      </c>
      <c r="C123" s="100">
        <v>-29183</v>
      </c>
      <c r="D123" s="100">
        <v>52309</v>
      </c>
      <c r="E123" s="98">
        <v>0</v>
      </c>
      <c r="F123" s="98">
        <v>0</v>
      </c>
      <c r="G123" s="98">
        <v>0</v>
      </c>
      <c r="H123" s="98"/>
      <c r="I123" s="98">
        <v>0</v>
      </c>
      <c r="J123" s="98">
        <v>0</v>
      </c>
    </row>
    <row r="124" spans="1:10">
      <c r="A124" s="96" t="s">
        <v>781</v>
      </c>
      <c r="B124" s="121" t="s">
        <v>780</v>
      </c>
      <c r="C124" s="98">
        <v>0</v>
      </c>
      <c r="D124" s="98">
        <v>0</v>
      </c>
      <c r="E124" s="100">
        <v>-1511</v>
      </c>
      <c r="F124" s="100">
        <v>-48000</v>
      </c>
      <c r="G124" s="100">
        <v>114000</v>
      </c>
      <c r="H124" s="100"/>
      <c r="I124" s="628">
        <v>-55000</v>
      </c>
      <c r="J124" s="628">
        <v>81000</v>
      </c>
    </row>
    <row r="125" spans="1:10">
      <c r="A125" s="96" t="s">
        <v>782</v>
      </c>
      <c r="B125" s="121" t="s">
        <v>780</v>
      </c>
      <c r="C125" s="100">
        <v>65520</v>
      </c>
      <c r="D125" s="100">
        <v>131665</v>
      </c>
      <c r="E125" s="100">
        <v>85272</v>
      </c>
      <c r="F125" s="100">
        <v>193000</v>
      </c>
      <c r="G125" s="100">
        <v>202000</v>
      </c>
      <c r="H125" s="100"/>
      <c r="I125" s="628">
        <v>140000</v>
      </c>
      <c r="J125" s="628">
        <v>177000</v>
      </c>
    </row>
    <row r="126" spans="1:10">
      <c r="A126" s="96" t="s">
        <v>720</v>
      </c>
      <c r="B126" s="121" t="s">
        <v>780</v>
      </c>
      <c r="C126" s="223">
        <v>0</v>
      </c>
      <c r="D126" s="223">
        <v>-15453</v>
      </c>
      <c r="E126" s="100">
        <v>-207409</v>
      </c>
      <c r="F126" s="100">
        <v>115000</v>
      </c>
      <c r="G126" s="100">
        <v>-344000</v>
      </c>
      <c r="H126" s="100"/>
      <c r="I126" s="628">
        <v>-1291000</v>
      </c>
      <c r="J126" s="628">
        <v>-2551000</v>
      </c>
    </row>
    <row r="127" spans="1:10">
      <c r="A127" s="96" t="s">
        <v>747</v>
      </c>
      <c r="B127" s="121" t="s">
        <v>780</v>
      </c>
      <c r="C127" s="100">
        <v>132057</v>
      </c>
      <c r="D127" s="100">
        <v>81139</v>
      </c>
      <c r="E127" s="100">
        <v>159966</v>
      </c>
      <c r="F127" s="100">
        <v>-5000</v>
      </c>
      <c r="G127" s="100">
        <v>495000</v>
      </c>
      <c r="H127" s="100"/>
      <c r="I127" s="628">
        <v>476000</v>
      </c>
      <c r="J127" s="628">
        <v>1904000</v>
      </c>
    </row>
    <row r="128" spans="1:10">
      <c r="A128" s="361" t="s">
        <v>707</v>
      </c>
      <c r="B128" s="121" t="s">
        <v>780</v>
      </c>
      <c r="C128" s="100">
        <v>-1832836</v>
      </c>
      <c r="D128" s="100">
        <v>-1522573</v>
      </c>
      <c r="E128" s="100">
        <v>-214747</v>
      </c>
      <c r="F128" s="100">
        <v>-764000</v>
      </c>
      <c r="G128" s="100">
        <v>-1072000</v>
      </c>
      <c r="H128" s="100"/>
      <c r="I128" s="628">
        <v>-2114000</v>
      </c>
      <c r="J128" s="628">
        <v>-1570000</v>
      </c>
    </row>
    <row r="129" spans="1:10">
      <c r="A129" s="96" t="s">
        <v>783</v>
      </c>
      <c r="B129" s="121" t="s">
        <v>780</v>
      </c>
      <c r="C129" s="100">
        <v>-15179</v>
      </c>
      <c r="D129" s="100">
        <v>135237</v>
      </c>
      <c r="E129" s="100">
        <v>48507</v>
      </c>
      <c r="F129" s="100">
        <v>186000</v>
      </c>
      <c r="G129" s="100">
        <v>228000</v>
      </c>
      <c r="H129" s="100"/>
      <c r="I129" s="628">
        <v>245000</v>
      </c>
      <c r="J129" s="628">
        <v>340000</v>
      </c>
    </row>
    <row r="130" spans="1:10">
      <c r="A130" s="361" t="s">
        <v>784</v>
      </c>
      <c r="B130" s="121" t="s">
        <v>780</v>
      </c>
      <c r="C130" s="100"/>
      <c r="D130" s="100"/>
      <c r="E130" s="100"/>
      <c r="F130" s="100"/>
      <c r="G130" s="100"/>
      <c r="H130" s="100"/>
      <c r="I130" s="628">
        <v>-27000</v>
      </c>
      <c r="J130" s="628">
        <v>140000</v>
      </c>
    </row>
    <row r="131" spans="1:10">
      <c r="A131" s="96" t="s">
        <v>785</v>
      </c>
      <c r="B131" s="121" t="s">
        <v>780</v>
      </c>
      <c r="C131" s="100">
        <v>-49353</v>
      </c>
      <c r="D131" s="98">
        <v>0</v>
      </c>
      <c r="E131" s="98">
        <v>0</v>
      </c>
      <c r="F131" s="98">
        <v>0</v>
      </c>
      <c r="G131" s="98">
        <v>0</v>
      </c>
      <c r="H131" s="98"/>
      <c r="I131" s="98">
        <v>0</v>
      </c>
      <c r="J131" s="98">
        <v>0</v>
      </c>
    </row>
    <row r="132" spans="1:10">
      <c r="A132" s="96" t="s">
        <v>786</v>
      </c>
      <c r="B132" s="121" t="s">
        <v>780</v>
      </c>
      <c r="C132" s="98">
        <v>0</v>
      </c>
      <c r="D132" s="98">
        <v>0</v>
      </c>
      <c r="E132" s="98">
        <v>0</v>
      </c>
      <c r="F132" s="100">
        <v>-188000</v>
      </c>
      <c r="G132" s="98">
        <v>0</v>
      </c>
      <c r="H132" s="98"/>
      <c r="I132" s="98">
        <v>0</v>
      </c>
      <c r="J132" s="98">
        <v>0</v>
      </c>
    </row>
    <row r="133" spans="1:10">
      <c r="A133" s="96" t="s">
        <v>787</v>
      </c>
      <c r="B133" s="120" t="s">
        <v>788</v>
      </c>
      <c r="C133" s="100">
        <v>-216565</v>
      </c>
      <c r="D133" s="100">
        <v>-24635</v>
      </c>
      <c r="E133" s="100">
        <v>-496732</v>
      </c>
      <c r="F133" s="100">
        <v>-367000</v>
      </c>
      <c r="G133" s="100">
        <v>-652000</v>
      </c>
      <c r="H133" s="100"/>
      <c r="I133" s="628">
        <v>-130000</v>
      </c>
      <c r="J133" s="628">
        <v>-1124000</v>
      </c>
    </row>
    <row r="134" spans="1:10">
      <c r="A134" s="96" t="s">
        <v>789</v>
      </c>
      <c r="B134" s="120" t="s">
        <v>696</v>
      </c>
      <c r="C134" s="100">
        <v>-632867</v>
      </c>
      <c r="D134" s="100">
        <v>-178850</v>
      </c>
      <c r="E134" s="100">
        <v>-1023264</v>
      </c>
      <c r="F134" s="100">
        <v>-429000</v>
      </c>
      <c r="G134" s="100">
        <v>-422000</v>
      </c>
      <c r="H134" s="100"/>
      <c r="I134" s="628">
        <v>-1709000</v>
      </c>
      <c r="J134" s="628">
        <v>-6465000</v>
      </c>
    </row>
    <row r="135" spans="1:10" s="5" customFormat="1" ht="14.5">
      <c r="A135" s="381" t="s">
        <v>696</v>
      </c>
      <c r="B135" s="663" t="s">
        <v>706</v>
      </c>
      <c r="C135" s="223">
        <v>-632867</v>
      </c>
      <c r="D135" s="223">
        <v>-178850</v>
      </c>
      <c r="E135" s="223">
        <v>-1023264</v>
      </c>
      <c r="F135" s="223">
        <v>-429000</v>
      </c>
      <c r="G135" s="223">
        <v>-422000</v>
      </c>
      <c r="H135" s="223"/>
      <c r="I135" s="649">
        <v>-1709000</v>
      </c>
      <c r="J135" s="649">
        <v>-6465000</v>
      </c>
    </row>
    <row r="136" spans="1:10">
      <c r="A136" s="96" t="s">
        <v>790</v>
      </c>
      <c r="B136" s="120" t="s">
        <v>791</v>
      </c>
      <c r="C136" s="100">
        <v>750640</v>
      </c>
      <c r="D136" s="100">
        <v>388206</v>
      </c>
      <c r="E136" s="100">
        <v>1722850</v>
      </c>
      <c r="F136" s="100">
        <v>646000</v>
      </c>
      <c r="G136" s="100">
        <v>2102000</v>
      </c>
      <c r="H136" s="100"/>
      <c r="I136" s="628">
        <v>4578000</v>
      </c>
      <c r="J136" s="628">
        <v>6029000</v>
      </c>
    </row>
    <row r="137" spans="1:10">
      <c r="A137" s="96" t="s">
        <v>734</v>
      </c>
      <c r="B137" s="96"/>
      <c r="C137" s="100">
        <v>382962</v>
      </c>
      <c r="D137" s="100">
        <v>468902</v>
      </c>
      <c r="E137" s="100">
        <v>406661</v>
      </c>
      <c r="F137" s="100">
        <v>801000</v>
      </c>
      <c r="G137" s="100">
        <v>321000</v>
      </c>
      <c r="H137" s="100"/>
      <c r="I137" s="628">
        <v>793000</v>
      </c>
      <c r="J137" s="628">
        <v>1131000</v>
      </c>
    </row>
    <row r="138" spans="1:10">
      <c r="A138" s="96" t="s">
        <v>697</v>
      </c>
      <c r="B138" s="96"/>
      <c r="C138" s="100">
        <v>56806</v>
      </c>
      <c r="D138" s="100">
        <v>-72084</v>
      </c>
      <c r="E138" s="100">
        <v>-82125</v>
      </c>
      <c r="F138" s="100">
        <v>-288000</v>
      </c>
      <c r="G138" s="100">
        <v>-251000</v>
      </c>
      <c r="H138" s="100"/>
      <c r="I138" s="628">
        <v>-271000</v>
      </c>
      <c r="J138" s="628">
        <v>-1417000</v>
      </c>
    </row>
    <row r="139" spans="1:10">
      <c r="A139" s="96" t="s">
        <v>735</v>
      </c>
      <c r="B139" s="96"/>
      <c r="C139" s="100">
        <v>388361</v>
      </c>
      <c r="D139" s="100">
        <v>170027</v>
      </c>
      <c r="E139" s="100">
        <v>-96685</v>
      </c>
      <c r="F139" s="100">
        <v>-58000</v>
      </c>
      <c r="G139" s="100">
        <v>7000</v>
      </c>
      <c r="H139" s="100"/>
      <c r="I139" s="628">
        <v>186000</v>
      </c>
      <c r="J139" s="628">
        <v>155000</v>
      </c>
    </row>
    <row r="140" spans="1:10">
      <c r="A140" s="96" t="s">
        <v>736</v>
      </c>
      <c r="B140" s="96"/>
      <c r="C140" s="100">
        <v>326934</v>
      </c>
      <c r="D140" s="100">
        <v>208718</v>
      </c>
      <c r="E140" s="100">
        <v>-110564</v>
      </c>
      <c r="F140" s="98">
        <v>0</v>
      </c>
      <c r="G140" s="98">
        <v>0</v>
      </c>
      <c r="H140" s="98"/>
      <c r="I140" s="98">
        <v>0</v>
      </c>
      <c r="J140" s="98">
        <v>0</v>
      </c>
    </row>
    <row r="141" spans="1:10">
      <c r="A141" s="96" t="s">
        <v>792</v>
      </c>
      <c r="B141" s="96"/>
      <c r="C141" s="100">
        <v>-123829</v>
      </c>
      <c r="D141" s="100">
        <v>-60654</v>
      </c>
      <c r="E141" s="100">
        <v>2097802</v>
      </c>
      <c r="F141" s="100">
        <v>2405000</v>
      </c>
      <c r="G141" s="100">
        <v>5943000</v>
      </c>
      <c r="H141" s="100"/>
      <c r="I141" s="628">
        <v>11497000</v>
      </c>
      <c r="J141" s="628">
        <v>14724000</v>
      </c>
    </row>
    <row r="142" spans="1:10">
      <c r="A142" s="96"/>
      <c r="B142" s="96"/>
      <c r="C142" s="651">
        <f t="shared" ref="C142:J142" si="5">SUM(C116:C140)-C121-C135</f>
        <v>-123829</v>
      </c>
      <c r="D142" s="651">
        <f t="shared" si="5"/>
        <v>-60654</v>
      </c>
      <c r="E142" s="664">
        <f t="shared" si="5"/>
        <v>2097802</v>
      </c>
      <c r="F142" s="651">
        <f t="shared" si="5"/>
        <v>2405000</v>
      </c>
      <c r="G142" s="651">
        <f t="shared" si="5"/>
        <v>5943000</v>
      </c>
      <c r="H142" s="651"/>
      <c r="I142" s="651">
        <f t="shared" si="5"/>
        <v>11497000</v>
      </c>
      <c r="J142" s="651">
        <f t="shared" si="5"/>
        <v>14724000</v>
      </c>
    </row>
    <row r="143" spans="1:10">
      <c r="A143" s="99" t="s">
        <v>793</v>
      </c>
      <c r="B143" s="99"/>
      <c r="C143" s="96"/>
      <c r="D143" s="96"/>
      <c r="E143" s="96"/>
      <c r="F143" s="96"/>
      <c r="G143" s="96"/>
      <c r="H143" s="96"/>
      <c r="I143" s="628"/>
      <c r="J143" s="628"/>
    </row>
    <row r="144" spans="1:10">
      <c r="A144" s="1316" t="s">
        <v>794</v>
      </c>
      <c r="B144" s="120" t="s">
        <v>795</v>
      </c>
      <c r="C144" s="100">
        <v>-159669</v>
      </c>
      <c r="D144" s="98">
        <v>0</v>
      </c>
      <c r="E144" s="98">
        <v>0</v>
      </c>
      <c r="F144" s="98">
        <v>0</v>
      </c>
      <c r="G144" s="98">
        <v>0</v>
      </c>
      <c r="H144" s="98"/>
      <c r="I144" s="98">
        <v>0</v>
      </c>
      <c r="J144" s="98">
        <v>0</v>
      </c>
    </row>
    <row r="145" spans="1:10">
      <c r="A145" s="1263" t="s">
        <v>796</v>
      </c>
      <c r="B145" s="120" t="s">
        <v>797</v>
      </c>
      <c r="C145" s="100">
        <v>-1280802</v>
      </c>
      <c r="D145" s="100">
        <v>-3414814</v>
      </c>
      <c r="E145" s="100">
        <v>-2101000</v>
      </c>
      <c r="F145" s="100">
        <v>-1327000</v>
      </c>
      <c r="G145" s="100">
        <v>-3157000</v>
      </c>
      <c r="H145" s="100"/>
      <c r="I145" s="628">
        <v>-6482000</v>
      </c>
      <c r="J145" s="628">
        <v>-7158000</v>
      </c>
    </row>
    <row r="146" spans="1:10" s="5" customFormat="1">
      <c r="A146" s="381" t="s">
        <v>798</v>
      </c>
      <c r="B146" s="216" t="s">
        <v>706</v>
      </c>
      <c r="C146" s="223">
        <v>-1280802</v>
      </c>
      <c r="D146" s="223">
        <v>-3415000</v>
      </c>
      <c r="E146" s="223">
        <v>-2101000</v>
      </c>
      <c r="F146" s="223">
        <v>-1327000</v>
      </c>
      <c r="G146" s="223">
        <v>-3157000</v>
      </c>
      <c r="H146" s="223"/>
      <c r="I146" s="649">
        <v>-6482000</v>
      </c>
      <c r="J146" s="649">
        <v>-7158000</v>
      </c>
    </row>
    <row r="147" spans="1:10">
      <c r="A147" s="1263" t="s">
        <v>799</v>
      </c>
      <c r="B147" s="120" t="s">
        <v>795</v>
      </c>
      <c r="C147" s="100">
        <v>-159669</v>
      </c>
      <c r="D147" s="100">
        <v>-666540</v>
      </c>
      <c r="E147" s="100">
        <v>-218000</v>
      </c>
      <c r="F147" s="100">
        <v>-105000</v>
      </c>
      <c r="G147" s="100">
        <v>-75000</v>
      </c>
      <c r="H147" s="100"/>
      <c r="I147" s="628">
        <v>-32000</v>
      </c>
      <c r="J147" s="628">
        <v>-5000</v>
      </c>
    </row>
    <row r="148" spans="1:10" s="5" customFormat="1">
      <c r="A148" s="381" t="s">
        <v>800</v>
      </c>
      <c r="B148" s="216" t="s">
        <v>706</v>
      </c>
      <c r="C148" s="223">
        <v>-159669</v>
      </c>
      <c r="D148" s="223">
        <v>-666000</v>
      </c>
      <c r="E148" s="223">
        <v>-218000</v>
      </c>
      <c r="F148" s="223">
        <v>-105000</v>
      </c>
      <c r="G148" s="223">
        <v>-75000</v>
      </c>
      <c r="H148" s="223"/>
      <c r="I148" s="649">
        <v>-32000</v>
      </c>
      <c r="J148" s="649">
        <v>-5000</v>
      </c>
    </row>
    <row r="149" spans="1:10">
      <c r="A149" s="96" t="s">
        <v>801</v>
      </c>
      <c r="B149" s="665"/>
      <c r="C149" s="100"/>
      <c r="D149" s="100"/>
      <c r="E149" s="100"/>
      <c r="F149" s="100"/>
      <c r="G149" s="100"/>
      <c r="H149" s="100"/>
      <c r="I149" s="628">
        <v>-1500000</v>
      </c>
      <c r="J149" s="628">
        <v>0</v>
      </c>
    </row>
    <row r="150" spans="1:10">
      <c r="A150" s="96" t="s">
        <v>802</v>
      </c>
      <c r="B150" s="665"/>
      <c r="C150" s="100"/>
      <c r="D150" s="100"/>
      <c r="E150" s="100"/>
      <c r="F150" s="100"/>
      <c r="G150" s="100"/>
      <c r="H150" s="100"/>
      <c r="I150" s="628">
        <v>272000</v>
      </c>
      <c r="J150" s="628">
        <v>936000</v>
      </c>
    </row>
    <row r="151" spans="1:10">
      <c r="A151" s="1263" t="s">
        <v>803</v>
      </c>
      <c r="B151" s="120" t="s">
        <v>804</v>
      </c>
      <c r="C151" s="100">
        <v>213523</v>
      </c>
      <c r="D151" s="100">
        <v>-114523</v>
      </c>
      <c r="E151" s="100">
        <v>-18000</v>
      </c>
      <c r="F151" s="100">
        <v>-45000</v>
      </c>
      <c r="G151" s="100">
        <v>-13000</v>
      </c>
      <c r="H151" s="100"/>
      <c r="I151" s="98">
        <v>0</v>
      </c>
      <c r="J151" s="98">
        <v>0</v>
      </c>
    </row>
    <row r="152" spans="1:10" s="5" customFormat="1">
      <c r="A152" s="381" t="s">
        <v>805</v>
      </c>
      <c r="B152" s="216" t="s">
        <v>706</v>
      </c>
      <c r="C152" s="223">
        <v>213523</v>
      </c>
      <c r="D152" s="223">
        <v>-115000</v>
      </c>
      <c r="E152" s="223">
        <v>-18000</v>
      </c>
      <c r="F152" s="223">
        <v>-45000</v>
      </c>
      <c r="G152" s="223">
        <v>-13000</v>
      </c>
      <c r="H152" s="223"/>
      <c r="I152" s="647">
        <v>0</v>
      </c>
      <c r="J152" s="647">
        <v>0</v>
      </c>
    </row>
    <row r="153" spans="1:10">
      <c r="A153" s="1316" t="s">
        <v>806</v>
      </c>
      <c r="B153" s="120" t="s">
        <v>807</v>
      </c>
      <c r="C153" s="98">
        <v>0</v>
      </c>
      <c r="D153" s="98">
        <v>0</v>
      </c>
      <c r="E153" s="98">
        <v>0</v>
      </c>
      <c r="F153" s="100">
        <v>-5000</v>
      </c>
      <c r="G153" s="100">
        <v>-10000</v>
      </c>
      <c r="H153" s="100"/>
      <c r="I153" s="98">
        <v>0</v>
      </c>
      <c r="J153" s="628">
        <v>-9000</v>
      </c>
    </row>
    <row r="154" spans="1:10">
      <c r="A154" s="1317" t="s">
        <v>808</v>
      </c>
      <c r="B154" s="120"/>
      <c r="C154" s="98"/>
      <c r="D154" s="98"/>
      <c r="E154" s="98"/>
      <c r="F154" s="100"/>
      <c r="G154" s="100"/>
      <c r="H154" s="100"/>
      <c r="I154" s="98">
        <v>-132000</v>
      </c>
      <c r="J154" s="628">
        <v>-5835000</v>
      </c>
    </row>
    <row r="155" spans="1:10">
      <c r="A155" s="1317" t="s">
        <v>809</v>
      </c>
      <c r="B155" s="120"/>
      <c r="C155" s="98"/>
      <c r="D155" s="98"/>
      <c r="E155" s="98"/>
      <c r="F155" s="100"/>
      <c r="G155" s="100"/>
      <c r="H155" s="100"/>
      <c r="I155" s="98"/>
      <c r="J155" s="628">
        <v>22000</v>
      </c>
    </row>
    <row r="156" spans="1:10">
      <c r="A156" s="1263" t="s">
        <v>810</v>
      </c>
      <c r="B156" s="120" t="s">
        <v>807</v>
      </c>
      <c r="C156" s="100">
        <v>16667</v>
      </c>
      <c r="D156" s="98">
        <v>0</v>
      </c>
      <c r="E156" s="98">
        <v>0</v>
      </c>
      <c r="F156" s="98">
        <v>0</v>
      </c>
      <c r="G156" s="98">
        <v>0</v>
      </c>
      <c r="H156" s="98"/>
      <c r="I156" s="98">
        <v>0</v>
      </c>
      <c r="J156" s="98">
        <v>0</v>
      </c>
    </row>
    <row r="157" spans="1:10">
      <c r="A157" s="1263" t="s">
        <v>811</v>
      </c>
      <c r="B157" s="120" t="s">
        <v>807</v>
      </c>
      <c r="C157" s="98">
        <v>0</v>
      </c>
      <c r="D157" s="98">
        <v>0</v>
      </c>
      <c r="E157" s="98">
        <v>0</v>
      </c>
      <c r="F157" s="100">
        <v>46000</v>
      </c>
      <c r="G157" s="100">
        <v>123000</v>
      </c>
      <c r="H157" s="100"/>
      <c r="I157" s="628">
        <v>6000</v>
      </c>
      <c r="J157" s="628">
        <v>76000</v>
      </c>
    </row>
    <row r="158" spans="1:10">
      <c r="A158" s="96" t="s">
        <v>812</v>
      </c>
      <c r="B158" s="120"/>
      <c r="C158" s="100">
        <v>-206149</v>
      </c>
      <c r="D158" s="1318">
        <v>-223090</v>
      </c>
      <c r="E158" s="98"/>
      <c r="F158" s="100"/>
      <c r="G158" s="100"/>
      <c r="H158" s="100"/>
      <c r="I158" s="628"/>
      <c r="J158" s="628"/>
    </row>
    <row r="159" spans="1:10">
      <c r="A159" s="96" t="s">
        <v>813</v>
      </c>
      <c r="B159" s="96"/>
      <c r="C159" s="100">
        <v>-1416430</v>
      </c>
      <c r="D159" s="100">
        <v>-4418967</v>
      </c>
      <c r="E159" s="100">
        <v>-2337000</v>
      </c>
      <c r="F159" s="100">
        <v>-1436000</v>
      </c>
      <c r="G159" s="100">
        <v>-3132000</v>
      </c>
      <c r="H159" s="100"/>
      <c r="I159" s="628">
        <v>-7868000</v>
      </c>
      <c r="J159" s="628">
        <v>-11973000</v>
      </c>
    </row>
    <row r="160" spans="1:10">
      <c r="A160" s="96"/>
      <c r="B160" s="96"/>
      <c r="C160" s="651">
        <f>SUM(C144:C157)-C146-C148-C152+C158-C144</f>
        <v>-1416430</v>
      </c>
      <c r="D160" s="651">
        <f>SUM(D144:D158)-D146-D148-D152</f>
        <v>-4418967</v>
      </c>
      <c r="E160" s="651">
        <f t="shared" ref="E160:J160" si="6">SUM(E144:E158)-E146-E148-E152</f>
        <v>-2337000</v>
      </c>
      <c r="F160" s="651">
        <f t="shared" si="6"/>
        <v>-1436000</v>
      </c>
      <c r="G160" s="651">
        <f t="shared" si="6"/>
        <v>-3132000</v>
      </c>
      <c r="H160" s="651"/>
      <c r="I160" s="651">
        <f t="shared" si="6"/>
        <v>-7868000</v>
      </c>
      <c r="J160" s="651">
        <f t="shared" si="6"/>
        <v>-11973000</v>
      </c>
    </row>
    <row r="161" spans="1:10">
      <c r="A161" s="99" t="s">
        <v>814</v>
      </c>
      <c r="B161" s="99"/>
      <c r="C161" s="96"/>
      <c r="D161" s="96"/>
      <c r="E161" s="96"/>
      <c r="F161" s="96"/>
      <c r="G161" s="96"/>
      <c r="H161" s="96"/>
      <c r="I161" s="628"/>
      <c r="J161" s="628"/>
    </row>
    <row r="162" spans="1:10">
      <c r="A162" s="96" t="s">
        <v>815</v>
      </c>
      <c r="B162" s="120" t="s">
        <v>816</v>
      </c>
      <c r="C162" s="100">
        <v>-1857594</v>
      </c>
      <c r="D162" s="1319">
        <v>-3995484</v>
      </c>
      <c r="E162" s="100">
        <v>-5247000</v>
      </c>
      <c r="F162" s="100">
        <v>-9161000</v>
      </c>
      <c r="G162" s="100">
        <v>-11623000</v>
      </c>
      <c r="H162" s="100"/>
      <c r="I162" s="628">
        <v>-14167000</v>
      </c>
      <c r="J162" s="628">
        <v>-3364000</v>
      </c>
    </row>
    <row r="163" spans="1:10">
      <c r="A163" s="96" t="s">
        <v>817</v>
      </c>
      <c r="B163" s="120" t="s">
        <v>816</v>
      </c>
      <c r="C163" s="100">
        <v>2852964</v>
      </c>
      <c r="D163" s="1319">
        <v>7138055</v>
      </c>
      <c r="E163" s="100">
        <v>6176000</v>
      </c>
      <c r="F163" s="100">
        <v>10669000</v>
      </c>
      <c r="G163" s="100">
        <v>9713000</v>
      </c>
      <c r="H163" s="100"/>
      <c r="I163" s="628">
        <v>8883000</v>
      </c>
      <c r="J163" s="98">
        <v>0</v>
      </c>
    </row>
    <row r="164" spans="1:10">
      <c r="A164" s="96" t="s">
        <v>818</v>
      </c>
      <c r="B164" s="120" t="s">
        <v>816</v>
      </c>
      <c r="C164" s="98">
        <v>0</v>
      </c>
      <c r="D164" s="1319">
        <v>-165000</v>
      </c>
      <c r="E164" s="100">
        <v>-100000</v>
      </c>
      <c r="F164" s="98">
        <v>0</v>
      </c>
      <c r="G164" s="98">
        <v>0</v>
      </c>
      <c r="H164" s="98"/>
      <c r="I164" s="98">
        <v>0</v>
      </c>
      <c r="J164" s="98">
        <v>0</v>
      </c>
    </row>
    <row r="165" spans="1:10">
      <c r="A165" s="96" t="s">
        <v>819</v>
      </c>
      <c r="B165" s="120" t="s">
        <v>816</v>
      </c>
      <c r="C165" s="98">
        <v>0</v>
      </c>
      <c r="D165" s="1319">
        <v>0</v>
      </c>
      <c r="E165" s="98">
        <v>0</v>
      </c>
      <c r="F165" s="98">
        <v>0</v>
      </c>
      <c r="G165" s="98">
        <v>0</v>
      </c>
      <c r="H165" s="98"/>
      <c r="I165" s="98">
        <v>0</v>
      </c>
      <c r="J165" s="98">
        <v>0</v>
      </c>
    </row>
    <row r="166" spans="1:10">
      <c r="A166" s="96" t="s">
        <v>820</v>
      </c>
      <c r="B166" s="120" t="s">
        <v>816</v>
      </c>
      <c r="C166" s="100">
        <v>-46889</v>
      </c>
      <c r="D166" s="1320">
        <v>0</v>
      </c>
      <c r="E166" s="98">
        <v>0</v>
      </c>
      <c r="F166" s="98">
        <v>0</v>
      </c>
      <c r="G166" s="98">
        <v>0</v>
      </c>
      <c r="H166" s="98"/>
      <c r="I166" s="98">
        <v>0</v>
      </c>
      <c r="J166" s="98">
        <v>0</v>
      </c>
    </row>
    <row r="167" spans="1:10">
      <c r="A167" s="96" t="s">
        <v>821</v>
      </c>
      <c r="B167" s="120" t="s">
        <v>816</v>
      </c>
      <c r="C167" s="98">
        <v>0</v>
      </c>
      <c r="D167" s="1319">
        <v>-103304</v>
      </c>
      <c r="E167" s="100">
        <v>-181000</v>
      </c>
      <c r="F167" s="100">
        <v>-321000</v>
      </c>
      <c r="G167" s="100">
        <v>-338000</v>
      </c>
      <c r="H167" s="100"/>
      <c r="I167" s="628">
        <v>-439000</v>
      </c>
      <c r="J167" s="628">
        <v>-502000</v>
      </c>
    </row>
    <row r="168" spans="1:10">
      <c r="A168" s="96" t="s">
        <v>822</v>
      </c>
      <c r="B168" s="120" t="s">
        <v>816</v>
      </c>
      <c r="C168" s="100">
        <v>769709</v>
      </c>
      <c r="D168" s="1320">
        <v>0</v>
      </c>
      <c r="E168" s="98">
        <v>0</v>
      </c>
      <c r="F168" s="98">
        <v>0</v>
      </c>
      <c r="G168" s="98">
        <v>0</v>
      </c>
      <c r="H168" s="98"/>
      <c r="I168" s="98">
        <v>0</v>
      </c>
      <c r="J168" s="98">
        <v>0</v>
      </c>
    </row>
    <row r="169" spans="1:10">
      <c r="A169" s="96" t="s">
        <v>823</v>
      </c>
      <c r="B169" s="120" t="s">
        <v>816</v>
      </c>
      <c r="C169" s="98">
        <v>0</v>
      </c>
      <c r="D169" s="1319">
        <v>511321</v>
      </c>
      <c r="E169" s="100">
        <v>-559000</v>
      </c>
      <c r="F169" s="100">
        <v>-389000</v>
      </c>
      <c r="G169" s="100">
        <v>-240000</v>
      </c>
      <c r="H169" s="100"/>
      <c r="I169" s="628">
        <v>-9000</v>
      </c>
      <c r="J169" s="98">
        <v>0</v>
      </c>
    </row>
    <row r="170" spans="1:10">
      <c r="A170" s="96" t="s">
        <v>824</v>
      </c>
      <c r="B170" s="188" t="s">
        <v>825</v>
      </c>
      <c r="C170" s="100">
        <v>1701734</v>
      </c>
      <c r="D170" s="1319">
        <v>400175</v>
      </c>
      <c r="E170" s="98">
        <v>0</v>
      </c>
      <c r="F170" s="98">
        <v>0</v>
      </c>
      <c r="G170" s="98">
        <v>0</v>
      </c>
      <c r="H170" s="98"/>
      <c r="I170" s="98">
        <v>0</v>
      </c>
      <c r="J170" s="98">
        <v>0</v>
      </c>
    </row>
    <row r="171" spans="1:10">
      <c r="A171" s="96" t="s">
        <v>826</v>
      </c>
      <c r="B171" s="188" t="s">
        <v>825</v>
      </c>
      <c r="C171" s="98">
        <v>0</v>
      </c>
      <c r="D171" s="1320">
        <v>0</v>
      </c>
      <c r="E171" s="98">
        <v>0</v>
      </c>
      <c r="F171" s="100">
        <v>848000</v>
      </c>
      <c r="G171" s="100">
        <v>12269000</v>
      </c>
      <c r="H171" s="100"/>
      <c r="I171" s="98">
        <v>0</v>
      </c>
      <c r="J171" s="98">
        <v>0</v>
      </c>
    </row>
    <row r="172" spans="1:10">
      <c r="A172" s="96" t="s">
        <v>827</v>
      </c>
      <c r="B172" s="188" t="s">
        <v>825</v>
      </c>
      <c r="C172" s="98">
        <v>0</v>
      </c>
      <c r="D172" s="1320">
        <v>0</v>
      </c>
      <c r="E172" s="98">
        <v>0</v>
      </c>
      <c r="F172" s="98">
        <v>0</v>
      </c>
      <c r="G172" s="98">
        <v>0</v>
      </c>
      <c r="H172" s="98"/>
      <c r="I172" s="98">
        <v>0</v>
      </c>
      <c r="J172" s="98">
        <v>0</v>
      </c>
    </row>
    <row r="173" spans="1:10">
      <c r="A173" s="96" t="s">
        <v>828</v>
      </c>
      <c r="B173" s="188" t="s">
        <v>825</v>
      </c>
      <c r="C173" s="100">
        <v>163817</v>
      </c>
      <c r="D173" s="1319">
        <v>259116</v>
      </c>
      <c r="E173" s="100">
        <v>296000</v>
      </c>
      <c r="F173" s="100">
        <v>263000</v>
      </c>
      <c r="G173" s="100">
        <v>417000</v>
      </c>
      <c r="H173" s="100"/>
      <c r="I173" s="628">
        <v>707000</v>
      </c>
      <c r="J173" s="628">
        <v>541000</v>
      </c>
    </row>
    <row r="174" spans="1:10">
      <c r="A174" s="96" t="s">
        <v>829</v>
      </c>
      <c r="B174" s="188" t="s">
        <v>825</v>
      </c>
      <c r="C174" s="100">
        <v>201527</v>
      </c>
      <c r="D174" s="1319">
        <v>789704</v>
      </c>
      <c r="E174" s="100">
        <v>437000</v>
      </c>
      <c r="F174" s="100">
        <v>279000</v>
      </c>
      <c r="G174" s="100">
        <v>24000</v>
      </c>
      <c r="H174" s="100"/>
      <c r="I174" s="628">
        <v>2000</v>
      </c>
      <c r="J174" s="98">
        <v>0</v>
      </c>
    </row>
    <row r="175" spans="1:10">
      <c r="A175" s="96" t="s">
        <v>830</v>
      </c>
      <c r="B175" s="188" t="s">
        <v>825</v>
      </c>
      <c r="C175" s="100">
        <v>-20042</v>
      </c>
      <c r="D175" s="1320">
        <v>0</v>
      </c>
      <c r="E175" s="98">
        <v>0</v>
      </c>
      <c r="F175" s="98">
        <v>0</v>
      </c>
      <c r="G175" s="98">
        <v>0</v>
      </c>
      <c r="H175" s="98"/>
      <c r="I175" s="98">
        <v>0</v>
      </c>
      <c r="J175" s="98">
        <v>0</v>
      </c>
    </row>
    <row r="176" spans="1:10">
      <c r="A176" s="96" t="s">
        <v>831</v>
      </c>
      <c r="B176" s="188" t="s">
        <v>825</v>
      </c>
      <c r="C176" s="98">
        <v>0</v>
      </c>
      <c r="D176" s="1319">
        <v>-63111</v>
      </c>
      <c r="E176" s="98">
        <v>0</v>
      </c>
      <c r="F176" s="98">
        <v>0</v>
      </c>
      <c r="G176" s="98">
        <v>0</v>
      </c>
      <c r="H176" s="98"/>
      <c r="I176" s="98">
        <v>0</v>
      </c>
      <c r="J176" s="98">
        <v>0</v>
      </c>
    </row>
    <row r="177" spans="1:14">
      <c r="A177" s="96" t="s">
        <v>832</v>
      </c>
      <c r="B177" s="120" t="s">
        <v>816</v>
      </c>
      <c r="C177" s="98">
        <v>0</v>
      </c>
      <c r="D177" s="1320">
        <v>0</v>
      </c>
      <c r="E177" s="100">
        <v>-15000</v>
      </c>
      <c r="F177" s="100">
        <v>-37000</v>
      </c>
      <c r="G177" s="100">
        <v>-6000</v>
      </c>
      <c r="H177" s="100"/>
      <c r="I177" s="628">
        <v>-9000</v>
      </c>
      <c r="J177" s="98">
        <v>0</v>
      </c>
    </row>
    <row r="178" spans="1:14" ht="14.5">
      <c r="A178" s="96" t="s">
        <v>833</v>
      </c>
      <c r="B178" s="217" t="s">
        <v>834</v>
      </c>
      <c r="C178" s="98">
        <v>0</v>
      </c>
      <c r="D178" s="1319">
        <v>52883</v>
      </c>
      <c r="E178" s="98">
        <v>0</v>
      </c>
      <c r="F178" s="100">
        <v>174000</v>
      </c>
      <c r="G178" s="98">
        <v>0</v>
      </c>
      <c r="H178" s="98"/>
      <c r="I178" s="98">
        <v>0</v>
      </c>
      <c r="J178" s="98">
        <v>0</v>
      </c>
    </row>
    <row r="179" spans="1:14" ht="14.5">
      <c r="A179" s="96" t="s">
        <v>835</v>
      </c>
      <c r="B179" s="217" t="s">
        <v>834</v>
      </c>
      <c r="C179" s="98">
        <v>0</v>
      </c>
      <c r="D179" s="1319">
        <v>-230385</v>
      </c>
      <c r="E179" s="98">
        <v>0</v>
      </c>
      <c r="F179" s="98">
        <v>0</v>
      </c>
      <c r="G179" s="98">
        <v>0</v>
      </c>
      <c r="H179" s="98"/>
      <c r="I179" s="98">
        <v>0</v>
      </c>
      <c r="J179" s="98">
        <v>0</v>
      </c>
    </row>
    <row r="180" spans="1:14" ht="14.5">
      <c r="A180" s="96" t="s">
        <v>836</v>
      </c>
      <c r="B180" s="215" t="s">
        <v>837</v>
      </c>
      <c r="C180" s="98">
        <v>0</v>
      </c>
      <c r="D180" s="1319">
        <v>-204102</v>
      </c>
      <c r="E180" s="98">
        <v>0</v>
      </c>
      <c r="F180" s="100">
        <v>-476000</v>
      </c>
      <c r="G180" s="98">
        <v>0</v>
      </c>
      <c r="H180" s="98"/>
      <c r="I180" s="98">
        <v>0</v>
      </c>
      <c r="J180" s="98">
        <v>0</v>
      </c>
    </row>
    <row r="181" spans="1:14">
      <c r="A181" s="96" t="s">
        <v>838</v>
      </c>
      <c r="B181" s="188" t="s">
        <v>825</v>
      </c>
      <c r="C181" s="100">
        <v>-21250</v>
      </c>
      <c r="D181" s="1319">
        <v>-261844</v>
      </c>
      <c r="E181" s="100">
        <v>-227000</v>
      </c>
      <c r="F181" s="100">
        <v>-311000</v>
      </c>
      <c r="G181" s="100">
        <v>-208000</v>
      </c>
      <c r="H181" s="100"/>
      <c r="I181" s="628">
        <v>-161000</v>
      </c>
      <c r="J181" s="628">
        <v>-157000</v>
      </c>
    </row>
    <row r="182" spans="1:14" ht="14.5">
      <c r="A182" s="96" t="s">
        <v>839</v>
      </c>
      <c r="B182" s="215" t="s">
        <v>837</v>
      </c>
      <c r="C182" s="98">
        <v>0</v>
      </c>
      <c r="D182" s="1319">
        <v>287213</v>
      </c>
      <c r="E182" s="98">
        <v>0</v>
      </c>
      <c r="F182" s="98">
        <v>0</v>
      </c>
      <c r="G182" s="98">
        <v>0</v>
      </c>
      <c r="H182" s="98"/>
      <c r="I182" s="98">
        <v>0</v>
      </c>
      <c r="J182" s="98">
        <v>0</v>
      </c>
    </row>
    <row r="183" spans="1:14" ht="14.5">
      <c r="A183" s="96" t="s">
        <v>840</v>
      </c>
      <c r="B183" s="215" t="s">
        <v>837</v>
      </c>
      <c r="C183" s="98">
        <v>0</v>
      </c>
      <c r="D183" s="1319">
        <v>-373</v>
      </c>
      <c r="E183" s="100">
        <v>-6000</v>
      </c>
      <c r="F183" s="100">
        <v>-9000</v>
      </c>
      <c r="G183" s="100">
        <v>-35000</v>
      </c>
      <c r="H183" s="100"/>
      <c r="I183" s="628">
        <v>-10000</v>
      </c>
      <c r="J183" s="628">
        <v>-45000</v>
      </c>
    </row>
    <row r="184" spans="1:14" s="5" customFormat="1">
      <c r="A184" s="381" t="s">
        <v>841</v>
      </c>
      <c r="B184" s="381"/>
      <c r="C184" s="223">
        <v>3743976</v>
      </c>
      <c r="D184" s="223">
        <v>4414864</v>
      </c>
      <c r="E184" s="223">
        <v>574000</v>
      </c>
      <c r="F184" s="223">
        <v>1529000</v>
      </c>
      <c r="G184" s="223">
        <v>9973000</v>
      </c>
      <c r="H184" s="223"/>
      <c r="I184" s="649">
        <v>-5203000</v>
      </c>
      <c r="J184" s="649">
        <v>-3527000</v>
      </c>
    </row>
    <row r="185" spans="1:14" s="5" customFormat="1">
      <c r="A185" s="381"/>
      <c r="B185" s="381"/>
      <c r="C185" s="1321">
        <f>SUM(C162:C183)</f>
        <v>3743976</v>
      </c>
      <c r="D185" s="1321">
        <f>SUM(D162:D183)</f>
        <v>4414864</v>
      </c>
      <c r="E185" s="1321">
        <f t="shared" ref="E185:J185" si="7">SUM(E162:E183)</f>
        <v>574000</v>
      </c>
      <c r="F185" s="1321">
        <f t="shared" si="7"/>
        <v>1529000</v>
      </c>
      <c r="G185" s="1321">
        <f t="shared" si="7"/>
        <v>9973000</v>
      </c>
      <c r="H185" s="1321"/>
      <c r="I185" s="1321">
        <f t="shared" si="7"/>
        <v>-5203000</v>
      </c>
      <c r="J185" s="1321">
        <f t="shared" si="7"/>
        <v>-3527000</v>
      </c>
    </row>
    <row r="186" spans="1:14">
      <c r="A186" s="99" t="s">
        <v>842</v>
      </c>
      <c r="B186" s="99"/>
      <c r="C186" s="96"/>
      <c r="D186" s="96"/>
      <c r="E186" s="96"/>
      <c r="F186" s="96"/>
      <c r="G186" s="96"/>
      <c r="H186" s="96"/>
      <c r="I186" s="628"/>
      <c r="J186" s="628"/>
    </row>
    <row r="187" spans="1:14">
      <c r="A187" s="96" t="s">
        <v>843</v>
      </c>
      <c r="B187" s="96"/>
      <c r="C187" s="100">
        <v>-7409</v>
      </c>
      <c r="D187" s="100">
        <v>39455</v>
      </c>
      <c r="E187" s="100">
        <v>-22700</v>
      </c>
      <c r="F187" s="100">
        <v>8000</v>
      </c>
      <c r="G187" s="100">
        <v>334000</v>
      </c>
      <c r="H187" s="100"/>
      <c r="I187" s="628">
        <v>-183000</v>
      </c>
      <c r="J187" s="628">
        <v>-444000</v>
      </c>
    </row>
    <row r="188" spans="1:14">
      <c r="A188" s="96" t="s">
        <v>844</v>
      </c>
      <c r="B188" s="96"/>
      <c r="C188" s="100">
        <v>2532509</v>
      </c>
      <c r="D188" s="100">
        <v>198000</v>
      </c>
      <c r="E188" s="100">
        <v>312000</v>
      </c>
      <c r="F188" s="100">
        <v>2506000</v>
      </c>
      <c r="G188" s="100">
        <v>13118000</v>
      </c>
      <c r="H188" s="100"/>
      <c r="I188" s="628">
        <v>-1757000</v>
      </c>
      <c r="J188" s="628">
        <v>-1220000</v>
      </c>
    </row>
    <row r="192" spans="1:14">
      <c r="A192" s="1966" t="s">
        <v>845</v>
      </c>
      <c r="B192" s="1966"/>
      <c r="C192" s="1966"/>
      <c r="D192" s="1966"/>
      <c r="E192" s="1966"/>
      <c r="F192" s="1966"/>
      <c r="G192" s="1966"/>
      <c r="H192" s="1966"/>
      <c r="I192" s="1966"/>
      <c r="J192" s="1966"/>
      <c r="K192" s="1966"/>
      <c r="L192" s="1966"/>
      <c r="M192" s="1966"/>
      <c r="N192" s="1966"/>
    </row>
    <row r="193" spans="1:11" ht="19.399999999999999" customHeight="1">
      <c r="A193" s="101" t="s">
        <v>653</v>
      </c>
      <c r="B193" s="101"/>
      <c r="C193" s="102" t="s">
        <v>655</v>
      </c>
      <c r="D193" s="102" t="s">
        <v>656</v>
      </c>
      <c r="E193" s="102" t="s">
        <v>657</v>
      </c>
      <c r="F193" s="102" t="s">
        <v>658</v>
      </c>
      <c r="G193" s="102" t="s">
        <v>659</v>
      </c>
      <c r="H193" s="102"/>
      <c r="I193" s="102" t="s">
        <v>660</v>
      </c>
      <c r="J193" s="102" t="s">
        <v>661</v>
      </c>
    </row>
    <row r="194" spans="1:11">
      <c r="A194" s="96" t="s">
        <v>662</v>
      </c>
      <c r="B194" s="96"/>
      <c r="C194" s="97">
        <v>42735</v>
      </c>
      <c r="D194" s="97">
        <v>43100</v>
      </c>
      <c r="E194" s="97">
        <v>43465</v>
      </c>
      <c r="F194" s="97">
        <v>43830</v>
      </c>
      <c r="G194" s="97">
        <v>44196</v>
      </c>
      <c r="H194" s="97"/>
      <c r="I194" s="846">
        <v>44561</v>
      </c>
      <c r="J194" s="846">
        <v>44926</v>
      </c>
    </row>
    <row r="195" spans="1:11">
      <c r="A195" s="96" t="s">
        <v>663</v>
      </c>
      <c r="B195" s="96"/>
      <c r="C195" s="98" t="s">
        <v>189</v>
      </c>
      <c r="D195" s="98" t="s">
        <v>189</v>
      </c>
      <c r="E195" s="98" t="s">
        <v>189</v>
      </c>
      <c r="F195" s="98" t="s">
        <v>189</v>
      </c>
      <c r="G195" s="98" t="s">
        <v>189</v>
      </c>
      <c r="H195" s="98"/>
      <c r="I195" s="98" t="s">
        <v>189</v>
      </c>
      <c r="J195" s="98" t="s">
        <v>189</v>
      </c>
    </row>
    <row r="196" spans="1:11">
      <c r="A196" s="96" t="s">
        <v>665</v>
      </c>
      <c r="B196" s="96"/>
      <c r="C196" s="98" t="s">
        <v>846</v>
      </c>
      <c r="D196" s="98" t="s">
        <v>846</v>
      </c>
      <c r="E196" s="98" t="s">
        <v>846</v>
      </c>
      <c r="F196" s="98" t="s">
        <v>846</v>
      </c>
      <c r="G196" s="98" t="s">
        <v>846</v>
      </c>
      <c r="H196" s="98"/>
      <c r="I196" s="98" t="s">
        <v>846</v>
      </c>
      <c r="J196" s="98" t="s">
        <v>846</v>
      </c>
    </row>
    <row r="197" spans="1:11">
      <c r="A197" s="99" t="s">
        <v>667</v>
      </c>
      <c r="B197" s="99"/>
      <c r="C197" s="96"/>
      <c r="D197" s="96"/>
      <c r="E197" s="96"/>
      <c r="F197" s="96"/>
      <c r="G197" s="96"/>
      <c r="H197" s="96"/>
    </row>
    <row r="198" spans="1:11">
      <c r="A198" s="96" t="s">
        <v>847</v>
      </c>
      <c r="B198" s="96"/>
      <c r="C198" s="100">
        <v>101718623000</v>
      </c>
      <c r="D198" s="98">
        <v>0</v>
      </c>
      <c r="E198" s="98">
        <v>0</v>
      </c>
      <c r="F198" s="100">
        <v>123322352000</v>
      </c>
      <c r="G198" s="100">
        <v>151939966000</v>
      </c>
      <c r="H198" s="100"/>
      <c r="I198" s="100">
        <v>208285029000</v>
      </c>
      <c r="J198" s="100">
        <v>414781240000</v>
      </c>
    </row>
    <row r="199" spans="1:11">
      <c r="A199" s="96" t="s">
        <v>848</v>
      </c>
      <c r="B199" s="96"/>
      <c r="C199" s="98">
        <v>0</v>
      </c>
      <c r="D199" s="100">
        <v>103978963000</v>
      </c>
      <c r="E199" s="100">
        <v>123844780000</v>
      </c>
      <c r="F199" s="98">
        <v>0</v>
      </c>
      <c r="G199" s="98">
        <v>0</v>
      </c>
      <c r="H199" s="98"/>
      <c r="I199" s="100">
        <v>0</v>
      </c>
      <c r="J199" s="100">
        <v>0</v>
      </c>
    </row>
    <row r="200" spans="1:11">
      <c r="A200" s="96" t="s">
        <v>849</v>
      </c>
      <c r="B200" s="96"/>
      <c r="C200" s="98">
        <v>0</v>
      </c>
      <c r="D200" s="98">
        <v>0</v>
      </c>
      <c r="E200" s="100">
        <v>6209927000</v>
      </c>
      <c r="F200" s="100">
        <v>4416171000</v>
      </c>
      <c r="G200" s="100">
        <v>4657725000</v>
      </c>
      <c r="H200" s="100"/>
      <c r="I200" s="100">
        <v>7857366000</v>
      </c>
      <c r="J200" s="100">
        <v>9279395000</v>
      </c>
    </row>
    <row r="201" spans="1:11">
      <c r="A201" s="96" t="s">
        <v>850</v>
      </c>
      <c r="B201" s="96"/>
      <c r="C201" s="100">
        <v>1751374000</v>
      </c>
      <c r="D201" s="100">
        <v>1935739000</v>
      </c>
      <c r="E201" s="98">
        <v>0</v>
      </c>
      <c r="F201" s="98">
        <v>0</v>
      </c>
      <c r="G201" s="98">
        <v>0</v>
      </c>
      <c r="H201" s="98"/>
      <c r="I201" s="100">
        <v>0</v>
      </c>
      <c r="J201" s="100">
        <v>0</v>
      </c>
    </row>
    <row r="202" spans="1:11">
      <c r="A202" s="96" t="s">
        <v>671</v>
      </c>
      <c r="B202" s="96"/>
      <c r="C202" s="100">
        <v>103469997000</v>
      </c>
      <c r="D202" s="100">
        <v>105914702000</v>
      </c>
      <c r="E202" s="100">
        <v>130054707000</v>
      </c>
      <c r="F202" s="100">
        <v>127738523000</v>
      </c>
      <c r="G202" s="100">
        <v>156597691000</v>
      </c>
      <c r="H202" s="100"/>
      <c r="I202" s="100">
        <v>216142392000</v>
      </c>
      <c r="J202" s="19">
        <v>424060635000</v>
      </c>
    </row>
    <row r="203" spans="1:11">
      <c r="A203" s="99" t="s">
        <v>672</v>
      </c>
      <c r="B203" s="99"/>
      <c r="C203" s="96"/>
      <c r="D203" s="96"/>
      <c r="E203" s="96"/>
      <c r="F203" s="96"/>
      <c r="G203" s="96"/>
      <c r="H203" s="96"/>
      <c r="I203" s="100"/>
      <c r="J203" s="19"/>
    </row>
    <row r="204" spans="1:11">
      <c r="A204" s="96" t="s">
        <v>851</v>
      </c>
      <c r="B204" s="96"/>
      <c r="C204" s="100">
        <v>-82400900000</v>
      </c>
      <c r="D204" s="100">
        <v>-85775482000</v>
      </c>
      <c r="E204" s="98">
        <v>0</v>
      </c>
      <c r="F204" s="100">
        <v>-106924288000</v>
      </c>
      <c r="G204" s="100">
        <v>-126251380000</v>
      </c>
      <c r="H204" s="100"/>
      <c r="I204" s="100">
        <v>-187997689000</v>
      </c>
      <c r="J204" s="19">
        <v>-351815680000</v>
      </c>
    </row>
    <row r="205" spans="1:11">
      <c r="A205" s="96" t="s">
        <v>852</v>
      </c>
      <c r="B205" s="96"/>
      <c r="C205" s="98">
        <v>0</v>
      </c>
      <c r="D205" s="98">
        <v>0</v>
      </c>
      <c r="E205" s="100">
        <v>-108725343000</v>
      </c>
      <c r="F205" s="98">
        <v>0</v>
      </c>
      <c r="G205" s="98">
        <v>0</v>
      </c>
      <c r="H205" s="98"/>
      <c r="I205" s="100">
        <v>0</v>
      </c>
      <c r="J205" s="19"/>
    </row>
    <row r="206" spans="1:11">
      <c r="A206" s="96" t="s">
        <v>853</v>
      </c>
      <c r="B206" s="96"/>
      <c r="C206" s="100">
        <v>-1511717000</v>
      </c>
      <c r="D206" s="100">
        <v>-1329477000</v>
      </c>
      <c r="E206" s="100">
        <v>-2145629000</v>
      </c>
      <c r="F206" s="100">
        <v>-1560596000</v>
      </c>
      <c r="G206" s="100">
        <v>-2154415000</v>
      </c>
      <c r="H206" s="100"/>
      <c r="I206" s="100">
        <v>-3034878000</v>
      </c>
      <c r="J206" s="19">
        <v>-7267110000</v>
      </c>
    </row>
    <row r="207" spans="1:11">
      <c r="A207" s="96" t="s">
        <v>854</v>
      </c>
      <c r="B207" s="96"/>
      <c r="C207" s="100">
        <v>-4196339000</v>
      </c>
      <c r="D207" s="100">
        <v>-4925288000</v>
      </c>
      <c r="E207" s="100">
        <v>-4729481000</v>
      </c>
      <c r="F207" s="100">
        <v>-4345897000</v>
      </c>
      <c r="G207" s="100">
        <v>-5055613000</v>
      </c>
      <c r="H207" s="100"/>
      <c r="I207" s="100">
        <v>-6081678000</v>
      </c>
      <c r="J207" s="19">
        <v>-15060676000</v>
      </c>
      <c r="K207">
        <f>(J207+J208)/1000</f>
        <v>-25068046</v>
      </c>
    </row>
    <row r="208" spans="1:11">
      <c r="A208" s="96" t="s">
        <v>855</v>
      </c>
      <c r="B208" s="96"/>
      <c r="C208" s="100">
        <v>-6842635000</v>
      </c>
      <c r="D208" s="100">
        <v>-3046592000</v>
      </c>
      <c r="E208" s="100">
        <v>-3760412000</v>
      </c>
      <c r="F208" s="100">
        <v>-4140997000</v>
      </c>
      <c r="G208" s="100">
        <v>-4321493000</v>
      </c>
      <c r="H208" s="100"/>
      <c r="I208" s="100">
        <v>-5710193000</v>
      </c>
      <c r="J208" s="19">
        <v>-10007370000</v>
      </c>
    </row>
    <row r="209" spans="1:11">
      <c r="A209" s="96" t="s">
        <v>856</v>
      </c>
      <c r="B209" s="96"/>
      <c r="C209" s="98">
        <v>0</v>
      </c>
      <c r="D209" s="100">
        <v>-3739491000</v>
      </c>
      <c r="E209" s="100">
        <v>-4989360000</v>
      </c>
      <c r="F209" s="100">
        <v>-5629372000</v>
      </c>
      <c r="G209" s="100">
        <v>-7464861000</v>
      </c>
      <c r="H209" s="100"/>
      <c r="I209" s="100">
        <v>-7990974000</v>
      </c>
      <c r="J209" s="19">
        <v>-18654453000</v>
      </c>
    </row>
    <row r="210" spans="1:11">
      <c r="A210" s="96" t="s">
        <v>857</v>
      </c>
      <c r="B210" s="96"/>
      <c r="C210" s="98">
        <v>0</v>
      </c>
      <c r="D210" s="100">
        <v>1248535000</v>
      </c>
      <c r="E210" s="100">
        <v>2328459000</v>
      </c>
      <c r="F210" s="100">
        <v>1723678000</v>
      </c>
      <c r="G210" s="100">
        <v>1695227000</v>
      </c>
      <c r="H210" s="100"/>
      <c r="I210" s="100">
        <v>2270196000</v>
      </c>
      <c r="J210" s="19">
        <v>1721136000</v>
      </c>
    </row>
    <row r="211" spans="1:11">
      <c r="A211" s="96" t="s">
        <v>858</v>
      </c>
      <c r="B211" s="96"/>
      <c r="C211" s="100">
        <v>-565731000</v>
      </c>
      <c r="D211" s="100">
        <v>-242586000</v>
      </c>
      <c r="E211" s="98">
        <v>0</v>
      </c>
      <c r="F211" s="98">
        <v>0</v>
      </c>
      <c r="G211" s="98">
        <v>0</v>
      </c>
      <c r="H211" s="98"/>
      <c r="I211" s="100">
        <v>-857475000</v>
      </c>
      <c r="J211" s="100">
        <v>-1386458000</v>
      </c>
    </row>
    <row r="212" spans="1:11">
      <c r="A212" s="96" t="s">
        <v>859</v>
      </c>
      <c r="B212" s="96"/>
      <c r="C212" s="98">
        <v>0</v>
      </c>
      <c r="D212" s="98">
        <v>0</v>
      </c>
      <c r="E212" s="100">
        <v>-686416000</v>
      </c>
      <c r="F212" s="98">
        <v>0</v>
      </c>
      <c r="G212" s="98">
        <v>0</v>
      </c>
      <c r="H212" s="98"/>
      <c r="I212" s="100">
        <v>0</v>
      </c>
      <c r="J212" s="100">
        <v>0</v>
      </c>
    </row>
    <row r="213" spans="1:11">
      <c r="A213" s="96" t="s">
        <v>860</v>
      </c>
      <c r="B213" s="96"/>
      <c r="C213" s="98">
        <v>0</v>
      </c>
      <c r="D213" s="98">
        <v>0</v>
      </c>
      <c r="E213" s="98">
        <v>0</v>
      </c>
      <c r="F213" s="100">
        <v>-496855000</v>
      </c>
      <c r="G213" s="100">
        <v>-951902000</v>
      </c>
      <c r="H213" s="100"/>
      <c r="I213" s="100">
        <v>-388074000</v>
      </c>
      <c r="J213" s="100">
        <v>-989521000</v>
      </c>
      <c r="K213">
        <f>(J211+J213)/1000</f>
        <v>-2375979</v>
      </c>
    </row>
    <row r="214" spans="1:11">
      <c r="A214" s="96" t="s">
        <v>861</v>
      </c>
      <c r="B214" s="96"/>
      <c r="C214" s="98">
        <v>0</v>
      </c>
      <c r="D214" s="98">
        <v>0</v>
      </c>
      <c r="E214" s="100">
        <v>-332080000</v>
      </c>
      <c r="F214" s="98">
        <v>0</v>
      </c>
      <c r="G214" s="98">
        <v>0</v>
      </c>
      <c r="H214" s="98"/>
      <c r="I214" s="100">
        <v>0</v>
      </c>
      <c r="J214" s="100">
        <v>0</v>
      </c>
    </row>
    <row r="215" spans="1:11">
      <c r="A215" s="96" t="s">
        <v>862</v>
      </c>
      <c r="B215" s="96"/>
      <c r="C215" s="98">
        <v>0</v>
      </c>
      <c r="D215" s="98">
        <v>0</v>
      </c>
      <c r="E215" s="98">
        <v>0</v>
      </c>
      <c r="F215" s="100">
        <v>-139176000</v>
      </c>
      <c r="G215" s="100">
        <v>-906530000</v>
      </c>
      <c r="H215" s="100"/>
      <c r="I215" s="100">
        <v>0</v>
      </c>
      <c r="J215" s="100">
        <v>0</v>
      </c>
    </row>
    <row r="216" spans="1:11">
      <c r="A216" s="96" t="s">
        <v>863</v>
      </c>
      <c r="B216" s="96"/>
      <c r="C216" s="100">
        <v>-726027000</v>
      </c>
      <c r="D216" s="100">
        <v>-206053000</v>
      </c>
      <c r="E216" s="98">
        <v>0</v>
      </c>
      <c r="F216" s="98">
        <v>0</v>
      </c>
      <c r="G216" s="98">
        <v>0</v>
      </c>
      <c r="H216" s="98"/>
      <c r="I216" s="100">
        <v>-57134000</v>
      </c>
      <c r="J216" s="100">
        <v>-791903000</v>
      </c>
    </row>
    <row r="217" spans="1:11">
      <c r="A217" s="96" t="s">
        <v>864</v>
      </c>
      <c r="B217" s="96"/>
      <c r="C217" s="98">
        <v>0</v>
      </c>
      <c r="D217" s="98">
        <v>0</v>
      </c>
      <c r="E217" s="100">
        <v>-113353000</v>
      </c>
      <c r="F217" s="98">
        <v>0</v>
      </c>
      <c r="G217" s="98">
        <v>0</v>
      </c>
      <c r="H217" s="98"/>
      <c r="I217" s="100">
        <v>0</v>
      </c>
      <c r="J217" s="100">
        <v>0</v>
      </c>
    </row>
    <row r="218" spans="1:11">
      <c r="A218" s="96" t="s">
        <v>865</v>
      </c>
      <c r="B218" s="96"/>
      <c r="C218" s="98">
        <v>0</v>
      </c>
      <c r="D218" s="98">
        <v>0</v>
      </c>
      <c r="E218" s="98">
        <v>0</v>
      </c>
      <c r="F218" s="100">
        <v>-808695000</v>
      </c>
      <c r="G218" s="100">
        <v>-272810000</v>
      </c>
      <c r="H218" s="100"/>
      <c r="I218" s="100">
        <v>0</v>
      </c>
      <c r="J218" s="100">
        <v>0</v>
      </c>
    </row>
    <row r="219" spans="1:11">
      <c r="A219" s="96" t="s">
        <v>866</v>
      </c>
      <c r="B219" s="96"/>
      <c r="C219" s="100">
        <v>-18207000</v>
      </c>
      <c r="D219" s="100">
        <v>-118166000</v>
      </c>
      <c r="E219" s="98">
        <v>0</v>
      </c>
      <c r="F219" s="98">
        <v>0</v>
      </c>
      <c r="G219" s="98">
        <v>0</v>
      </c>
      <c r="H219" s="98"/>
      <c r="I219" s="100">
        <v>47356000</v>
      </c>
      <c r="J219" s="100">
        <v>126098000</v>
      </c>
    </row>
    <row r="220" spans="1:11">
      <c r="A220" s="96" t="s">
        <v>867</v>
      </c>
      <c r="B220" s="96"/>
      <c r="C220" s="98">
        <v>0</v>
      </c>
      <c r="D220" s="98">
        <v>0</v>
      </c>
      <c r="E220" s="100">
        <v>-5470000</v>
      </c>
      <c r="F220" s="100">
        <v>9749000</v>
      </c>
      <c r="G220" s="100">
        <v>-51267000</v>
      </c>
      <c r="H220" s="100"/>
      <c r="I220" s="100">
        <v>0</v>
      </c>
      <c r="J220" s="100">
        <v>0</v>
      </c>
    </row>
    <row r="221" spans="1:11">
      <c r="A221" s="96" t="s">
        <v>868</v>
      </c>
      <c r="B221" s="96"/>
      <c r="C221" s="100">
        <v>-125452000</v>
      </c>
      <c r="D221" s="98">
        <v>0</v>
      </c>
      <c r="E221" s="100">
        <v>-86050000</v>
      </c>
      <c r="F221" s="100">
        <v>-107479000</v>
      </c>
      <c r="G221" s="100">
        <v>-484846000</v>
      </c>
      <c r="H221" s="100"/>
      <c r="I221" s="100">
        <v>-451643000</v>
      </c>
      <c r="J221" s="100">
        <v>-989064000</v>
      </c>
    </row>
    <row r="222" spans="1:11">
      <c r="A222" s="96" t="s">
        <v>869</v>
      </c>
      <c r="B222" s="96"/>
      <c r="C222" s="100">
        <v>-1222190000</v>
      </c>
      <c r="D222" s="98">
        <v>0</v>
      </c>
      <c r="E222" s="100">
        <v>-2635336000</v>
      </c>
      <c r="F222" s="100">
        <v>-3014032000</v>
      </c>
      <c r="G222" s="100">
        <v>-3762610000</v>
      </c>
      <c r="H222" s="100"/>
      <c r="I222" s="100">
        <v>-1786927000</v>
      </c>
      <c r="J222" s="100">
        <v>1617957000</v>
      </c>
    </row>
    <row r="223" spans="1:11">
      <c r="A223" s="96" t="s">
        <v>870</v>
      </c>
      <c r="B223" s="96"/>
      <c r="C223" s="100">
        <v>844328000</v>
      </c>
      <c r="D223" s="100">
        <v>279030000</v>
      </c>
      <c r="E223" s="100">
        <v>229930000</v>
      </c>
      <c r="F223" s="100">
        <v>226322000</v>
      </c>
      <c r="G223" s="100">
        <v>281660000</v>
      </c>
      <c r="H223" s="100"/>
      <c r="I223" s="100">
        <v>337654000</v>
      </c>
      <c r="J223" s="100">
        <v>526974000</v>
      </c>
    </row>
    <row r="224" spans="1:11">
      <c r="A224" s="96" t="s">
        <v>871</v>
      </c>
      <c r="B224" s="96"/>
      <c r="C224" s="98">
        <v>0</v>
      </c>
      <c r="D224" s="100">
        <v>-2314401000</v>
      </c>
      <c r="E224" s="98">
        <v>0</v>
      </c>
      <c r="F224" s="98">
        <v>0</v>
      </c>
      <c r="G224" s="98">
        <v>0</v>
      </c>
      <c r="H224" s="98"/>
      <c r="I224" s="100">
        <v>0</v>
      </c>
      <c r="J224" s="100">
        <v>0</v>
      </c>
    </row>
    <row r="225" spans="1:14">
      <c r="A225" s="96" t="s">
        <v>872</v>
      </c>
      <c r="B225" s="96"/>
      <c r="C225" s="98">
        <v>0</v>
      </c>
      <c r="D225" s="100">
        <v>-68940000</v>
      </c>
      <c r="E225" s="98">
        <v>0</v>
      </c>
      <c r="F225" s="98">
        <v>0</v>
      </c>
      <c r="G225" s="98">
        <v>0</v>
      </c>
      <c r="H225" s="98"/>
      <c r="I225" s="100">
        <v>0</v>
      </c>
      <c r="J225" s="100">
        <v>0</v>
      </c>
    </row>
    <row r="226" spans="1:14">
      <c r="A226" s="96" t="s">
        <v>873</v>
      </c>
      <c r="B226" s="96"/>
      <c r="C226" s="100">
        <v>-136717000</v>
      </c>
      <c r="D226" s="100">
        <v>-55150000</v>
      </c>
      <c r="E226" s="98">
        <v>0</v>
      </c>
      <c r="F226" s="98">
        <v>0</v>
      </c>
      <c r="G226" s="98">
        <v>0</v>
      </c>
      <c r="H226" s="98"/>
      <c r="I226" s="100">
        <v>77067000</v>
      </c>
      <c r="J226" s="100">
        <v>-10386000</v>
      </c>
    </row>
    <row r="227" spans="1:14">
      <c r="A227" s="96" t="s">
        <v>874</v>
      </c>
      <c r="B227" s="96"/>
      <c r="C227" s="98">
        <v>0</v>
      </c>
      <c r="D227" s="98">
        <v>0</v>
      </c>
      <c r="E227" s="100">
        <v>-18526000</v>
      </c>
      <c r="F227" s="98">
        <v>0</v>
      </c>
      <c r="G227" s="98">
        <v>0</v>
      </c>
      <c r="H227" s="98"/>
      <c r="I227" s="100">
        <v>0</v>
      </c>
      <c r="J227" s="100">
        <v>0</v>
      </c>
    </row>
    <row r="228" spans="1:14">
      <c r="A228" s="96" t="s">
        <v>875</v>
      </c>
      <c r="B228" s="96"/>
      <c r="C228" s="98">
        <v>0</v>
      </c>
      <c r="D228" s="98">
        <v>0</v>
      </c>
      <c r="E228" s="98">
        <v>0</v>
      </c>
      <c r="F228" s="100">
        <v>-99754000</v>
      </c>
      <c r="G228" s="100">
        <v>-14264000</v>
      </c>
      <c r="H228" s="100"/>
      <c r="I228" s="100">
        <v>0</v>
      </c>
      <c r="J228" s="100">
        <v>0</v>
      </c>
    </row>
    <row r="229" spans="1:14">
      <c r="A229" s="96" t="s">
        <v>679</v>
      </c>
      <c r="B229" s="96"/>
      <c r="C229" s="100">
        <v>6568410000</v>
      </c>
      <c r="D229" s="100">
        <v>5620641000</v>
      </c>
      <c r="E229" s="100">
        <v>4385640000</v>
      </c>
      <c r="F229" s="100">
        <v>2431131000</v>
      </c>
      <c r="G229" s="100">
        <v>6882587000</v>
      </c>
      <c r="H229" s="100"/>
      <c r="I229" s="100">
        <v>4518003000</v>
      </c>
      <c r="J229" s="100">
        <v>21079729000</v>
      </c>
    </row>
    <row r="230" spans="1:14">
      <c r="A230" s="99" t="s">
        <v>680</v>
      </c>
      <c r="B230" s="99"/>
      <c r="C230" s="96"/>
      <c r="D230" s="96"/>
      <c r="E230" s="96"/>
      <c r="F230" s="96"/>
      <c r="G230" s="96"/>
      <c r="H230" s="96"/>
      <c r="I230" s="100"/>
      <c r="J230" s="19"/>
    </row>
    <row r="231" spans="1:14">
      <c r="A231" s="96" t="s">
        <v>681</v>
      </c>
      <c r="B231" s="96"/>
      <c r="C231" s="100">
        <v>-1088398000</v>
      </c>
      <c r="D231" s="100">
        <v>-703705000</v>
      </c>
      <c r="E231" s="100">
        <v>-829447000</v>
      </c>
      <c r="F231" s="100">
        <v>-312274000</v>
      </c>
      <c r="G231" s="100">
        <v>-868624000</v>
      </c>
      <c r="H231" s="100"/>
      <c r="I231" s="100">
        <v>-550737000</v>
      </c>
      <c r="J231" s="100">
        <v>-3366625000</v>
      </c>
    </row>
    <row r="232" spans="1:14">
      <c r="A232" s="96" t="s">
        <v>682</v>
      </c>
      <c r="B232" s="96"/>
      <c r="C232" s="100">
        <v>-427858000</v>
      </c>
      <c r="D232" s="100">
        <v>-850458000</v>
      </c>
      <c r="E232" s="100">
        <v>-775999000</v>
      </c>
      <c r="F232" s="100">
        <v>-504407000</v>
      </c>
      <c r="G232" s="100">
        <v>-1779696000</v>
      </c>
      <c r="H232" s="100"/>
      <c r="I232" s="100">
        <v>-922078000</v>
      </c>
      <c r="J232" s="100">
        <v>-1090656000</v>
      </c>
    </row>
    <row r="233" spans="1:14">
      <c r="A233" s="96" t="s">
        <v>683</v>
      </c>
      <c r="B233" s="96"/>
      <c r="C233" s="100">
        <v>5052154000</v>
      </c>
      <c r="D233" s="100">
        <v>4066478000</v>
      </c>
      <c r="E233" s="100">
        <v>2780194000</v>
      </c>
      <c r="F233" s="100">
        <v>1614450000</v>
      </c>
      <c r="G233" s="100">
        <v>4234267000</v>
      </c>
      <c r="H233" s="100"/>
      <c r="I233" s="100">
        <v>3045188000</v>
      </c>
      <c r="J233" s="100">
        <v>16622448000</v>
      </c>
    </row>
    <row r="234" spans="1:14">
      <c r="A234" s="99" t="s">
        <v>687</v>
      </c>
      <c r="B234" s="99"/>
      <c r="C234" s="96"/>
      <c r="D234" s="96"/>
      <c r="E234" s="96"/>
      <c r="F234" s="96"/>
      <c r="G234" s="96"/>
      <c r="H234" s="96"/>
      <c r="I234" s="100"/>
      <c r="J234" s="19"/>
    </row>
    <row r="235" spans="1:14">
      <c r="A235" s="96" t="s">
        <v>689</v>
      </c>
      <c r="B235" s="96"/>
      <c r="C235" s="100">
        <v>5849534000</v>
      </c>
      <c r="D235" s="100">
        <v>5410551000</v>
      </c>
      <c r="E235" s="100">
        <v>4241760000</v>
      </c>
      <c r="F235" s="100">
        <v>2312288000</v>
      </c>
      <c r="G235" s="100">
        <v>7085773000</v>
      </c>
      <c r="H235" s="100"/>
      <c r="I235" s="100">
        <v>4631992000</v>
      </c>
      <c r="J235" s="100">
        <v>21541819000</v>
      </c>
    </row>
    <row r="236" spans="1:14">
      <c r="A236" s="96" t="s">
        <v>690</v>
      </c>
      <c r="B236" s="96"/>
      <c r="C236" s="100">
        <v>1.88</v>
      </c>
      <c r="D236" s="100">
        <v>1.4</v>
      </c>
      <c r="E236" s="100">
        <v>0.93</v>
      </c>
      <c r="F236" s="100">
        <v>0.5</v>
      </c>
      <c r="G236" s="100">
        <v>1.47</v>
      </c>
      <c r="H236" s="100"/>
      <c r="I236">
        <v>1.06</v>
      </c>
      <c r="J236" s="652">
        <v>5.71</v>
      </c>
    </row>
    <row r="237" spans="1:14">
      <c r="A237" s="96" t="s">
        <v>691</v>
      </c>
      <c r="B237" s="96"/>
      <c r="C237" s="100">
        <v>1.88</v>
      </c>
      <c r="D237" s="100">
        <v>1.4</v>
      </c>
      <c r="E237" s="100">
        <v>0.93</v>
      </c>
      <c r="F237" s="100">
        <v>0.5</v>
      </c>
      <c r="G237" s="100">
        <v>1.47</v>
      </c>
      <c r="H237" s="100"/>
      <c r="I237">
        <v>1.06</v>
      </c>
      <c r="J237" s="652">
        <v>5.71</v>
      </c>
    </row>
    <row r="238" spans="1:14">
      <c r="J238" s="19"/>
    </row>
    <row r="240" spans="1:14">
      <c r="A240" s="1966" t="s">
        <v>876</v>
      </c>
      <c r="B240" s="1966"/>
      <c r="C240" s="1966"/>
      <c r="D240" s="1966"/>
      <c r="E240" s="1966"/>
      <c r="F240" s="1966"/>
      <c r="G240" s="1966"/>
      <c r="H240" s="1966"/>
      <c r="I240" s="1966"/>
      <c r="J240" s="1966"/>
      <c r="K240" s="1966"/>
      <c r="L240" s="1966"/>
      <c r="M240" s="1966"/>
      <c r="N240" s="1966"/>
    </row>
    <row r="241" spans="1:10" ht="15" customHeight="1">
      <c r="A241" s="101" t="s">
        <v>653</v>
      </c>
      <c r="B241" s="101"/>
      <c r="C241" s="102" t="s">
        <v>655</v>
      </c>
      <c r="D241" s="102" t="s">
        <v>656</v>
      </c>
      <c r="E241" s="102" t="s">
        <v>657</v>
      </c>
      <c r="F241" s="102" t="s">
        <v>658</v>
      </c>
      <c r="G241" s="102" t="s">
        <v>659</v>
      </c>
      <c r="H241" s="102"/>
      <c r="I241" s="102" t="s">
        <v>660</v>
      </c>
      <c r="J241" s="102" t="s">
        <v>661</v>
      </c>
    </row>
    <row r="242" spans="1:10">
      <c r="A242" s="96" t="s">
        <v>662</v>
      </c>
      <c r="B242" s="96"/>
      <c r="C242" s="97">
        <v>42735</v>
      </c>
      <c r="D242" s="97">
        <v>43100</v>
      </c>
      <c r="E242" s="97">
        <v>43465</v>
      </c>
      <c r="F242" s="97">
        <v>43830</v>
      </c>
      <c r="G242" s="97">
        <v>44196</v>
      </c>
      <c r="H242" s="97"/>
      <c r="I242" s="908">
        <v>44561</v>
      </c>
      <c r="J242" s="908">
        <v>44926</v>
      </c>
    </row>
    <row r="243" spans="1:10">
      <c r="A243" s="96" t="s">
        <v>663</v>
      </c>
      <c r="B243" s="96"/>
      <c r="C243" s="98" t="s">
        <v>189</v>
      </c>
      <c r="D243" s="98" t="s">
        <v>189</v>
      </c>
      <c r="E243" s="98" t="s">
        <v>189</v>
      </c>
      <c r="F243" s="98" t="s">
        <v>189</v>
      </c>
      <c r="G243" s="98" t="s">
        <v>189</v>
      </c>
      <c r="H243" s="98"/>
      <c r="I243" s="98" t="s">
        <v>189</v>
      </c>
      <c r="J243" s="98" t="s">
        <v>189</v>
      </c>
    </row>
    <row r="244" spans="1:10">
      <c r="A244" s="96" t="s">
        <v>665</v>
      </c>
      <c r="B244" s="96"/>
      <c r="C244" s="98" t="s">
        <v>846</v>
      </c>
      <c r="D244" s="98" t="s">
        <v>846</v>
      </c>
      <c r="E244" s="98" t="s">
        <v>846</v>
      </c>
      <c r="F244" s="98" t="s">
        <v>846</v>
      </c>
      <c r="G244" s="98" t="s">
        <v>846</v>
      </c>
      <c r="H244" s="98"/>
      <c r="I244" s="98" t="s">
        <v>846</v>
      </c>
      <c r="J244" s="98" t="s">
        <v>846</v>
      </c>
    </row>
    <row r="245" spans="1:10">
      <c r="A245" s="99" t="s">
        <v>693</v>
      </c>
      <c r="B245" s="99"/>
      <c r="C245" s="96"/>
      <c r="D245" s="96"/>
      <c r="E245" s="96"/>
      <c r="F245" s="96"/>
      <c r="G245" s="96"/>
      <c r="H245" s="96"/>
    </row>
    <row r="246" spans="1:10">
      <c r="A246" s="96" t="s">
        <v>694</v>
      </c>
      <c r="B246" s="96" t="s">
        <v>877</v>
      </c>
      <c r="C246" s="100">
        <v>7693666000</v>
      </c>
      <c r="D246" s="100">
        <v>9902690000</v>
      </c>
      <c r="E246" s="100">
        <v>13052095000</v>
      </c>
      <c r="F246" s="100">
        <v>12650083000</v>
      </c>
      <c r="G246" s="100">
        <v>14445030000</v>
      </c>
      <c r="H246" s="100"/>
      <c r="I246" s="100">
        <v>50457097000</v>
      </c>
      <c r="J246" s="100">
        <v>51471263000</v>
      </c>
    </row>
    <row r="247" spans="1:10">
      <c r="A247" s="96" t="s">
        <v>878</v>
      </c>
      <c r="B247" s="96" t="s">
        <v>877</v>
      </c>
      <c r="C247" s="98">
        <v>0</v>
      </c>
      <c r="D247" s="98">
        <v>0</v>
      </c>
      <c r="E247" s="100">
        <v>451000</v>
      </c>
      <c r="F247" s="98">
        <v>0</v>
      </c>
      <c r="G247" s="98">
        <v>0</v>
      </c>
      <c r="H247" s="98"/>
      <c r="I247" s="98">
        <v>0</v>
      </c>
      <c r="J247" s="98">
        <v>0</v>
      </c>
    </row>
    <row r="248" spans="1:10">
      <c r="A248" s="96" t="s">
        <v>879</v>
      </c>
      <c r="B248" s="96" t="s">
        <v>877</v>
      </c>
      <c r="C248" s="98">
        <v>0</v>
      </c>
      <c r="D248" s="100">
        <v>1095000</v>
      </c>
      <c r="E248" s="98">
        <v>0</v>
      </c>
      <c r="F248" s="100">
        <v>34345000</v>
      </c>
      <c r="G248" s="100">
        <v>24000</v>
      </c>
      <c r="H248" s="100"/>
      <c r="I248" s="100">
        <v>5606052000</v>
      </c>
      <c r="J248" s="100">
        <v>20626930000</v>
      </c>
    </row>
    <row r="249" spans="1:10" ht="14.5">
      <c r="A249" s="96" t="s">
        <v>695</v>
      </c>
      <c r="B249" s="215" t="s">
        <v>880</v>
      </c>
      <c r="C249" s="100">
        <v>41768002000</v>
      </c>
      <c r="D249" s="100">
        <v>51880681000</v>
      </c>
      <c r="E249" s="100">
        <v>49283534000</v>
      </c>
      <c r="F249" s="100">
        <v>43933795000</v>
      </c>
      <c r="G249" s="100">
        <v>41216427000</v>
      </c>
      <c r="H249" s="100"/>
      <c r="I249" s="100">
        <v>36251280000</v>
      </c>
      <c r="J249" s="100">
        <v>38828494000</v>
      </c>
    </row>
    <row r="250" spans="1:10" ht="14.5">
      <c r="A250" s="96" t="s">
        <v>881</v>
      </c>
      <c r="B250" s="215" t="s">
        <v>880</v>
      </c>
      <c r="C250" s="100">
        <v>6362378000</v>
      </c>
      <c r="D250" s="100">
        <v>6973003000</v>
      </c>
      <c r="E250" s="98">
        <v>0</v>
      </c>
      <c r="F250" s="98">
        <v>0</v>
      </c>
      <c r="G250" s="98">
        <v>0</v>
      </c>
      <c r="H250" s="98"/>
      <c r="I250" s="100">
        <v>0</v>
      </c>
      <c r="J250" s="100">
        <v>0</v>
      </c>
    </row>
    <row r="251" spans="1:10" ht="14.5">
      <c r="A251" s="96" t="s">
        <v>882</v>
      </c>
      <c r="B251" s="215" t="s">
        <v>880</v>
      </c>
      <c r="C251" s="98">
        <v>0</v>
      </c>
      <c r="D251" s="98">
        <v>0</v>
      </c>
      <c r="E251" s="100">
        <v>7773025000</v>
      </c>
      <c r="F251" s="100">
        <v>7009379000</v>
      </c>
      <c r="G251" s="100">
        <v>8862340000</v>
      </c>
      <c r="H251" s="100"/>
      <c r="I251" s="100">
        <v>8743126000</v>
      </c>
      <c r="J251" s="100">
        <v>12894284000</v>
      </c>
    </row>
    <row r="252" spans="1:10" ht="14.5">
      <c r="A252" s="96" t="s">
        <v>883</v>
      </c>
      <c r="B252" s="215" t="s">
        <v>880</v>
      </c>
      <c r="C252" s="98">
        <v>0</v>
      </c>
      <c r="D252" s="98">
        <v>0</v>
      </c>
      <c r="E252" s="100">
        <v>6300286000</v>
      </c>
      <c r="F252" s="100">
        <v>6986619000</v>
      </c>
      <c r="G252" s="100">
        <v>5346105000</v>
      </c>
      <c r="H252" s="100"/>
      <c r="I252" s="100">
        <v>8493382000</v>
      </c>
      <c r="J252" s="100">
        <v>13552998000</v>
      </c>
    </row>
    <row r="253" spans="1:10" ht="14.5">
      <c r="A253" s="96" t="s">
        <v>884</v>
      </c>
      <c r="B253" s="215" t="s">
        <v>880</v>
      </c>
      <c r="C253" s="100">
        <v>563215000</v>
      </c>
      <c r="D253" s="100">
        <v>825499000</v>
      </c>
      <c r="E253" s="100">
        <v>1010378000</v>
      </c>
      <c r="F253" s="100">
        <v>1561194000</v>
      </c>
      <c r="G253" s="100">
        <v>1050686000</v>
      </c>
      <c r="H253" s="100"/>
      <c r="I253" s="100">
        <v>1410751000</v>
      </c>
      <c r="J253" s="100">
        <v>1910009000</v>
      </c>
    </row>
    <row r="254" spans="1:10">
      <c r="A254" s="96" t="s">
        <v>789</v>
      </c>
      <c r="B254" s="96"/>
      <c r="C254" s="100">
        <v>17378439000</v>
      </c>
      <c r="D254" s="100">
        <v>19872804000</v>
      </c>
      <c r="E254" s="100">
        <v>26330345000</v>
      </c>
      <c r="F254" s="100">
        <v>25571564000</v>
      </c>
      <c r="G254" s="100">
        <v>31396358000</v>
      </c>
      <c r="H254" s="100"/>
      <c r="I254" s="100">
        <v>43354782000</v>
      </c>
      <c r="J254" s="100">
        <v>79107199000</v>
      </c>
    </row>
    <row r="255" spans="1:10">
      <c r="A255" s="96" t="s">
        <v>885</v>
      </c>
      <c r="B255" s="96" t="s">
        <v>885</v>
      </c>
      <c r="C255" s="100">
        <v>3786404000</v>
      </c>
      <c r="D255" s="100">
        <v>11089839000</v>
      </c>
      <c r="E255" s="100">
        <v>8371352000</v>
      </c>
      <c r="F255" s="100">
        <v>7796357000</v>
      </c>
      <c r="G255" s="100">
        <v>7312937000</v>
      </c>
      <c r="H255" s="100"/>
      <c r="I255" s="100">
        <v>8525475000</v>
      </c>
      <c r="J255" s="100">
        <v>13136201000</v>
      </c>
    </row>
    <row r="256" spans="1:10">
      <c r="A256" s="96" t="s">
        <v>886</v>
      </c>
      <c r="B256" s="96" t="s">
        <v>885</v>
      </c>
      <c r="C256" s="100">
        <v>205939000</v>
      </c>
      <c r="D256" s="100">
        <v>848811000</v>
      </c>
      <c r="E256" s="100">
        <v>358822000</v>
      </c>
      <c r="F256" s="100">
        <v>362761000</v>
      </c>
      <c r="G256" s="100">
        <v>724350000</v>
      </c>
      <c r="H256" s="100"/>
      <c r="I256" s="100">
        <v>2036577000</v>
      </c>
      <c r="J256" s="100">
        <v>8223567000</v>
      </c>
    </row>
    <row r="257" spans="1:11">
      <c r="A257" s="96" t="s">
        <v>887</v>
      </c>
      <c r="B257" s="96" t="s">
        <v>885</v>
      </c>
      <c r="C257" s="100">
        <v>482038000</v>
      </c>
      <c r="D257" s="100">
        <v>1289970000</v>
      </c>
      <c r="E257" s="100">
        <v>2730287000</v>
      </c>
      <c r="F257" s="98">
        <v>0</v>
      </c>
      <c r="G257" s="98">
        <v>0</v>
      </c>
      <c r="H257" s="98"/>
      <c r="I257" s="100">
        <v>0</v>
      </c>
      <c r="J257" s="100">
        <v>0</v>
      </c>
    </row>
    <row r="258" spans="1:11">
      <c r="A258" s="96" t="s">
        <v>888</v>
      </c>
      <c r="B258" s="96" t="s">
        <v>885</v>
      </c>
      <c r="C258" s="98">
        <v>0</v>
      </c>
      <c r="D258" s="98">
        <v>0</v>
      </c>
      <c r="E258" s="98">
        <v>0</v>
      </c>
      <c r="F258" s="100">
        <v>1060508000</v>
      </c>
      <c r="G258" s="100">
        <v>1250853000</v>
      </c>
      <c r="H258" s="100"/>
      <c r="I258" s="100">
        <v>1231667000</v>
      </c>
      <c r="J258" s="100">
        <v>1052562000</v>
      </c>
    </row>
    <row r="259" spans="1:11">
      <c r="A259" s="96" t="s">
        <v>699</v>
      </c>
      <c r="B259" s="96"/>
      <c r="C259" s="100">
        <v>78240081000</v>
      </c>
      <c r="D259" s="100">
        <v>102684392000</v>
      </c>
      <c r="E259" s="100">
        <v>115210575000</v>
      </c>
      <c r="F259" s="100">
        <v>106966605000</v>
      </c>
      <c r="G259" s="100">
        <v>111605110000</v>
      </c>
      <c r="H259" s="100"/>
      <c r="I259" s="100">
        <v>166110189000</v>
      </c>
      <c r="J259" s="100">
        <v>240803507000</v>
      </c>
      <c r="K259" s="628"/>
    </row>
    <row r="260" spans="1:11">
      <c r="A260" s="99" t="s">
        <v>700</v>
      </c>
      <c r="B260" s="99"/>
      <c r="C260" s="96"/>
      <c r="D260" s="96"/>
      <c r="E260" s="96"/>
      <c r="F260" s="96"/>
      <c r="G260" s="96"/>
      <c r="H260" s="96"/>
      <c r="I260" s="100"/>
    </row>
    <row r="261" spans="1:11">
      <c r="A261" s="96" t="s">
        <v>889</v>
      </c>
      <c r="B261" s="96" t="s">
        <v>702</v>
      </c>
      <c r="C261" s="98">
        <v>0</v>
      </c>
      <c r="D261" s="100">
        <v>7735909000</v>
      </c>
      <c r="E261" s="100">
        <v>9683773000</v>
      </c>
      <c r="F261" s="100">
        <v>10674847000</v>
      </c>
      <c r="G261" s="100">
        <v>6111767000</v>
      </c>
      <c r="H261" s="100"/>
      <c r="I261" s="100">
        <v>20277309000</v>
      </c>
      <c r="J261" s="100">
        <v>44621935000</v>
      </c>
    </row>
    <row r="262" spans="1:11">
      <c r="A262" s="96" t="s">
        <v>890</v>
      </c>
      <c r="B262" s="96" t="s">
        <v>702</v>
      </c>
      <c r="C262" s="100">
        <v>4565424000</v>
      </c>
      <c r="D262" s="98">
        <v>0</v>
      </c>
      <c r="E262" s="98">
        <v>0</v>
      </c>
      <c r="F262" s="98">
        <v>0</v>
      </c>
      <c r="G262" s="98">
        <v>0</v>
      </c>
      <c r="H262" s="98"/>
      <c r="I262" s="100">
        <v>0</v>
      </c>
      <c r="J262" s="100">
        <v>0</v>
      </c>
    </row>
    <row r="263" spans="1:11">
      <c r="A263" s="96" t="s">
        <v>891</v>
      </c>
      <c r="B263" s="96" t="s">
        <v>702</v>
      </c>
      <c r="C263" s="98">
        <v>0</v>
      </c>
      <c r="D263" s="98">
        <v>0</v>
      </c>
      <c r="E263" s="98">
        <v>0</v>
      </c>
      <c r="F263" s="100">
        <v>730490000</v>
      </c>
      <c r="G263" s="100">
        <v>945745000</v>
      </c>
      <c r="H263" s="100"/>
      <c r="I263" s="100">
        <v>1573232000</v>
      </c>
      <c r="J263" s="100">
        <v>3137327000</v>
      </c>
    </row>
    <row r="264" spans="1:11">
      <c r="A264" s="1426" t="s">
        <v>892</v>
      </c>
      <c r="B264" s="96" t="s">
        <v>702</v>
      </c>
      <c r="C264" s="100">
        <v>37483211000</v>
      </c>
      <c r="D264" s="100">
        <v>43244815000</v>
      </c>
      <c r="E264" s="100">
        <v>43678630000</v>
      </c>
      <c r="F264" s="100">
        <v>49443360000</v>
      </c>
      <c r="G264" s="100">
        <v>54584620000</v>
      </c>
      <c r="H264" s="100"/>
      <c r="I264" s="100">
        <v>61221365000</v>
      </c>
      <c r="J264" s="100">
        <v>131880369000</v>
      </c>
    </row>
    <row r="265" spans="1:11">
      <c r="A265" s="1426" t="s">
        <v>893</v>
      </c>
      <c r="B265" s="96" t="s">
        <v>702</v>
      </c>
      <c r="C265" s="100">
        <v>4391521000</v>
      </c>
      <c r="D265" s="98">
        <v>0</v>
      </c>
      <c r="E265" s="98">
        <v>0</v>
      </c>
      <c r="F265" s="98">
        <v>0</v>
      </c>
      <c r="G265" s="98">
        <v>0</v>
      </c>
      <c r="H265" s="98"/>
      <c r="I265" s="100">
        <v>0</v>
      </c>
      <c r="J265" s="100">
        <v>0</v>
      </c>
    </row>
    <row r="266" spans="1:11">
      <c r="A266" s="96" t="s">
        <v>894</v>
      </c>
      <c r="B266" s="96" t="s">
        <v>895</v>
      </c>
      <c r="C266" s="100">
        <v>2244758000</v>
      </c>
      <c r="D266" s="100">
        <v>3064911000</v>
      </c>
      <c r="E266" s="100">
        <v>3560880000</v>
      </c>
      <c r="F266" s="100">
        <v>4060175000</v>
      </c>
      <c r="G266" s="100">
        <v>5465588000</v>
      </c>
      <c r="H266" s="100"/>
      <c r="I266" s="100">
        <v>7905001000</v>
      </c>
      <c r="J266" s="100">
        <v>15485402000</v>
      </c>
    </row>
    <row r="267" spans="1:11">
      <c r="A267" s="96" t="s">
        <v>896</v>
      </c>
      <c r="B267" s="96" t="s">
        <v>895</v>
      </c>
      <c r="C267" s="98">
        <v>0</v>
      </c>
      <c r="D267" s="98">
        <v>0</v>
      </c>
      <c r="E267" s="100">
        <v>83509000</v>
      </c>
      <c r="F267" s="100">
        <v>46608000</v>
      </c>
      <c r="G267" s="100">
        <v>284896000</v>
      </c>
      <c r="H267" s="100"/>
      <c r="I267" s="100">
        <v>233972000</v>
      </c>
      <c r="J267" s="100">
        <v>2147140000</v>
      </c>
    </row>
    <row r="268" spans="1:11">
      <c r="A268" s="96" t="s">
        <v>897</v>
      </c>
      <c r="B268" s="96" t="s">
        <v>895</v>
      </c>
      <c r="C268" s="100">
        <v>3225238000</v>
      </c>
      <c r="D268" s="100">
        <v>4185460000</v>
      </c>
      <c r="E268" s="98">
        <v>0</v>
      </c>
      <c r="F268" s="98">
        <v>0</v>
      </c>
      <c r="G268" s="98">
        <v>0</v>
      </c>
      <c r="H268" s="98"/>
      <c r="I268" s="100">
        <v>0</v>
      </c>
      <c r="J268" s="100">
        <v>0</v>
      </c>
    </row>
    <row r="269" spans="1:11">
      <c r="A269" s="96" t="s">
        <v>898</v>
      </c>
      <c r="B269" s="96" t="s">
        <v>895</v>
      </c>
      <c r="C269" s="98">
        <v>0</v>
      </c>
      <c r="D269" s="98">
        <v>0</v>
      </c>
      <c r="E269" s="100">
        <v>1620969000</v>
      </c>
      <c r="F269" s="100">
        <v>1922304000</v>
      </c>
      <c r="G269" s="100">
        <v>1420080000</v>
      </c>
      <c r="H269" s="100"/>
      <c r="I269" s="100">
        <v>2913836000</v>
      </c>
      <c r="J269" s="100">
        <v>4418584000</v>
      </c>
    </row>
    <row r="270" spans="1:11">
      <c r="A270" s="96" t="s">
        <v>899</v>
      </c>
      <c r="B270" s="96"/>
      <c r="C270" s="100">
        <v>1448262000</v>
      </c>
      <c r="D270" s="100">
        <v>1580032000</v>
      </c>
      <c r="E270" s="100">
        <v>1388314000</v>
      </c>
      <c r="F270" s="100">
        <v>1514934000</v>
      </c>
      <c r="G270" s="100">
        <v>1768975000</v>
      </c>
      <c r="H270" s="100"/>
      <c r="I270" s="100">
        <v>1913316000</v>
      </c>
      <c r="J270" s="100">
        <v>3686905000</v>
      </c>
    </row>
    <row r="271" spans="1:11">
      <c r="A271" s="96" t="s">
        <v>900</v>
      </c>
      <c r="B271" s="96"/>
      <c r="C271" s="100">
        <v>253668000</v>
      </c>
      <c r="D271" s="100">
        <v>1049938000</v>
      </c>
      <c r="E271" s="100">
        <v>2134405000</v>
      </c>
      <c r="F271" s="100">
        <v>1240340000</v>
      </c>
      <c r="G271" s="100">
        <v>1804913000</v>
      </c>
      <c r="H271" s="100"/>
      <c r="I271" s="100">
        <v>1170058000</v>
      </c>
      <c r="J271" s="100">
        <v>1118637000</v>
      </c>
    </row>
    <row r="272" spans="1:11" ht="14.5">
      <c r="A272" s="96" t="s">
        <v>713</v>
      </c>
      <c r="B272" s="869" t="s">
        <v>713</v>
      </c>
      <c r="C272" s="100">
        <v>65914000</v>
      </c>
      <c r="D272" s="100">
        <v>65914000</v>
      </c>
      <c r="E272" s="100">
        <v>65914000</v>
      </c>
      <c r="F272" s="100">
        <v>65914000</v>
      </c>
      <c r="G272" s="100">
        <v>65914000</v>
      </c>
      <c r="H272" s="100"/>
      <c r="I272" s="100">
        <v>65914000</v>
      </c>
      <c r="J272" s="100">
        <v>65914000</v>
      </c>
    </row>
    <row r="273" spans="1:11" ht="14.5">
      <c r="A273" s="1426" t="s">
        <v>901</v>
      </c>
      <c r="B273" s="869" t="s">
        <v>902</v>
      </c>
      <c r="C273" s="100">
        <v>8946267000</v>
      </c>
      <c r="D273" s="100">
        <v>10098178000</v>
      </c>
      <c r="E273" s="100">
        <v>11313829000</v>
      </c>
      <c r="F273" s="100">
        <v>12650308000</v>
      </c>
      <c r="G273" s="100">
        <v>11804174000</v>
      </c>
      <c r="H273" s="100"/>
      <c r="I273" s="100">
        <v>17104942000</v>
      </c>
      <c r="J273" s="100">
        <v>23223497000</v>
      </c>
    </row>
    <row r="274" spans="1:11" ht="14.5">
      <c r="A274" s="96" t="s">
        <v>903</v>
      </c>
      <c r="B274" s="869" t="s">
        <v>902</v>
      </c>
      <c r="C274" s="100">
        <v>3109304000</v>
      </c>
      <c r="D274" s="100">
        <v>4100941000</v>
      </c>
      <c r="E274" s="100">
        <v>5384632000</v>
      </c>
      <c r="F274" s="100">
        <v>5747851000</v>
      </c>
      <c r="G274" s="100">
        <v>4885708000</v>
      </c>
      <c r="H274" s="100"/>
      <c r="I274" s="100">
        <v>2605031000</v>
      </c>
      <c r="J274" s="100">
        <v>1683000000</v>
      </c>
    </row>
    <row r="275" spans="1:11">
      <c r="A275" s="96" t="s">
        <v>904</v>
      </c>
      <c r="B275" s="96"/>
      <c r="C275" s="98">
        <v>0</v>
      </c>
      <c r="D275" s="100">
        <v>73047000</v>
      </c>
      <c r="E275" s="98">
        <v>0</v>
      </c>
      <c r="F275" s="100">
        <v>131573000</v>
      </c>
      <c r="G275" s="100">
        <v>67195000</v>
      </c>
      <c r="H275" s="100"/>
      <c r="I275" s="100">
        <v>77432000</v>
      </c>
      <c r="J275" s="100">
        <v>458108000</v>
      </c>
    </row>
    <row r="276" spans="1:11">
      <c r="A276" s="96" t="s">
        <v>905</v>
      </c>
      <c r="B276" s="96"/>
      <c r="C276" s="98">
        <v>0</v>
      </c>
      <c r="D276" s="98">
        <v>0</v>
      </c>
      <c r="E276" s="100">
        <v>167142000</v>
      </c>
      <c r="F276" s="98">
        <v>0</v>
      </c>
      <c r="G276" s="98">
        <v>0</v>
      </c>
      <c r="H276" s="98"/>
      <c r="I276" s="100">
        <v>0</v>
      </c>
      <c r="J276" s="100">
        <v>0</v>
      </c>
    </row>
    <row r="277" spans="1:11">
      <c r="A277" s="96" t="s">
        <v>720</v>
      </c>
      <c r="B277" s="96"/>
      <c r="C277" s="100">
        <v>1097130000</v>
      </c>
      <c r="D277" s="100">
        <v>149186000</v>
      </c>
      <c r="E277" s="100">
        <v>188439000</v>
      </c>
      <c r="F277" s="100">
        <v>349382000</v>
      </c>
      <c r="G277" s="100">
        <v>108419000</v>
      </c>
      <c r="H277" s="100"/>
      <c r="I277" s="100">
        <v>12521050000</v>
      </c>
      <c r="J277" s="100">
        <v>21045316000</v>
      </c>
    </row>
    <row r="278" spans="1:11">
      <c r="A278" s="96" t="s">
        <v>906</v>
      </c>
      <c r="B278" s="96"/>
      <c r="C278" s="98">
        <v>0</v>
      </c>
      <c r="D278" s="100">
        <v>66707000</v>
      </c>
      <c r="E278" s="100">
        <v>90066000</v>
      </c>
      <c r="F278" s="100">
        <v>96902000</v>
      </c>
      <c r="G278" s="100">
        <v>94217000</v>
      </c>
      <c r="H278" s="100"/>
      <c r="I278" s="100">
        <v>87500000</v>
      </c>
      <c r="J278" s="100">
        <v>85005000</v>
      </c>
      <c r="K278" s="628"/>
    </row>
    <row r="279" spans="1:11">
      <c r="A279" s="96" t="s">
        <v>721</v>
      </c>
      <c r="B279" s="96"/>
      <c r="C279" s="100">
        <v>145070778000</v>
      </c>
      <c r="D279" s="100">
        <v>178099430000</v>
      </c>
      <c r="E279" s="100">
        <v>194571077000</v>
      </c>
      <c r="F279" s="100">
        <v>195641593000</v>
      </c>
      <c r="G279" s="100">
        <v>201017321000</v>
      </c>
      <c r="H279" s="100"/>
      <c r="I279" s="100">
        <v>295780147000</v>
      </c>
      <c r="J279" s="100">
        <v>493860646000</v>
      </c>
      <c r="K279" s="628"/>
    </row>
    <row r="280" spans="1:11">
      <c r="A280" s="99" t="s">
        <v>722</v>
      </c>
      <c r="B280" s="96"/>
      <c r="C280" s="96"/>
      <c r="D280" s="96"/>
      <c r="E280" s="96"/>
      <c r="F280" s="96"/>
      <c r="G280" s="96"/>
      <c r="H280" s="96"/>
      <c r="I280" s="100"/>
    </row>
    <row r="281" spans="1:11">
      <c r="A281" s="96" t="s">
        <v>907</v>
      </c>
      <c r="B281" s="96" t="s">
        <v>724</v>
      </c>
      <c r="C281" s="100">
        <v>15742125000</v>
      </c>
      <c r="D281" s="98">
        <v>0</v>
      </c>
      <c r="E281" s="100">
        <v>21140760000</v>
      </c>
      <c r="F281" s="98">
        <v>0</v>
      </c>
      <c r="G281" s="98">
        <v>0</v>
      </c>
      <c r="H281" s="98"/>
      <c r="I281" s="100">
        <v>7331459000</v>
      </c>
      <c r="J281" s="100">
        <v>3328419000</v>
      </c>
    </row>
    <row r="282" spans="1:11">
      <c r="A282" s="96" t="s">
        <v>723</v>
      </c>
      <c r="B282" s="96" t="s">
        <v>724</v>
      </c>
      <c r="C282" s="98">
        <v>0</v>
      </c>
      <c r="D282" s="98">
        <v>0</v>
      </c>
      <c r="E282" s="100">
        <v>25142127000</v>
      </c>
      <c r="F282" s="100">
        <v>22520530000</v>
      </c>
      <c r="G282" s="100">
        <v>42982610000</v>
      </c>
      <c r="H282" s="100"/>
      <c r="I282" s="100">
        <v>73160167000</v>
      </c>
      <c r="J282" s="100">
        <v>140437310000</v>
      </c>
    </row>
    <row r="283" spans="1:11">
      <c r="A283" s="96" t="s">
        <v>908</v>
      </c>
      <c r="B283" s="96" t="s">
        <v>724</v>
      </c>
      <c r="C283" s="98">
        <v>0</v>
      </c>
      <c r="D283" s="100">
        <v>40273599000</v>
      </c>
      <c r="E283" s="98">
        <v>0</v>
      </c>
      <c r="F283" s="98">
        <v>0</v>
      </c>
      <c r="G283" s="98">
        <v>0</v>
      </c>
      <c r="H283" s="98"/>
      <c r="I283" s="100">
        <v>0</v>
      </c>
      <c r="J283" s="100">
        <v>0</v>
      </c>
    </row>
    <row r="284" spans="1:11">
      <c r="A284" s="96" t="s">
        <v>909</v>
      </c>
      <c r="B284" s="96" t="s">
        <v>724</v>
      </c>
      <c r="C284" s="100">
        <v>19501485000</v>
      </c>
      <c r="D284" s="98">
        <v>0</v>
      </c>
      <c r="E284" s="98">
        <v>0</v>
      </c>
      <c r="F284" s="98">
        <v>0</v>
      </c>
      <c r="G284" s="98">
        <v>0</v>
      </c>
      <c r="H284" s="98"/>
      <c r="I284" s="100">
        <v>0</v>
      </c>
      <c r="J284" s="100">
        <v>0</v>
      </c>
    </row>
    <row r="285" spans="1:11">
      <c r="A285" s="96" t="s">
        <v>910</v>
      </c>
      <c r="B285" s="96" t="s">
        <v>724</v>
      </c>
      <c r="C285" s="98">
        <v>0</v>
      </c>
      <c r="D285" s="98">
        <v>0</v>
      </c>
      <c r="E285" s="98">
        <v>0</v>
      </c>
      <c r="F285" s="100">
        <v>13647638000</v>
      </c>
      <c r="G285" s="100">
        <v>8925694000</v>
      </c>
      <c r="H285" s="100"/>
      <c r="I285" s="100">
        <v>0</v>
      </c>
      <c r="J285" s="100">
        <v>0</v>
      </c>
    </row>
    <row r="286" spans="1:11">
      <c r="A286" s="96" t="s">
        <v>725</v>
      </c>
      <c r="B286" s="96"/>
      <c r="C286" s="100">
        <v>1292666000</v>
      </c>
      <c r="D286" s="98">
        <v>0</v>
      </c>
      <c r="E286" s="100">
        <v>1854627000</v>
      </c>
      <c r="F286" s="100">
        <v>1824194000</v>
      </c>
      <c r="G286" s="100">
        <v>1938689000</v>
      </c>
      <c r="H286" s="100"/>
      <c r="I286" s="100">
        <v>2355564000</v>
      </c>
      <c r="J286" s="100">
        <v>1287452000</v>
      </c>
    </row>
    <row r="287" spans="1:11">
      <c r="A287" s="96" t="s">
        <v>911</v>
      </c>
      <c r="B287" s="96" t="s">
        <v>724</v>
      </c>
      <c r="C287" s="100">
        <v>193528000</v>
      </c>
      <c r="D287" s="98">
        <v>0</v>
      </c>
      <c r="E287" s="98">
        <v>0</v>
      </c>
      <c r="F287" s="98">
        <v>0</v>
      </c>
      <c r="G287" s="98">
        <v>0</v>
      </c>
      <c r="H287" s="98"/>
      <c r="I287" s="100">
        <v>0</v>
      </c>
      <c r="J287" s="100">
        <v>0</v>
      </c>
    </row>
    <row r="288" spans="1:11">
      <c r="A288" s="96" t="s">
        <v>912</v>
      </c>
      <c r="B288" s="96" t="s">
        <v>724</v>
      </c>
      <c r="C288" s="100">
        <v>2978565000</v>
      </c>
      <c r="D288" s="98">
        <v>0</v>
      </c>
      <c r="E288" s="100">
        <v>3855654000</v>
      </c>
      <c r="F288" s="100">
        <v>3782780000</v>
      </c>
      <c r="G288" s="100">
        <v>4835248000</v>
      </c>
      <c r="H288" s="100"/>
      <c r="I288" s="100">
        <v>5848870000</v>
      </c>
      <c r="J288" s="100">
        <v>12037011000</v>
      </c>
    </row>
    <row r="289" spans="1:10">
      <c r="A289" s="96" t="s">
        <v>913</v>
      </c>
      <c r="B289" s="96" t="s">
        <v>724</v>
      </c>
      <c r="C289" s="98">
        <v>0</v>
      </c>
      <c r="D289" s="100">
        <v>3179937000</v>
      </c>
      <c r="E289" s="98">
        <v>0</v>
      </c>
      <c r="F289" s="98">
        <v>0</v>
      </c>
      <c r="G289" s="98">
        <v>0</v>
      </c>
      <c r="H289" s="98"/>
      <c r="I289" s="100">
        <v>0</v>
      </c>
      <c r="J289" s="100">
        <v>0</v>
      </c>
    </row>
    <row r="290" spans="1:10">
      <c r="A290" s="96" t="s">
        <v>914</v>
      </c>
      <c r="B290" s="96"/>
      <c r="C290" s="98">
        <v>0</v>
      </c>
      <c r="D290" s="100">
        <v>1471511000</v>
      </c>
      <c r="E290" s="98">
        <v>0</v>
      </c>
      <c r="F290" s="98">
        <v>0</v>
      </c>
      <c r="G290" s="98">
        <v>0</v>
      </c>
      <c r="H290" s="98"/>
      <c r="I290" s="100">
        <v>0</v>
      </c>
      <c r="J290" s="100">
        <v>0</v>
      </c>
    </row>
    <row r="291" spans="1:10">
      <c r="A291" s="96" t="s">
        <v>915</v>
      </c>
      <c r="B291" s="96" t="s">
        <v>724</v>
      </c>
      <c r="C291" s="98">
        <v>0</v>
      </c>
      <c r="D291" s="98">
        <v>0</v>
      </c>
      <c r="E291" s="100">
        <v>1081283000</v>
      </c>
      <c r="F291" s="98">
        <v>0</v>
      </c>
      <c r="G291" s="98">
        <v>0</v>
      </c>
      <c r="H291" s="98"/>
      <c r="I291" s="100">
        <v>0</v>
      </c>
      <c r="J291" s="100">
        <v>0</v>
      </c>
    </row>
    <row r="292" spans="1:10" ht="14.5">
      <c r="A292" s="96" t="s">
        <v>916</v>
      </c>
      <c r="B292" s="869" t="s">
        <v>729</v>
      </c>
      <c r="C292" s="100">
        <v>25009611000</v>
      </c>
      <c r="D292" s="100">
        <v>35774916000</v>
      </c>
      <c r="E292" s="100">
        <v>37788977000</v>
      </c>
      <c r="F292" s="100">
        <v>40332365000</v>
      </c>
      <c r="G292" s="100">
        <v>16400690000</v>
      </c>
      <c r="H292" s="100"/>
      <c r="I292" s="100">
        <v>10204358000</v>
      </c>
      <c r="J292" s="100">
        <v>5153098000</v>
      </c>
    </row>
    <row r="293" spans="1:10">
      <c r="A293" s="96" t="s">
        <v>917</v>
      </c>
      <c r="B293" s="96"/>
      <c r="C293" s="98">
        <v>0</v>
      </c>
      <c r="D293" s="98">
        <v>0</v>
      </c>
      <c r="E293" s="100">
        <v>8559000</v>
      </c>
      <c r="F293" s="100">
        <v>34307000</v>
      </c>
      <c r="G293" s="100">
        <v>57541000</v>
      </c>
      <c r="H293" s="100"/>
      <c r="I293" s="100">
        <v>0</v>
      </c>
      <c r="J293" s="100">
        <v>54605000</v>
      </c>
    </row>
    <row r="294" spans="1:10">
      <c r="A294" s="96" t="s">
        <v>918</v>
      </c>
      <c r="B294" s="96"/>
      <c r="C294" s="98">
        <v>0</v>
      </c>
      <c r="D294" s="100">
        <v>119261000</v>
      </c>
      <c r="E294" s="98">
        <v>0</v>
      </c>
      <c r="F294" s="98">
        <v>0</v>
      </c>
      <c r="G294" s="98">
        <v>0</v>
      </c>
      <c r="H294" s="98"/>
      <c r="I294" s="100">
        <v>0</v>
      </c>
      <c r="J294" s="100">
        <v>0</v>
      </c>
    </row>
    <row r="295" spans="1:10">
      <c r="A295" s="96" t="s">
        <v>919</v>
      </c>
      <c r="B295" s="96" t="s">
        <v>724</v>
      </c>
      <c r="C295" s="100">
        <v>1074614000</v>
      </c>
      <c r="D295" s="100">
        <v>951253000</v>
      </c>
      <c r="E295" s="98">
        <v>0</v>
      </c>
      <c r="F295" s="100">
        <v>613762000</v>
      </c>
      <c r="G295" s="100">
        <v>1858782000</v>
      </c>
      <c r="H295" s="100"/>
      <c r="I295" s="100">
        <v>1779018000</v>
      </c>
      <c r="J295" s="100">
        <v>4326394000</v>
      </c>
    </row>
    <row r="296" spans="1:10">
      <c r="A296" s="96" t="s">
        <v>920</v>
      </c>
      <c r="B296" s="96"/>
      <c r="C296" s="98">
        <v>0</v>
      </c>
      <c r="D296" s="98">
        <v>0</v>
      </c>
      <c r="E296" s="100">
        <v>3469114000</v>
      </c>
      <c r="F296" s="100">
        <v>4502139000</v>
      </c>
      <c r="G296" s="100">
        <v>8185888000</v>
      </c>
      <c r="H296" s="100"/>
      <c r="I296" s="100">
        <v>14932576000</v>
      </c>
      <c r="J296" s="100">
        <v>35516571000</v>
      </c>
    </row>
    <row r="297" spans="1:10">
      <c r="A297" s="96" t="s">
        <v>921</v>
      </c>
      <c r="B297" s="96"/>
      <c r="C297" s="100">
        <v>423252000</v>
      </c>
      <c r="D297" s="100">
        <v>515439000</v>
      </c>
      <c r="E297" s="100">
        <v>6112363000</v>
      </c>
      <c r="F297" s="100">
        <v>5201085000</v>
      </c>
      <c r="G297" s="100">
        <v>545954000</v>
      </c>
      <c r="H297" s="100"/>
      <c r="I297" s="100">
        <v>1359114000</v>
      </c>
      <c r="J297" s="100">
        <v>2615032000</v>
      </c>
    </row>
    <row r="298" spans="1:10">
      <c r="A298" s="96" t="s">
        <v>922</v>
      </c>
      <c r="B298" s="96"/>
      <c r="C298" s="100">
        <v>10000000</v>
      </c>
      <c r="D298" s="98">
        <v>0</v>
      </c>
      <c r="E298" s="98">
        <v>0</v>
      </c>
      <c r="F298" s="98">
        <v>0</v>
      </c>
      <c r="G298" s="98">
        <v>0</v>
      </c>
      <c r="H298" s="98"/>
      <c r="I298" s="100">
        <v>0</v>
      </c>
      <c r="J298" s="100">
        <v>0</v>
      </c>
    </row>
    <row r="299" spans="1:10">
      <c r="A299" s="96" t="s">
        <v>923</v>
      </c>
      <c r="B299" s="96"/>
      <c r="C299" s="100">
        <v>2322136000</v>
      </c>
      <c r="D299" s="100">
        <v>8136986000</v>
      </c>
      <c r="E299" s="100">
        <v>8630577000</v>
      </c>
      <c r="F299" s="100">
        <v>6820699000</v>
      </c>
      <c r="G299" s="100">
        <v>9279640000</v>
      </c>
      <c r="H299" s="100"/>
      <c r="I299" s="100">
        <v>41348102000</v>
      </c>
      <c r="J299" s="100">
        <v>122123841000</v>
      </c>
    </row>
    <row r="300" spans="1:10">
      <c r="A300" s="96" t="s">
        <v>924</v>
      </c>
      <c r="B300" s="96"/>
      <c r="C300" s="100">
        <v>1850792000</v>
      </c>
      <c r="D300" s="100">
        <v>4700280000</v>
      </c>
      <c r="E300" s="100">
        <v>2300000</v>
      </c>
      <c r="F300" s="100">
        <v>2000000</v>
      </c>
      <c r="G300" s="100">
        <v>7500000</v>
      </c>
      <c r="H300" s="100"/>
      <c r="I300" s="100">
        <v>1300000</v>
      </c>
      <c r="J300" s="100">
        <v>0</v>
      </c>
    </row>
    <row r="301" spans="1:10" ht="14.5">
      <c r="A301" s="96" t="s">
        <v>925</v>
      </c>
      <c r="B301" s="869" t="s">
        <v>729</v>
      </c>
      <c r="C301" s="100">
        <v>7918830000</v>
      </c>
      <c r="D301" s="100">
        <v>9873754000</v>
      </c>
      <c r="E301" s="100">
        <v>7482634000</v>
      </c>
      <c r="F301" s="100">
        <v>8747448000</v>
      </c>
      <c r="G301" s="100">
        <v>11412460000</v>
      </c>
      <c r="H301" s="100"/>
      <c r="I301" s="100">
        <v>12983416000</v>
      </c>
      <c r="J301" s="100">
        <v>6464828000</v>
      </c>
    </row>
    <row r="302" spans="1:10">
      <c r="A302" s="96" t="s">
        <v>737</v>
      </c>
      <c r="B302" s="96"/>
      <c r="C302" s="100">
        <v>78317604000</v>
      </c>
      <c r="D302" s="100">
        <v>104996936000</v>
      </c>
      <c r="E302" s="100">
        <v>116568975000</v>
      </c>
      <c r="F302" s="100">
        <v>108028947000</v>
      </c>
      <c r="G302" s="100">
        <v>106430696000</v>
      </c>
      <c r="H302" s="100"/>
      <c r="I302" s="100">
        <v>171303944000</v>
      </c>
      <c r="J302" s="100">
        <v>333344561000</v>
      </c>
    </row>
    <row r="303" spans="1:10">
      <c r="A303" s="99" t="s">
        <v>738</v>
      </c>
      <c r="B303" s="99"/>
      <c r="C303" s="96"/>
      <c r="D303" s="96"/>
      <c r="E303" s="96"/>
      <c r="F303" s="96"/>
      <c r="G303" s="96"/>
      <c r="H303" s="96"/>
      <c r="I303" s="100"/>
    </row>
    <row r="304" spans="1:10" ht="14.5">
      <c r="A304" s="96" t="s">
        <v>926</v>
      </c>
      <c r="B304" s="882" t="s">
        <v>740</v>
      </c>
      <c r="C304" s="100">
        <v>4490584000</v>
      </c>
      <c r="D304" s="100">
        <v>4493109000</v>
      </c>
      <c r="E304" s="100">
        <v>7076777000</v>
      </c>
      <c r="F304" s="100">
        <v>9968555000</v>
      </c>
      <c r="G304" s="100">
        <v>8880459000</v>
      </c>
      <c r="H304" s="100"/>
      <c r="I304" s="100">
        <v>2046439000</v>
      </c>
      <c r="J304" s="100">
        <v>0</v>
      </c>
    </row>
    <row r="305" spans="1:11" ht="14.5">
      <c r="A305" s="96" t="s">
        <v>927</v>
      </c>
      <c r="B305" s="882" t="s">
        <v>740</v>
      </c>
      <c r="C305" s="100">
        <v>4847936000</v>
      </c>
      <c r="D305" s="98">
        <v>0</v>
      </c>
      <c r="E305" s="100">
        <v>6847603000</v>
      </c>
      <c r="F305" s="98">
        <v>0</v>
      </c>
      <c r="G305" s="98">
        <v>0</v>
      </c>
      <c r="H305" s="98"/>
      <c r="I305" s="100">
        <v>0</v>
      </c>
      <c r="J305" s="100">
        <v>0</v>
      </c>
    </row>
    <row r="306" spans="1:11" ht="14.5">
      <c r="A306" s="96" t="s">
        <v>928</v>
      </c>
      <c r="B306" s="882" t="s">
        <v>740</v>
      </c>
      <c r="C306" s="98">
        <v>0</v>
      </c>
      <c r="D306" s="100">
        <v>6369237000</v>
      </c>
      <c r="E306" s="98">
        <v>0</v>
      </c>
      <c r="F306" s="98">
        <v>0</v>
      </c>
      <c r="G306" s="98">
        <v>0</v>
      </c>
      <c r="H306" s="98"/>
      <c r="I306" s="100">
        <v>8743519000</v>
      </c>
      <c r="J306" s="100">
        <v>7593596000</v>
      </c>
    </row>
    <row r="307" spans="1:11" ht="14.5">
      <c r="A307" s="96" t="s">
        <v>929</v>
      </c>
      <c r="B307" s="882" t="s">
        <v>740</v>
      </c>
      <c r="C307" s="98">
        <v>0</v>
      </c>
      <c r="D307" s="98">
        <v>0</v>
      </c>
      <c r="E307" s="98">
        <v>0</v>
      </c>
      <c r="F307" s="100">
        <v>11947932000</v>
      </c>
      <c r="G307" s="100">
        <v>14745495000</v>
      </c>
      <c r="H307" s="100"/>
      <c r="I307" s="100">
        <v>0</v>
      </c>
      <c r="J307" s="100">
        <v>0</v>
      </c>
    </row>
    <row r="308" spans="1:11">
      <c r="A308" s="96" t="s">
        <v>930</v>
      </c>
      <c r="B308" s="96"/>
      <c r="C308" s="98">
        <v>0</v>
      </c>
      <c r="D308" s="98">
        <v>0</v>
      </c>
      <c r="E308" s="98">
        <v>0</v>
      </c>
      <c r="F308" s="100">
        <v>548680000</v>
      </c>
      <c r="G308" s="100">
        <v>843286000</v>
      </c>
      <c r="H308" s="100"/>
      <c r="I308" s="100">
        <v>1415291000</v>
      </c>
      <c r="J308" s="100">
        <v>2617274000</v>
      </c>
    </row>
    <row r="309" spans="1:11">
      <c r="A309" s="96" t="s">
        <v>931</v>
      </c>
      <c r="B309" s="96"/>
      <c r="C309" s="100">
        <v>549903000</v>
      </c>
      <c r="D309" s="98">
        <v>0</v>
      </c>
      <c r="E309" s="100">
        <v>66308000</v>
      </c>
      <c r="F309" s="100">
        <v>102864000</v>
      </c>
      <c r="G309" s="100">
        <v>393150000</v>
      </c>
      <c r="H309" s="100"/>
      <c r="I309" s="100">
        <v>609566000</v>
      </c>
      <c r="J309" s="100">
        <v>2018530000</v>
      </c>
    </row>
    <row r="310" spans="1:11">
      <c r="A310" s="96" t="s">
        <v>932</v>
      </c>
      <c r="B310" s="96"/>
      <c r="C310" s="98">
        <v>0</v>
      </c>
      <c r="D310" s="100">
        <v>610005000</v>
      </c>
      <c r="E310" s="98">
        <v>0</v>
      </c>
      <c r="F310" s="98">
        <v>0</v>
      </c>
      <c r="G310" s="98">
        <v>0</v>
      </c>
      <c r="H310" s="98"/>
      <c r="I310" s="100">
        <v>0</v>
      </c>
      <c r="J310" s="100">
        <v>0</v>
      </c>
    </row>
    <row r="311" spans="1:11">
      <c r="A311" s="96" t="s">
        <v>933</v>
      </c>
      <c r="B311" s="96"/>
      <c r="C311" s="100">
        <v>1455388000</v>
      </c>
      <c r="D311" s="100">
        <v>1672656000</v>
      </c>
      <c r="E311" s="100">
        <v>3317435000</v>
      </c>
      <c r="F311" s="100">
        <v>2443195000</v>
      </c>
      <c r="G311" s="100">
        <v>5270323000</v>
      </c>
      <c r="H311" s="100"/>
      <c r="I311" s="100">
        <v>7417179000</v>
      </c>
      <c r="J311" s="100">
        <v>26896848000</v>
      </c>
      <c r="K311" s="628">
        <f>SUM(J304:J311)</f>
        <v>39126248000</v>
      </c>
    </row>
    <row r="312" spans="1:11">
      <c r="A312" s="99" t="s">
        <v>753</v>
      </c>
      <c r="B312" s="99"/>
      <c r="C312" s="96"/>
      <c r="D312" s="96"/>
      <c r="E312" s="96"/>
      <c r="F312" s="96"/>
      <c r="G312" s="96"/>
      <c r="H312" s="96"/>
      <c r="I312" s="100"/>
      <c r="J312" s="652"/>
    </row>
    <row r="313" spans="1:11" ht="14.15" customHeight="1">
      <c r="A313" s="96" t="s">
        <v>754</v>
      </c>
      <c r="B313" s="882" t="s">
        <v>755</v>
      </c>
      <c r="C313" s="100">
        <v>2728143000</v>
      </c>
      <c r="D313" s="100">
        <v>2728143000</v>
      </c>
      <c r="E313" s="100">
        <v>2728143000</v>
      </c>
      <c r="F313" s="100">
        <v>2728143000</v>
      </c>
      <c r="G313" s="100">
        <v>2728143000</v>
      </c>
      <c r="H313" s="100"/>
      <c r="I313" s="100">
        <v>2911143000</v>
      </c>
      <c r="J313" s="100">
        <v>2911143000</v>
      </c>
    </row>
    <row r="314" spans="1:11" ht="14.5">
      <c r="A314" s="96" t="s">
        <v>756</v>
      </c>
      <c r="B314" s="882" t="s">
        <v>755</v>
      </c>
      <c r="C314" s="100">
        <v>24471813000</v>
      </c>
      <c r="D314" s="100">
        <v>24474293000</v>
      </c>
      <c r="E314" s="100">
        <v>24524443000</v>
      </c>
      <c r="F314" s="100">
        <v>24530666000</v>
      </c>
      <c r="G314" s="100">
        <v>24698663000</v>
      </c>
      <c r="H314" s="100"/>
      <c r="I314" s="100">
        <v>60807219000</v>
      </c>
      <c r="J314" s="100">
        <v>61705893000</v>
      </c>
    </row>
    <row r="315" spans="1:11" ht="14.5">
      <c r="A315" s="1263" t="s">
        <v>934</v>
      </c>
      <c r="B315" s="882" t="s">
        <v>758</v>
      </c>
      <c r="C315" s="100">
        <v>3072173000</v>
      </c>
      <c r="D315" s="100">
        <v>3409762000</v>
      </c>
      <c r="E315" s="100">
        <v>3842416000</v>
      </c>
      <c r="F315" s="100">
        <v>4099313000</v>
      </c>
      <c r="G315" s="100">
        <v>4448300000</v>
      </c>
      <c r="H315" s="100"/>
      <c r="I315" s="100">
        <v>5009088000</v>
      </c>
      <c r="J315" s="100">
        <v>6838541000</v>
      </c>
    </row>
    <row r="316" spans="1:11" ht="14.5">
      <c r="A316" s="1263" t="s">
        <v>935</v>
      </c>
      <c r="B316" s="882" t="s">
        <v>758</v>
      </c>
      <c r="C316" s="100">
        <v>16238160000</v>
      </c>
      <c r="D316" s="98">
        <v>0</v>
      </c>
      <c r="E316" s="100">
        <v>20498233000</v>
      </c>
      <c r="F316" s="98">
        <v>0</v>
      </c>
      <c r="G316" s="98">
        <v>0</v>
      </c>
      <c r="H316" s="98"/>
      <c r="I316" s="100">
        <v>0</v>
      </c>
      <c r="J316" s="100">
        <v>0</v>
      </c>
    </row>
    <row r="317" spans="1:11">
      <c r="A317" s="1263" t="s">
        <v>936</v>
      </c>
      <c r="B317" s="96"/>
      <c r="C317" s="100">
        <v>4153434000</v>
      </c>
      <c r="D317" s="100">
        <v>4953293000</v>
      </c>
      <c r="E317" s="100">
        <v>5495690000</v>
      </c>
      <c r="F317" s="100">
        <v>5839131000</v>
      </c>
      <c r="G317" s="100">
        <v>7579638000</v>
      </c>
      <c r="H317" s="100"/>
      <c r="I317" s="100">
        <v>9174538000</v>
      </c>
      <c r="J317" s="100">
        <v>10360538000</v>
      </c>
    </row>
    <row r="318" spans="1:11" ht="14.5">
      <c r="A318" s="1263" t="s">
        <v>937</v>
      </c>
      <c r="B318" s="882" t="s">
        <v>758</v>
      </c>
      <c r="C318" s="98">
        <v>0</v>
      </c>
      <c r="D318" s="100">
        <v>19235924000</v>
      </c>
      <c r="E318" s="98">
        <v>0</v>
      </c>
      <c r="F318" s="98">
        <v>0</v>
      </c>
      <c r="G318" s="98">
        <v>0</v>
      </c>
      <c r="H318" s="98"/>
      <c r="I318" s="100">
        <v>0</v>
      </c>
      <c r="J318" s="100">
        <v>0</v>
      </c>
    </row>
    <row r="319" spans="1:11" ht="14.5">
      <c r="A319" s="1263" t="s">
        <v>938</v>
      </c>
      <c r="B319" s="882" t="s">
        <v>758</v>
      </c>
      <c r="C319" s="98">
        <v>0</v>
      </c>
      <c r="D319" s="98">
        <v>0</v>
      </c>
      <c r="E319" s="98">
        <v>0</v>
      </c>
      <c r="F319" s="100">
        <v>21056234000</v>
      </c>
      <c r="G319" s="100">
        <v>24456556000</v>
      </c>
      <c r="H319" s="100"/>
      <c r="I319" s="100">
        <v>26455907000</v>
      </c>
      <c r="J319" s="100">
        <v>40943232000</v>
      </c>
    </row>
    <row r="320" spans="1:11">
      <c r="A320" s="96" t="s">
        <v>939</v>
      </c>
      <c r="B320" s="96" t="s">
        <v>760</v>
      </c>
      <c r="C320" s="100">
        <v>949840000</v>
      </c>
      <c r="D320" s="100">
        <v>1260272000</v>
      </c>
      <c r="E320" s="100">
        <v>-290746000</v>
      </c>
      <c r="F320" s="98">
        <v>0</v>
      </c>
      <c r="G320" s="98">
        <v>0</v>
      </c>
      <c r="H320" s="98"/>
      <c r="I320" s="100">
        <v>0</v>
      </c>
      <c r="J320" s="100">
        <v>0</v>
      </c>
    </row>
    <row r="321" spans="1:14">
      <c r="A321" s="96" t="s">
        <v>940</v>
      </c>
      <c r="B321" s="96" t="s">
        <v>760</v>
      </c>
      <c r="C321" s="98">
        <v>0</v>
      </c>
      <c r="D321" s="98">
        <v>0</v>
      </c>
      <c r="E321" s="98">
        <v>0</v>
      </c>
      <c r="F321" s="100">
        <v>-46659000</v>
      </c>
      <c r="G321" s="100">
        <v>-556066000</v>
      </c>
      <c r="H321" s="100"/>
      <c r="I321" s="100">
        <v>-124055000</v>
      </c>
      <c r="J321" s="100">
        <v>-1381588000</v>
      </c>
    </row>
    <row r="322" spans="1:14" ht="14.5">
      <c r="A322" s="1263" t="s">
        <v>941</v>
      </c>
      <c r="B322" s="882" t="s">
        <v>758</v>
      </c>
      <c r="C322" s="98">
        <v>0</v>
      </c>
      <c r="D322" s="98">
        <v>0</v>
      </c>
      <c r="E322" s="98">
        <v>0</v>
      </c>
      <c r="F322" s="98">
        <v>0</v>
      </c>
      <c r="G322" s="100">
        <v>4086000</v>
      </c>
      <c r="H322" s="100"/>
      <c r="I322" s="100">
        <v>10369000</v>
      </c>
      <c r="J322" s="100">
        <v>12078000</v>
      </c>
    </row>
    <row r="323" spans="1:14">
      <c r="A323" s="96" t="s">
        <v>942</v>
      </c>
      <c r="B323" s="96"/>
      <c r="C323" s="98">
        <v>0</v>
      </c>
      <c r="D323" s="100">
        <v>3895800000</v>
      </c>
      <c r="E323" s="100">
        <v>3895800000</v>
      </c>
      <c r="F323" s="100">
        <v>4394592000</v>
      </c>
      <c r="G323" s="100">
        <v>1094592000</v>
      </c>
      <c r="H323" s="100"/>
      <c r="I323" s="100">
        <v>0</v>
      </c>
      <c r="J323" s="100">
        <v>0</v>
      </c>
    </row>
    <row r="324" spans="1:14">
      <c r="A324" s="96" t="s">
        <v>943</v>
      </c>
      <c r="B324" s="96"/>
      <c r="C324" s="100">
        <v>3795800000</v>
      </c>
      <c r="D324" s="98">
        <v>0</v>
      </c>
      <c r="E324" s="98">
        <v>0</v>
      </c>
      <c r="F324" s="98">
        <v>0</v>
      </c>
      <c r="G324" s="98">
        <v>0</v>
      </c>
      <c r="H324" s="98"/>
      <c r="I324" s="100">
        <v>0</v>
      </c>
      <c r="J324" s="100">
        <v>0</v>
      </c>
    </row>
    <row r="325" spans="1:14">
      <c r="A325" s="96" t="s">
        <v>763</v>
      </c>
      <c r="B325" s="96"/>
      <c r="C325" s="100">
        <v>51255929000</v>
      </c>
      <c r="D325" s="100">
        <v>55004194000</v>
      </c>
      <c r="E325" s="100">
        <v>55198289000</v>
      </c>
      <c r="F325" s="100">
        <v>56762289000</v>
      </c>
      <c r="G325" s="100">
        <v>56874274000</v>
      </c>
      <c r="H325" s="100"/>
      <c r="I325" s="100">
        <v>95069671000</v>
      </c>
      <c r="J325" s="100">
        <v>121389837</v>
      </c>
      <c r="K325" s="628">
        <f>SUM(J313:J324)</f>
        <v>121389837000</v>
      </c>
      <c r="L325" s="652"/>
    </row>
    <row r="326" spans="1:14">
      <c r="A326" s="96" t="s">
        <v>766</v>
      </c>
      <c r="B326" s="96"/>
      <c r="C326" s="100">
        <v>145070778000</v>
      </c>
      <c r="D326" s="100">
        <v>178099430000</v>
      </c>
      <c r="E326" s="100">
        <v>194571077000</v>
      </c>
      <c r="F326" s="100">
        <v>195641593000</v>
      </c>
      <c r="G326" s="100">
        <v>201017321000</v>
      </c>
      <c r="H326" s="100"/>
      <c r="I326" s="100">
        <v>295780147000</v>
      </c>
      <c r="J326" s="100">
        <v>493860646000</v>
      </c>
    </row>
    <row r="327" spans="1:14">
      <c r="C327" s="100">
        <f t="shared" ref="C327:J327" si="8">C326-C325-C302</f>
        <v>15497245000</v>
      </c>
      <c r="D327" s="100">
        <f t="shared" si="8"/>
        <v>18098300000</v>
      </c>
      <c r="E327" s="100">
        <f t="shared" si="8"/>
        <v>22803813000</v>
      </c>
      <c r="F327" s="100">
        <f t="shared" si="8"/>
        <v>30850357000</v>
      </c>
      <c r="G327" s="100">
        <f t="shared" si="8"/>
        <v>37712351000</v>
      </c>
      <c r="H327" s="100"/>
      <c r="I327" s="100">
        <f t="shared" si="8"/>
        <v>29406532000</v>
      </c>
      <c r="J327" s="100">
        <f t="shared" si="8"/>
        <v>160394695163</v>
      </c>
    </row>
    <row r="329" spans="1:14">
      <c r="A329" s="1966" t="s">
        <v>944</v>
      </c>
      <c r="B329" s="1966"/>
      <c r="C329" s="1966"/>
      <c r="D329" s="1966"/>
      <c r="E329" s="1966"/>
      <c r="F329" s="1966"/>
      <c r="G329" s="1966"/>
      <c r="H329" s="1966"/>
      <c r="I329" s="1966"/>
      <c r="J329" s="1966"/>
      <c r="K329" s="1966"/>
      <c r="L329" s="1966"/>
      <c r="M329" s="1966"/>
      <c r="N329" s="1966"/>
    </row>
    <row r="330" spans="1:14" ht="14.5" customHeight="1">
      <c r="A330" s="101" t="s">
        <v>653</v>
      </c>
      <c r="B330" s="101"/>
      <c r="C330" s="102" t="s">
        <v>655</v>
      </c>
      <c r="D330" s="102" t="s">
        <v>656</v>
      </c>
      <c r="E330" s="102" t="s">
        <v>657</v>
      </c>
      <c r="F330" s="102" t="s">
        <v>658</v>
      </c>
      <c r="G330" s="102" t="s">
        <v>659</v>
      </c>
      <c r="H330" s="102"/>
      <c r="I330" s="102" t="s">
        <v>660</v>
      </c>
      <c r="J330" s="102" t="s">
        <v>661</v>
      </c>
    </row>
    <row r="331" spans="1:14">
      <c r="A331" s="96" t="s">
        <v>662</v>
      </c>
      <c r="B331" s="96"/>
      <c r="C331" s="97">
        <v>42735</v>
      </c>
      <c r="D331" s="97">
        <v>43100</v>
      </c>
      <c r="E331" s="97">
        <v>43465</v>
      </c>
      <c r="F331" s="97">
        <v>43830</v>
      </c>
      <c r="G331" s="97">
        <v>44196</v>
      </c>
      <c r="H331" s="97"/>
      <c r="I331" s="97">
        <v>44561</v>
      </c>
      <c r="J331" s="97">
        <v>44926</v>
      </c>
    </row>
    <row r="332" spans="1:14">
      <c r="A332" s="96" t="s">
        <v>663</v>
      </c>
      <c r="B332" s="96"/>
      <c r="C332" s="98" t="s">
        <v>189</v>
      </c>
      <c r="D332" s="98" t="s">
        <v>189</v>
      </c>
      <c r="E332" s="98" t="s">
        <v>189</v>
      </c>
      <c r="F332" s="98" t="s">
        <v>189</v>
      </c>
      <c r="G332" s="98" t="s">
        <v>189</v>
      </c>
      <c r="H332" s="98"/>
      <c r="I332" s="98" t="s">
        <v>189</v>
      </c>
      <c r="J332" s="98" t="s">
        <v>189</v>
      </c>
    </row>
    <row r="333" spans="1:14">
      <c r="A333" s="96" t="s">
        <v>665</v>
      </c>
      <c r="B333" s="96"/>
      <c r="C333" s="98" t="s">
        <v>846</v>
      </c>
      <c r="D333" s="98" t="s">
        <v>846</v>
      </c>
      <c r="E333" s="98" t="s">
        <v>846</v>
      </c>
      <c r="F333" s="98" t="s">
        <v>846</v>
      </c>
      <c r="G333" s="98" t="s">
        <v>846</v>
      </c>
      <c r="H333" s="98"/>
      <c r="I333" s="98" t="s">
        <v>846</v>
      </c>
      <c r="J333" s="98" t="s">
        <v>846</v>
      </c>
    </row>
    <row r="334" spans="1:14">
      <c r="A334" s="99" t="s">
        <v>768</v>
      </c>
      <c r="B334" s="99"/>
      <c r="C334" s="96"/>
      <c r="D334" s="96"/>
      <c r="E334" s="96"/>
      <c r="F334" s="96"/>
      <c r="G334" s="96"/>
      <c r="H334" s="96"/>
    </row>
    <row r="335" spans="1:14">
      <c r="A335" s="96" t="s">
        <v>543</v>
      </c>
      <c r="B335" s="96"/>
      <c r="C335" s="100">
        <v>5480012000</v>
      </c>
      <c r="D335" s="100">
        <v>4916936000</v>
      </c>
      <c r="E335" s="100">
        <v>3556193000</v>
      </c>
      <c r="F335" s="100">
        <v>2118857000</v>
      </c>
      <c r="G335" s="100">
        <v>6013963000</v>
      </c>
      <c r="H335" s="100"/>
      <c r="I335" s="100">
        <v>3967266000</v>
      </c>
      <c r="J335" s="100">
        <v>17713104000</v>
      </c>
    </row>
    <row r="336" spans="1:14">
      <c r="A336" s="96" t="s">
        <v>945</v>
      </c>
      <c r="B336" s="96" t="s">
        <v>770</v>
      </c>
      <c r="C336" s="100">
        <v>5308825000</v>
      </c>
      <c r="D336" s="100">
        <v>5750952000</v>
      </c>
      <c r="E336" s="98">
        <v>0</v>
      </c>
      <c r="F336" s="100">
        <v>8104315000</v>
      </c>
      <c r="G336" s="100">
        <v>9242103000</v>
      </c>
      <c r="H336" s="100"/>
      <c r="I336" s="100">
        <v>0</v>
      </c>
      <c r="J336" s="100">
        <v>0</v>
      </c>
    </row>
    <row r="337" spans="1:10">
      <c r="A337" s="96" t="s">
        <v>946</v>
      </c>
      <c r="B337" s="96" t="s">
        <v>770</v>
      </c>
      <c r="C337" s="98">
        <v>0</v>
      </c>
      <c r="D337" s="98">
        <v>0</v>
      </c>
      <c r="E337" s="100">
        <v>1865000</v>
      </c>
      <c r="F337" s="98">
        <v>0</v>
      </c>
      <c r="G337" s="98">
        <v>0</v>
      </c>
      <c r="H337" s="98"/>
      <c r="I337" s="100">
        <v>0</v>
      </c>
      <c r="J337" s="100">
        <v>0</v>
      </c>
    </row>
    <row r="338" spans="1:10">
      <c r="A338" s="96" t="s">
        <v>947</v>
      </c>
      <c r="B338" s="96" t="s">
        <v>770</v>
      </c>
      <c r="C338" s="98">
        <v>0</v>
      </c>
      <c r="D338" s="98">
        <v>0</v>
      </c>
      <c r="E338" s="98">
        <v>0</v>
      </c>
      <c r="F338" s="100">
        <v>2496000</v>
      </c>
      <c r="G338" s="100">
        <v>2685000</v>
      </c>
      <c r="H338" s="100"/>
      <c r="I338" s="100">
        <v>2574000</v>
      </c>
      <c r="J338" s="100">
        <v>2495000</v>
      </c>
    </row>
    <row r="339" spans="1:10">
      <c r="A339" s="96" t="s">
        <v>948</v>
      </c>
      <c r="B339" s="96" t="s">
        <v>770</v>
      </c>
      <c r="C339" s="98">
        <v>0</v>
      </c>
      <c r="D339" s="98">
        <v>0</v>
      </c>
      <c r="E339" s="100">
        <v>7589338000</v>
      </c>
      <c r="F339" s="98">
        <v>0</v>
      </c>
      <c r="G339" s="98">
        <v>0</v>
      </c>
      <c r="H339" s="98"/>
      <c r="I339" s="100">
        <v>10877352000</v>
      </c>
      <c r="J339" s="100">
        <v>14602466000</v>
      </c>
    </row>
    <row r="340" spans="1:10">
      <c r="A340" s="96" t="s">
        <v>949</v>
      </c>
      <c r="B340" s="96" t="s">
        <v>770</v>
      </c>
      <c r="C340" s="98">
        <v>0</v>
      </c>
      <c r="D340" s="98">
        <v>0</v>
      </c>
      <c r="E340" s="98">
        <v>0</v>
      </c>
      <c r="F340" s="100">
        <v>213862000</v>
      </c>
      <c r="G340" s="100">
        <v>169970000</v>
      </c>
      <c r="H340" s="100"/>
      <c r="I340" s="100">
        <v>272929000</v>
      </c>
      <c r="J340" s="100">
        <v>584227000</v>
      </c>
    </row>
    <row r="341" spans="1:10">
      <c r="A341" s="96" t="s">
        <v>950</v>
      </c>
      <c r="B341" s="96" t="s">
        <v>951</v>
      </c>
      <c r="C341" s="100">
        <v>1718744000</v>
      </c>
      <c r="D341" s="100">
        <v>1333086000</v>
      </c>
      <c r="E341" s="100">
        <v>1809347000</v>
      </c>
      <c r="F341" s="100">
        <v>1476948000</v>
      </c>
      <c r="G341" s="100">
        <v>3073097000</v>
      </c>
      <c r="H341" s="100"/>
      <c r="I341" s="100">
        <v>2928244000</v>
      </c>
      <c r="J341" s="100">
        <v>5099231000</v>
      </c>
    </row>
    <row r="342" spans="1:10">
      <c r="A342" s="96" t="s">
        <v>952</v>
      </c>
      <c r="B342" s="96" t="s">
        <v>951</v>
      </c>
      <c r="C342" s="98">
        <v>0</v>
      </c>
      <c r="D342" s="100">
        <v>8457000</v>
      </c>
      <c r="E342" s="100">
        <v>25970000</v>
      </c>
      <c r="F342" s="100">
        <v>42508000</v>
      </c>
      <c r="G342" s="100">
        <v>30821000</v>
      </c>
      <c r="H342" s="100"/>
      <c r="I342" s="100">
        <v>27283000</v>
      </c>
      <c r="J342" s="100">
        <v>81586000</v>
      </c>
    </row>
    <row r="343" spans="1:10">
      <c r="A343" s="96" t="s">
        <v>953</v>
      </c>
      <c r="B343" s="96" t="s">
        <v>773</v>
      </c>
      <c r="C343" s="100">
        <v>136717000</v>
      </c>
      <c r="D343" s="100">
        <v>55150000</v>
      </c>
      <c r="E343" s="98">
        <v>0</v>
      </c>
      <c r="F343" s="98">
        <v>0</v>
      </c>
      <c r="G343" s="98">
        <v>0</v>
      </c>
      <c r="H343" s="98"/>
      <c r="I343" s="100">
        <v>112802000</v>
      </c>
      <c r="J343" s="100">
        <v>876123000</v>
      </c>
    </row>
    <row r="344" spans="1:10">
      <c r="A344" s="96" t="s">
        <v>954</v>
      </c>
      <c r="B344" s="96" t="s">
        <v>773</v>
      </c>
      <c r="C344" s="98">
        <v>0</v>
      </c>
      <c r="D344" s="98">
        <v>0</v>
      </c>
      <c r="E344" s="98">
        <v>0</v>
      </c>
      <c r="F344" s="100">
        <v>99754000</v>
      </c>
      <c r="G344" s="100">
        <v>375662000</v>
      </c>
      <c r="H344" s="100"/>
      <c r="I344" s="100">
        <v>0</v>
      </c>
      <c r="J344" s="100">
        <v>0</v>
      </c>
    </row>
    <row r="345" spans="1:10">
      <c r="A345" s="96" t="s">
        <v>955</v>
      </c>
      <c r="B345" s="96" t="s">
        <v>773</v>
      </c>
      <c r="C345" s="98">
        <v>0</v>
      </c>
      <c r="D345" s="98">
        <v>0</v>
      </c>
      <c r="E345" s="100">
        <v>18526000</v>
      </c>
      <c r="F345" s="98">
        <v>0</v>
      </c>
      <c r="G345" s="98">
        <v>0</v>
      </c>
      <c r="H345" s="98"/>
      <c r="I345" s="100">
        <v>0</v>
      </c>
      <c r="J345" s="100">
        <v>0</v>
      </c>
    </row>
    <row r="346" spans="1:10">
      <c r="A346" s="96" t="s">
        <v>956</v>
      </c>
      <c r="B346" s="96" t="s">
        <v>775</v>
      </c>
      <c r="C346" s="100">
        <v>726027000</v>
      </c>
      <c r="D346" s="100">
        <v>206053000</v>
      </c>
      <c r="E346" s="100">
        <v>-248412000</v>
      </c>
      <c r="F346" s="98">
        <v>0</v>
      </c>
      <c r="G346" s="98">
        <v>0</v>
      </c>
      <c r="H346" s="98"/>
      <c r="I346" s="100">
        <v>-31631000</v>
      </c>
      <c r="J346" s="100">
        <v>769184000</v>
      </c>
    </row>
    <row r="347" spans="1:10">
      <c r="A347" s="96" t="s">
        <v>957</v>
      </c>
      <c r="B347" s="96" t="s">
        <v>775</v>
      </c>
      <c r="C347" s="98">
        <v>0</v>
      </c>
      <c r="D347" s="98">
        <v>0</v>
      </c>
      <c r="E347" s="98">
        <v>0</v>
      </c>
      <c r="F347" s="100">
        <v>289561000</v>
      </c>
      <c r="G347" s="100">
        <v>-26713000</v>
      </c>
      <c r="H347" s="100"/>
      <c r="I347" s="100">
        <v>0</v>
      </c>
      <c r="J347" s="100">
        <v>0</v>
      </c>
    </row>
    <row r="348" spans="1:10">
      <c r="A348" s="381" t="s">
        <v>958</v>
      </c>
      <c r="B348" s="381"/>
      <c r="C348" s="223">
        <v>565731000</v>
      </c>
      <c r="D348" s="647">
        <v>0</v>
      </c>
      <c r="E348" s="223">
        <v>686416000</v>
      </c>
      <c r="F348" s="223">
        <v>139176000</v>
      </c>
      <c r="G348" s="223">
        <v>906530000</v>
      </c>
      <c r="H348" s="223"/>
      <c r="I348" s="223">
        <v>857475000</v>
      </c>
      <c r="J348" s="223">
        <v>1386458000</v>
      </c>
    </row>
    <row r="349" spans="1:10">
      <c r="A349" s="381" t="s">
        <v>959</v>
      </c>
      <c r="B349" s="381"/>
      <c r="C349" s="647">
        <v>0</v>
      </c>
      <c r="D349" s="223">
        <v>242586000</v>
      </c>
      <c r="E349" s="647">
        <v>0</v>
      </c>
      <c r="F349" s="647">
        <v>0</v>
      </c>
      <c r="G349" s="647">
        <v>0</v>
      </c>
      <c r="H349" s="647"/>
      <c r="I349" s="223">
        <v>0</v>
      </c>
      <c r="J349" s="223">
        <v>0</v>
      </c>
    </row>
    <row r="350" spans="1:10">
      <c r="A350" s="381" t="s">
        <v>960</v>
      </c>
      <c r="B350" s="381"/>
      <c r="C350" s="223">
        <v>18207000</v>
      </c>
      <c r="D350" s="223">
        <v>118166000</v>
      </c>
      <c r="E350" s="647">
        <v>0</v>
      </c>
      <c r="F350" s="223">
        <v>-9749000</v>
      </c>
      <c r="G350" s="223">
        <v>51267000</v>
      </c>
      <c r="H350" s="223"/>
      <c r="I350" s="223">
        <v>-47356000</v>
      </c>
      <c r="J350" s="223">
        <v>-126098000</v>
      </c>
    </row>
    <row r="351" spans="1:10">
      <c r="A351" s="381" t="s">
        <v>961</v>
      </c>
      <c r="B351" s="381"/>
      <c r="C351" s="647">
        <v>0</v>
      </c>
      <c r="D351" s="647">
        <v>0</v>
      </c>
      <c r="E351" s="223">
        <v>5470000</v>
      </c>
      <c r="F351" s="647">
        <v>0</v>
      </c>
      <c r="G351" s="647">
        <v>0</v>
      </c>
      <c r="H351" s="647"/>
      <c r="I351" s="223">
        <v>0</v>
      </c>
      <c r="J351" s="223">
        <v>0</v>
      </c>
    </row>
    <row r="352" spans="1:10">
      <c r="A352" s="381" t="s">
        <v>962</v>
      </c>
      <c r="B352" s="381"/>
      <c r="C352" s="647">
        <v>0</v>
      </c>
      <c r="D352" s="647">
        <v>0</v>
      </c>
      <c r="E352" s="223">
        <v>332080000</v>
      </c>
      <c r="F352" s="223">
        <v>496855000</v>
      </c>
      <c r="G352" s="223">
        <v>951902000</v>
      </c>
      <c r="H352" s="223"/>
      <c r="I352" s="223">
        <v>388074000</v>
      </c>
      <c r="J352" s="223">
        <v>989521000</v>
      </c>
    </row>
    <row r="353" spans="1:11">
      <c r="A353" s="381" t="s">
        <v>963</v>
      </c>
      <c r="B353" s="381"/>
      <c r="C353" s="647">
        <v>0</v>
      </c>
      <c r="D353" s="223">
        <v>-244728000</v>
      </c>
      <c r="E353" s="647">
        <v>0</v>
      </c>
      <c r="F353" s="647">
        <v>0</v>
      </c>
      <c r="G353" s="647">
        <v>0</v>
      </c>
      <c r="H353" s="647"/>
      <c r="I353" s="223">
        <v>0</v>
      </c>
      <c r="J353" s="223">
        <v>0</v>
      </c>
    </row>
    <row r="354" spans="1:11">
      <c r="A354" s="381" t="s">
        <v>624</v>
      </c>
      <c r="B354" s="381"/>
      <c r="C354" s="223">
        <v>-204899000</v>
      </c>
      <c r="D354" s="647">
        <v>0</v>
      </c>
      <c r="E354" s="647">
        <v>0</v>
      </c>
      <c r="F354" s="647">
        <v>0</v>
      </c>
      <c r="G354" s="223">
        <v>78383000</v>
      </c>
      <c r="H354" s="223"/>
      <c r="I354" s="223">
        <v>120750000</v>
      </c>
      <c r="J354" s="223">
        <v>394004000</v>
      </c>
    </row>
    <row r="355" spans="1:11">
      <c r="A355" s="381" t="s">
        <v>922</v>
      </c>
      <c r="B355" s="381"/>
      <c r="C355" s="223">
        <v>1799609000</v>
      </c>
      <c r="D355" s="647">
        <v>0</v>
      </c>
      <c r="E355" s="647">
        <v>0</v>
      </c>
      <c r="F355" s="647">
        <v>0</v>
      </c>
      <c r="G355" s="647">
        <v>0</v>
      </c>
      <c r="H355" s="647"/>
      <c r="I355" s="223">
        <v>1907642000</v>
      </c>
      <c r="J355" s="223">
        <v>0</v>
      </c>
    </row>
    <row r="356" spans="1:11">
      <c r="A356" s="381" t="s">
        <v>964</v>
      </c>
      <c r="B356" s="381"/>
      <c r="C356" s="647">
        <v>0</v>
      </c>
      <c r="D356" s="223">
        <v>2342770000</v>
      </c>
      <c r="E356" s="647">
        <v>0</v>
      </c>
      <c r="F356" s="223">
        <v>3487407000</v>
      </c>
      <c r="G356" s="223">
        <v>3123801000</v>
      </c>
      <c r="H356" s="223"/>
      <c r="I356" s="223">
        <v>0</v>
      </c>
      <c r="J356" s="223">
        <v>616273000</v>
      </c>
    </row>
    <row r="357" spans="1:11">
      <c r="A357" s="381" t="s">
        <v>965</v>
      </c>
      <c r="B357" s="381"/>
      <c r="C357" s="647">
        <v>0</v>
      </c>
      <c r="D357" s="647">
        <v>0</v>
      </c>
      <c r="E357" s="223">
        <v>3480516000</v>
      </c>
      <c r="F357" s="647">
        <v>0</v>
      </c>
      <c r="G357" s="647">
        <v>0</v>
      </c>
      <c r="H357" s="647"/>
      <c r="I357" s="223">
        <v>0</v>
      </c>
      <c r="J357" s="223">
        <v>0</v>
      </c>
    </row>
    <row r="358" spans="1:11">
      <c r="A358" s="96" t="s">
        <v>966</v>
      </c>
      <c r="B358" s="96" t="s">
        <v>788</v>
      </c>
      <c r="C358" s="100">
        <v>-19811441000</v>
      </c>
      <c r="D358" s="100">
        <v>-19636274000</v>
      </c>
      <c r="E358" s="100">
        <v>-4385568000</v>
      </c>
      <c r="F358" s="98">
        <v>0</v>
      </c>
      <c r="G358" s="98">
        <v>0</v>
      </c>
      <c r="H358" s="98"/>
      <c r="I358" s="100">
        <v>1382660000</v>
      </c>
      <c r="J358" s="100">
        <v>0</v>
      </c>
    </row>
    <row r="359" spans="1:11">
      <c r="A359" s="96" t="s">
        <v>967</v>
      </c>
      <c r="B359" s="96" t="s">
        <v>788</v>
      </c>
      <c r="C359" s="98">
        <v>0</v>
      </c>
      <c r="D359" s="98">
        <v>0</v>
      </c>
      <c r="E359" s="98">
        <v>0</v>
      </c>
      <c r="F359" s="100">
        <v>8068298000</v>
      </c>
      <c r="G359" s="100">
        <v>1549519000</v>
      </c>
      <c r="H359" s="100"/>
      <c r="I359" s="100">
        <v>0</v>
      </c>
      <c r="J359" s="100">
        <v>-17546586000</v>
      </c>
    </row>
    <row r="360" spans="1:11">
      <c r="A360" s="96" t="s">
        <v>789</v>
      </c>
      <c r="B360" s="96" t="s">
        <v>696</v>
      </c>
      <c r="C360" s="100">
        <v>-1984925000</v>
      </c>
      <c r="D360" s="100">
        <v>-2726616000</v>
      </c>
      <c r="E360" s="98">
        <v>0</v>
      </c>
      <c r="F360" s="98">
        <v>0</v>
      </c>
      <c r="G360" s="98">
        <v>0</v>
      </c>
      <c r="H360" s="98"/>
      <c r="I360" s="100">
        <v>-12892770000</v>
      </c>
      <c r="J360" s="100">
        <v>-36564504000</v>
      </c>
    </row>
    <row r="361" spans="1:11">
      <c r="A361" s="96" t="s">
        <v>968</v>
      </c>
      <c r="B361" s="96" t="s">
        <v>696</v>
      </c>
      <c r="C361" s="98">
        <v>0</v>
      </c>
      <c r="D361" s="98">
        <v>0</v>
      </c>
      <c r="E361" s="98">
        <v>0</v>
      </c>
      <c r="F361" s="100">
        <v>283960000</v>
      </c>
      <c r="G361" s="100">
        <v>-6701761000</v>
      </c>
      <c r="H361" s="100"/>
      <c r="I361" s="100">
        <v>0</v>
      </c>
      <c r="J361" s="100">
        <v>0</v>
      </c>
    </row>
    <row r="362" spans="1:11">
      <c r="A362" s="96" t="s">
        <v>969</v>
      </c>
      <c r="B362" s="96" t="s">
        <v>696</v>
      </c>
      <c r="C362" s="98">
        <v>0</v>
      </c>
      <c r="D362" s="98">
        <v>0</v>
      </c>
      <c r="E362" s="100">
        <v>-6584924000</v>
      </c>
      <c r="F362" s="98">
        <v>0</v>
      </c>
      <c r="G362" s="98">
        <v>0</v>
      </c>
      <c r="H362" s="98"/>
      <c r="I362" s="100">
        <v>0</v>
      </c>
      <c r="J362" s="100">
        <v>0</v>
      </c>
    </row>
    <row r="363" spans="1:11">
      <c r="A363" s="96" t="s">
        <v>970</v>
      </c>
      <c r="B363" s="96" t="s">
        <v>791</v>
      </c>
      <c r="C363" s="100">
        <v>4830456000</v>
      </c>
      <c r="D363" s="100">
        <v>14377997000</v>
      </c>
      <c r="E363" s="98">
        <v>0</v>
      </c>
      <c r="F363" s="100">
        <v>-9983177000</v>
      </c>
      <c r="G363" s="100">
        <v>26515194000</v>
      </c>
      <c r="H363" s="100"/>
      <c r="I363" s="100">
        <v>55595180000</v>
      </c>
      <c r="J363" s="100">
        <v>152528799000</v>
      </c>
    </row>
    <row r="364" spans="1:11">
      <c r="A364" s="96" t="s">
        <v>971</v>
      </c>
      <c r="B364" s="96" t="s">
        <v>791</v>
      </c>
      <c r="C364" s="98">
        <v>0</v>
      </c>
      <c r="D364" s="98">
        <v>0</v>
      </c>
      <c r="E364" s="100">
        <v>6123683000</v>
      </c>
      <c r="F364" s="98">
        <v>0</v>
      </c>
      <c r="G364" s="98">
        <v>0</v>
      </c>
      <c r="H364" s="98"/>
      <c r="I364" s="100">
        <v>0</v>
      </c>
      <c r="J364" s="100">
        <v>0</v>
      </c>
    </row>
    <row r="365" spans="1:11">
      <c r="A365" s="381" t="s">
        <v>972</v>
      </c>
      <c r="B365" s="381"/>
      <c r="C365" s="223">
        <v>-367846000</v>
      </c>
      <c r="D365" s="223">
        <v>-131770000</v>
      </c>
      <c r="E365" s="647">
        <v>0</v>
      </c>
      <c r="F365" s="223">
        <v>-337603000</v>
      </c>
      <c r="G365" s="223">
        <v>-392596000</v>
      </c>
      <c r="H365" s="223"/>
      <c r="I365" s="223">
        <v>-144341000</v>
      </c>
      <c r="J365" s="223">
        <v>-1773589000</v>
      </c>
    </row>
    <row r="366" spans="1:11">
      <c r="A366" s="381" t="s">
        <v>973</v>
      </c>
      <c r="B366" s="381"/>
      <c r="C366" s="223">
        <v>-60788000</v>
      </c>
      <c r="D366" s="223">
        <v>-33940000</v>
      </c>
      <c r="E366" s="223">
        <v>242099000</v>
      </c>
      <c r="F366" s="223">
        <v>247539000</v>
      </c>
      <c r="G366" s="223">
        <v>428841000</v>
      </c>
      <c r="H366" s="223"/>
      <c r="I366" s="223">
        <v>0</v>
      </c>
      <c r="J366" s="223">
        <v>0</v>
      </c>
    </row>
    <row r="367" spans="1:11">
      <c r="A367" s="381" t="s">
        <v>974</v>
      </c>
      <c r="B367" s="381"/>
      <c r="C367" s="647">
        <v>0</v>
      </c>
      <c r="D367" s="647">
        <v>0</v>
      </c>
      <c r="E367" s="223">
        <v>-129690000</v>
      </c>
      <c r="F367" s="647">
        <v>0</v>
      </c>
      <c r="G367" s="647">
        <v>0</v>
      </c>
      <c r="H367" s="647"/>
      <c r="I367" s="223">
        <v>142549000</v>
      </c>
      <c r="J367" s="223">
        <v>1204963000</v>
      </c>
      <c r="K367" s="628"/>
    </row>
    <row r="368" spans="1:11">
      <c r="A368" s="96" t="s">
        <v>792</v>
      </c>
      <c r="B368" s="96"/>
      <c r="C368" s="100">
        <v>-1845571000</v>
      </c>
      <c r="D368" s="100">
        <v>6578825000</v>
      </c>
      <c r="E368" s="100">
        <v>12522909000</v>
      </c>
      <c r="F368" s="100">
        <v>14741007000</v>
      </c>
      <c r="G368" s="100">
        <v>45392668000</v>
      </c>
      <c r="H368" s="100"/>
      <c r="I368" s="100">
        <v>65466682000</v>
      </c>
      <c r="J368" s="100">
        <v>140837657000</v>
      </c>
    </row>
    <row r="369" spans="1:11">
      <c r="A369" s="99" t="s">
        <v>793</v>
      </c>
      <c r="B369" s="99"/>
      <c r="C369" s="96"/>
      <c r="D369" s="96"/>
      <c r="E369" s="96"/>
      <c r="F369" s="96"/>
      <c r="G369" s="96"/>
      <c r="H369" s="96"/>
      <c r="I369" s="100"/>
    </row>
    <row r="370" spans="1:11">
      <c r="A370" s="96" t="s">
        <v>975</v>
      </c>
      <c r="B370" s="96" t="s">
        <v>797</v>
      </c>
      <c r="C370" s="100">
        <v>-13053450000</v>
      </c>
      <c r="D370" s="100">
        <v>-14776561000</v>
      </c>
      <c r="E370" s="98">
        <v>0</v>
      </c>
      <c r="F370" s="100">
        <v>-20627160000</v>
      </c>
      <c r="G370" s="100">
        <v>-11774094000</v>
      </c>
      <c r="H370" s="100"/>
      <c r="I370" s="100">
        <v>-37343609000</v>
      </c>
      <c r="J370" s="100">
        <v>-97456862000</v>
      </c>
    </row>
    <row r="371" spans="1:11">
      <c r="A371" s="96" t="s">
        <v>976</v>
      </c>
      <c r="B371" s="96" t="s">
        <v>797</v>
      </c>
      <c r="C371" s="98">
        <v>0</v>
      </c>
      <c r="D371" s="98">
        <v>0</v>
      </c>
      <c r="E371" s="100">
        <v>-17842390000</v>
      </c>
      <c r="F371" s="98">
        <v>0</v>
      </c>
      <c r="G371" s="98">
        <v>0</v>
      </c>
      <c r="H371" s="98"/>
      <c r="I371" s="100">
        <v>0</v>
      </c>
      <c r="J371" s="100">
        <v>0</v>
      </c>
    </row>
    <row r="372" spans="1:11">
      <c r="A372" s="96" t="s">
        <v>977</v>
      </c>
      <c r="B372" s="96"/>
      <c r="C372" s="100">
        <v>196641000</v>
      </c>
      <c r="D372" s="100">
        <v>213815000</v>
      </c>
      <c r="E372" s="98">
        <v>0</v>
      </c>
      <c r="F372" s="100">
        <v>413119000</v>
      </c>
      <c r="G372" s="100">
        <v>258977000</v>
      </c>
      <c r="H372" s="100"/>
      <c r="I372" s="100">
        <v>0</v>
      </c>
      <c r="J372" s="100">
        <v>0</v>
      </c>
    </row>
    <row r="373" spans="1:11">
      <c r="A373" s="96" t="s">
        <v>978</v>
      </c>
      <c r="B373" s="96"/>
      <c r="C373" s="98">
        <v>0</v>
      </c>
      <c r="D373" s="98">
        <v>0</v>
      </c>
      <c r="E373" s="100">
        <v>3936074000</v>
      </c>
      <c r="F373" s="98">
        <v>0</v>
      </c>
      <c r="G373" s="98">
        <v>0</v>
      </c>
      <c r="H373" s="98"/>
      <c r="I373" s="100">
        <v>826389000</v>
      </c>
      <c r="J373" s="100">
        <v>268237000</v>
      </c>
    </row>
    <row r="374" spans="1:11">
      <c r="A374" s="96" t="s">
        <v>979</v>
      </c>
      <c r="B374" s="121" t="s">
        <v>804</v>
      </c>
      <c r="C374" s="98">
        <v>0</v>
      </c>
      <c r="D374" s="98">
        <v>0</v>
      </c>
      <c r="E374" s="100">
        <v>-26872000</v>
      </c>
      <c r="F374" s="98">
        <v>0</v>
      </c>
      <c r="G374" s="98">
        <v>0</v>
      </c>
      <c r="H374" s="98"/>
      <c r="I374" s="100">
        <v>0</v>
      </c>
      <c r="J374" s="100">
        <v>0</v>
      </c>
    </row>
    <row r="375" spans="1:11">
      <c r="A375" s="96" t="s">
        <v>980</v>
      </c>
      <c r="B375" s="121" t="s">
        <v>804</v>
      </c>
      <c r="C375" s="100">
        <v>9971000</v>
      </c>
      <c r="D375" s="98">
        <v>0</v>
      </c>
      <c r="E375" s="100">
        <v>459784000</v>
      </c>
      <c r="F375" s="98">
        <v>0</v>
      </c>
      <c r="G375" s="98">
        <v>0</v>
      </c>
      <c r="H375" s="98"/>
      <c r="I375" s="100">
        <v>0</v>
      </c>
      <c r="J375" s="100">
        <v>0</v>
      </c>
    </row>
    <row r="376" spans="1:11">
      <c r="A376" s="96" t="s">
        <v>981</v>
      </c>
      <c r="B376" s="121" t="s">
        <v>804</v>
      </c>
      <c r="C376" s="98">
        <v>0</v>
      </c>
      <c r="D376" s="98">
        <v>0</v>
      </c>
      <c r="E376" s="98">
        <v>0</v>
      </c>
      <c r="F376" s="100">
        <v>358685000</v>
      </c>
      <c r="G376" s="100">
        <v>48000</v>
      </c>
      <c r="H376" s="100"/>
      <c r="I376" s="100">
        <v>0</v>
      </c>
      <c r="J376" s="100">
        <v>0</v>
      </c>
    </row>
    <row r="377" spans="1:11">
      <c r="A377" s="96" t="s">
        <v>982</v>
      </c>
      <c r="B377" s="121" t="s">
        <v>804</v>
      </c>
      <c r="C377" s="98">
        <v>0</v>
      </c>
      <c r="D377" s="98">
        <v>0</v>
      </c>
      <c r="E377" s="98">
        <v>0</v>
      </c>
      <c r="F377" s="100">
        <v>-5552000</v>
      </c>
      <c r="G377" s="100">
        <v>97828000</v>
      </c>
      <c r="H377" s="100"/>
      <c r="I377" s="100">
        <v>222329000</v>
      </c>
      <c r="J377" s="100">
        <v>0</v>
      </c>
    </row>
    <row r="378" spans="1:11">
      <c r="A378" s="96" t="s">
        <v>983</v>
      </c>
      <c r="B378" s="121" t="s">
        <v>804</v>
      </c>
      <c r="C378" s="100">
        <v>6120000</v>
      </c>
      <c r="D378" s="100">
        <v>800000</v>
      </c>
      <c r="E378" s="100">
        <v>10598000</v>
      </c>
      <c r="F378" s="98">
        <v>0</v>
      </c>
      <c r="G378" s="98">
        <v>0</v>
      </c>
      <c r="H378" s="98"/>
      <c r="I378" s="100">
        <v>0</v>
      </c>
      <c r="J378" s="100">
        <v>95800000</v>
      </c>
    </row>
    <row r="379" spans="1:11">
      <c r="A379" s="96" t="s">
        <v>984</v>
      </c>
      <c r="B379" s="121" t="s">
        <v>804</v>
      </c>
      <c r="C379" s="100">
        <v>-926905000</v>
      </c>
      <c r="D379" s="100">
        <v>-1606622000</v>
      </c>
      <c r="E379" s="100">
        <v>-829313000</v>
      </c>
      <c r="F379" s="100">
        <v>-1088939000</v>
      </c>
      <c r="G379" s="100">
        <v>-1836814000</v>
      </c>
      <c r="H379" s="100"/>
      <c r="I379" s="100">
        <v>-3526828000</v>
      </c>
      <c r="J379" s="100">
        <v>-10572908000</v>
      </c>
    </row>
    <row r="380" spans="1:11">
      <c r="A380" s="96" t="s">
        <v>985</v>
      </c>
      <c r="B380" s="121" t="s">
        <v>804</v>
      </c>
      <c r="C380" s="100">
        <v>16290000</v>
      </c>
      <c r="D380" s="100">
        <v>13907000</v>
      </c>
      <c r="E380" s="100">
        <v>23922000</v>
      </c>
      <c r="F380" s="98">
        <v>0</v>
      </c>
      <c r="G380" s="98">
        <v>0</v>
      </c>
      <c r="H380" s="98"/>
      <c r="I380" s="100">
        <v>0</v>
      </c>
      <c r="J380" s="100">
        <v>13799000</v>
      </c>
    </row>
    <row r="381" spans="1:11">
      <c r="A381" s="96" t="s">
        <v>986</v>
      </c>
      <c r="B381" s="96"/>
      <c r="C381" s="98">
        <v>0</v>
      </c>
      <c r="D381" s="100">
        <v>-3212627000</v>
      </c>
      <c r="E381" s="98">
        <v>0</v>
      </c>
      <c r="F381" s="98">
        <v>0</v>
      </c>
      <c r="G381" s="98">
        <v>0</v>
      </c>
      <c r="H381" s="98"/>
      <c r="I381" s="100">
        <v>0</v>
      </c>
      <c r="J381" s="100">
        <v>0</v>
      </c>
    </row>
    <row r="382" spans="1:11">
      <c r="A382" s="96" t="s">
        <v>987</v>
      </c>
      <c r="B382" s="96"/>
      <c r="C382" s="98">
        <v>0</v>
      </c>
      <c r="D382" s="98">
        <v>0</v>
      </c>
      <c r="E382" s="100">
        <v>-1708225000</v>
      </c>
      <c r="F382" s="98">
        <v>0</v>
      </c>
      <c r="G382" s="98">
        <v>0</v>
      </c>
      <c r="H382" s="98"/>
      <c r="I382" s="100">
        <v>0</v>
      </c>
      <c r="J382" s="100">
        <v>0</v>
      </c>
      <c r="K382" s="100"/>
    </row>
    <row r="383" spans="1:11">
      <c r="A383" s="96" t="s">
        <v>988</v>
      </c>
      <c r="B383" s="96"/>
      <c r="C383" s="100">
        <v>1026293000</v>
      </c>
      <c r="D383" s="100">
        <v>3151400000</v>
      </c>
      <c r="E383" s="98">
        <v>0</v>
      </c>
      <c r="F383" s="98">
        <v>0</v>
      </c>
      <c r="G383" s="98">
        <v>0</v>
      </c>
      <c r="H383" s="98"/>
      <c r="I383" s="100">
        <v>11469422000</v>
      </c>
      <c r="J383" s="100">
        <v>12803494000</v>
      </c>
    </row>
    <row r="384" spans="1:11">
      <c r="A384" s="96" t="s">
        <v>989</v>
      </c>
      <c r="B384" s="96"/>
      <c r="C384" s="100">
        <v>-750300000</v>
      </c>
      <c r="D384" s="98">
        <v>0</v>
      </c>
      <c r="E384" s="98">
        <v>0</v>
      </c>
      <c r="F384" s="98">
        <v>0</v>
      </c>
      <c r="G384" s="98">
        <v>0</v>
      </c>
      <c r="H384" s="98"/>
      <c r="I384" s="100">
        <v>-17255581000</v>
      </c>
      <c r="J384" s="100">
        <v>-25876870000</v>
      </c>
    </row>
    <row r="385" spans="1:10">
      <c r="A385" s="96" t="s">
        <v>990</v>
      </c>
      <c r="B385" s="96"/>
      <c r="C385" s="98">
        <v>0</v>
      </c>
      <c r="D385" s="98">
        <v>0</v>
      </c>
      <c r="E385" s="98">
        <v>0</v>
      </c>
      <c r="F385" s="100">
        <v>-1566400000</v>
      </c>
      <c r="G385" s="100">
        <v>-19651761000</v>
      </c>
      <c r="H385" s="100"/>
      <c r="I385" s="100">
        <v>0</v>
      </c>
      <c r="J385" s="100">
        <v>0</v>
      </c>
    </row>
    <row r="386" spans="1:10">
      <c r="A386" s="96" t="s">
        <v>991</v>
      </c>
      <c r="B386" s="96"/>
      <c r="C386" s="98">
        <v>0</v>
      </c>
      <c r="D386" s="98">
        <v>0</v>
      </c>
      <c r="E386" s="100">
        <v>1671478000</v>
      </c>
      <c r="F386" s="98">
        <v>0</v>
      </c>
      <c r="G386" s="98">
        <v>0</v>
      </c>
      <c r="H386" s="98"/>
      <c r="I386" s="100">
        <v>0</v>
      </c>
      <c r="J386" s="100">
        <v>0</v>
      </c>
    </row>
    <row r="387" spans="1:10">
      <c r="A387" s="96" t="s">
        <v>992</v>
      </c>
      <c r="B387" s="96"/>
      <c r="C387" s="98">
        <v>0</v>
      </c>
      <c r="D387" s="98">
        <v>0</v>
      </c>
      <c r="E387" s="98">
        <v>0</v>
      </c>
      <c r="F387" s="100">
        <v>1566400000</v>
      </c>
      <c r="G387" s="100">
        <v>18216300000</v>
      </c>
      <c r="H387" s="100"/>
      <c r="I387" s="100">
        <v>0</v>
      </c>
      <c r="J387" s="100">
        <v>0</v>
      </c>
    </row>
    <row r="388" spans="1:10">
      <c r="A388" s="96" t="s">
        <v>993</v>
      </c>
      <c r="B388" s="96"/>
      <c r="C388" s="100">
        <v>32698000</v>
      </c>
      <c r="D388" s="100">
        <v>40866000</v>
      </c>
      <c r="E388" s="98">
        <v>0</v>
      </c>
      <c r="F388" s="100">
        <v>68401000</v>
      </c>
      <c r="G388" s="100">
        <v>245268000</v>
      </c>
      <c r="H388" s="100"/>
      <c r="I388" s="100">
        <v>203886000</v>
      </c>
      <c r="J388" s="100">
        <v>129333000</v>
      </c>
    </row>
    <row r="389" spans="1:10">
      <c r="A389" s="96" t="s">
        <v>994</v>
      </c>
      <c r="B389" s="121" t="s">
        <v>804</v>
      </c>
      <c r="C389" s="98">
        <v>0</v>
      </c>
      <c r="D389" s="98">
        <v>0</v>
      </c>
      <c r="E389" s="100">
        <v>74184000</v>
      </c>
      <c r="F389" s="98">
        <v>0</v>
      </c>
      <c r="G389" s="98">
        <v>0</v>
      </c>
      <c r="H389" s="98"/>
      <c r="I389" s="100">
        <v>0</v>
      </c>
      <c r="J389" s="100">
        <v>0</v>
      </c>
    </row>
    <row r="390" spans="1:10">
      <c r="A390" s="96" t="s">
        <v>813</v>
      </c>
      <c r="B390" s="96"/>
      <c r="C390" s="100">
        <v>-13442642000</v>
      </c>
      <c r="D390" s="100">
        <v>-16175022000</v>
      </c>
      <c r="E390" s="100">
        <v>-14230760000</v>
      </c>
      <c r="F390" s="100">
        <v>-20881446000</v>
      </c>
      <c r="G390" s="100">
        <v>-14444248000</v>
      </c>
      <c r="H390" s="100"/>
      <c r="I390" s="100">
        <v>-45403992000</v>
      </c>
      <c r="J390" s="100">
        <v>-120595997000</v>
      </c>
    </row>
    <row r="391" spans="1:10">
      <c r="A391" s="99" t="s">
        <v>995</v>
      </c>
      <c r="B391" s="99"/>
      <c r="C391" s="96"/>
      <c r="D391" s="96"/>
      <c r="E391" s="96"/>
      <c r="F391" s="96"/>
      <c r="G391" s="96"/>
      <c r="H391" s="96"/>
      <c r="I391" s="100"/>
    </row>
    <row r="392" spans="1:10" ht="14.5">
      <c r="A392" s="96" t="s">
        <v>996</v>
      </c>
      <c r="B392" s="882" t="s">
        <v>816</v>
      </c>
      <c r="C392" s="98">
        <v>0</v>
      </c>
      <c r="D392" s="98">
        <v>0</v>
      </c>
      <c r="E392" s="100">
        <v>52964977000</v>
      </c>
      <c r="F392" s="98">
        <v>0</v>
      </c>
      <c r="G392" s="98">
        <v>0</v>
      </c>
      <c r="H392" s="98"/>
      <c r="I392" s="100">
        <v>32872379000</v>
      </c>
      <c r="J392" s="223">
        <v>27635948000</v>
      </c>
    </row>
    <row r="393" spans="1:10" ht="14.5">
      <c r="A393" s="96" t="s">
        <v>997</v>
      </c>
      <c r="B393" s="882" t="s">
        <v>816</v>
      </c>
      <c r="C393" s="98">
        <v>0</v>
      </c>
      <c r="D393" s="98">
        <v>0</v>
      </c>
      <c r="E393" s="100">
        <v>14100000000</v>
      </c>
      <c r="F393" s="98">
        <v>0</v>
      </c>
      <c r="G393" s="98">
        <v>0</v>
      </c>
      <c r="H393" s="98"/>
      <c r="I393" s="100">
        <v>0</v>
      </c>
      <c r="J393" s="100">
        <v>0</v>
      </c>
    </row>
    <row r="394" spans="1:10" ht="14.5">
      <c r="A394" s="96" t="s">
        <v>998</v>
      </c>
      <c r="B394" s="882" t="s">
        <v>816</v>
      </c>
      <c r="C394" s="100">
        <v>-26691182000</v>
      </c>
      <c r="D394" s="98">
        <v>0</v>
      </c>
      <c r="E394" s="98">
        <v>0</v>
      </c>
      <c r="F394" s="98">
        <v>0</v>
      </c>
      <c r="G394" s="98">
        <v>0</v>
      </c>
      <c r="H394" s="98"/>
      <c r="I394" s="100">
        <v>0</v>
      </c>
      <c r="J394" s="100">
        <v>0</v>
      </c>
    </row>
    <row r="395" spans="1:10" ht="14.5">
      <c r="A395" s="96" t="s">
        <v>999</v>
      </c>
      <c r="B395" s="882" t="s">
        <v>816</v>
      </c>
      <c r="C395" s="98">
        <v>0</v>
      </c>
      <c r="D395" s="100">
        <v>-36249367000</v>
      </c>
      <c r="E395" s="100">
        <v>-57557196000</v>
      </c>
      <c r="F395" s="100">
        <v>-68598918000</v>
      </c>
      <c r="G395" s="100">
        <v>-67123655000</v>
      </c>
      <c r="H395" s="100"/>
      <c r="I395" s="100">
        <v>-49878805000</v>
      </c>
      <c r="J395" s="223">
        <v>-44048894000</v>
      </c>
    </row>
    <row r="396" spans="1:10" ht="14.5">
      <c r="A396" s="96" t="s">
        <v>1000</v>
      </c>
      <c r="B396" s="882" t="s">
        <v>816</v>
      </c>
      <c r="C396" s="100">
        <v>31223339000</v>
      </c>
      <c r="D396" s="100">
        <v>46032851000</v>
      </c>
      <c r="E396" s="98">
        <v>0</v>
      </c>
      <c r="F396" s="100">
        <v>58478303000</v>
      </c>
      <c r="G396" s="100">
        <v>40633747000</v>
      </c>
      <c r="H396" s="100"/>
      <c r="I396" s="100">
        <v>0</v>
      </c>
      <c r="J396" s="100">
        <v>0</v>
      </c>
    </row>
    <row r="397" spans="1:10" ht="14.5">
      <c r="A397" s="96" t="s">
        <v>1001</v>
      </c>
      <c r="B397" s="882" t="s">
        <v>816</v>
      </c>
      <c r="C397" s="98">
        <v>0</v>
      </c>
      <c r="D397" s="100">
        <v>4500000000</v>
      </c>
      <c r="E397" s="98">
        <v>0</v>
      </c>
      <c r="F397" s="100">
        <v>20000000000</v>
      </c>
      <c r="G397" s="100">
        <v>2000000000</v>
      </c>
      <c r="H397" s="100"/>
      <c r="I397" s="100">
        <v>0</v>
      </c>
      <c r="J397" s="100">
        <v>0</v>
      </c>
    </row>
    <row r="398" spans="1:10" ht="14.5">
      <c r="A398" s="96" t="s">
        <v>1002</v>
      </c>
      <c r="B398" s="883" t="s">
        <v>1003</v>
      </c>
      <c r="C398" s="98">
        <v>0</v>
      </c>
      <c r="D398" s="98">
        <v>0</v>
      </c>
      <c r="E398" s="100">
        <v>10835000</v>
      </c>
      <c r="F398" s="100">
        <v>1786000</v>
      </c>
      <c r="G398" s="100">
        <v>2800000000</v>
      </c>
      <c r="H398" s="100"/>
      <c r="I398" s="100">
        <v>37313719000</v>
      </c>
      <c r="J398" s="223">
        <v>507625000</v>
      </c>
    </row>
    <row r="399" spans="1:10" ht="14.5">
      <c r="A399" s="96" t="s">
        <v>1004</v>
      </c>
      <c r="B399" s="883" t="s">
        <v>1003</v>
      </c>
      <c r="C399" s="100">
        <v>14473000000</v>
      </c>
      <c r="D399" s="98">
        <v>0</v>
      </c>
      <c r="E399" s="98">
        <v>0</v>
      </c>
      <c r="F399" s="98">
        <v>0</v>
      </c>
      <c r="G399" s="98">
        <v>0</v>
      </c>
      <c r="H399" s="98"/>
      <c r="I399" s="100">
        <v>0</v>
      </c>
      <c r="J399" s="100">
        <v>0</v>
      </c>
    </row>
    <row r="400" spans="1:10" ht="14.5">
      <c r="A400" s="96" t="s">
        <v>1005</v>
      </c>
      <c r="B400" s="883" t="s">
        <v>1003</v>
      </c>
      <c r="C400" s="100">
        <v>595800000</v>
      </c>
      <c r="D400" s="98">
        <v>0</v>
      </c>
      <c r="E400" s="98">
        <v>0</v>
      </c>
      <c r="F400" s="98">
        <v>0</v>
      </c>
      <c r="G400" s="98">
        <v>0</v>
      </c>
      <c r="H400" s="98"/>
      <c r="I400" s="100">
        <v>0</v>
      </c>
      <c r="J400" s="100">
        <v>0</v>
      </c>
    </row>
    <row r="401" spans="1:11" ht="14.5">
      <c r="A401" s="96" t="s">
        <v>1006</v>
      </c>
      <c r="B401" s="883" t="s">
        <v>1003</v>
      </c>
      <c r="C401" s="98">
        <v>0</v>
      </c>
      <c r="D401" s="98">
        <v>0</v>
      </c>
      <c r="E401" s="98">
        <v>0</v>
      </c>
      <c r="F401" s="100">
        <v>498792000</v>
      </c>
      <c r="G401" s="98">
        <v>0</v>
      </c>
      <c r="H401" s="98"/>
      <c r="I401" s="100">
        <v>0</v>
      </c>
      <c r="J401" s="100">
        <v>0</v>
      </c>
    </row>
    <row r="402" spans="1:11" ht="14.5">
      <c r="A402" s="96" t="s">
        <v>1007</v>
      </c>
      <c r="B402" s="883" t="s">
        <v>1003</v>
      </c>
      <c r="C402" s="98">
        <v>0</v>
      </c>
      <c r="D402" s="100">
        <v>3300000000</v>
      </c>
      <c r="E402" s="98">
        <v>0</v>
      </c>
      <c r="F402" s="98">
        <v>0</v>
      </c>
      <c r="G402" s="98">
        <v>0</v>
      </c>
      <c r="H402" s="98"/>
      <c r="I402" s="100">
        <v>0</v>
      </c>
      <c r="J402" s="100">
        <v>0</v>
      </c>
    </row>
    <row r="403" spans="1:11" ht="14.5">
      <c r="A403" s="96" t="s">
        <v>1008</v>
      </c>
      <c r="B403" s="883" t="s">
        <v>1003</v>
      </c>
      <c r="C403" s="98">
        <v>0</v>
      </c>
      <c r="D403" s="98">
        <v>0</v>
      </c>
      <c r="E403" s="98">
        <v>0</v>
      </c>
      <c r="F403" s="98">
        <v>0</v>
      </c>
      <c r="G403" s="100">
        <v>-3300000000</v>
      </c>
      <c r="H403" s="100"/>
      <c r="I403" s="100">
        <v>-1100000000</v>
      </c>
      <c r="J403" s="100">
        <v>0</v>
      </c>
    </row>
    <row r="404" spans="1:11" ht="14.5">
      <c r="A404" s="96" t="s">
        <v>1009</v>
      </c>
      <c r="B404" s="883" t="s">
        <v>1003</v>
      </c>
      <c r="C404" s="98">
        <v>0</v>
      </c>
      <c r="D404" s="100">
        <v>-3200000000</v>
      </c>
      <c r="E404" s="98">
        <v>0</v>
      </c>
      <c r="F404" s="98">
        <v>0</v>
      </c>
      <c r="G404" s="98">
        <v>0</v>
      </c>
      <c r="H404" s="98"/>
      <c r="I404" s="100">
        <v>0</v>
      </c>
      <c r="J404" s="100">
        <v>0</v>
      </c>
    </row>
    <row r="405" spans="1:11" ht="14.5">
      <c r="A405" s="96" t="s">
        <v>1010</v>
      </c>
      <c r="B405" s="883" t="s">
        <v>825</v>
      </c>
      <c r="C405" s="98">
        <v>0</v>
      </c>
      <c r="D405" s="100">
        <v>-3201316000</v>
      </c>
      <c r="E405" s="98">
        <v>0</v>
      </c>
      <c r="F405" s="98">
        <v>0</v>
      </c>
      <c r="G405" s="98">
        <v>0</v>
      </c>
      <c r="H405" s="98"/>
      <c r="I405" s="100">
        <v>-2619303000</v>
      </c>
      <c r="J405" s="223">
        <v>-1632852000</v>
      </c>
    </row>
    <row r="406" spans="1:11" ht="14.5">
      <c r="A406" s="96" t="s">
        <v>1011</v>
      </c>
      <c r="B406" s="883" t="s">
        <v>825</v>
      </c>
      <c r="C406" s="100">
        <v>-3208633000</v>
      </c>
      <c r="D406" s="98">
        <v>0</v>
      </c>
      <c r="E406" s="98">
        <v>0</v>
      </c>
      <c r="F406" s="98">
        <v>0</v>
      </c>
      <c r="G406" s="98">
        <v>0</v>
      </c>
      <c r="H406" s="98"/>
      <c r="I406" s="100">
        <v>0</v>
      </c>
      <c r="J406" s="100">
        <v>0</v>
      </c>
    </row>
    <row r="407" spans="1:11" ht="14.5">
      <c r="A407" s="96" t="s">
        <v>1012</v>
      </c>
      <c r="B407" s="883" t="s">
        <v>825</v>
      </c>
      <c r="C407" s="98">
        <v>0</v>
      </c>
      <c r="D407" s="98">
        <v>0</v>
      </c>
      <c r="E407" s="100">
        <v>-4120193000</v>
      </c>
      <c r="F407" s="98">
        <v>0</v>
      </c>
      <c r="G407" s="98">
        <v>0</v>
      </c>
      <c r="H407" s="98"/>
      <c r="I407" s="100">
        <v>0</v>
      </c>
      <c r="J407" s="100">
        <v>0</v>
      </c>
    </row>
    <row r="408" spans="1:11" ht="14.5">
      <c r="A408" s="96" t="s">
        <v>1013</v>
      </c>
      <c r="B408" s="883" t="s">
        <v>825</v>
      </c>
      <c r="C408" s="98">
        <v>0</v>
      </c>
      <c r="D408" s="98">
        <v>0</v>
      </c>
      <c r="E408" s="98">
        <v>0</v>
      </c>
      <c r="F408" s="100">
        <v>-4388702000</v>
      </c>
      <c r="G408" s="100">
        <v>-3686029000</v>
      </c>
      <c r="H408" s="100"/>
      <c r="I408" s="100">
        <v>0</v>
      </c>
      <c r="J408" s="100">
        <v>0</v>
      </c>
    </row>
    <row r="409" spans="1:11">
      <c r="A409" s="96" t="s">
        <v>1014</v>
      </c>
      <c r="B409" s="96"/>
      <c r="C409" s="100">
        <v>-122107000</v>
      </c>
      <c r="D409" s="98">
        <v>0</v>
      </c>
      <c r="E409" s="98">
        <v>0</v>
      </c>
      <c r="F409" s="98">
        <v>0</v>
      </c>
      <c r="G409" s="98">
        <v>0</v>
      </c>
      <c r="H409" s="98"/>
      <c r="I409" s="100">
        <v>0</v>
      </c>
      <c r="J409" s="100">
        <v>0</v>
      </c>
    </row>
    <row r="410" spans="1:11">
      <c r="A410" s="96" t="s">
        <v>1015</v>
      </c>
      <c r="B410" s="96"/>
      <c r="C410" s="98">
        <v>0</v>
      </c>
      <c r="D410" s="98">
        <v>0</v>
      </c>
      <c r="E410" s="98">
        <v>0</v>
      </c>
      <c r="F410" s="100">
        <v>817510000</v>
      </c>
      <c r="G410" s="98">
        <v>0</v>
      </c>
      <c r="H410" s="98"/>
      <c r="I410" s="100">
        <v>0</v>
      </c>
      <c r="J410" s="100">
        <v>3031473000</v>
      </c>
    </row>
    <row r="411" spans="1:11">
      <c r="A411" s="96" t="s">
        <v>1016</v>
      </c>
      <c r="B411" s="96"/>
      <c r="C411" s="98">
        <v>0</v>
      </c>
      <c r="D411" s="100">
        <v>-14344000</v>
      </c>
      <c r="E411" s="100">
        <v>-1481912000</v>
      </c>
      <c r="F411" s="98">
        <v>0</v>
      </c>
      <c r="G411" s="98">
        <v>0</v>
      </c>
      <c r="H411" s="98"/>
      <c r="I411" s="100">
        <v>0</v>
      </c>
      <c r="J411" s="100">
        <v>0</v>
      </c>
    </row>
    <row r="412" spans="1:11">
      <c r="A412" s="96" t="s">
        <v>1017</v>
      </c>
      <c r="B412" s="96"/>
      <c r="C412" s="98">
        <v>0</v>
      </c>
      <c r="D412" s="98">
        <v>0</v>
      </c>
      <c r="E412" s="98">
        <v>0</v>
      </c>
      <c r="F412" s="100">
        <v>-198426000</v>
      </c>
      <c r="G412" s="100">
        <v>-231481000</v>
      </c>
      <c r="H412" s="100"/>
      <c r="I412" s="100">
        <v>-525473000</v>
      </c>
      <c r="J412" s="100">
        <v>-4981983000</v>
      </c>
    </row>
    <row r="413" spans="1:11">
      <c r="A413" s="96" t="s">
        <v>841</v>
      </c>
      <c r="B413" s="96"/>
      <c r="C413" s="100">
        <v>16270217000</v>
      </c>
      <c r="D413" s="100">
        <v>11167824000</v>
      </c>
      <c r="E413" s="100">
        <v>3916511000</v>
      </c>
      <c r="F413" s="100">
        <v>6610345000</v>
      </c>
      <c r="G413" s="100">
        <v>-28907418000</v>
      </c>
      <c r="H413" s="100"/>
      <c r="I413" s="100">
        <v>16062517000</v>
      </c>
      <c r="J413" s="100">
        <v>-19488683000</v>
      </c>
      <c r="K413" s="628"/>
    </row>
    <row r="414" spans="1:11">
      <c r="A414" s="99" t="s">
        <v>842</v>
      </c>
      <c r="B414" s="99"/>
      <c r="C414" s="96"/>
      <c r="D414" s="96"/>
      <c r="E414" s="96"/>
      <c r="F414" s="96"/>
      <c r="G414" s="96"/>
      <c r="H414" s="96"/>
      <c r="I414" s="100"/>
    </row>
    <row r="415" spans="1:11">
      <c r="A415" s="96" t="s">
        <v>843</v>
      </c>
      <c r="B415" s="96"/>
      <c r="C415" s="100">
        <v>97059000</v>
      </c>
      <c r="D415" s="100">
        <v>5733000</v>
      </c>
      <c r="E415" s="100">
        <v>6443000</v>
      </c>
      <c r="F415" s="100">
        <v>53334000</v>
      </c>
      <c r="G415" s="100">
        <v>23199000</v>
      </c>
      <c r="H415" s="100"/>
      <c r="I415" s="100">
        <v>-43845000</v>
      </c>
      <c r="J415" s="100">
        <v>609620000</v>
      </c>
    </row>
    <row r="416" spans="1:11">
      <c r="A416" s="96" t="s">
        <v>844</v>
      </c>
      <c r="B416" s="96"/>
      <c r="C416" s="100">
        <v>1079063000</v>
      </c>
      <c r="D416" s="100">
        <v>1577360000</v>
      </c>
      <c r="E416" s="100">
        <v>2215103000</v>
      </c>
      <c r="F416" s="100">
        <v>523240000</v>
      </c>
      <c r="G416" s="100">
        <v>2064201000</v>
      </c>
      <c r="H416" s="100"/>
      <c r="I416" s="100">
        <v>36081362000</v>
      </c>
      <c r="J416" s="100">
        <v>1362597000</v>
      </c>
    </row>
    <row r="418" spans="1:14">
      <c r="A418" s="1966" t="s">
        <v>1018</v>
      </c>
      <c r="B418" s="1966"/>
      <c r="C418" s="1966"/>
      <c r="D418" s="1966"/>
      <c r="E418" s="1966"/>
      <c r="F418" s="1966"/>
      <c r="G418" s="1966"/>
      <c r="H418" s="1966"/>
      <c r="I418" s="1966"/>
      <c r="J418" s="1966"/>
      <c r="K418" s="1966"/>
      <c r="L418" s="1966"/>
      <c r="M418" s="1966"/>
      <c r="N418" s="1966"/>
    </row>
    <row r="419" spans="1:14" ht="15.5">
      <c r="A419" s="900" t="s">
        <v>1019</v>
      </c>
      <c r="B419" s="902"/>
      <c r="C419" s="901" t="s">
        <v>657</v>
      </c>
      <c r="D419" s="901" t="s">
        <v>658</v>
      </c>
      <c r="E419" s="901" t="s">
        <v>659</v>
      </c>
      <c r="F419" s="901" t="s">
        <v>660</v>
      </c>
      <c r="G419" s="901" t="s">
        <v>661</v>
      </c>
      <c r="H419" s="901"/>
      <c r="I419" s="901" t="s">
        <v>1020</v>
      </c>
    </row>
    <row r="421" spans="1:14">
      <c r="A421" s="96" t="s">
        <v>662</v>
      </c>
      <c r="C421" s="97">
        <v>43465</v>
      </c>
      <c r="D421" s="97">
        <v>43830</v>
      </c>
      <c r="E421" s="97">
        <v>44196</v>
      </c>
      <c r="F421" s="97">
        <v>44561</v>
      </c>
      <c r="G421" s="97">
        <v>44926</v>
      </c>
      <c r="H421" s="97"/>
    </row>
    <row r="422" spans="1:14">
      <c r="A422" s="96" t="s">
        <v>663</v>
      </c>
      <c r="C422" s="98" t="s">
        <v>189</v>
      </c>
      <c r="D422" s="98" t="s">
        <v>189</v>
      </c>
      <c r="E422" s="98" t="s">
        <v>189</v>
      </c>
      <c r="F422" s="98" t="s">
        <v>189</v>
      </c>
      <c r="G422" s="98" t="s">
        <v>189</v>
      </c>
      <c r="H422" s="98"/>
    </row>
    <row r="423" spans="1:14">
      <c r="A423" s="96" t="s">
        <v>665</v>
      </c>
      <c r="C423" s="98" t="s">
        <v>666</v>
      </c>
      <c r="D423" s="98" t="s">
        <v>666</v>
      </c>
      <c r="E423" s="98" t="s">
        <v>666</v>
      </c>
      <c r="F423" s="98" t="s">
        <v>666</v>
      </c>
      <c r="G423" s="98" t="s">
        <v>666</v>
      </c>
      <c r="H423" s="98"/>
    </row>
    <row r="424" spans="1:14">
      <c r="A424" s="654" t="s">
        <v>508</v>
      </c>
      <c r="C424" s="19"/>
      <c r="D424" s="19"/>
      <c r="E424" s="19"/>
      <c r="F424" s="19"/>
      <c r="G424" s="19"/>
      <c r="H424" s="19"/>
    </row>
    <row r="425" spans="1:14">
      <c r="A425" s="96" t="s">
        <v>1021</v>
      </c>
      <c r="C425" s="19"/>
      <c r="D425" s="19">
        <v>280967</v>
      </c>
      <c r="E425" s="19">
        <v>9282703</v>
      </c>
      <c r="F425" s="19">
        <v>26128469</v>
      </c>
      <c r="G425" s="19">
        <v>44106434</v>
      </c>
      <c r="H425" s="19"/>
    </row>
    <row r="426" spans="1:14">
      <c r="A426" s="96" t="s">
        <v>1022</v>
      </c>
      <c r="C426" s="19"/>
      <c r="D426" s="19">
        <v>3400</v>
      </c>
      <c r="E426" s="19">
        <v>173906</v>
      </c>
      <c r="F426" s="19">
        <v>881310</v>
      </c>
      <c r="G426" s="19">
        <v>1180382</v>
      </c>
      <c r="H426" s="19"/>
    </row>
    <row r="427" spans="1:14">
      <c r="A427" s="654" t="s">
        <v>1023</v>
      </c>
      <c r="C427" s="19"/>
      <c r="D427" s="19">
        <v>284367</v>
      </c>
      <c r="E427" s="19">
        <v>9456609</v>
      </c>
      <c r="F427" s="19">
        <v>27009779</v>
      </c>
      <c r="G427" s="19">
        <v>45286816</v>
      </c>
      <c r="H427" s="19"/>
    </row>
    <row r="428" spans="1:14">
      <c r="A428" s="654" t="s">
        <v>1024</v>
      </c>
      <c r="C428" s="19"/>
      <c r="D428" s="19"/>
      <c r="E428" s="19"/>
      <c r="F428" s="19"/>
      <c r="G428" s="19"/>
      <c r="H428" s="19"/>
    </row>
    <row r="429" spans="1:14">
      <c r="A429" s="96" t="s">
        <v>1021</v>
      </c>
      <c r="C429" s="19"/>
      <c r="D429" s="19">
        <v>-279555</v>
      </c>
      <c r="E429" s="19">
        <v>-7763628</v>
      </c>
      <c r="F429" s="19">
        <v>-20755578</v>
      </c>
      <c r="G429" s="19">
        <v>-35688343</v>
      </c>
      <c r="H429" s="19"/>
    </row>
    <row r="430" spans="1:14">
      <c r="A430" s="96" t="s">
        <v>1022</v>
      </c>
      <c r="C430" s="19"/>
      <c r="D430" s="19">
        <v>-4907</v>
      </c>
      <c r="E430" s="19">
        <v>-143642</v>
      </c>
      <c r="F430" s="19">
        <v>-492747</v>
      </c>
      <c r="G430" s="19">
        <v>-808017</v>
      </c>
      <c r="H430" s="19"/>
    </row>
    <row r="431" spans="1:14">
      <c r="A431" s="654" t="s">
        <v>1025</v>
      </c>
      <c r="C431" s="19"/>
      <c r="D431" s="19">
        <v>-284462</v>
      </c>
      <c r="E431" s="19">
        <v>-7907270</v>
      </c>
      <c r="F431" s="19">
        <v>-21248325</v>
      </c>
      <c r="G431" s="19">
        <f>SUM(G429:G430)</f>
        <v>-36496360</v>
      </c>
      <c r="H431" s="19"/>
    </row>
    <row r="432" spans="1:14">
      <c r="A432" s="654" t="s">
        <v>511</v>
      </c>
      <c r="C432" s="19"/>
      <c r="D432" s="19">
        <v>-95</v>
      </c>
      <c r="E432" s="19">
        <v>1549339</v>
      </c>
      <c r="F432" s="19">
        <v>5761454</v>
      </c>
      <c r="G432" s="19">
        <v>8790456</v>
      </c>
      <c r="H432" s="19"/>
    </row>
    <row r="433" spans="1:8">
      <c r="A433" s="654" t="s">
        <v>1026</v>
      </c>
      <c r="C433" s="19"/>
      <c r="D433" s="19"/>
      <c r="E433" s="19"/>
      <c r="F433" s="19"/>
      <c r="G433" s="19"/>
      <c r="H433" s="19"/>
    </row>
    <row r="434" spans="1:8">
      <c r="A434" s="96" t="s">
        <v>1027</v>
      </c>
      <c r="C434" s="19">
        <v>-793717</v>
      </c>
      <c r="D434" s="19">
        <v>-1169140</v>
      </c>
      <c r="E434" s="19">
        <v>-1099857</v>
      </c>
      <c r="F434" s="19">
        <v>-3286389</v>
      </c>
      <c r="G434" s="19">
        <v>-6780032</v>
      </c>
      <c r="H434" s="19"/>
    </row>
    <row r="435" spans="1:8">
      <c r="A435" s="96" t="s">
        <v>1028</v>
      </c>
      <c r="C435" s="19">
        <v>-337200</v>
      </c>
      <c r="D435" s="19">
        <v>-689379</v>
      </c>
      <c r="E435" s="19">
        <v>-1118819</v>
      </c>
      <c r="F435" s="19">
        <v>-3492385</v>
      </c>
      <c r="G435" s="19">
        <v>-5665301</v>
      </c>
      <c r="H435" s="19"/>
    </row>
    <row r="436" spans="1:8">
      <c r="A436" s="654" t="s">
        <v>616</v>
      </c>
      <c r="C436" s="19">
        <v>-1130917</v>
      </c>
      <c r="D436" s="19">
        <v>-1858519</v>
      </c>
      <c r="E436" s="19">
        <v>-2218676</v>
      </c>
      <c r="F436" s="19">
        <v>-6778774</v>
      </c>
      <c r="G436" s="19">
        <f>SUM(G434:G435)</f>
        <v>-12445333</v>
      </c>
      <c r="H436" s="19"/>
    </row>
    <row r="437" spans="1:8">
      <c r="A437" s="654" t="s">
        <v>1029</v>
      </c>
      <c r="C437" s="19">
        <v>-1130917</v>
      </c>
      <c r="D437" s="19">
        <v>-1858614</v>
      </c>
      <c r="E437" s="19">
        <v>-669337</v>
      </c>
      <c r="F437" s="19">
        <v>-1017320</v>
      </c>
      <c r="G437" s="19">
        <f>G436+G432</f>
        <v>-3654877</v>
      </c>
      <c r="H437" s="19"/>
    </row>
    <row r="438" spans="1:8">
      <c r="A438" s="654" t="s">
        <v>1030</v>
      </c>
      <c r="C438" s="19"/>
      <c r="D438" s="19"/>
      <c r="E438" s="19"/>
      <c r="F438" s="19"/>
      <c r="G438" s="19"/>
      <c r="H438" s="19"/>
    </row>
    <row r="439" spans="1:8">
      <c r="A439" s="96" t="s">
        <v>1031</v>
      </c>
      <c r="C439" s="19">
        <v>-63467</v>
      </c>
      <c r="D439" s="19">
        <v>-83667</v>
      </c>
      <c r="E439" s="19">
        <v>-66916</v>
      </c>
      <c r="F439" s="19">
        <v>-63244</v>
      </c>
      <c r="G439" s="19">
        <v>-106340</v>
      </c>
      <c r="H439" s="19"/>
    </row>
    <row r="440" spans="1:8">
      <c r="A440" s="96" t="s">
        <v>597</v>
      </c>
      <c r="C440" s="19">
        <v>3582</v>
      </c>
      <c r="D440" s="19">
        <v>30256</v>
      </c>
      <c r="E440" s="19">
        <v>41316</v>
      </c>
      <c r="G440" s="19"/>
      <c r="H440" s="19"/>
    </row>
    <row r="441" spans="1:8">
      <c r="A441" s="96" t="s">
        <v>1032</v>
      </c>
      <c r="C441" s="19">
        <v>68135</v>
      </c>
      <c r="D441" s="19">
        <v>49375</v>
      </c>
      <c r="E441" s="19">
        <v>213600</v>
      </c>
      <c r="F441" s="19"/>
    </row>
    <row r="442" spans="1:8">
      <c r="A442" s="96" t="s">
        <v>1033</v>
      </c>
      <c r="C442" s="19"/>
      <c r="D442" s="19"/>
      <c r="E442" s="19"/>
      <c r="F442" s="19">
        <v>740432</v>
      </c>
      <c r="G442" s="19">
        <v>976229</v>
      </c>
      <c r="H442" s="19"/>
    </row>
    <row r="443" spans="1:8">
      <c r="A443" s="96" t="s">
        <v>1034</v>
      </c>
      <c r="C443" s="19">
        <v>-35826</v>
      </c>
      <c r="D443" s="19">
        <v>-162725</v>
      </c>
      <c r="E443" s="19">
        <v>-2520</v>
      </c>
      <c r="F443" s="19"/>
      <c r="G443" s="19"/>
      <c r="H443" s="19"/>
    </row>
    <row r="444" spans="1:8">
      <c r="A444" s="96" t="s">
        <v>633</v>
      </c>
      <c r="C444" s="19">
        <v>-3726</v>
      </c>
      <c r="D444" s="19">
        <v>31977</v>
      </c>
      <c r="E444" s="19">
        <v>-6719</v>
      </c>
      <c r="F444" s="19"/>
      <c r="G444" s="19"/>
      <c r="H444" s="19"/>
    </row>
    <row r="445" spans="1:8">
      <c r="A445" s="96" t="s">
        <v>634</v>
      </c>
      <c r="C445" s="19"/>
      <c r="D445" s="19">
        <v>-426425</v>
      </c>
      <c r="E445" s="19">
        <v>272327</v>
      </c>
      <c r="F445" s="19"/>
      <c r="G445" s="19"/>
      <c r="H445" s="19"/>
    </row>
    <row r="446" spans="1:8">
      <c r="A446" s="96" t="s">
        <v>1035</v>
      </c>
      <c r="C446" s="19">
        <v>-3077</v>
      </c>
      <c r="D446" s="19">
        <v>1949</v>
      </c>
      <c r="E446" s="19">
        <v>29372</v>
      </c>
      <c r="F446" s="19">
        <v>187320</v>
      </c>
      <c r="G446" s="19">
        <v>625633</v>
      </c>
      <c r="H446" s="19"/>
    </row>
    <row r="447" spans="1:8">
      <c r="A447" s="654" t="s">
        <v>1036</v>
      </c>
      <c r="C447" s="19">
        <v>-1165296</v>
      </c>
      <c r="D447" s="19">
        <v>-2417874</v>
      </c>
      <c r="E447" s="19">
        <v>-188877</v>
      </c>
      <c r="F447" s="19">
        <v>-152812</v>
      </c>
      <c r="G447" s="41">
        <v>-2159355</v>
      </c>
      <c r="H447" s="41"/>
    </row>
    <row r="448" spans="1:8">
      <c r="A448" s="96" t="s">
        <v>635</v>
      </c>
      <c r="C448" s="19"/>
      <c r="D448" s="19"/>
      <c r="E448" s="19">
        <v>22847</v>
      </c>
      <c r="F448" s="19">
        <v>-168643</v>
      </c>
      <c r="G448" s="41">
        <v>127007</v>
      </c>
      <c r="H448" s="41"/>
    </row>
    <row r="449" spans="1:8">
      <c r="A449" s="654" t="s">
        <v>1037</v>
      </c>
      <c r="C449" s="19">
        <v>-1165296</v>
      </c>
      <c r="D449" s="19">
        <v>-2417874</v>
      </c>
      <c r="E449" s="19">
        <v>-166030</v>
      </c>
      <c r="F449" s="19">
        <v>-321455</v>
      </c>
      <c r="G449" s="41"/>
      <c r="H449" s="41"/>
    </row>
    <row r="450" spans="1:8">
      <c r="A450" s="654" t="s">
        <v>1038</v>
      </c>
      <c r="C450" s="19">
        <v>-367022</v>
      </c>
      <c r="D450" s="19">
        <v>-20662</v>
      </c>
      <c r="E450" s="19">
        <v>14373</v>
      </c>
      <c r="F450" s="19"/>
      <c r="G450" s="19"/>
      <c r="H450" s="19"/>
    </row>
    <row r="451" spans="1:8">
      <c r="A451" s="654" t="s">
        <v>639</v>
      </c>
      <c r="C451" s="19">
        <v>-1532318</v>
      </c>
      <c r="D451" s="19">
        <v>-2438536</v>
      </c>
      <c r="E451" s="19">
        <v>-151657</v>
      </c>
      <c r="F451" s="19">
        <v>-321455</v>
      </c>
      <c r="G451" s="19">
        <v>-2032348</v>
      </c>
      <c r="H451" s="19"/>
    </row>
    <row r="452" spans="1:8">
      <c r="A452" s="96" t="s">
        <v>1039</v>
      </c>
      <c r="C452" s="19"/>
      <c r="D452" s="19"/>
      <c r="E452" s="19"/>
      <c r="F452" s="19"/>
      <c r="G452" s="19">
        <v>-20133</v>
      </c>
      <c r="H452" s="19"/>
    </row>
    <row r="453" spans="1:8">
      <c r="A453" s="96" t="s">
        <v>609</v>
      </c>
      <c r="C453" s="19">
        <v>-317320</v>
      </c>
      <c r="D453" s="19">
        <v>-734100</v>
      </c>
      <c r="E453" s="19">
        <v>-651190</v>
      </c>
      <c r="F453" s="19"/>
      <c r="G453" s="19"/>
      <c r="H453" s="19"/>
    </row>
    <row r="454" spans="1:8">
      <c r="A454" s="96" t="s">
        <v>1040</v>
      </c>
      <c r="C454" s="19"/>
      <c r="D454" s="19">
        <v>-217362</v>
      </c>
      <c r="E454" s="19"/>
      <c r="F454" s="19"/>
      <c r="G454" s="19"/>
      <c r="H454" s="19"/>
    </row>
    <row r="455" spans="1:8">
      <c r="A455" s="96" t="s">
        <v>1041</v>
      </c>
      <c r="C455" s="19"/>
      <c r="D455" s="19">
        <v>117391</v>
      </c>
      <c r="E455" s="19">
        <v>10862</v>
      </c>
      <c r="F455" s="19"/>
      <c r="G455" s="19"/>
      <c r="H455" s="19"/>
    </row>
    <row r="456" spans="1:8">
      <c r="A456" s="654" t="s">
        <v>1042</v>
      </c>
      <c r="C456" s="19">
        <v>-1849638</v>
      </c>
      <c r="D456" s="19">
        <v>-3281607</v>
      </c>
      <c r="E456" s="19">
        <v>-791985</v>
      </c>
      <c r="F456" s="19">
        <v>-321455</v>
      </c>
      <c r="G456" s="19">
        <v>-2012215</v>
      </c>
      <c r="H456" s="19"/>
    </row>
    <row r="457" spans="1:8">
      <c r="A457" s="96" t="s">
        <v>1043</v>
      </c>
      <c r="C457" s="19">
        <v>-1482616</v>
      </c>
      <c r="D457" s="19">
        <v>-3260945</v>
      </c>
      <c r="E457" s="19">
        <v>-806358</v>
      </c>
      <c r="F457" s="19">
        <v>-321455</v>
      </c>
      <c r="G457" s="19"/>
      <c r="H457" s="19"/>
    </row>
    <row r="458" spans="1:8">
      <c r="A458" s="96" t="s">
        <v>1044</v>
      </c>
      <c r="C458" s="19">
        <v>-367022</v>
      </c>
      <c r="D458" s="19">
        <v>-20662</v>
      </c>
      <c r="E458" s="19">
        <v>14373</v>
      </c>
      <c r="F458" s="19"/>
      <c r="G458" s="19"/>
      <c r="H458" s="19"/>
    </row>
    <row r="459" spans="1:8">
      <c r="A459" s="654"/>
      <c r="C459" s="652"/>
      <c r="D459" s="652"/>
      <c r="E459" s="652"/>
      <c r="F459" s="652"/>
      <c r="G459" s="652"/>
      <c r="H459" s="652"/>
    </row>
    <row r="460" spans="1:8">
      <c r="A460" s="654" t="s">
        <v>639</v>
      </c>
      <c r="C460" s="19">
        <v>-1532318</v>
      </c>
      <c r="D460" s="19">
        <v>-2438536</v>
      </c>
      <c r="E460" s="19">
        <v>-151657</v>
      </c>
      <c r="F460" s="19">
        <v>-321455</v>
      </c>
      <c r="G460" s="19">
        <v>-2032348</v>
      </c>
      <c r="H460" s="19"/>
    </row>
    <row r="461" spans="1:8">
      <c r="A461" s="64" t="s">
        <v>1045</v>
      </c>
      <c r="C461" s="19"/>
      <c r="D461" s="19"/>
      <c r="E461" s="19"/>
      <c r="F461" s="19"/>
      <c r="G461" s="19"/>
      <c r="H461" s="19"/>
    </row>
    <row r="462" spans="1:8">
      <c r="A462" t="s">
        <v>1046</v>
      </c>
      <c r="C462" s="19">
        <v>12954</v>
      </c>
      <c r="D462" s="19">
        <v>2851</v>
      </c>
      <c r="E462" s="19">
        <v>-1020728</v>
      </c>
      <c r="F462" s="19">
        <v>-516687</v>
      </c>
      <c r="G462" s="19">
        <v>1327761</v>
      </c>
      <c r="H462" s="19"/>
    </row>
    <row r="463" spans="1:8">
      <c r="A463" s="64" t="s">
        <v>1047</v>
      </c>
      <c r="C463" s="19">
        <v>12954</v>
      </c>
      <c r="D463" s="19">
        <v>2851</v>
      </c>
      <c r="E463" s="19">
        <v>-1020728</v>
      </c>
      <c r="F463" s="19">
        <v>-516687</v>
      </c>
      <c r="G463" s="19">
        <v>1327761</v>
      </c>
      <c r="H463" s="19"/>
    </row>
    <row r="464" spans="1:8">
      <c r="A464" s="64" t="s">
        <v>1048</v>
      </c>
      <c r="C464" s="19">
        <v>-1519364</v>
      </c>
      <c r="D464" s="19">
        <v>-2435685</v>
      </c>
      <c r="E464" s="19">
        <v>-1172385</v>
      </c>
      <c r="F464" s="19">
        <v>-838142</v>
      </c>
      <c r="G464" s="19">
        <v>-704587</v>
      </c>
      <c r="H464" s="19"/>
    </row>
    <row r="465" spans="1:8">
      <c r="A465" t="s">
        <v>1039</v>
      </c>
      <c r="C465" s="19"/>
      <c r="D465" s="19"/>
      <c r="E465" s="19"/>
      <c r="F465" s="19"/>
      <c r="G465" s="19">
        <v>-20133</v>
      </c>
      <c r="H465" s="19"/>
    </row>
    <row r="466" spans="1:8">
      <c r="A466" t="s">
        <v>1049</v>
      </c>
      <c r="C466" s="19">
        <v>-317320</v>
      </c>
      <c r="D466" s="19">
        <v>-743100</v>
      </c>
      <c r="E466" s="19">
        <v>-651190</v>
      </c>
      <c r="F466" s="19"/>
      <c r="G466" s="19"/>
      <c r="H466" s="19"/>
    </row>
    <row r="467" spans="1:8">
      <c r="A467" t="s">
        <v>1040</v>
      </c>
      <c r="C467" s="19"/>
      <c r="D467" s="19">
        <v>-217362</v>
      </c>
      <c r="E467" s="19"/>
      <c r="F467" s="19"/>
      <c r="G467" s="19"/>
      <c r="H467" s="19"/>
    </row>
    <row r="468" spans="1:8">
      <c r="A468" t="s">
        <v>1041</v>
      </c>
      <c r="C468" s="19"/>
      <c r="D468" s="19">
        <v>117391</v>
      </c>
      <c r="E468" s="19">
        <v>10682</v>
      </c>
      <c r="F468" s="19"/>
      <c r="G468" s="19"/>
      <c r="H468" s="19"/>
    </row>
    <row r="469" spans="1:8">
      <c r="A469" s="64" t="s">
        <v>1050</v>
      </c>
      <c r="C469" s="19">
        <v>-1836684</v>
      </c>
      <c r="D469" s="19">
        <v>-3278756</v>
      </c>
      <c r="E469" s="19">
        <v>-1812713</v>
      </c>
      <c r="F469" s="19">
        <v>-838142</v>
      </c>
      <c r="G469" s="19">
        <v>-684454</v>
      </c>
      <c r="H469" s="19"/>
    </row>
    <row r="471" spans="1:8">
      <c r="A471" s="64" t="s">
        <v>1051</v>
      </c>
    </row>
    <row r="472" spans="1:8">
      <c r="A472" t="s">
        <v>1052</v>
      </c>
      <c r="F472" s="32">
        <v>926660224</v>
      </c>
      <c r="G472" s="32">
        <v>970615499</v>
      </c>
      <c r="H472" s="32"/>
    </row>
    <row r="473" spans="1:8">
      <c r="A473" t="s">
        <v>1053</v>
      </c>
      <c r="F473" s="32">
        <v>926660224</v>
      </c>
      <c r="G473" s="32">
        <v>970615499</v>
      </c>
      <c r="H473" s="32"/>
    </row>
    <row r="474" spans="1:8">
      <c r="A474" s="64" t="s">
        <v>1054</v>
      </c>
    </row>
    <row r="475" spans="1:8">
      <c r="A475" t="s">
        <v>1052</v>
      </c>
      <c r="F475" s="922">
        <v>-0.35</v>
      </c>
      <c r="G475" s="922">
        <v>-2.0699999999999998</v>
      </c>
      <c r="H475" s="922"/>
    </row>
    <row r="476" spans="1:8">
      <c r="A476" t="s">
        <v>1053</v>
      </c>
      <c r="F476" s="922">
        <v>-0.35</v>
      </c>
      <c r="G476" s="922">
        <v>-2.0699999999999998</v>
      </c>
      <c r="H476" s="922"/>
    </row>
    <row r="477" spans="1:8">
      <c r="A477" s="654" t="s">
        <v>1055</v>
      </c>
      <c r="C477" s="19"/>
      <c r="D477" s="19"/>
      <c r="E477" s="19"/>
      <c r="F477" s="19"/>
      <c r="G477" s="19"/>
      <c r="H477" s="19"/>
    </row>
    <row r="478" spans="1:8">
      <c r="A478" t="s">
        <v>1052</v>
      </c>
      <c r="C478" s="19">
        <v>255000000</v>
      </c>
      <c r="D478" s="19">
        <v>255000000</v>
      </c>
      <c r="E478" s="19">
        <v>870003278</v>
      </c>
      <c r="F478" s="19">
        <v>1853320448</v>
      </c>
      <c r="G478" s="19">
        <v>1941230998</v>
      </c>
      <c r="H478" s="19"/>
    </row>
    <row r="479" spans="1:8">
      <c r="A479" t="s">
        <v>1053</v>
      </c>
      <c r="C479" s="19"/>
      <c r="D479" s="19"/>
      <c r="E479" s="19"/>
      <c r="F479" s="19">
        <v>1853320448</v>
      </c>
      <c r="G479" s="19">
        <v>1941230998</v>
      </c>
      <c r="H479" s="19"/>
    </row>
    <row r="480" spans="1:8">
      <c r="A480" s="654" t="s">
        <v>1056</v>
      </c>
      <c r="C480" s="19"/>
      <c r="D480" s="19"/>
      <c r="E480" s="19"/>
      <c r="F480" s="19"/>
      <c r="G480" s="19"/>
      <c r="H480" s="19"/>
    </row>
    <row r="481" spans="1:14">
      <c r="A481" t="s">
        <v>1052</v>
      </c>
      <c r="C481" s="19"/>
      <c r="D481" s="19"/>
      <c r="E481" s="19"/>
      <c r="F481" s="652">
        <v>-0.17</v>
      </c>
      <c r="G481" s="652">
        <v>1.04</v>
      </c>
      <c r="H481" s="652"/>
    </row>
    <row r="482" spans="1:14">
      <c r="A482" t="s">
        <v>1053</v>
      </c>
      <c r="D482" s="19"/>
      <c r="E482" s="19"/>
      <c r="F482" s="652">
        <v>-0.17</v>
      </c>
      <c r="G482" s="652">
        <v>1.04</v>
      </c>
      <c r="H482" s="652"/>
    </row>
    <row r="483" spans="1:14">
      <c r="A483" s="96" t="s">
        <v>1057</v>
      </c>
      <c r="C483" s="652">
        <v>-5.81</v>
      </c>
      <c r="D483" s="652">
        <v>-12.79</v>
      </c>
      <c r="E483" s="652">
        <v>-0.93</v>
      </c>
      <c r="F483" s="652">
        <v>-0.17</v>
      </c>
      <c r="G483" s="652"/>
      <c r="H483" s="652"/>
    </row>
    <row r="484" spans="1:14">
      <c r="A484" s="96" t="s">
        <v>1058</v>
      </c>
      <c r="C484" s="652">
        <v>-1.44</v>
      </c>
      <c r="D484" s="652">
        <v>-0.08</v>
      </c>
      <c r="E484" s="652">
        <v>0.02</v>
      </c>
      <c r="F484" s="652"/>
      <c r="G484" s="652"/>
      <c r="H484" s="652"/>
    </row>
    <row r="485" spans="1:14">
      <c r="A485" s="654" t="s">
        <v>1059</v>
      </c>
      <c r="C485" s="652">
        <v>-7.25</v>
      </c>
      <c r="D485" s="652">
        <v>-12.87</v>
      </c>
      <c r="E485" s="652">
        <v>-0.91</v>
      </c>
      <c r="F485" s="652">
        <v>-0.17</v>
      </c>
      <c r="G485" s="652"/>
      <c r="H485" s="652"/>
    </row>
    <row r="486" spans="1:14">
      <c r="A486" s="654"/>
      <c r="C486" s="652"/>
      <c r="D486" s="652"/>
      <c r="E486" s="652"/>
      <c r="F486" s="652"/>
      <c r="G486" s="652"/>
      <c r="H486" s="652"/>
    </row>
    <row r="487" spans="1:14" ht="15" customHeight="1">
      <c r="A487" s="1966" t="s">
        <v>1060</v>
      </c>
      <c r="B487" s="1966"/>
      <c r="C487" s="1966"/>
      <c r="D487" s="1966"/>
      <c r="E487" s="1966"/>
      <c r="F487" s="1966"/>
      <c r="G487" s="1966"/>
      <c r="H487" s="1966"/>
      <c r="I487" s="1966"/>
      <c r="J487" s="1966"/>
      <c r="K487" s="1966"/>
      <c r="L487" s="1966"/>
      <c r="M487" s="1966"/>
      <c r="N487" s="1966"/>
    </row>
    <row r="488" spans="1:14" ht="15.5">
      <c r="A488" s="900" t="s">
        <v>1019</v>
      </c>
      <c r="B488" s="902"/>
      <c r="C488" s="901" t="s">
        <v>657</v>
      </c>
      <c r="D488" s="901" t="s">
        <v>658</v>
      </c>
      <c r="E488" s="901" t="s">
        <v>659</v>
      </c>
      <c r="F488" s="901" t="s">
        <v>660</v>
      </c>
      <c r="G488" s="901" t="s">
        <v>661</v>
      </c>
      <c r="H488" s="1439"/>
    </row>
    <row r="489" spans="1:14">
      <c r="A489" s="96" t="s">
        <v>662</v>
      </c>
      <c r="C489" s="97">
        <v>43465</v>
      </c>
      <c r="D489" s="97">
        <v>43830</v>
      </c>
      <c r="E489" s="97">
        <v>44196</v>
      </c>
      <c r="F489" s="97">
        <v>44561</v>
      </c>
      <c r="G489" s="97">
        <v>44926</v>
      </c>
      <c r="H489" s="97"/>
    </row>
    <row r="490" spans="1:14">
      <c r="A490" s="96" t="s">
        <v>663</v>
      </c>
      <c r="C490" s="98" t="s">
        <v>189</v>
      </c>
      <c r="D490" s="98" t="s">
        <v>189</v>
      </c>
      <c r="E490" s="98" t="s">
        <v>189</v>
      </c>
      <c r="F490" s="98" t="s">
        <v>189</v>
      </c>
      <c r="G490" s="98" t="s">
        <v>189</v>
      </c>
      <c r="H490" s="98"/>
    </row>
    <row r="491" spans="1:14">
      <c r="A491" s="96" t="s">
        <v>665</v>
      </c>
      <c r="C491" s="98" t="s">
        <v>666</v>
      </c>
      <c r="D491" s="98" t="s">
        <v>666</v>
      </c>
      <c r="E491" s="98" t="s">
        <v>666</v>
      </c>
      <c r="F491" s="98" t="s">
        <v>666</v>
      </c>
      <c r="G491" s="98" t="s">
        <v>666</v>
      </c>
      <c r="H491" s="98"/>
    </row>
    <row r="492" spans="1:14">
      <c r="A492" s="64" t="s">
        <v>1061</v>
      </c>
    </row>
    <row r="493" spans="1:14">
      <c r="A493" t="s">
        <v>1062</v>
      </c>
      <c r="B493" s="665"/>
    </row>
    <row r="494" spans="1:14">
      <c r="A494" t="s">
        <v>1063</v>
      </c>
      <c r="B494" s="665" t="s">
        <v>877</v>
      </c>
      <c r="D494" s="19">
        <v>1296215</v>
      </c>
      <c r="E494" s="19">
        <v>8938341</v>
      </c>
      <c r="F494" s="19">
        <v>27854224</v>
      </c>
      <c r="G494" s="19">
        <v>38478016</v>
      </c>
      <c r="H494" s="19"/>
    </row>
    <row r="495" spans="1:14">
      <c r="A495" t="s">
        <v>1064</v>
      </c>
      <c r="B495" s="665" t="s">
        <v>877</v>
      </c>
      <c r="C495" s="19"/>
      <c r="D495" s="19">
        <v>140027</v>
      </c>
      <c r="E495" s="19">
        <v>1234178</v>
      </c>
      <c r="F495" s="19">
        <v>2638840</v>
      </c>
      <c r="G495" s="19">
        <v>1940142</v>
      </c>
      <c r="H495" s="19"/>
    </row>
    <row r="496" spans="1:14">
      <c r="A496" t="s">
        <v>1065</v>
      </c>
      <c r="B496" s="665" t="s">
        <v>877</v>
      </c>
      <c r="C496" s="19"/>
      <c r="D496" s="19">
        <v>2272653</v>
      </c>
      <c r="E496" s="19">
        <v>19701382</v>
      </c>
      <c r="F496" s="19">
        <v>19668239</v>
      </c>
      <c r="G496" s="19">
        <v>18031395</v>
      </c>
      <c r="H496" s="19"/>
      <c r="I496" s="19"/>
    </row>
    <row r="497" spans="1:8">
      <c r="A497" t="s">
        <v>1066</v>
      </c>
      <c r="B497" s="665" t="s">
        <v>1067</v>
      </c>
      <c r="C497" s="19"/>
      <c r="D497" s="19">
        <v>8303</v>
      </c>
      <c r="E497" s="19">
        <v>115549</v>
      </c>
      <c r="F497" s="19">
        <v>120541</v>
      </c>
      <c r="G497" s="19">
        <v>48381</v>
      </c>
      <c r="H497" s="19"/>
    </row>
    <row r="498" spans="1:8">
      <c r="A498" t="s">
        <v>789</v>
      </c>
      <c r="B498" s="665" t="s">
        <v>696</v>
      </c>
      <c r="C498" s="19"/>
      <c r="D498" s="19">
        <v>518086</v>
      </c>
      <c r="E498" s="19">
        <v>1048004</v>
      </c>
      <c r="F498" s="19">
        <v>1617890</v>
      </c>
      <c r="G498" s="19">
        <v>6804693</v>
      </c>
      <c r="H498" s="19"/>
    </row>
    <row r="499" spans="1:8">
      <c r="A499" s="1302" t="s">
        <v>1068</v>
      </c>
      <c r="B499" s="665" t="s">
        <v>1069</v>
      </c>
      <c r="C499" s="19"/>
      <c r="D499" s="19">
        <v>812956</v>
      </c>
      <c r="E499" s="19">
        <v>353655</v>
      </c>
      <c r="F499" s="19">
        <v>480680</v>
      </c>
      <c r="G499" s="19">
        <v>1689860</v>
      </c>
      <c r="H499" s="19"/>
    </row>
    <row r="500" spans="1:8">
      <c r="A500" s="1302" t="s">
        <v>1070</v>
      </c>
      <c r="B500" s="665" t="s">
        <v>1069</v>
      </c>
      <c r="C500" s="19"/>
      <c r="D500" s="19">
        <v>17599</v>
      </c>
      <c r="E500" s="19"/>
      <c r="G500" s="19"/>
      <c r="H500" s="19"/>
    </row>
    <row r="501" spans="1:8">
      <c r="A501" t="s">
        <v>1071</v>
      </c>
      <c r="C501" s="19"/>
      <c r="D501" s="19">
        <v>5065839</v>
      </c>
      <c r="E501" s="19">
        <v>31391109</v>
      </c>
      <c r="F501" s="19">
        <v>52380414</v>
      </c>
      <c r="G501" s="19">
        <v>66992487</v>
      </c>
      <c r="H501" s="19"/>
    </row>
    <row r="502" spans="1:8" s="913" customFormat="1">
      <c r="A502" s="913" t="s">
        <v>1072</v>
      </c>
      <c r="C502" s="914"/>
      <c r="D502" s="914">
        <f>SUM(D494:D500)</f>
        <v>5065839</v>
      </c>
      <c r="E502" s="914">
        <f>SUM(E494:E500)</f>
        <v>31391109</v>
      </c>
      <c r="F502" s="914">
        <f>SUM(F494:F500)</f>
        <v>52380414</v>
      </c>
      <c r="G502" s="914">
        <f>SUM(G494:G500)</f>
        <v>66992487</v>
      </c>
      <c r="H502" s="914"/>
    </row>
    <row r="503" spans="1:8">
      <c r="A503" t="s">
        <v>1073</v>
      </c>
      <c r="C503" s="19"/>
      <c r="D503" s="19"/>
      <c r="E503" s="19"/>
      <c r="F503" s="19"/>
      <c r="G503" s="19"/>
      <c r="H503" s="19"/>
    </row>
    <row r="504" spans="1:8">
      <c r="A504" t="s">
        <v>1074</v>
      </c>
      <c r="B504" s="96" t="s">
        <v>895</v>
      </c>
      <c r="C504" s="19"/>
      <c r="D504" s="19">
        <v>126181</v>
      </c>
      <c r="E504" s="19">
        <v>162853</v>
      </c>
      <c r="F504" s="19">
        <v>156306</v>
      </c>
      <c r="G504" s="19">
        <v>1484491</v>
      </c>
      <c r="H504" s="19"/>
    </row>
    <row r="505" spans="1:8">
      <c r="A505" t="s">
        <v>1075</v>
      </c>
      <c r="B505" s="665" t="s">
        <v>1076</v>
      </c>
      <c r="C505" s="19"/>
      <c r="D505" s="19">
        <v>2795122</v>
      </c>
      <c r="E505" s="19">
        <v>2478687</v>
      </c>
      <c r="F505" s="19">
        <v>4498269</v>
      </c>
      <c r="G505" s="19">
        <v>11187898</v>
      </c>
      <c r="H505" s="19"/>
    </row>
    <row r="506" spans="1:8">
      <c r="A506" t="s">
        <v>1077</v>
      </c>
      <c r="B506" s="96" t="s">
        <v>1078</v>
      </c>
      <c r="C506" s="19"/>
      <c r="D506" s="19">
        <v>510227</v>
      </c>
      <c r="E506" s="19">
        <v>1277006</v>
      </c>
      <c r="F506" s="19">
        <v>2061492</v>
      </c>
      <c r="G506" s="19">
        <v>3538911</v>
      </c>
      <c r="H506" s="19"/>
    </row>
    <row r="507" spans="1:8">
      <c r="A507" t="s">
        <v>1079</v>
      </c>
      <c r="B507" s="96" t="s">
        <v>902</v>
      </c>
      <c r="C507" s="19"/>
      <c r="D507" s="19">
        <v>673867</v>
      </c>
      <c r="E507" s="19">
        <v>683281</v>
      </c>
      <c r="F507" s="19">
        <v>751460</v>
      </c>
      <c r="G507" s="19">
        <v>832620</v>
      </c>
      <c r="H507" s="19"/>
    </row>
    <row r="508" spans="1:8">
      <c r="A508" t="s">
        <v>713</v>
      </c>
      <c r="B508" s="665" t="s">
        <v>713</v>
      </c>
      <c r="C508" s="19"/>
      <c r="D508" s="19"/>
      <c r="E508" s="19"/>
      <c r="F508" s="19"/>
      <c r="G508" s="19">
        <v>5484</v>
      </c>
      <c r="H508" s="19"/>
    </row>
    <row r="509" spans="1:8">
      <c r="A509" s="1302" t="s">
        <v>1080</v>
      </c>
      <c r="B509" s="665" t="s">
        <v>1081</v>
      </c>
      <c r="C509" s="19"/>
      <c r="D509" s="19">
        <v>311933</v>
      </c>
      <c r="E509" s="19">
        <v>321184</v>
      </c>
      <c r="F509" s="19">
        <v>1981076</v>
      </c>
      <c r="G509" s="19">
        <v>2421293</v>
      </c>
      <c r="H509" s="19"/>
    </row>
    <row r="510" spans="1:8">
      <c r="A510" s="1302" t="s">
        <v>1082</v>
      </c>
      <c r="B510" s="665" t="s">
        <v>1081</v>
      </c>
      <c r="C510" s="19"/>
      <c r="D510" s="19"/>
      <c r="E510" s="19">
        <v>59156</v>
      </c>
      <c r="F510" s="19">
        <v>19896</v>
      </c>
      <c r="G510" s="19">
        <v>74767</v>
      </c>
      <c r="H510" s="19"/>
    </row>
    <row r="511" spans="1:8">
      <c r="A511" s="1302" t="s">
        <v>1083</v>
      </c>
      <c r="B511" s="665" t="s">
        <v>1081</v>
      </c>
      <c r="C511" s="19"/>
      <c r="D511" s="19">
        <v>30253</v>
      </c>
      <c r="E511" s="19"/>
      <c r="F511" s="19"/>
      <c r="G511" s="19"/>
      <c r="H511" s="19"/>
    </row>
    <row r="512" spans="1:8">
      <c r="A512" t="s">
        <v>1084</v>
      </c>
      <c r="B512" s="665"/>
      <c r="C512" s="19"/>
      <c r="D512" s="19">
        <v>4447583</v>
      </c>
      <c r="E512" s="19">
        <v>4982167</v>
      </c>
      <c r="F512" s="19">
        <v>9468499</v>
      </c>
      <c r="G512" s="19"/>
      <c r="H512" s="19"/>
    </row>
    <row r="513" spans="1:8">
      <c r="A513" s="64" t="s">
        <v>1085</v>
      </c>
      <c r="C513" s="19"/>
      <c r="D513" s="19">
        <v>9513422</v>
      </c>
      <c r="E513" s="19">
        <v>36373276</v>
      </c>
      <c r="F513" s="19">
        <v>61848913</v>
      </c>
      <c r="G513" s="19">
        <v>86537951</v>
      </c>
      <c r="H513" s="19"/>
    </row>
    <row r="514" spans="1:8" s="913" customFormat="1">
      <c r="A514" s="913" t="s">
        <v>1072</v>
      </c>
      <c r="C514" s="914"/>
      <c r="D514" s="914">
        <f>D502+SUM(D504:D511)</f>
        <v>9513422</v>
      </c>
      <c r="E514" s="914">
        <f>E502+SUM(E504:E511)</f>
        <v>36373276</v>
      </c>
      <c r="F514" s="914">
        <f>F502+SUM(F504:F511)</f>
        <v>61848913</v>
      </c>
      <c r="G514" s="914">
        <f>G502+SUM(G504:G511)</f>
        <v>86537951</v>
      </c>
      <c r="H514" s="914"/>
    </row>
    <row r="515" spans="1:8">
      <c r="A515" s="64" t="s">
        <v>1086</v>
      </c>
      <c r="C515" s="19"/>
      <c r="D515" s="19"/>
      <c r="E515" s="19"/>
      <c r="F515" s="19"/>
      <c r="G515" s="19"/>
      <c r="H515" s="19"/>
    </row>
    <row r="516" spans="1:8">
      <c r="A516" t="s">
        <v>1087</v>
      </c>
      <c r="C516" s="19"/>
      <c r="D516" s="19"/>
      <c r="E516" s="19"/>
      <c r="F516" s="19"/>
      <c r="G516" s="19"/>
      <c r="H516" s="19"/>
    </row>
    <row r="517" spans="1:8">
      <c r="A517" t="s">
        <v>1088</v>
      </c>
      <c r="B517" s="665" t="s">
        <v>729</v>
      </c>
      <c r="C517" s="19"/>
      <c r="D517" s="19">
        <v>238957</v>
      </c>
      <c r="E517" s="19"/>
      <c r="F517" s="19">
        <v>37042</v>
      </c>
      <c r="G517" s="19">
        <v>390750</v>
      </c>
      <c r="H517" s="19"/>
    </row>
    <row r="518" spans="1:8">
      <c r="A518" t="s">
        <v>1089</v>
      </c>
      <c r="B518" s="665" t="s">
        <v>791</v>
      </c>
      <c r="C518" s="19"/>
      <c r="D518" s="19">
        <v>624666</v>
      </c>
      <c r="E518" s="19">
        <v>3160515</v>
      </c>
      <c r="F518" s="19">
        <v>9376050</v>
      </c>
      <c r="G518" s="19">
        <v>20024329</v>
      </c>
      <c r="H518" s="19"/>
    </row>
    <row r="519" spans="1:8">
      <c r="A519" s="1302" t="s">
        <v>1090</v>
      </c>
      <c r="B519" s="665" t="s">
        <v>1091</v>
      </c>
      <c r="C519" s="19"/>
      <c r="D519" s="19">
        <v>9764</v>
      </c>
      <c r="E519" s="19">
        <v>19206</v>
      </c>
      <c r="F519" s="19">
        <v>37455</v>
      </c>
      <c r="G519" s="19">
        <v>7190</v>
      </c>
      <c r="H519" s="19"/>
    </row>
    <row r="520" spans="1:8">
      <c r="A520" s="1302" t="s">
        <v>1092</v>
      </c>
      <c r="B520" s="665" t="s">
        <v>1091</v>
      </c>
      <c r="C520" s="19"/>
      <c r="D520" s="19">
        <v>56695</v>
      </c>
      <c r="E520" s="19">
        <v>271510</v>
      </c>
      <c r="F520" s="19">
        <v>305092</v>
      </c>
      <c r="G520" s="19">
        <v>569234</v>
      </c>
      <c r="H520" s="19"/>
    </row>
    <row r="521" spans="1:8">
      <c r="A521" s="1302" t="s">
        <v>1093</v>
      </c>
      <c r="B521" s="665" t="s">
        <v>1091</v>
      </c>
      <c r="C521" s="19"/>
      <c r="D521" s="19">
        <v>177526</v>
      </c>
      <c r="E521" s="19">
        <v>210531</v>
      </c>
      <c r="F521" s="19">
        <v>473245</v>
      </c>
      <c r="G521" s="19">
        <v>696454</v>
      </c>
      <c r="H521" s="19"/>
    </row>
    <row r="522" spans="1:8">
      <c r="A522" s="1302" t="s">
        <v>1094</v>
      </c>
      <c r="B522" s="665" t="s">
        <v>1091</v>
      </c>
      <c r="C522" s="19"/>
      <c r="D522" s="19">
        <v>360781</v>
      </c>
      <c r="E522" s="19"/>
      <c r="F522" s="19"/>
      <c r="G522" s="19"/>
      <c r="H522" s="19"/>
    </row>
    <row r="523" spans="1:8">
      <c r="A523" s="1302" t="s">
        <v>1095</v>
      </c>
      <c r="B523" s="665" t="s">
        <v>1091</v>
      </c>
      <c r="C523" s="19"/>
      <c r="D523" s="19">
        <v>1648690</v>
      </c>
      <c r="E523" s="19"/>
      <c r="F523" s="19"/>
      <c r="G523" s="19"/>
      <c r="H523" s="19"/>
    </row>
    <row r="524" spans="1:8">
      <c r="A524" s="1302" t="s">
        <v>1096</v>
      </c>
      <c r="B524" s="665" t="s">
        <v>1091</v>
      </c>
      <c r="C524" s="19"/>
      <c r="D524" s="19">
        <v>867259</v>
      </c>
      <c r="E524" s="19">
        <v>647459</v>
      </c>
      <c r="F524" s="19">
        <v>1879368</v>
      </c>
      <c r="G524" s="19">
        <v>5684644</v>
      </c>
      <c r="H524" s="19"/>
    </row>
    <row r="525" spans="1:8">
      <c r="A525" s="1302" t="s">
        <v>1097</v>
      </c>
      <c r="B525" s="665" t="s">
        <v>1091</v>
      </c>
      <c r="C525" s="19"/>
      <c r="D525" s="19">
        <v>692520</v>
      </c>
      <c r="E525" s="19"/>
      <c r="F525" s="19"/>
      <c r="G525" s="19"/>
      <c r="H525" s="19"/>
    </row>
    <row r="526" spans="1:8">
      <c r="A526" s="1302" t="s">
        <v>1098</v>
      </c>
      <c r="B526" s="665" t="s">
        <v>1091</v>
      </c>
      <c r="C526" s="19"/>
      <c r="D526" s="19">
        <v>2862</v>
      </c>
      <c r="E526" s="19"/>
      <c r="F526" s="19"/>
      <c r="G526" s="19"/>
      <c r="H526" s="19"/>
    </row>
    <row r="527" spans="1:8">
      <c r="A527" t="s">
        <v>1099</v>
      </c>
      <c r="C527" s="19"/>
      <c r="D527" s="19">
        <v>4679720</v>
      </c>
      <c r="E527" s="19">
        <v>4309221</v>
      </c>
      <c r="F527" s="19">
        <v>12108252</v>
      </c>
      <c r="G527" s="19">
        <v>27372601</v>
      </c>
      <c r="H527" s="19"/>
    </row>
    <row r="528" spans="1:8" s="913" customFormat="1">
      <c r="A528" s="913" t="s">
        <v>1072</v>
      </c>
      <c r="C528" s="914"/>
      <c r="D528" s="914">
        <f>SUM(D517:D526)</f>
        <v>4679720</v>
      </c>
      <c r="E528" s="914">
        <f>SUM(E517:E526)</f>
        <v>4309221</v>
      </c>
      <c r="F528" s="914">
        <f>SUM(F517:F526)</f>
        <v>12108252</v>
      </c>
      <c r="G528" s="914">
        <f>SUM(G517:G526)</f>
        <v>27372601</v>
      </c>
      <c r="H528" s="914"/>
    </row>
    <row r="529" spans="1:8">
      <c r="A529" t="s">
        <v>1100</v>
      </c>
      <c r="C529" s="19"/>
      <c r="D529" s="19"/>
      <c r="E529" s="19"/>
      <c r="F529" s="19"/>
      <c r="G529" s="19"/>
      <c r="H529" s="19"/>
    </row>
    <row r="530" spans="1:8">
      <c r="A530" t="s">
        <v>1101</v>
      </c>
      <c r="B530" s="665" t="s">
        <v>740</v>
      </c>
      <c r="C530" s="19"/>
      <c r="D530" s="19"/>
      <c r="E530" s="19">
        <v>511638</v>
      </c>
      <c r="F530" s="19">
        <v>5960899</v>
      </c>
      <c r="G530" s="19">
        <v>9230807</v>
      </c>
      <c r="H530" s="19"/>
    </row>
    <row r="531" spans="1:8">
      <c r="A531" s="1302" t="s">
        <v>1102</v>
      </c>
      <c r="B531" s="665" t="s">
        <v>745</v>
      </c>
      <c r="C531" s="19"/>
      <c r="D531" s="19">
        <v>5943</v>
      </c>
      <c r="E531" s="19">
        <v>135658</v>
      </c>
      <c r="F531" s="19">
        <v>389653</v>
      </c>
      <c r="G531" s="19">
        <v>581598</v>
      </c>
      <c r="H531" s="19"/>
    </row>
    <row r="532" spans="1:8">
      <c r="A532" s="1302" t="s">
        <v>1103</v>
      </c>
      <c r="B532" s="665" t="s">
        <v>745</v>
      </c>
      <c r="C532" s="19"/>
      <c r="D532" s="19">
        <v>241109</v>
      </c>
      <c r="E532" s="19">
        <v>1025253</v>
      </c>
      <c r="F532" s="19">
        <v>1369825</v>
      </c>
      <c r="G532" s="19">
        <v>1946367</v>
      </c>
      <c r="H532" s="19"/>
    </row>
    <row r="533" spans="1:8">
      <c r="A533" s="1302" t="s">
        <v>1104</v>
      </c>
      <c r="B533" s="665" t="s">
        <v>745</v>
      </c>
      <c r="C533" s="19"/>
      <c r="D533" s="19"/>
      <c r="E533" s="19">
        <v>366883</v>
      </c>
      <c r="F533" s="19"/>
      <c r="G533" s="19"/>
      <c r="H533" s="19"/>
    </row>
    <row r="534" spans="1:8">
      <c r="A534" s="1302" t="s">
        <v>1105</v>
      </c>
      <c r="B534" s="665" t="s">
        <v>745</v>
      </c>
      <c r="C534" s="19"/>
      <c r="D534" s="19"/>
      <c r="E534" s="19">
        <v>36309</v>
      </c>
      <c r="F534" s="19">
        <v>153723</v>
      </c>
      <c r="G534" s="19">
        <v>77809</v>
      </c>
      <c r="H534" s="19"/>
    </row>
    <row r="535" spans="1:8">
      <c r="A535" t="s">
        <v>1106</v>
      </c>
      <c r="C535" s="19"/>
      <c r="D535" s="19">
        <v>5519</v>
      </c>
      <c r="E535" s="19">
        <v>184717</v>
      </c>
      <c r="F535" s="19">
        <v>802259</v>
      </c>
      <c r="G535" s="19">
        <v>2142462</v>
      </c>
      <c r="H535" s="19"/>
    </row>
    <row r="536" spans="1:8">
      <c r="A536" t="s">
        <v>1107</v>
      </c>
      <c r="C536" s="19"/>
      <c r="D536" s="19">
        <v>252571</v>
      </c>
      <c r="E536" s="19">
        <v>2260458</v>
      </c>
      <c r="F536" s="19">
        <v>8676359</v>
      </c>
      <c r="G536" s="19">
        <f>SUM(G530:G535)</f>
        <v>13979043</v>
      </c>
      <c r="H536" s="19"/>
    </row>
    <row r="537" spans="1:8">
      <c r="A537" s="64" t="s">
        <v>1108</v>
      </c>
      <c r="C537" s="19"/>
      <c r="D537" s="19">
        <v>4932291</v>
      </c>
      <c r="E537" s="19">
        <v>6569679</v>
      </c>
      <c r="F537" s="19">
        <v>20784611</v>
      </c>
      <c r="G537" s="19">
        <f>SUM(G536,G527)</f>
        <v>41351644</v>
      </c>
      <c r="H537" s="19"/>
    </row>
    <row r="538" spans="1:8" s="913" customFormat="1">
      <c r="A538" s="913" t="s">
        <v>1072</v>
      </c>
      <c r="C538" s="914"/>
      <c r="D538" s="914">
        <f>D528+SUM(D530:D535)</f>
        <v>4932291</v>
      </c>
      <c r="E538" s="914">
        <f>E528+SUM(E530:E535)</f>
        <v>6569679</v>
      </c>
      <c r="F538" s="914">
        <f>F528+SUM(F530:F535)</f>
        <v>20784611</v>
      </c>
      <c r="G538" s="914">
        <f>G528+SUM(G530:G535)</f>
        <v>41351644</v>
      </c>
      <c r="H538" s="914"/>
    </row>
    <row r="539" spans="1:8">
      <c r="A539" s="64" t="s">
        <v>1109</v>
      </c>
      <c r="C539" s="19"/>
      <c r="D539" s="19"/>
      <c r="E539" s="19"/>
      <c r="F539" s="19"/>
      <c r="G539" s="19"/>
      <c r="H539" s="19"/>
    </row>
    <row r="540" spans="1:8">
      <c r="A540" s="64" t="s">
        <v>1110</v>
      </c>
      <c r="C540" s="19"/>
      <c r="D540" s="19"/>
      <c r="E540" s="19"/>
      <c r="F540" s="19"/>
      <c r="G540" s="19"/>
      <c r="H540" s="19"/>
    </row>
    <row r="541" spans="1:8">
      <c r="A541" t="s">
        <v>1111</v>
      </c>
      <c r="C541" s="19"/>
      <c r="D541" s="19">
        <v>434886</v>
      </c>
      <c r="E541" s="19"/>
      <c r="F541" s="19"/>
      <c r="G541" s="19"/>
      <c r="H541" s="19"/>
    </row>
    <row r="542" spans="1:8">
      <c r="A542" t="s">
        <v>1112</v>
      </c>
      <c r="C542" s="19"/>
      <c r="D542" s="19">
        <v>980949</v>
      </c>
      <c r="E542" s="19"/>
      <c r="F542" s="19"/>
      <c r="G542" s="19"/>
      <c r="H542" s="19"/>
    </row>
    <row r="543" spans="1:8">
      <c r="A543" t="s">
        <v>1113</v>
      </c>
      <c r="C543" s="19"/>
      <c r="D543" s="19">
        <v>1074959</v>
      </c>
      <c r="E543" s="19"/>
      <c r="F543" s="19"/>
      <c r="G543" s="19"/>
      <c r="H543" s="19"/>
    </row>
    <row r="544" spans="1:8">
      <c r="A544" t="s">
        <v>1114</v>
      </c>
      <c r="C544" s="19"/>
      <c r="D544" s="19">
        <v>619770</v>
      </c>
      <c r="E544" s="19"/>
      <c r="F544" s="19"/>
      <c r="G544" s="19"/>
      <c r="H544" s="19"/>
    </row>
    <row r="545" spans="1:8">
      <c r="A545" t="s">
        <v>1115</v>
      </c>
      <c r="C545" s="19"/>
      <c r="D545" s="19">
        <v>1347607</v>
      </c>
      <c r="E545" s="19"/>
      <c r="F545" s="19"/>
      <c r="G545" s="19"/>
      <c r="H545" s="19"/>
    </row>
    <row r="546" spans="1:8">
      <c r="A546" t="s">
        <v>1116</v>
      </c>
      <c r="C546" s="19"/>
      <c r="D546" s="19">
        <v>710303</v>
      </c>
      <c r="E546" s="19"/>
      <c r="F546" s="19"/>
      <c r="G546" s="19"/>
      <c r="H546" s="19"/>
    </row>
    <row r="547" spans="1:8">
      <c r="A547" t="s">
        <v>1117</v>
      </c>
      <c r="C547" s="19"/>
      <c r="D547" s="19">
        <v>1551080</v>
      </c>
      <c r="E547" s="19"/>
      <c r="F547" s="19"/>
      <c r="G547" s="19"/>
      <c r="H547" s="19"/>
    </row>
    <row r="548" spans="1:8">
      <c r="A548" t="s">
        <v>1118</v>
      </c>
      <c r="C548" s="19"/>
      <c r="D548" s="19">
        <v>3536108</v>
      </c>
      <c r="E548" s="19"/>
      <c r="F548" s="19"/>
      <c r="G548" s="19"/>
      <c r="H548" s="19"/>
    </row>
    <row r="549" spans="1:8">
      <c r="A549" s="64" t="s">
        <v>1119</v>
      </c>
      <c r="B549" s="1265" t="s">
        <v>1120</v>
      </c>
      <c r="C549" s="19"/>
      <c r="D549" s="1264">
        <v>10255662</v>
      </c>
      <c r="E549" s="19"/>
      <c r="F549" s="19"/>
      <c r="G549" s="19"/>
      <c r="H549" s="19"/>
    </row>
    <row r="550" spans="1:8">
      <c r="A550" s="64" t="s">
        <v>1121</v>
      </c>
      <c r="C550" s="19"/>
      <c r="D550" s="19"/>
      <c r="E550" s="19"/>
      <c r="F550" s="19"/>
      <c r="G550" s="19"/>
      <c r="H550" s="19"/>
    </row>
    <row r="551" spans="1:8">
      <c r="A551" t="s">
        <v>1122</v>
      </c>
      <c r="B551" s="665" t="s">
        <v>755</v>
      </c>
      <c r="C551" s="19"/>
      <c r="D551" s="19">
        <v>10</v>
      </c>
      <c r="E551" s="19">
        <v>1010</v>
      </c>
      <c r="F551" s="19">
        <v>1176</v>
      </c>
      <c r="G551" s="19">
        <v>1188</v>
      </c>
      <c r="H551" s="19"/>
    </row>
    <row r="552" spans="1:8">
      <c r="A552" t="s">
        <v>1123</v>
      </c>
      <c r="B552" s="665" t="s">
        <v>755</v>
      </c>
      <c r="C552" s="19"/>
      <c r="D552" s="19">
        <v>155</v>
      </c>
      <c r="E552" s="19">
        <v>235</v>
      </c>
      <c r="F552" s="19">
        <v>235</v>
      </c>
      <c r="G552" s="19">
        <v>235</v>
      </c>
      <c r="H552" s="19"/>
    </row>
    <row r="553" spans="1:8">
      <c r="A553" t="s">
        <v>1124</v>
      </c>
      <c r="B553" s="665" t="s">
        <v>1125</v>
      </c>
      <c r="C553" s="19"/>
      <c r="D553" s="19"/>
      <c r="E553" s="19"/>
      <c r="F553" s="19">
        <v>-89</v>
      </c>
      <c r="G553" s="19">
        <v>-84</v>
      </c>
      <c r="H553" s="19"/>
    </row>
    <row r="554" spans="1:8">
      <c r="A554" t="s">
        <v>1126</v>
      </c>
      <c r="B554" s="665" t="s">
        <v>755</v>
      </c>
      <c r="C554" s="19"/>
      <c r="D554" s="19"/>
      <c r="E554" s="19">
        <v>37289761</v>
      </c>
      <c r="F554" s="19">
        <v>49390486</v>
      </c>
      <c r="G554" s="19">
        <v>53869322</v>
      </c>
      <c r="H554" s="19"/>
    </row>
    <row r="555" spans="1:8">
      <c r="A555" t="s">
        <v>1127</v>
      </c>
      <c r="B555" s="665" t="s">
        <v>760</v>
      </c>
      <c r="C555" s="19"/>
      <c r="D555" s="19">
        <v>15544</v>
      </c>
      <c r="E555" s="19">
        <v>-1005184</v>
      </c>
      <c r="F555" s="19">
        <v>-1521871</v>
      </c>
      <c r="G555" s="19">
        <v>-194110</v>
      </c>
      <c r="H555" s="19"/>
    </row>
    <row r="556" spans="1:8">
      <c r="A556" t="s">
        <v>1128</v>
      </c>
      <c r="B556" s="665" t="s">
        <v>758</v>
      </c>
      <c r="C556" s="19"/>
      <c r="D556" s="19">
        <v>-5690240</v>
      </c>
      <c r="E556" s="19">
        <v>-6482225</v>
      </c>
      <c r="F556" s="19">
        <v>-6805635</v>
      </c>
      <c r="G556" s="19">
        <v>-8817850</v>
      </c>
      <c r="H556" s="19"/>
    </row>
    <row r="557" spans="1:8">
      <c r="A557" s="64" t="s">
        <v>1129</v>
      </c>
      <c r="C557" s="19"/>
      <c r="D557" s="19"/>
      <c r="E557" s="19"/>
      <c r="F557" s="19"/>
      <c r="G557" s="19">
        <v>44858701</v>
      </c>
      <c r="H557" s="19"/>
    </row>
    <row r="558" spans="1:8">
      <c r="A558" t="s">
        <v>1130</v>
      </c>
      <c r="B558" s="1265" t="s">
        <v>765</v>
      </c>
      <c r="C558" s="19"/>
      <c r="D558" s="19"/>
      <c r="E558" s="19"/>
      <c r="F558" s="19"/>
      <c r="G558" s="1264">
        <v>327606</v>
      </c>
      <c r="H558" s="1264"/>
    </row>
    <row r="559" spans="1:8">
      <c r="A559" s="64" t="s">
        <v>1131</v>
      </c>
      <c r="C559" s="19"/>
      <c r="D559" s="19">
        <v>-5674531</v>
      </c>
      <c r="E559" s="19">
        <v>29803597</v>
      </c>
      <c r="F559" s="19">
        <v>41064302</v>
      </c>
      <c r="G559" s="32">
        <v>45186307</v>
      </c>
      <c r="H559" s="32"/>
    </row>
    <row r="560" spans="1:8">
      <c r="A560" s="64" t="s">
        <v>1132</v>
      </c>
      <c r="C560" s="19"/>
      <c r="D560" s="19">
        <v>9513422</v>
      </c>
      <c r="E560" s="19">
        <v>36373276</v>
      </c>
      <c r="F560" s="19">
        <v>61848913</v>
      </c>
      <c r="G560" s="19">
        <v>86537951</v>
      </c>
      <c r="H560" s="19"/>
    </row>
    <row r="561" spans="1:14" s="913" customFormat="1">
      <c r="A561" s="913" t="s">
        <v>1072</v>
      </c>
      <c r="D561" s="915">
        <f>SUM(D538:D556)</f>
        <v>19769084</v>
      </c>
      <c r="E561" s="914">
        <f>E538+SUM(E551:E556)</f>
        <v>36373276</v>
      </c>
      <c r="F561" s="914">
        <f>F538+SUM(F551:F556)</f>
        <v>61848913</v>
      </c>
      <c r="G561" s="914">
        <f>G538+SUM(G551:G558)</f>
        <v>131396652</v>
      </c>
      <c r="H561" s="914"/>
    </row>
    <row r="562" spans="1:14">
      <c r="D562" s="19"/>
    </row>
    <row r="563" spans="1:14" ht="15" customHeight="1">
      <c r="A563" s="1966" t="s">
        <v>1133</v>
      </c>
      <c r="B563" s="1966"/>
      <c r="C563" s="1966"/>
      <c r="D563" s="1966"/>
      <c r="E563" s="1966"/>
      <c r="F563" s="1966"/>
      <c r="G563" s="1966"/>
      <c r="H563" s="1966"/>
      <c r="I563" s="1966"/>
      <c r="J563" s="1966"/>
      <c r="K563" s="1966"/>
      <c r="L563" s="1966"/>
      <c r="M563" s="1966"/>
      <c r="N563" s="1966"/>
    </row>
    <row r="564" spans="1:14" ht="15.5">
      <c r="A564" s="900" t="s">
        <v>1019</v>
      </c>
      <c r="B564" s="902"/>
      <c r="C564" s="901" t="s">
        <v>657</v>
      </c>
      <c r="D564" s="901" t="s">
        <v>658</v>
      </c>
      <c r="E564" s="901" t="s">
        <v>659</v>
      </c>
      <c r="F564" s="901" t="s">
        <v>660</v>
      </c>
      <c r="G564" s="901" t="s">
        <v>661</v>
      </c>
      <c r="H564" s="1439"/>
    </row>
    <row r="565" spans="1:14">
      <c r="A565" s="96" t="s">
        <v>662</v>
      </c>
      <c r="C565" s="97">
        <v>43465</v>
      </c>
      <c r="D565" s="97">
        <v>43830</v>
      </c>
      <c r="E565" s="97">
        <v>44196</v>
      </c>
      <c r="F565" s="97">
        <v>44561</v>
      </c>
      <c r="G565" s="97">
        <v>44926</v>
      </c>
      <c r="H565" s="97"/>
    </row>
    <row r="566" spans="1:14">
      <c r="A566" s="96" t="s">
        <v>663</v>
      </c>
      <c r="C566" s="98" t="s">
        <v>189</v>
      </c>
      <c r="D566" s="98" t="s">
        <v>189</v>
      </c>
      <c r="E566" s="98" t="s">
        <v>189</v>
      </c>
      <c r="F566" s="98" t="s">
        <v>189</v>
      </c>
      <c r="G566" s="98" t="s">
        <v>189</v>
      </c>
      <c r="H566" s="98"/>
    </row>
    <row r="567" spans="1:14">
      <c r="A567" s="96" t="s">
        <v>665</v>
      </c>
      <c r="C567" s="98" t="s">
        <v>666</v>
      </c>
      <c r="D567" s="98" t="s">
        <v>666</v>
      </c>
      <c r="E567" s="98" t="s">
        <v>666</v>
      </c>
      <c r="F567" s="98" t="s">
        <v>666</v>
      </c>
      <c r="G567" s="98" t="s">
        <v>666</v>
      </c>
      <c r="H567" s="98"/>
    </row>
    <row r="568" spans="1:14">
      <c r="A568" s="64" t="s">
        <v>1134</v>
      </c>
    </row>
    <row r="569" spans="1:14">
      <c r="A569" t="s">
        <v>1135</v>
      </c>
      <c r="B569" s="665" t="s">
        <v>543</v>
      </c>
      <c r="C569" s="19">
        <v>-1532318</v>
      </c>
      <c r="D569" s="19">
        <v>-2438536</v>
      </c>
      <c r="E569" s="19">
        <v>-151657</v>
      </c>
      <c r="F569" s="19">
        <v>-321455</v>
      </c>
      <c r="G569" s="19">
        <v>-2032348</v>
      </c>
      <c r="H569" s="19"/>
    </row>
    <row r="570" spans="1:14">
      <c r="A570" t="s">
        <v>1136</v>
      </c>
      <c r="C570" s="19">
        <v>367022</v>
      </c>
      <c r="D570" s="19">
        <v>20662</v>
      </c>
      <c r="E570" s="19">
        <v>-14373</v>
      </c>
      <c r="F570" s="19"/>
      <c r="G570" s="19"/>
      <c r="H570" s="19"/>
    </row>
    <row r="571" spans="1:14">
      <c r="A571" s="64" t="s">
        <v>1137</v>
      </c>
      <c r="C571" s="19"/>
      <c r="D571" s="19"/>
      <c r="E571" s="19"/>
      <c r="F571" s="19"/>
      <c r="G571" s="19"/>
      <c r="H571" s="19"/>
    </row>
    <row r="572" spans="1:14">
      <c r="A572" t="s">
        <v>1138</v>
      </c>
      <c r="B572" t="s">
        <v>1139</v>
      </c>
      <c r="C572" s="19">
        <v>60496</v>
      </c>
      <c r="D572" s="19">
        <v>116391</v>
      </c>
      <c r="E572" s="19">
        <v>320996</v>
      </c>
      <c r="F572" s="19">
        <v>590397</v>
      </c>
      <c r="G572" s="19">
        <v>1213855</v>
      </c>
      <c r="H572" s="19"/>
    </row>
    <row r="573" spans="1:14">
      <c r="A573" t="s">
        <v>1140</v>
      </c>
      <c r="B573" t="s">
        <v>778</v>
      </c>
      <c r="C573" s="19"/>
      <c r="D573" s="19"/>
      <c r="E573" s="19">
        <v>142795</v>
      </c>
      <c r="F573" s="19">
        <v>1101356</v>
      </c>
      <c r="G573" s="19">
        <v>2053165</v>
      </c>
      <c r="H573" s="19"/>
    </row>
    <row r="574" spans="1:14" s="5" customFormat="1">
      <c r="A574" s="5" t="s">
        <v>1141</v>
      </c>
      <c r="C574" s="41">
        <v>3726</v>
      </c>
      <c r="D574" s="41">
        <v>-31977</v>
      </c>
      <c r="E574" s="41">
        <v>3710</v>
      </c>
      <c r="F574" s="41">
        <v>46593</v>
      </c>
      <c r="G574" s="41">
        <v>2887</v>
      </c>
      <c r="H574" s="41"/>
    </row>
    <row r="575" spans="1:14">
      <c r="A575" t="s">
        <v>1142</v>
      </c>
      <c r="B575" s="665" t="s">
        <v>775</v>
      </c>
      <c r="C575" s="19">
        <v>28781</v>
      </c>
      <c r="D575" s="19">
        <v>13221</v>
      </c>
      <c r="E575" s="19">
        <v>-33008</v>
      </c>
      <c r="F575" s="19">
        <v>13797</v>
      </c>
      <c r="G575" s="19">
        <v>9438</v>
      </c>
      <c r="H575" s="19"/>
    </row>
    <row r="576" spans="1:14" s="5" customFormat="1">
      <c r="A576" s="5" t="s">
        <v>1031</v>
      </c>
      <c r="C576" s="41">
        <v>63467</v>
      </c>
      <c r="D576" s="41">
        <v>83667</v>
      </c>
      <c r="E576" s="41">
        <v>65249</v>
      </c>
      <c r="F576" s="41">
        <v>60628</v>
      </c>
      <c r="G576" s="41">
        <v>29627</v>
      </c>
      <c r="H576" s="41"/>
    </row>
    <row r="577" spans="1:8">
      <c r="A577" t="s">
        <v>1034</v>
      </c>
      <c r="B577" s="665" t="s">
        <v>775</v>
      </c>
      <c r="C577" s="19">
        <v>35826</v>
      </c>
      <c r="D577" s="19">
        <v>162725</v>
      </c>
      <c r="E577" s="19">
        <v>2520</v>
      </c>
      <c r="F577" s="19">
        <v>83</v>
      </c>
      <c r="G577" s="19">
        <v>10449</v>
      </c>
      <c r="H577" s="19"/>
    </row>
    <row r="578" spans="1:8" s="5" customFormat="1">
      <c r="A578" s="5" t="s">
        <v>1143</v>
      </c>
      <c r="C578" s="41"/>
      <c r="D578" s="41">
        <v>18066</v>
      </c>
      <c r="E578" s="41">
        <v>30381</v>
      </c>
      <c r="F578" s="41">
        <v>27388</v>
      </c>
    </row>
    <row r="579" spans="1:8" s="5" customFormat="1">
      <c r="A579" s="5" t="s">
        <v>1144</v>
      </c>
      <c r="C579" s="41"/>
      <c r="D579" s="41"/>
      <c r="E579" s="41"/>
      <c r="F579" s="41">
        <v>62031</v>
      </c>
      <c r="G579" s="41">
        <v>1127332</v>
      </c>
      <c r="H579" s="41"/>
    </row>
    <row r="580" spans="1:8" s="5" customFormat="1">
      <c r="A580" s="5" t="s">
        <v>1145</v>
      </c>
      <c r="C580" s="41"/>
      <c r="D580" s="41"/>
      <c r="E580" s="41"/>
      <c r="F580" s="41">
        <v>6415</v>
      </c>
      <c r="G580" s="41">
        <v>2910</v>
      </c>
      <c r="H580" s="41"/>
    </row>
    <row r="581" spans="1:8">
      <c r="A581" t="s">
        <v>634</v>
      </c>
      <c r="B581" s="461" t="s">
        <v>1146</v>
      </c>
      <c r="C581" s="19"/>
      <c r="D581" s="19">
        <v>426425</v>
      </c>
      <c r="E581" s="19">
        <v>-272327</v>
      </c>
      <c r="F581" s="19"/>
      <c r="G581" s="19"/>
      <c r="H581" s="19"/>
    </row>
    <row r="582" spans="1:8" s="5" customFormat="1">
      <c r="A582" s="5" t="s">
        <v>1147</v>
      </c>
      <c r="C582" s="41"/>
      <c r="D582" s="41"/>
      <c r="E582" s="41">
        <v>-22847</v>
      </c>
      <c r="F582" s="41">
        <v>168643</v>
      </c>
      <c r="G582" s="41">
        <v>-128338</v>
      </c>
      <c r="H582" s="41"/>
    </row>
    <row r="583" spans="1:8">
      <c r="A583" t="s">
        <v>1148</v>
      </c>
      <c r="B583" s="665" t="s">
        <v>773</v>
      </c>
      <c r="C583" s="19">
        <v>2563</v>
      </c>
      <c r="D583" s="19">
        <v>602</v>
      </c>
      <c r="E583" s="19">
        <v>379</v>
      </c>
      <c r="F583" s="19">
        <v>19843</v>
      </c>
      <c r="G583" s="19">
        <v>55880</v>
      </c>
      <c r="H583" s="19"/>
    </row>
    <row r="584" spans="1:8">
      <c r="A584" s="64" t="s">
        <v>1149</v>
      </c>
      <c r="C584" s="19"/>
      <c r="D584" s="19"/>
      <c r="E584" s="19"/>
      <c r="F584" s="19"/>
      <c r="G584" s="19"/>
      <c r="H584" s="19"/>
    </row>
    <row r="585" spans="1:8">
      <c r="A585" t="s">
        <v>1068</v>
      </c>
      <c r="B585" s="260" t="s">
        <v>1069</v>
      </c>
      <c r="C585" s="19">
        <v>-200408</v>
      </c>
      <c r="D585" s="19">
        <v>-442745</v>
      </c>
      <c r="E585" s="19">
        <v>459301</v>
      </c>
      <c r="F585" s="19">
        <v>-99421</v>
      </c>
      <c r="G585" s="19">
        <v>-1172064</v>
      </c>
      <c r="H585" s="19"/>
    </row>
    <row r="586" spans="1:8">
      <c r="A586" t="s">
        <v>789</v>
      </c>
      <c r="B586" s="665" t="s">
        <v>696</v>
      </c>
      <c r="C586" s="19">
        <v>3127</v>
      </c>
      <c r="D586" s="19">
        <v>-510546</v>
      </c>
      <c r="E586" s="19">
        <v>-516867</v>
      </c>
      <c r="F586" s="19">
        <v>-611557</v>
      </c>
      <c r="G586" s="19">
        <v>-5920182</v>
      </c>
      <c r="H586" s="19"/>
    </row>
    <row r="587" spans="1:8" s="5" customFormat="1">
      <c r="A587" s="5" t="s">
        <v>1150</v>
      </c>
      <c r="B587" s="216" t="s">
        <v>1151</v>
      </c>
      <c r="C587" s="41">
        <v>-206764</v>
      </c>
      <c r="D587" s="41">
        <v>-144693</v>
      </c>
      <c r="E587" s="41">
        <v>-766779</v>
      </c>
      <c r="F587" s="41">
        <v>-675322</v>
      </c>
      <c r="G587" s="41">
        <v>-766681</v>
      </c>
      <c r="H587" s="41"/>
    </row>
    <row r="588" spans="1:8">
      <c r="A588" t="s">
        <v>1152</v>
      </c>
      <c r="B588" s="1438"/>
      <c r="C588" s="19">
        <v>107894</v>
      </c>
      <c r="D588" s="19">
        <v>153415</v>
      </c>
      <c r="E588" s="19">
        <v>817149</v>
      </c>
      <c r="F588" s="19">
        <v>695940</v>
      </c>
      <c r="G588" s="19">
        <v>799750</v>
      </c>
      <c r="H588" s="19"/>
    </row>
    <row r="589" spans="1:8" s="5" customFormat="1">
      <c r="A589" s="1302" t="s">
        <v>1080</v>
      </c>
      <c r="C589" s="41">
        <v>-116515</v>
      </c>
      <c r="D589" s="41">
        <v>8512</v>
      </c>
      <c r="E589" s="41">
        <v>1656</v>
      </c>
      <c r="F589" s="41">
        <v>-633307</v>
      </c>
      <c r="G589" s="41">
        <v>-745320</v>
      </c>
      <c r="H589" s="41"/>
    </row>
    <row r="590" spans="1:8">
      <c r="A590" t="s">
        <v>1066</v>
      </c>
      <c r="B590" s="665" t="s">
        <v>788</v>
      </c>
      <c r="C590" s="19"/>
      <c r="D590" s="19">
        <v>-8303</v>
      </c>
      <c r="E590" s="19">
        <v>-107246</v>
      </c>
      <c r="F590" s="19">
        <v>-5459</v>
      </c>
      <c r="G590" s="19">
        <v>72211</v>
      </c>
      <c r="H590" s="19"/>
    </row>
    <row r="591" spans="1:8">
      <c r="A591" t="s">
        <v>1153</v>
      </c>
      <c r="B591" s="461" t="s">
        <v>1146</v>
      </c>
      <c r="C591" s="19"/>
      <c r="D591" s="19">
        <v>62638</v>
      </c>
      <c r="E591" s="19">
        <v>344530</v>
      </c>
      <c r="F591" s="19">
        <v>287577</v>
      </c>
      <c r="G591" s="19">
        <v>5020</v>
      </c>
      <c r="H591" s="19"/>
    </row>
    <row r="592" spans="1:8">
      <c r="A592" t="s">
        <v>1089</v>
      </c>
      <c r="B592" s="665" t="s">
        <v>791</v>
      </c>
      <c r="C592" s="19">
        <v>-62500</v>
      </c>
      <c r="D592" s="19">
        <v>602276</v>
      </c>
      <c r="E592" s="19">
        <v>2530350</v>
      </c>
      <c r="F592" s="19">
        <v>6162009</v>
      </c>
      <c r="G592" s="19">
        <v>10593584</v>
      </c>
      <c r="H592" s="19"/>
    </row>
    <row r="593" spans="1:8">
      <c r="A593" t="s">
        <v>1090</v>
      </c>
      <c r="B593" s="461" t="s">
        <v>1146</v>
      </c>
      <c r="C593" s="19">
        <v>3049</v>
      </c>
      <c r="D593" s="19">
        <v>4017</v>
      </c>
      <c r="E593" s="19">
        <v>9442</v>
      </c>
      <c r="F593" s="19">
        <v>-11751</v>
      </c>
      <c r="G593" s="19">
        <v>-30266</v>
      </c>
      <c r="H593" s="19"/>
    </row>
    <row r="594" spans="1:8">
      <c r="A594" t="s">
        <v>1096</v>
      </c>
      <c r="B594" s="461" t="s">
        <v>1146</v>
      </c>
      <c r="C594" s="19">
        <v>161674</v>
      </c>
      <c r="D594" s="19">
        <v>116349</v>
      </c>
      <c r="E594" s="19">
        <v>131111</v>
      </c>
      <c r="F594" s="19">
        <v>932119</v>
      </c>
      <c r="G594" s="19">
        <v>1166947</v>
      </c>
      <c r="H594" s="19"/>
    </row>
    <row r="595" spans="1:8" s="5" customFormat="1">
      <c r="A595" s="1302" t="s">
        <v>1106</v>
      </c>
      <c r="C595" s="41"/>
      <c r="D595" s="41">
        <v>5519</v>
      </c>
      <c r="E595" s="41">
        <v>165191</v>
      </c>
      <c r="F595" s="41">
        <v>523838</v>
      </c>
      <c r="G595" s="41">
        <v>1032410</v>
      </c>
      <c r="H595" s="41"/>
    </row>
    <row r="596" spans="1:8">
      <c r="A596" s="64" t="s">
        <v>1154</v>
      </c>
      <c r="C596" s="19">
        <v>-1280880</v>
      </c>
      <c r="D596" s="19">
        <v>-1782315</v>
      </c>
      <c r="E596" s="19">
        <v>3139656</v>
      </c>
      <c r="F596" s="19">
        <v>8340385</v>
      </c>
      <c r="G596" s="19">
        <f>SUM(G569:G595)</f>
        <v>7380266</v>
      </c>
      <c r="H596" s="19"/>
    </row>
    <row r="597" spans="1:8">
      <c r="A597" s="64" t="s">
        <v>1155</v>
      </c>
      <c r="C597" s="19">
        <v>-65925</v>
      </c>
      <c r="D597" s="19">
        <v>-11395</v>
      </c>
      <c r="E597" s="19">
        <v>148</v>
      </c>
      <c r="F597" s="19"/>
      <c r="G597" s="19"/>
      <c r="H597" s="19"/>
    </row>
    <row r="598" spans="1:8">
      <c r="A598" s="64" t="s">
        <v>1156</v>
      </c>
      <c r="C598" s="19">
        <v>-1346805</v>
      </c>
      <c r="D598" s="19">
        <v>-1793710</v>
      </c>
      <c r="E598" s="19">
        <v>3139804</v>
      </c>
      <c r="F598" s="19">
        <v>8340385</v>
      </c>
      <c r="G598" s="19">
        <v>7380266</v>
      </c>
      <c r="H598" s="19"/>
    </row>
    <row r="599" spans="1:8">
      <c r="A599" s="64" t="s">
        <v>1157</v>
      </c>
      <c r="C599" s="19"/>
      <c r="D599" s="19"/>
      <c r="E599" s="19"/>
      <c r="F599" s="19"/>
      <c r="G599" s="19"/>
      <c r="H599" s="19"/>
    </row>
    <row r="600" spans="1:8">
      <c r="A600" t="s">
        <v>1158</v>
      </c>
      <c r="B600" s="665" t="s">
        <v>797</v>
      </c>
      <c r="C600" s="19">
        <v>-970733</v>
      </c>
      <c r="D600" s="19">
        <v>-952901</v>
      </c>
      <c r="E600" s="19">
        <v>-675187</v>
      </c>
      <c r="F600" s="19">
        <v>-3444573</v>
      </c>
      <c r="G600" s="19">
        <v>-5127899</v>
      </c>
      <c r="H600" s="19"/>
    </row>
    <row r="601" spans="1:8" s="5" customFormat="1">
      <c r="A601" s="5" t="s">
        <v>1159</v>
      </c>
      <c r="C601" s="41">
        <v>413</v>
      </c>
      <c r="D601" s="41">
        <v>1648</v>
      </c>
      <c r="E601" s="41">
        <v>535</v>
      </c>
      <c r="F601" s="41">
        <v>38</v>
      </c>
      <c r="G601" s="41">
        <v>4528</v>
      </c>
      <c r="H601" s="41"/>
    </row>
    <row r="602" spans="1:8">
      <c r="A602" t="s">
        <v>1160</v>
      </c>
      <c r="B602" s="665" t="s">
        <v>804</v>
      </c>
      <c r="C602" s="19">
        <v>-213303</v>
      </c>
      <c r="D602" s="19">
        <v>-98000</v>
      </c>
      <c r="E602" s="19">
        <v>-65000</v>
      </c>
      <c r="F602" s="19"/>
      <c r="G602" s="19">
        <v>-713775</v>
      </c>
      <c r="H602" s="19"/>
    </row>
    <row r="603" spans="1:8" s="5" customFormat="1">
      <c r="A603" s="5" t="s">
        <v>1161</v>
      </c>
      <c r="C603" s="41"/>
      <c r="D603" s="41">
        <v>-1725148</v>
      </c>
      <c r="E603" s="41">
        <v>-1038017</v>
      </c>
      <c r="F603" s="41">
        <v>-1308296</v>
      </c>
      <c r="G603" s="41">
        <v>-679486</v>
      </c>
      <c r="H603" s="41"/>
    </row>
    <row r="604" spans="1:8" s="5" customFormat="1">
      <c r="A604" s="5" t="s">
        <v>1162</v>
      </c>
      <c r="C604" s="41"/>
      <c r="D604" s="41">
        <v>1265877</v>
      </c>
      <c r="E604" s="41">
        <v>601968</v>
      </c>
      <c r="F604" s="41">
        <v>1630773</v>
      </c>
      <c r="G604" s="41">
        <v>514242</v>
      </c>
      <c r="H604" s="41"/>
    </row>
    <row r="605" spans="1:8">
      <c r="A605" t="s">
        <v>1163</v>
      </c>
      <c r="B605" s="665" t="s">
        <v>804</v>
      </c>
      <c r="C605" s="19"/>
      <c r="D605" s="19"/>
      <c r="E605" s="19"/>
      <c r="F605" s="19"/>
      <c r="G605" s="19">
        <v>-50000</v>
      </c>
      <c r="H605" s="19"/>
    </row>
    <row r="606" spans="1:8">
      <c r="A606" t="s">
        <v>1164</v>
      </c>
      <c r="B606" s="665" t="s">
        <v>804</v>
      </c>
      <c r="C606" s="19">
        <v>-5737600</v>
      </c>
      <c r="D606" s="19">
        <v>-7998736</v>
      </c>
      <c r="E606" s="19">
        <v>-105279461</v>
      </c>
      <c r="F606" s="19">
        <v>-220850351</v>
      </c>
      <c r="G606" s="19">
        <v>-58268079</v>
      </c>
      <c r="H606" s="19"/>
    </row>
    <row r="607" spans="1:8">
      <c r="A607" t="s">
        <v>1165</v>
      </c>
      <c r="B607" s="665" t="s">
        <v>804</v>
      </c>
      <c r="C607" s="19">
        <v>7278670</v>
      </c>
      <c r="D607" s="19">
        <v>7020989</v>
      </c>
      <c r="E607" s="19">
        <v>87699180</v>
      </c>
      <c r="F607" s="19">
        <v>220345863</v>
      </c>
      <c r="G607" s="19">
        <v>59953714</v>
      </c>
      <c r="H607" s="19"/>
    </row>
    <row r="608" spans="1:8" s="5" customFormat="1">
      <c r="A608" s="5" t="s">
        <v>1166</v>
      </c>
      <c r="C608" s="41">
        <v>-490000</v>
      </c>
      <c r="D608" s="41">
        <v>-8000</v>
      </c>
      <c r="E608" s="41">
        <v>-6000</v>
      </c>
      <c r="F608" s="41"/>
      <c r="G608" s="41"/>
      <c r="H608" s="41"/>
    </row>
    <row r="609" spans="1:8" s="5" customFormat="1">
      <c r="A609" s="5" t="s">
        <v>1167</v>
      </c>
      <c r="C609" s="41"/>
      <c r="D609" s="41">
        <v>490000</v>
      </c>
      <c r="E609" s="41"/>
      <c r="F609" s="41"/>
      <c r="G609" s="41"/>
      <c r="H609" s="41"/>
    </row>
    <row r="610" spans="1:8">
      <c r="A610" t="s">
        <v>1168</v>
      </c>
      <c r="B610" t="s">
        <v>1169</v>
      </c>
      <c r="C610" s="19"/>
      <c r="D610" s="19"/>
      <c r="E610" s="19"/>
      <c r="F610" s="19">
        <v>-563118</v>
      </c>
      <c r="G610" s="19"/>
      <c r="H610" s="19"/>
    </row>
    <row r="611" spans="1:8">
      <c r="A611" t="s">
        <v>1170</v>
      </c>
      <c r="B611" t="s">
        <v>1169</v>
      </c>
      <c r="C611" s="19">
        <v>25004</v>
      </c>
      <c r="D611" s="19">
        <v>-560000</v>
      </c>
      <c r="E611" s="19">
        <v>-35448</v>
      </c>
      <c r="F611" s="19">
        <v>-67580</v>
      </c>
      <c r="G611" s="19"/>
      <c r="H611" s="19"/>
    </row>
    <row r="612" spans="1:8">
      <c r="A612" t="s">
        <v>1171</v>
      </c>
      <c r="B612" t="s">
        <v>1169</v>
      </c>
      <c r="C612" s="19"/>
      <c r="D612" s="19"/>
      <c r="E612" s="19"/>
      <c r="F612" s="19"/>
      <c r="G612" s="19">
        <v>2094</v>
      </c>
      <c r="H612" s="19"/>
    </row>
    <row r="613" spans="1:8">
      <c r="A613" s="64" t="s">
        <v>1172</v>
      </c>
      <c r="C613" s="19">
        <v>-107549</v>
      </c>
      <c r="D613" s="19">
        <v>-2564271</v>
      </c>
      <c r="E613" s="19">
        <v>-18797430</v>
      </c>
      <c r="F613" s="19">
        <v>-4257244</v>
      </c>
      <c r="G613" s="19">
        <v>-4364661</v>
      </c>
      <c r="H613" s="19"/>
    </row>
    <row r="614" spans="1:8">
      <c r="A614" s="64" t="s">
        <v>1173</v>
      </c>
      <c r="C614" s="19">
        <v>-83963</v>
      </c>
      <c r="D614" s="19">
        <v>-10565</v>
      </c>
      <c r="E614" s="19">
        <v>59705</v>
      </c>
      <c r="F614" s="19"/>
      <c r="G614" s="19"/>
      <c r="H614" s="19"/>
    </row>
    <row r="615" spans="1:8">
      <c r="A615" s="64" t="s">
        <v>1174</v>
      </c>
      <c r="C615" s="19">
        <v>-191512</v>
      </c>
      <c r="D615" s="19">
        <v>-2574836</v>
      </c>
      <c r="E615" s="19">
        <v>-18737725</v>
      </c>
      <c r="F615" s="19">
        <v>-4257244</v>
      </c>
      <c r="G615" s="19">
        <v>-4364661</v>
      </c>
      <c r="H615" s="19"/>
    </row>
    <row r="616" spans="1:8" s="1268" customFormat="1">
      <c r="A616" s="1267" t="s">
        <v>1175</v>
      </c>
      <c r="C616" s="1269"/>
      <c r="D616" s="1269"/>
      <c r="E616" s="1269"/>
      <c r="F616" s="1269"/>
      <c r="G616" s="1269"/>
      <c r="H616" s="1269"/>
    </row>
    <row r="617" spans="1:8">
      <c r="A617" s="39" t="s">
        <v>1176</v>
      </c>
      <c r="B617" s="461" t="s">
        <v>1003</v>
      </c>
      <c r="C617" s="19"/>
      <c r="D617" s="19"/>
      <c r="E617" s="19"/>
      <c r="F617" s="19"/>
      <c r="G617" s="19">
        <v>2462300</v>
      </c>
      <c r="H617" s="19"/>
    </row>
    <row r="618" spans="1:8">
      <c r="A618" t="s">
        <v>1177</v>
      </c>
      <c r="B618" s="665" t="s">
        <v>816</v>
      </c>
      <c r="C618" s="19"/>
      <c r="D618" s="19">
        <v>233287</v>
      </c>
      <c r="E618" s="19"/>
      <c r="F618" s="19">
        <v>600000</v>
      </c>
      <c r="G618" s="19">
        <v>3741482</v>
      </c>
      <c r="H618" s="19"/>
    </row>
    <row r="619" spans="1:8">
      <c r="A619" t="s">
        <v>1178</v>
      </c>
      <c r="B619" s="665" t="s">
        <v>816</v>
      </c>
      <c r="C619" s="19"/>
      <c r="D619" s="19"/>
      <c r="E619" s="19">
        <v>-144700</v>
      </c>
      <c r="F619" s="19"/>
      <c r="G619" s="19">
        <v>-661118</v>
      </c>
      <c r="H619" s="19"/>
    </row>
    <row r="620" spans="1:8">
      <c r="A620" t="s">
        <v>1179</v>
      </c>
      <c r="B620" s="665" t="s">
        <v>1003</v>
      </c>
      <c r="C620" s="19">
        <v>285000</v>
      </c>
      <c r="D620" s="19"/>
      <c r="E620" s="19"/>
      <c r="F620" s="19">
        <v>-429692</v>
      </c>
      <c r="G620" s="19"/>
      <c r="H620" s="19"/>
    </row>
    <row r="621" spans="1:8">
      <c r="A621" t="s">
        <v>1180</v>
      </c>
      <c r="B621" s="665" t="s">
        <v>1003</v>
      </c>
      <c r="C621" s="19">
        <v>688800</v>
      </c>
      <c r="D621" s="19"/>
      <c r="E621" s="19"/>
      <c r="F621" s="19"/>
      <c r="G621" s="19"/>
      <c r="H621" s="19"/>
    </row>
    <row r="622" spans="1:8">
      <c r="A622" t="s">
        <v>1181</v>
      </c>
      <c r="B622" s="665" t="s">
        <v>1003</v>
      </c>
      <c r="C622" s="19"/>
      <c r="D622" s="19">
        <v>101200</v>
      </c>
      <c r="E622" s="19"/>
      <c r="F622" s="19"/>
      <c r="G622" s="19"/>
      <c r="H622" s="19"/>
    </row>
    <row r="623" spans="1:8">
      <c r="A623" t="s">
        <v>1182</v>
      </c>
      <c r="B623" s="665" t="s">
        <v>1003</v>
      </c>
      <c r="C623" s="19"/>
      <c r="D623" s="19">
        <v>1530000</v>
      </c>
      <c r="E623" s="19"/>
      <c r="F623" s="19"/>
      <c r="G623" s="19"/>
      <c r="H623" s="19"/>
    </row>
    <row r="624" spans="1:8">
      <c r="A624" t="s">
        <v>1183</v>
      </c>
      <c r="B624" s="665" t="s">
        <v>1003</v>
      </c>
      <c r="C624" s="19"/>
      <c r="D624" s="19">
        <v>3626924</v>
      </c>
      <c r="E624" s="19"/>
      <c r="F624" s="19"/>
      <c r="G624" s="19"/>
      <c r="H624" s="19"/>
    </row>
    <row r="625" spans="1:8">
      <c r="A625" t="s">
        <v>1184</v>
      </c>
      <c r="B625" s="665" t="s">
        <v>1003</v>
      </c>
      <c r="C625" s="19"/>
      <c r="D625" s="19"/>
      <c r="E625" s="19">
        <v>3829757</v>
      </c>
      <c r="F625" s="19"/>
      <c r="G625" s="19"/>
      <c r="H625" s="19"/>
    </row>
    <row r="626" spans="1:8">
      <c r="A626" t="s">
        <v>1185</v>
      </c>
      <c r="B626" s="461" t="s">
        <v>1003</v>
      </c>
      <c r="C626" s="19">
        <v>-15142</v>
      </c>
      <c r="D626" s="19">
        <v>-3791</v>
      </c>
      <c r="E626" s="19"/>
      <c r="F626" s="19"/>
      <c r="G626" s="19"/>
      <c r="H626" s="19"/>
    </row>
    <row r="627" spans="1:8">
      <c r="A627" t="s">
        <v>1186</v>
      </c>
      <c r="B627" s="461" t="s">
        <v>816</v>
      </c>
      <c r="C627" s="19">
        <v>150000</v>
      </c>
      <c r="D627" s="19">
        <v>168070</v>
      </c>
      <c r="E627" s="19"/>
      <c r="F627" s="19">
        <v>5533238</v>
      </c>
      <c r="G627" s="19"/>
      <c r="H627" s="19"/>
    </row>
    <row r="628" spans="1:8">
      <c r="A628" t="s">
        <v>1187</v>
      </c>
      <c r="B628" s="461" t="s">
        <v>1003</v>
      </c>
      <c r="C628" s="19"/>
      <c r="D628" s="19"/>
      <c r="E628" s="19"/>
      <c r="F628" s="19"/>
      <c r="G628" s="19">
        <v>90000</v>
      </c>
      <c r="H628" s="19"/>
    </row>
    <row r="629" spans="1:8">
      <c r="A629" t="s">
        <v>1188</v>
      </c>
      <c r="B629" s="665" t="s">
        <v>1003</v>
      </c>
      <c r="C629" s="19"/>
      <c r="D629" s="19"/>
      <c r="E629" s="19">
        <v>11034685</v>
      </c>
      <c r="F629" s="19"/>
      <c r="G629" s="19"/>
      <c r="H629" s="19"/>
    </row>
    <row r="630" spans="1:8">
      <c r="A630" t="s">
        <v>1189</v>
      </c>
      <c r="B630" s="665" t="s">
        <v>1003</v>
      </c>
      <c r="C630" s="19"/>
      <c r="D630" s="19"/>
      <c r="E630" s="19"/>
      <c r="F630" s="19">
        <v>11004778</v>
      </c>
      <c r="G630" s="19"/>
      <c r="H630" s="19"/>
    </row>
    <row r="631" spans="1:8">
      <c r="A631" t="s">
        <v>1190</v>
      </c>
      <c r="B631" s="665" t="s">
        <v>1003</v>
      </c>
      <c r="C631" s="19"/>
      <c r="D631" s="19"/>
      <c r="E631" s="19"/>
      <c r="F631" s="19">
        <v>1139</v>
      </c>
      <c r="G631" s="19">
        <v>6728</v>
      </c>
      <c r="H631" s="19"/>
    </row>
    <row r="632" spans="1:8">
      <c r="A632" t="s">
        <v>1191</v>
      </c>
      <c r="B632" s="665" t="s">
        <v>1003</v>
      </c>
      <c r="C632" s="19"/>
      <c r="D632" s="19"/>
      <c r="E632" s="19"/>
      <c r="F632" s="19">
        <v>70</v>
      </c>
      <c r="G632" s="19"/>
      <c r="H632" s="19"/>
    </row>
    <row r="633" spans="1:8">
      <c r="A633" t="s">
        <v>1192</v>
      </c>
      <c r="B633" s="665" t="s">
        <v>1003</v>
      </c>
      <c r="C633" s="19"/>
      <c r="D633" s="19"/>
      <c r="E633" s="19">
        <v>9990955</v>
      </c>
      <c r="F633" s="19"/>
      <c r="G633" s="19"/>
      <c r="H633" s="19"/>
    </row>
    <row r="634" spans="1:8">
      <c r="A634" s="64" t="s">
        <v>1193</v>
      </c>
      <c r="C634" s="19">
        <v>1108658</v>
      </c>
      <c r="D634" s="19">
        <v>5655690</v>
      </c>
      <c r="E634" s="19">
        <v>24710697</v>
      </c>
      <c r="F634" s="19">
        <v>16709533</v>
      </c>
      <c r="G634" s="19">
        <v>5639392</v>
      </c>
      <c r="H634" s="19"/>
    </row>
    <row r="635" spans="1:8">
      <c r="A635" s="64" t="s">
        <v>1194</v>
      </c>
      <c r="C635" s="19">
        <v>1108658</v>
      </c>
      <c r="D635" s="19">
        <v>5655690</v>
      </c>
      <c r="E635" s="19">
        <v>24710697</v>
      </c>
      <c r="F635" s="19">
        <v>16709533</v>
      </c>
      <c r="G635" s="19">
        <v>5639392</v>
      </c>
      <c r="H635" s="19"/>
    </row>
    <row r="636" spans="1:8">
      <c r="A636" t="s">
        <v>1195</v>
      </c>
      <c r="C636" s="19">
        <v>3299</v>
      </c>
      <c r="D636" s="19">
        <v>53722</v>
      </c>
      <c r="E636" s="19">
        <v>-376646</v>
      </c>
      <c r="F636" s="19">
        <v>-472129</v>
      </c>
      <c r="G636" s="19">
        <v>1270097</v>
      </c>
      <c r="H636" s="19"/>
    </row>
    <row r="637" spans="1:8">
      <c r="A637" s="64" t="s">
        <v>1196</v>
      </c>
      <c r="C637" s="19">
        <v>-426360</v>
      </c>
      <c r="D637" s="19">
        <v>1340866</v>
      </c>
      <c r="E637" s="19">
        <v>8736130</v>
      </c>
      <c r="F637" s="19">
        <v>20320545</v>
      </c>
      <c r="G637" s="19">
        <v>9925094</v>
      </c>
      <c r="H637" s="19"/>
    </row>
    <row r="638" spans="1:8">
      <c r="A638" t="s">
        <v>1197</v>
      </c>
      <c r="C638" s="19">
        <v>521883</v>
      </c>
      <c r="D638" s="19">
        <v>95523</v>
      </c>
      <c r="E638" s="19">
        <v>1436389</v>
      </c>
      <c r="F638" s="19">
        <v>10172519</v>
      </c>
      <c r="G638" s="19">
        <v>30493064</v>
      </c>
      <c r="H638" s="19"/>
    </row>
    <row r="639" spans="1:8">
      <c r="A639" s="64" t="s">
        <v>1198</v>
      </c>
      <c r="C639" s="19">
        <v>95523</v>
      </c>
      <c r="D639" s="19">
        <v>1436389</v>
      </c>
      <c r="E639" s="19">
        <v>10172519</v>
      </c>
      <c r="F639" s="19">
        <v>30493064</v>
      </c>
      <c r="G639" s="19">
        <v>40418158</v>
      </c>
      <c r="H639" s="19"/>
    </row>
    <row r="640" spans="1:8">
      <c r="A640" t="s">
        <v>1199</v>
      </c>
      <c r="C640" s="19">
        <v>331</v>
      </c>
      <c r="D640" s="19">
        <v>147</v>
      </c>
      <c r="E640" s="19"/>
      <c r="F640" s="19"/>
      <c r="G640" s="19"/>
      <c r="H640" s="19"/>
    </row>
    <row r="641" spans="1:14">
      <c r="A641" s="64" t="s">
        <v>1200</v>
      </c>
      <c r="C641" s="19">
        <v>95192</v>
      </c>
      <c r="D641" s="19">
        <v>1436242</v>
      </c>
      <c r="E641" s="19">
        <v>10172519</v>
      </c>
      <c r="F641" s="19">
        <v>30493064</v>
      </c>
      <c r="G641" s="19"/>
      <c r="H641" s="19"/>
    </row>
    <row r="642" spans="1:14">
      <c r="A642" s="64" t="s">
        <v>1201</v>
      </c>
      <c r="D642" s="19"/>
      <c r="E642" s="19"/>
      <c r="F642" s="19"/>
      <c r="G642" s="19"/>
      <c r="H642" s="19"/>
    </row>
    <row r="643" spans="1:14">
      <c r="A643" t="s">
        <v>1202</v>
      </c>
      <c r="C643" s="19">
        <v>-650000</v>
      </c>
      <c r="D643" s="19">
        <v>-115000</v>
      </c>
      <c r="E643" s="19">
        <v>-79552</v>
      </c>
      <c r="F643" s="19">
        <v>-2000</v>
      </c>
      <c r="G643" s="19"/>
      <c r="H643" s="19"/>
    </row>
    <row r="644" spans="1:14">
      <c r="A644" t="s">
        <v>1203</v>
      </c>
      <c r="C644" s="19">
        <v>101200</v>
      </c>
      <c r="D644" s="19"/>
      <c r="E644" s="19"/>
      <c r="F644" s="19"/>
      <c r="G644" s="19"/>
      <c r="H644" s="19"/>
    </row>
    <row r="645" spans="1:14">
      <c r="A645" t="s">
        <v>1204</v>
      </c>
      <c r="C645" s="19">
        <v>-346602</v>
      </c>
      <c r="D645" s="19">
        <v>-403761</v>
      </c>
      <c r="E645" s="19">
        <v>-118181</v>
      </c>
      <c r="F645" s="19">
        <v>-456395</v>
      </c>
      <c r="G645" s="19"/>
      <c r="H645" s="19"/>
    </row>
    <row r="646" spans="1:14">
      <c r="A646" t="s">
        <v>1205</v>
      </c>
      <c r="C646" s="19"/>
      <c r="D646" s="19">
        <v>-20929</v>
      </c>
      <c r="E646" s="19"/>
      <c r="F646" s="19"/>
      <c r="G646" s="19"/>
      <c r="H646" s="19"/>
    </row>
    <row r="648" spans="1:14">
      <c r="A648" s="1966" t="s">
        <v>1206</v>
      </c>
      <c r="B648" s="1966"/>
      <c r="C648" s="1966"/>
      <c r="D648" s="1966"/>
      <c r="E648" s="1966"/>
      <c r="F648" s="1966"/>
      <c r="G648" s="1966"/>
      <c r="H648" s="1966"/>
      <c r="I648" s="1966"/>
      <c r="J648" s="1966"/>
      <c r="K648" s="1966"/>
      <c r="L648" s="1966"/>
      <c r="M648" s="1966"/>
      <c r="N648" s="1966"/>
    </row>
    <row r="649" spans="1:14" ht="15.5">
      <c r="A649" s="900" t="s">
        <v>1019</v>
      </c>
      <c r="B649" s="902"/>
      <c r="C649" s="901" t="s">
        <v>657</v>
      </c>
      <c r="D649" s="901" t="s">
        <v>658</v>
      </c>
      <c r="E649" s="901" t="s">
        <v>659</v>
      </c>
      <c r="F649" s="901" t="s">
        <v>660</v>
      </c>
      <c r="G649" s="901" t="s">
        <v>661</v>
      </c>
      <c r="H649" s="1439"/>
    </row>
    <row r="651" spans="1:14">
      <c r="A651" s="96" t="s">
        <v>662</v>
      </c>
      <c r="C651" s="97">
        <v>43465</v>
      </c>
      <c r="D651" s="97">
        <v>43830</v>
      </c>
      <c r="E651" s="97">
        <v>44196</v>
      </c>
      <c r="F651" s="97">
        <v>44561</v>
      </c>
      <c r="G651" s="97">
        <v>44926</v>
      </c>
      <c r="H651" s="97"/>
    </row>
    <row r="652" spans="1:14">
      <c r="A652" s="96" t="s">
        <v>663</v>
      </c>
      <c r="C652" s="98" t="s">
        <v>189</v>
      </c>
      <c r="D652" s="98" t="s">
        <v>189</v>
      </c>
      <c r="E652" s="98" t="s">
        <v>189</v>
      </c>
      <c r="F652" s="98" t="s">
        <v>189</v>
      </c>
      <c r="G652" s="98" t="s">
        <v>189</v>
      </c>
      <c r="H652" s="98"/>
    </row>
    <row r="653" spans="1:14">
      <c r="A653" s="96" t="s">
        <v>665</v>
      </c>
      <c r="C653" s="98" t="s">
        <v>666</v>
      </c>
      <c r="D653" s="98" t="s">
        <v>666</v>
      </c>
      <c r="E653" s="98" t="s">
        <v>666</v>
      </c>
      <c r="F653" s="98" t="s">
        <v>666</v>
      </c>
      <c r="G653" s="98" t="s">
        <v>666</v>
      </c>
      <c r="H653" s="98"/>
    </row>
    <row r="654" spans="1:14">
      <c r="A654" t="s">
        <v>667</v>
      </c>
      <c r="D654" s="923"/>
      <c r="E654" s="923"/>
      <c r="F654" s="923"/>
      <c r="G654" s="923"/>
      <c r="H654" s="923"/>
    </row>
    <row r="655" spans="1:14">
      <c r="A655" t="s">
        <v>1021</v>
      </c>
      <c r="C655" s="923">
        <v>4153</v>
      </c>
      <c r="D655" s="923">
        <v>2171231</v>
      </c>
      <c r="E655" s="923">
        <v>5546754</v>
      </c>
      <c r="F655" s="923">
        <v>20041955</v>
      </c>
      <c r="G655" s="923">
        <v>24839637</v>
      </c>
      <c r="H655" s="923"/>
    </row>
    <row r="656" spans="1:14">
      <c r="A656" t="s">
        <v>1207</v>
      </c>
      <c r="C656" s="923">
        <v>5553</v>
      </c>
      <c r="D656" s="923">
        <v>149988</v>
      </c>
      <c r="E656" s="923">
        <v>297567</v>
      </c>
      <c r="F656" s="923">
        <v>946176</v>
      </c>
      <c r="G656" s="923">
        <v>2015482</v>
      </c>
      <c r="H656" s="923"/>
    </row>
    <row r="657" spans="1:8">
      <c r="A657" s="64" t="s">
        <v>1023</v>
      </c>
      <c r="C657" s="923">
        <v>9706</v>
      </c>
      <c r="D657" s="923">
        <v>2321219</v>
      </c>
      <c r="E657" s="923">
        <v>5844321</v>
      </c>
      <c r="F657" s="923">
        <v>20988131</v>
      </c>
      <c r="G657" s="923">
        <v>26855119</v>
      </c>
      <c r="H657" s="923"/>
    </row>
    <row r="658" spans="1:8">
      <c r="A658" t="s">
        <v>1024</v>
      </c>
      <c r="C658" s="923"/>
      <c r="D658" s="923"/>
      <c r="E658" s="923"/>
      <c r="F658" s="923"/>
      <c r="G658" s="923"/>
      <c r="H658" s="923"/>
    </row>
    <row r="659" spans="1:8">
      <c r="A659" t="s">
        <v>1021</v>
      </c>
      <c r="C659" s="923">
        <v>-8220</v>
      </c>
      <c r="D659" s="923">
        <v>-2733531</v>
      </c>
      <c r="E659" s="923">
        <v>-5350479</v>
      </c>
      <c r="F659" s="923">
        <v>-17733036</v>
      </c>
      <c r="G659" s="923">
        <v>-22493122</v>
      </c>
      <c r="H659" s="923"/>
    </row>
    <row r="660" spans="1:8">
      <c r="A660" t="s">
        <v>1207</v>
      </c>
      <c r="C660" s="923">
        <v>-3847</v>
      </c>
      <c r="D660" s="923">
        <v>-145829</v>
      </c>
      <c r="E660" s="923">
        <v>-227853</v>
      </c>
      <c r="F660" s="923">
        <v>-632540</v>
      </c>
      <c r="G660" s="923">
        <v>-1273606</v>
      </c>
      <c r="H660" s="923"/>
    </row>
    <row r="661" spans="1:8">
      <c r="A661" s="64" t="s">
        <v>1025</v>
      </c>
      <c r="C661" s="923">
        <v>-12067</v>
      </c>
      <c r="D661" s="923">
        <v>-2879360</v>
      </c>
      <c r="E661" s="923">
        <v>-5578332</v>
      </c>
      <c r="F661" s="923">
        <v>-18365576</v>
      </c>
      <c r="G661" s="923">
        <v>-23766728</v>
      </c>
      <c r="H661" s="923"/>
    </row>
    <row r="662" spans="1:8">
      <c r="A662" s="64" t="s">
        <v>1208</v>
      </c>
      <c r="C662" s="923">
        <v>-2361</v>
      </c>
      <c r="D662" s="923">
        <v>-558141</v>
      </c>
      <c r="E662" s="923">
        <v>265989</v>
      </c>
      <c r="F662" s="923">
        <v>2622555</v>
      </c>
      <c r="G662" s="923">
        <v>3088391</v>
      </c>
      <c r="H662" s="923"/>
    </row>
    <row r="663" spans="1:8">
      <c r="A663" s="64" t="s">
        <v>1026</v>
      </c>
      <c r="C663" s="923"/>
      <c r="D663" s="923"/>
      <c r="E663" s="923"/>
      <c r="F663" s="923"/>
      <c r="G663" s="923"/>
      <c r="H663" s="923"/>
    </row>
    <row r="664" spans="1:8">
      <c r="A664" t="s">
        <v>1209</v>
      </c>
      <c r="C664" s="923">
        <v>-1051219</v>
      </c>
      <c r="D664" s="923">
        <v>-2070158</v>
      </c>
      <c r="E664" s="923">
        <v>-1725906</v>
      </c>
      <c r="F664" s="923">
        <v>-4114267</v>
      </c>
      <c r="G664" s="923">
        <v>-5214836</v>
      </c>
      <c r="H664" s="923"/>
    </row>
    <row r="665" spans="1:8">
      <c r="A665" t="s">
        <v>1210</v>
      </c>
      <c r="C665" s="923">
        <v>-642541</v>
      </c>
      <c r="D665" s="923">
        <v>-1164569</v>
      </c>
      <c r="E665" s="923">
        <v>-2920649</v>
      </c>
      <c r="F665" s="923">
        <v>-5305433</v>
      </c>
      <c r="G665" s="923">
        <v>-6688246</v>
      </c>
      <c r="H665" s="923"/>
    </row>
    <row r="666" spans="1:8">
      <c r="A666" s="64" t="s">
        <v>616</v>
      </c>
      <c r="C666" s="923">
        <v>-1693760</v>
      </c>
      <c r="D666" s="923">
        <v>-3234727</v>
      </c>
      <c r="E666" s="923">
        <v>-4646555</v>
      </c>
      <c r="F666" s="923">
        <v>-9419700</v>
      </c>
      <c r="G666" s="923">
        <v>-11903082</v>
      </c>
      <c r="H666" s="923"/>
    </row>
    <row r="667" spans="1:8">
      <c r="A667" t="s">
        <v>647</v>
      </c>
      <c r="C667" s="923">
        <v>1487</v>
      </c>
      <c r="D667" s="923">
        <v>12294</v>
      </c>
      <c r="E667" s="923">
        <v>86830</v>
      </c>
      <c r="F667" s="923">
        <v>217740</v>
      </c>
      <c r="G667" s="923">
        <v>109168</v>
      </c>
      <c r="H667" s="923"/>
    </row>
    <row r="668" spans="1:8">
      <c r="A668" s="64" t="s">
        <v>1211</v>
      </c>
      <c r="C668" s="923">
        <v>-1694634</v>
      </c>
      <c r="D668" s="923">
        <v>-3780574</v>
      </c>
      <c r="E668" s="923">
        <v>-4293736</v>
      </c>
      <c r="F668" s="923">
        <v>-6579405</v>
      </c>
      <c r="G668" s="923">
        <v>-8705523</v>
      </c>
      <c r="H668" s="923"/>
    </row>
    <row r="669" spans="1:8">
      <c r="A669" t="s">
        <v>597</v>
      </c>
      <c r="C669" s="923">
        <v>65376</v>
      </c>
      <c r="D669" s="923">
        <v>88843</v>
      </c>
      <c r="E669" s="923">
        <v>133036</v>
      </c>
      <c r="F669" s="923">
        <v>743034</v>
      </c>
      <c r="G669" s="923">
        <v>1058771</v>
      </c>
      <c r="H669" s="923"/>
    </row>
    <row r="670" spans="1:8">
      <c r="A670" t="s">
        <v>534</v>
      </c>
      <c r="C670" s="923">
        <v>-5822</v>
      </c>
      <c r="D670" s="923">
        <v>-32017</v>
      </c>
      <c r="E670" s="923">
        <v>-22451</v>
      </c>
      <c r="F670" s="923">
        <v>-55336</v>
      </c>
      <c r="G670" s="923">
        <v>-132192</v>
      </c>
      <c r="H670" s="923"/>
    </row>
    <row r="671" spans="1:8">
      <c r="A671" t="s">
        <v>648</v>
      </c>
      <c r="C671" s="923">
        <v>254361</v>
      </c>
      <c r="D671" s="923">
        <v>27679</v>
      </c>
      <c r="E671" s="923">
        <v>1362025</v>
      </c>
      <c r="F671" s="923">
        <v>79262</v>
      </c>
      <c r="G671" s="923">
        <v>59357</v>
      </c>
      <c r="H671" s="923"/>
    </row>
    <row r="672" spans="1:8">
      <c r="A672" t="s">
        <v>649</v>
      </c>
      <c r="C672" s="923"/>
      <c r="D672" s="923"/>
      <c r="E672" s="923"/>
      <c r="F672" s="923">
        <v>591506</v>
      </c>
      <c r="G672" s="923">
        <v>25062</v>
      </c>
      <c r="H672" s="923"/>
    </row>
    <row r="673" spans="1:8">
      <c r="A673" t="s">
        <v>650</v>
      </c>
      <c r="C673" s="923">
        <v>-18104</v>
      </c>
      <c r="D673" s="923">
        <v>4397</v>
      </c>
      <c r="E673" s="923">
        <v>90364</v>
      </c>
      <c r="F673" s="923">
        <v>383833</v>
      </c>
      <c r="G673" s="923">
        <v>-1423833</v>
      </c>
      <c r="H673" s="923"/>
    </row>
    <row r="674" spans="1:8">
      <c r="A674" s="64" t="s">
        <v>1212</v>
      </c>
      <c r="C674" s="923">
        <v>-1398823</v>
      </c>
      <c r="D674" s="923">
        <v>-3691672</v>
      </c>
      <c r="E674" s="923">
        <v>-2730762</v>
      </c>
      <c r="F674" s="923">
        <v>-4837106</v>
      </c>
      <c r="G674" s="923">
        <v>-9118358</v>
      </c>
      <c r="H674" s="923"/>
    </row>
    <row r="675" spans="1:8">
      <c r="A675" t="s">
        <v>1213</v>
      </c>
      <c r="C675" s="923">
        <v>0</v>
      </c>
      <c r="D675" s="923">
        <v>-1</v>
      </c>
      <c r="E675" s="923">
        <v>-1223</v>
      </c>
      <c r="F675" s="923">
        <v>-25990</v>
      </c>
      <c r="G675" s="923">
        <v>-24731</v>
      </c>
      <c r="H675" s="923"/>
    </row>
    <row r="676" spans="1:8">
      <c r="A676" t="s">
        <v>651</v>
      </c>
      <c r="C676" s="923"/>
      <c r="D676" s="923"/>
      <c r="E676" s="923"/>
      <c r="F676" s="923"/>
      <c r="G676" s="923">
        <v>4117</v>
      </c>
      <c r="H676" s="923"/>
    </row>
    <row r="677" spans="1:8">
      <c r="A677" s="64" t="s">
        <v>1135</v>
      </c>
      <c r="C677" s="923">
        <v>-1398823</v>
      </c>
      <c r="D677" s="923">
        <v>-3691673</v>
      </c>
      <c r="E677" s="923">
        <v>-2731985</v>
      </c>
      <c r="F677" s="923">
        <v>-4863096</v>
      </c>
      <c r="G677" s="923">
        <v>-9138972</v>
      </c>
      <c r="H677" s="923"/>
    </row>
    <row r="678" spans="1:8">
      <c r="A678" t="s">
        <v>1214</v>
      </c>
      <c r="C678" s="923">
        <v>-705329</v>
      </c>
      <c r="D678" s="923">
        <v>-961050</v>
      </c>
      <c r="E678" s="923">
        <v>-2157744</v>
      </c>
      <c r="F678" s="923">
        <v>0</v>
      </c>
      <c r="G678" s="923"/>
      <c r="H678" s="923"/>
    </row>
    <row r="679" spans="1:8">
      <c r="A679" t="s">
        <v>1215</v>
      </c>
      <c r="C679" s="923">
        <v>-43136</v>
      </c>
      <c r="D679" s="923">
        <v>0</v>
      </c>
      <c r="E679" s="923">
        <v>0</v>
      </c>
      <c r="F679" s="923"/>
      <c r="G679" s="923"/>
      <c r="H679" s="923"/>
    </row>
    <row r="680" spans="1:8">
      <c r="A680" t="s">
        <v>1216</v>
      </c>
      <c r="C680" s="923">
        <v>-41485</v>
      </c>
      <c r="D680" s="923">
        <v>0</v>
      </c>
      <c r="E680" s="923">
        <v>0</v>
      </c>
      <c r="F680" s="923"/>
      <c r="G680" s="923"/>
      <c r="H680" s="923"/>
    </row>
    <row r="681" spans="1:8">
      <c r="A681" t="s">
        <v>1217</v>
      </c>
      <c r="C681" s="923">
        <v>-66091</v>
      </c>
      <c r="D681" s="923">
        <v>0</v>
      </c>
      <c r="E681" s="923">
        <v>0</v>
      </c>
      <c r="F681" s="923"/>
      <c r="G681" s="923"/>
      <c r="H681" s="923"/>
    </row>
    <row r="682" spans="1:8">
      <c r="A682" t="s">
        <v>1218</v>
      </c>
      <c r="C682" s="923">
        <v>0</v>
      </c>
      <c r="D682" s="923">
        <v>9969</v>
      </c>
      <c r="E682" s="923">
        <v>0</v>
      </c>
      <c r="F682" s="923">
        <v>0</v>
      </c>
      <c r="G682" s="923"/>
      <c r="H682" s="923"/>
    </row>
    <row r="683" spans="1:8">
      <c r="A683" s="64" t="s">
        <v>1219</v>
      </c>
      <c r="C683" s="923">
        <v>-2254864</v>
      </c>
      <c r="D683" s="923">
        <v>-4642754</v>
      </c>
      <c r="E683" s="923">
        <v>-4889729</v>
      </c>
      <c r="F683" s="923">
        <v>-4863096</v>
      </c>
      <c r="G683" s="923">
        <v>-9138972</v>
      </c>
      <c r="H683" s="923"/>
    </row>
    <row r="684" spans="1:8">
      <c r="A684" s="64"/>
      <c r="C684" s="923"/>
      <c r="D684" s="923"/>
      <c r="E684" s="923"/>
      <c r="F684" s="923"/>
      <c r="G684" s="923"/>
      <c r="H684" s="923"/>
    </row>
    <row r="685" spans="1:8">
      <c r="A685" s="64" t="s">
        <v>1135</v>
      </c>
      <c r="C685" s="923">
        <v>-1398823</v>
      </c>
      <c r="D685" s="923">
        <v>-3691673</v>
      </c>
      <c r="E685" s="923">
        <v>-2731985</v>
      </c>
      <c r="F685" s="923">
        <v>-4863096</v>
      </c>
      <c r="G685" s="923">
        <v>-9138972</v>
      </c>
      <c r="H685" s="923"/>
    </row>
    <row r="686" spans="1:8">
      <c r="A686" s="64" t="s">
        <v>1220</v>
      </c>
      <c r="C686" s="923"/>
      <c r="D686" s="923"/>
      <c r="E686" s="923"/>
      <c r="F686" s="923"/>
      <c r="G686" s="923"/>
      <c r="H686" s="923"/>
    </row>
    <row r="687" spans="1:8">
      <c r="A687" t="s">
        <v>1221</v>
      </c>
      <c r="C687" s="923">
        <v>-2980</v>
      </c>
      <c r="D687" s="923">
        <v>-2968</v>
      </c>
      <c r="E687" s="923">
        <v>-724433</v>
      </c>
      <c r="F687" s="19">
        <v>-918168</v>
      </c>
      <c r="G687" s="923">
        <v>3192573</v>
      </c>
      <c r="H687" s="923"/>
    </row>
    <row r="688" spans="1:8">
      <c r="A688" s="64" t="s">
        <v>1222</v>
      </c>
      <c r="C688" s="923">
        <v>-1401803</v>
      </c>
      <c r="D688" s="923">
        <v>-3694641</v>
      </c>
      <c r="E688" s="923">
        <v>-3456418</v>
      </c>
      <c r="F688" s="923">
        <v>-5781264</v>
      </c>
      <c r="G688" s="923">
        <v>-5946399</v>
      </c>
      <c r="H688" s="923"/>
    </row>
    <row r="689" spans="1:14">
      <c r="A689" t="s">
        <v>1214</v>
      </c>
      <c r="C689" s="923">
        <v>-705329</v>
      </c>
      <c r="D689" s="923">
        <v>-961050</v>
      </c>
      <c r="E689" s="923">
        <v>-2157744</v>
      </c>
      <c r="F689" s="923">
        <v>0</v>
      </c>
      <c r="G689" s="923"/>
      <c r="H689" s="923"/>
    </row>
    <row r="690" spans="1:14">
      <c r="A690" t="s">
        <v>1215</v>
      </c>
      <c r="C690" s="923">
        <v>-43136</v>
      </c>
      <c r="D690" s="923">
        <v>0</v>
      </c>
      <c r="E690" s="923">
        <v>0</v>
      </c>
      <c r="F690" s="923"/>
      <c r="G690" s="923"/>
      <c r="H690" s="923"/>
    </row>
    <row r="691" spans="1:14">
      <c r="A691" t="s">
        <v>1216</v>
      </c>
      <c r="C691" s="923">
        <v>-41485</v>
      </c>
      <c r="D691" s="923">
        <v>0</v>
      </c>
      <c r="E691" s="923">
        <v>0</v>
      </c>
      <c r="F691" s="923"/>
      <c r="G691" s="923"/>
      <c r="H691" s="923"/>
    </row>
    <row r="692" spans="1:14">
      <c r="A692" t="s">
        <v>1217</v>
      </c>
      <c r="C692" s="923">
        <v>-66091</v>
      </c>
      <c r="D692" s="923">
        <v>0</v>
      </c>
      <c r="E692" s="923">
        <v>0</v>
      </c>
      <c r="F692" s="923"/>
      <c r="G692" s="923"/>
      <c r="H692" s="923"/>
    </row>
    <row r="693" spans="1:14">
      <c r="A693" t="s">
        <v>1218</v>
      </c>
      <c r="C693" s="923">
        <v>0</v>
      </c>
      <c r="D693" s="923">
        <v>9969</v>
      </c>
      <c r="E693" s="923">
        <v>0</v>
      </c>
      <c r="F693" s="923">
        <v>0</v>
      </c>
      <c r="G693" s="923"/>
      <c r="H693" s="923"/>
    </row>
    <row r="694" spans="1:14">
      <c r="A694" s="64" t="s">
        <v>1223</v>
      </c>
      <c r="C694" s="923">
        <v>-2257844</v>
      </c>
      <c r="D694" s="923">
        <v>-4645722</v>
      </c>
      <c r="E694" s="923">
        <v>-5614162</v>
      </c>
      <c r="F694" s="923">
        <v>-5781264</v>
      </c>
      <c r="G694" s="923">
        <v>-5946399</v>
      </c>
      <c r="H694" s="923"/>
    </row>
    <row r="695" spans="1:14">
      <c r="C695" s="923"/>
      <c r="D695" s="923"/>
      <c r="E695" s="923"/>
      <c r="F695" s="923"/>
      <c r="G695" s="923"/>
      <c r="H695" s="923"/>
    </row>
    <row r="696" spans="1:14">
      <c r="A696" s="64" t="s">
        <v>1224</v>
      </c>
      <c r="C696" s="923"/>
      <c r="D696" s="923"/>
      <c r="E696" s="923"/>
      <c r="F696" s="923"/>
      <c r="G696" s="923"/>
      <c r="H696" s="923"/>
    </row>
    <row r="697" spans="1:14">
      <c r="A697" t="s">
        <v>1225</v>
      </c>
      <c r="C697" s="923">
        <v>330176070</v>
      </c>
      <c r="D697" s="923">
        <v>349450580</v>
      </c>
      <c r="E697" s="923">
        <v>754270914</v>
      </c>
      <c r="F697" s="923">
        <v>1642906400</v>
      </c>
      <c r="G697" s="923">
        <v>1712533564</v>
      </c>
      <c r="H697" s="923"/>
    </row>
    <row r="698" spans="1:14">
      <c r="A698" s="64" t="s">
        <v>1226</v>
      </c>
      <c r="C698" s="923"/>
      <c r="D698" s="923"/>
      <c r="E698" s="923"/>
      <c r="F698" s="923"/>
      <c r="G698" s="923"/>
      <c r="H698" s="923"/>
    </row>
    <row r="699" spans="1:14">
      <c r="A699" t="s">
        <v>1225</v>
      </c>
      <c r="C699" s="924">
        <v>-6.83</v>
      </c>
      <c r="D699" s="924">
        <v>-13.29</v>
      </c>
      <c r="E699" s="924">
        <v>-6.48</v>
      </c>
      <c r="F699" s="924">
        <v>-2.96</v>
      </c>
      <c r="G699" s="924">
        <v>-5.34</v>
      </c>
      <c r="H699" s="924"/>
    </row>
    <row r="701" spans="1:14" ht="15" customHeight="1">
      <c r="A701" s="1966" t="s">
        <v>1227</v>
      </c>
      <c r="B701" s="1966"/>
      <c r="C701" s="1966"/>
      <c r="D701" s="1966"/>
      <c r="E701" s="1966"/>
      <c r="F701" s="1966"/>
      <c r="G701" s="1966"/>
      <c r="H701" s="1966"/>
      <c r="I701" s="1966"/>
      <c r="J701" s="1966"/>
      <c r="K701" s="1966"/>
      <c r="L701" s="1966"/>
      <c r="M701" s="1966"/>
      <c r="N701" s="1966"/>
    </row>
    <row r="702" spans="1:14" ht="15.5">
      <c r="A702" s="900" t="s">
        <v>1019</v>
      </c>
      <c r="B702" s="902"/>
      <c r="C702" s="901" t="s">
        <v>657</v>
      </c>
      <c r="D702" s="901" t="s">
        <v>658</v>
      </c>
      <c r="E702" s="901" t="s">
        <v>659</v>
      </c>
      <c r="F702" s="901" t="s">
        <v>660</v>
      </c>
      <c r="G702" s="901" t="s">
        <v>661</v>
      </c>
      <c r="H702" s="1439"/>
    </row>
    <row r="703" spans="1:14">
      <c r="A703" s="96" t="s">
        <v>662</v>
      </c>
      <c r="C703" s="97">
        <v>43465</v>
      </c>
      <c r="D703" s="97">
        <v>43830</v>
      </c>
      <c r="E703" s="97">
        <v>44196</v>
      </c>
      <c r="F703" s="97">
        <v>44561</v>
      </c>
      <c r="G703" s="97">
        <v>44926</v>
      </c>
      <c r="H703" s="97"/>
    </row>
    <row r="704" spans="1:14">
      <c r="A704" s="96" t="s">
        <v>663</v>
      </c>
      <c r="C704" s="98" t="s">
        <v>189</v>
      </c>
      <c r="D704" s="98" t="s">
        <v>189</v>
      </c>
      <c r="E704" s="98" t="s">
        <v>189</v>
      </c>
      <c r="F704" s="98" t="s">
        <v>189</v>
      </c>
      <c r="G704" s="98" t="s">
        <v>189</v>
      </c>
      <c r="H704" s="98"/>
    </row>
    <row r="705" spans="1:8">
      <c r="A705" s="96" t="s">
        <v>665</v>
      </c>
      <c r="C705" s="98" t="s">
        <v>666</v>
      </c>
      <c r="D705" s="98" t="s">
        <v>666</v>
      </c>
      <c r="E705" s="98" t="s">
        <v>666</v>
      </c>
      <c r="F705" s="98" t="s">
        <v>666</v>
      </c>
      <c r="G705" s="98" t="s">
        <v>666</v>
      </c>
      <c r="H705" s="98"/>
    </row>
    <row r="706" spans="1:8">
      <c r="A706" s="64" t="s">
        <v>1061</v>
      </c>
    </row>
    <row r="707" spans="1:8">
      <c r="A707" s="64" t="s">
        <v>1062</v>
      </c>
    </row>
    <row r="708" spans="1:8">
      <c r="A708" t="s">
        <v>1063</v>
      </c>
      <c r="D708" s="923">
        <v>1946931</v>
      </c>
      <c r="E708" s="923">
        <v>29209388</v>
      </c>
      <c r="F708" s="923">
        <v>11024906</v>
      </c>
      <c r="G708" s="923">
        <v>14607774</v>
      </c>
      <c r="H708" s="923"/>
    </row>
    <row r="709" spans="1:8">
      <c r="A709" t="s">
        <v>1064</v>
      </c>
      <c r="D709" s="923">
        <v>460812</v>
      </c>
      <c r="E709" s="923">
        <v>2332145</v>
      </c>
      <c r="F709" s="923">
        <v>609975</v>
      </c>
      <c r="G709" s="923">
        <v>106272</v>
      </c>
      <c r="H709" s="923"/>
    </row>
    <row r="710" spans="1:8">
      <c r="A710" t="s">
        <v>1228</v>
      </c>
      <c r="D710" s="923">
        <v>0</v>
      </c>
      <c r="E710" s="923">
        <v>979897</v>
      </c>
      <c r="F710" s="923">
        <v>25858007</v>
      </c>
      <c r="G710" s="923">
        <v>14921688</v>
      </c>
      <c r="H710" s="923"/>
    </row>
    <row r="711" spans="1:8">
      <c r="A711" t="s">
        <v>1229</v>
      </c>
      <c r="D711" s="923">
        <v>407844</v>
      </c>
      <c r="E711" s="923">
        <v>2820711</v>
      </c>
      <c r="F711" s="923">
        <v>2833763</v>
      </c>
      <c r="G711" s="923">
        <v>1262129</v>
      </c>
      <c r="H711" s="923"/>
    </row>
    <row r="712" spans="1:8">
      <c r="A712" t="s">
        <v>1230</v>
      </c>
      <c r="D712" s="923"/>
      <c r="E712" s="923"/>
      <c r="F712" s="923"/>
      <c r="G712" s="923">
        <v>427466</v>
      </c>
      <c r="H712" s="923"/>
    </row>
    <row r="713" spans="1:8">
      <c r="A713" t="s">
        <v>1231</v>
      </c>
      <c r="D713" s="923">
        <v>539199</v>
      </c>
      <c r="E713" s="923">
        <v>1128892</v>
      </c>
      <c r="F713" s="923">
        <v>2673494</v>
      </c>
      <c r="G713" s="923">
        <v>3872846</v>
      </c>
      <c r="H713" s="923"/>
    </row>
    <row r="714" spans="1:8">
      <c r="A714" t="s">
        <v>1232</v>
      </c>
      <c r="D714" s="923">
        <v>45836</v>
      </c>
      <c r="E714" s="923">
        <v>156069</v>
      </c>
      <c r="F714" s="923">
        <v>887202</v>
      </c>
      <c r="G714" s="923">
        <v>1294665</v>
      </c>
      <c r="H714" s="923"/>
    </row>
    <row r="715" spans="1:8">
      <c r="A715" t="s">
        <v>696</v>
      </c>
      <c r="D715" s="923">
        <v>454116</v>
      </c>
      <c r="E715" s="923">
        <v>1343025</v>
      </c>
      <c r="F715" s="923">
        <v>2661921</v>
      </c>
      <c r="G715" s="923">
        <v>4521373</v>
      </c>
      <c r="H715" s="923"/>
    </row>
    <row r="716" spans="1:8">
      <c r="A716" t="s">
        <v>1233</v>
      </c>
      <c r="D716" s="923">
        <v>22605</v>
      </c>
      <c r="E716" s="923">
        <v>682</v>
      </c>
      <c r="F716" s="923">
        <v>32785</v>
      </c>
      <c r="G716" s="923">
        <v>47124</v>
      </c>
      <c r="H716" s="923"/>
    </row>
    <row r="717" spans="1:8">
      <c r="A717" t="s">
        <v>1068</v>
      </c>
      <c r="D717" s="923">
        <v>1083307</v>
      </c>
      <c r="E717" s="923">
        <v>1603286</v>
      </c>
      <c r="F717" s="923">
        <v>2248683</v>
      </c>
      <c r="G717" s="923">
        <v>2466084</v>
      </c>
      <c r="H717" s="923"/>
    </row>
    <row r="718" spans="1:8">
      <c r="A718" t="s">
        <v>1234</v>
      </c>
      <c r="D718" s="923">
        <v>0</v>
      </c>
      <c r="E718" s="923">
        <v>105183</v>
      </c>
      <c r="F718" s="923">
        <v>0</v>
      </c>
      <c r="G718" s="923">
        <v>0</v>
      </c>
      <c r="H718" s="923"/>
    </row>
    <row r="719" spans="1:8">
      <c r="A719" s="64" t="s">
        <v>1071</v>
      </c>
      <c r="D719" s="923">
        <v>4960650</v>
      </c>
      <c r="E719" s="923">
        <v>39679278</v>
      </c>
      <c r="F719" s="923">
        <v>48830736</v>
      </c>
      <c r="G719" s="923">
        <v>43527421</v>
      </c>
      <c r="H719" s="923"/>
    </row>
    <row r="720" spans="1:8" s="913" customFormat="1">
      <c r="A720" s="913" t="s">
        <v>1072</v>
      </c>
      <c r="D720" s="927">
        <f>SUM(D708:D718)</f>
        <v>4960650</v>
      </c>
      <c r="E720" s="927">
        <f t="shared" ref="E720:G720" si="9">SUM(E708:E718)</f>
        <v>39679278</v>
      </c>
      <c r="F720" s="927">
        <f t="shared" si="9"/>
        <v>48830736</v>
      </c>
      <c r="G720" s="927">
        <f t="shared" si="9"/>
        <v>43527421</v>
      </c>
      <c r="H720" s="927"/>
    </row>
    <row r="721" spans="1:8">
      <c r="A721" s="64" t="s">
        <v>1073</v>
      </c>
      <c r="D721" s="923"/>
      <c r="E721" s="923"/>
      <c r="F721" s="923"/>
      <c r="G721" s="923"/>
      <c r="H721" s="923"/>
    </row>
    <row r="722" spans="1:8">
      <c r="A722" t="s">
        <v>1075</v>
      </c>
      <c r="D722" s="923">
        <v>3229952</v>
      </c>
      <c r="E722" s="923">
        <v>3081502</v>
      </c>
      <c r="F722" s="923">
        <v>5424776</v>
      </c>
      <c r="G722" s="923">
        <v>10606745</v>
      </c>
      <c r="H722" s="923"/>
    </row>
    <row r="723" spans="1:8">
      <c r="A723" t="s">
        <v>1235</v>
      </c>
      <c r="D723" s="923">
        <v>440097</v>
      </c>
      <c r="E723" s="923">
        <v>461184</v>
      </c>
      <c r="F723" s="923">
        <v>1561175</v>
      </c>
      <c r="G723" s="923">
        <v>1954618</v>
      </c>
      <c r="H723" s="923"/>
    </row>
    <row r="724" spans="1:8">
      <c r="A724" t="s">
        <v>1079</v>
      </c>
      <c r="D724" s="923">
        <v>117932</v>
      </c>
      <c r="E724" s="923">
        <v>607781</v>
      </c>
      <c r="F724" s="923">
        <v>878724</v>
      </c>
      <c r="G724" s="923">
        <v>1042972</v>
      </c>
      <c r="H724" s="923"/>
    </row>
    <row r="725" spans="1:8">
      <c r="A725" t="s">
        <v>1236</v>
      </c>
      <c r="D725" s="923">
        <v>255257</v>
      </c>
      <c r="E725" s="923">
        <v>249934</v>
      </c>
      <c r="F725" s="923">
        <v>595471</v>
      </c>
      <c r="G725" s="923">
        <v>2747854</v>
      </c>
      <c r="H725" s="923"/>
    </row>
    <row r="726" spans="1:8">
      <c r="A726" t="s">
        <v>1237</v>
      </c>
      <c r="D726" s="923">
        <v>109965</v>
      </c>
      <c r="E726" s="923">
        <v>397467</v>
      </c>
      <c r="F726" s="923">
        <v>1863492</v>
      </c>
      <c r="G726" s="923">
        <v>2188643</v>
      </c>
      <c r="H726" s="923"/>
    </row>
    <row r="727" spans="1:8">
      <c r="A727" t="s">
        <v>1080</v>
      </c>
      <c r="D727" s="923">
        <v>137512</v>
      </c>
      <c r="E727" s="923">
        <v>228633</v>
      </c>
      <c r="F727" s="923">
        <v>1730486</v>
      </c>
      <c r="G727" s="923">
        <v>201271</v>
      </c>
      <c r="H727" s="923"/>
    </row>
    <row r="728" spans="1:8">
      <c r="A728" t="s">
        <v>1074</v>
      </c>
      <c r="D728" s="923">
        <v>0</v>
      </c>
      <c r="E728" s="923">
        <v>1000</v>
      </c>
      <c r="F728" s="923">
        <v>1549176</v>
      </c>
      <c r="G728" s="923">
        <v>2295032</v>
      </c>
      <c r="H728" s="923"/>
    </row>
    <row r="729" spans="1:8">
      <c r="A729" t="s">
        <v>1238</v>
      </c>
      <c r="D729" s="923"/>
      <c r="E729" s="923"/>
      <c r="F729" s="923">
        <v>3217266</v>
      </c>
      <c r="G729" s="923">
        <v>6926450</v>
      </c>
      <c r="H729" s="923"/>
    </row>
    <row r="730" spans="1:8">
      <c r="A730" s="64" t="s">
        <v>1084</v>
      </c>
      <c r="D730" s="923">
        <v>4290715</v>
      </c>
      <c r="E730" s="923">
        <v>5027501</v>
      </c>
      <c r="F730" s="923">
        <v>16820566</v>
      </c>
      <c r="G730" s="923">
        <v>27963585</v>
      </c>
      <c r="H730" s="923"/>
    </row>
    <row r="731" spans="1:8">
      <c r="A731" s="64" t="s">
        <v>1085</v>
      </c>
      <c r="D731" s="923">
        <v>9251365</v>
      </c>
      <c r="E731" s="923">
        <v>44706779</v>
      </c>
      <c r="F731" s="923">
        <v>65651302</v>
      </c>
      <c r="G731" s="923">
        <v>71491006</v>
      </c>
      <c r="H731" s="923"/>
    </row>
    <row r="732" spans="1:8" s="913" customFormat="1">
      <c r="A732" s="913" t="s">
        <v>1072</v>
      </c>
      <c r="D732" s="927">
        <f>D720+SUM(D722:D729)</f>
        <v>9251365</v>
      </c>
      <c r="E732" s="927">
        <f t="shared" ref="E732:G732" si="10">E720+SUM(E722:E729)</f>
        <v>44706779</v>
      </c>
      <c r="F732" s="927">
        <f t="shared" si="10"/>
        <v>65651302</v>
      </c>
      <c r="G732" s="927">
        <f t="shared" si="10"/>
        <v>71491006</v>
      </c>
      <c r="H732" s="927"/>
    </row>
    <row r="733" spans="1:8">
      <c r="A733" s="64" t="s">
        <v>1086</v>
      </c>
      <c r="D733" s="923"/>
      <c r="E733" s="923"/>
      <c r="F733" s="923"/>
      <c r="G733" s="923"/>
      <c r="H733" s="923"/>
    </row>
    <row r="734" spans="1:8">
      <c r="A734" s="64" t="s">
        <v>1087</v>
      </c>
      <c r="D734" s="923"/>
      <c r="E734" s="923"/>
      <c r="F734" s="923"/>
      <c r="G734" s="923"/>
      <c r="H734" s="923"/>
    </row>
    <row r="735" spans="1:8">
      <c r="A735" t="s">
        <v>1088</v>
      </c>
      <c r="D735" s="923">
        <v>419950</v>
      </c>
      <c r="E735" s="32">
        <v>127900</v>
      </c>
      <c r="F735" s="923">
        <v>0</v>
      </c>
      <c r="G735" s="923">
        <v>2419210</v>
      </c>
      <c r="H735" s="923"/>
    </row>
    <row r="736" spans="1:8">
      <c r="A736" t="s">
        <v>1239</v>
      </c>
      <c r="D736" s="923">
        <v>953946</v>
      </c>
      <c r="E736" s="923">
        <v>5111745</v>
      </c>
      <c r="F736" s="923">
        <v>12362186</v>
      </c>
      <c r="G736" s="923">
        <v>14222856</v>
      </c>
      <c r="H736" s="923"/>
    </row>
    <row r="737" spans="1:8">
      <c r="A737" t="s">
        <v>1090</v>
      </c>
      <c r="D737" s="923">
        <v>678</v>
      </c>
      <c r="E737" s="923">
        <v>12062</v>
      </c>
      <c r="F737" s="923">
        <v>24919</v>
      </c>
      <c r="G737" s="923">
        <v>91111</v>
      </c>
      <c r="H737" s="923"/>
    </row>
    <row r="738" spans="1:8">
      <c r="A738" t="s">
        <v>1240</v>
      </c>
      <c r="D738" s="923">
        <v>90740</v>
      </c>
      <c r="E738" s="923">
        <v>119565</v>
      </c>
      <c r="F738" s="923">
        <v>373488</v>
      </c>
      <c r="G738" s="923">
        <v>490811</v>
      </c>
      <c r="H738" s="923"/>
    </row>
    <row r="739" spans="1:8">
      <c r="A739" t="s">
        <v>1241</v>
      </c>
      <c r="D739" s="923">
        <v>16382</v>
      </c>
      <c r="E739" s="923">
        <v>163617</v>
      </c>
      <c r="F739" s="923">
        <v>418227</v>
      </c>
      <c r="G739" s="923">
        <v>389243</v>
      </c>
      <c r="H739" s="923"/>
    </row>
    <row r="740" spans="1:8">
      <c r="A740" t="s">
        <v>1242</v>
      </c>
      <c r="D740" s="923">
        <v>60000</v>
      </c>
      <c r="E740" s="923">
        <v>45000</v>
      </c>
      <c r="F740" s="923">
        <v>0</v>
      </c>
      <c r="G740" s="923">
        <v>761859</v>
      </c>
      <c r="H740" s="923"/>
    </row>
    <row r="741" spans="1:8">
      <c r="A741" t="s">
        <v>1243</v>
      </c>
      <c r="D741" s="923"/>
      <c r="E741" s="923"/>
      <c r="F741" s="923"/>
      <c r="G741" s="923">
        <v>128279</v>
      </c>
      <c r="H741" s="923"/>
    </row>
    <row r="742" spans="1:8">
      <c r="A742" t="s">
        <v>1244</v>
      </c>
      <c r="D742" s="923">
        <v>1755995</v>
      </c>
      <c r="E742" s="923">
        <v>2256165</v>
      </c>
      <c r="F742" s="923">
        <v>4811107</v>
      </c>
      <c r="G742" s="923">
        <v>5583829</v>
      </c>
      <c r="H742" s="923"/>
    </row>
    <row r="743" spans="1:8">
      <c r="A743" t="s">
        <v>1245</v>
      </c>
      <c r="D743" s="923">
        <v>0</v>
      </c>
      <c r="E743" s="923">
        <v>1209</v>
      </c>
      <c r="F743" s="923">
        <v>22737</v>
      </c>
      <c r="G743" s="923">
        <v>27655</v>
      </c>
      <c r="H743" s="923"/>
    </row>
    <row r="744" spans="1:8">
      <c r="A744" s="64" t="s">
        <v>1099</v>
      </c>
      <c r="D744" s="923">
        <v>3297691</v>
      </c>
      <c r="E744" s="923">
        <v>7837263</v>
      </c>
      <c r="F744" s="923">
        <v>18012664</v>
      </c>
      <c r="G744" s="923">
        <v>24114853</v>
      </c>
      <c r="H744" s="923"/>
    </row>
    <row r="745" spans="1:8" s="913" customFormat="1">
      <c r="A745" s="913" t="s">
        <v>1072</v>
      </c>
      <c r="D745" s="927">
        <f>SUM(D735:D743)</f>
        <v>3297691</v>
      </c>
      <c r="E745" s="927">
        <f t="shared" ref="E745:G745" si="11">SUM(E735:E743)</f>
        <v>7837263</v>
      </c>
      <c r="F745" s="927">
        <f t="shared" si="11"/>
        <v>18012664</v>
      </c>
      <c r="G745" s="927">
        <f t="shared" si="11"/>
        <v>24114853</v>
      </c>
      <c r="H745" s="927"/>
    </row>
    <row r="746" spans="1:8">
      <c r="A746" s="64" t="s">
        <v>1100</v>
      </c>
      <c r="D746" s="923"/>
      <c r="E746" s="923"/>
      <c r="F746" s="923"/>
      <c r="G746" s="923"/>
      <c r="H746" s="923"/>
    </row>
    <row r="747" spans="1:8">
      <c r="A747" t="s">
        <v>1101</v>
      </c>
      <c r="D747" s="923">
        <v>1690000</v>
      </c>
      <c r="E747" s="923">
        <v>1645000</v>
      </c>
      <c r="F747" s="923">
        <v>1675106</v>
      </c>
      <c r="G747" s="923">
        <v>4613057</v>
      </c>
      <c r="H747" s="923"/>
    </row>
    <row r="748" spans="1:8">
      <c r="A748" t="s">
        <v>1246</v>
      </c>
      <c r="D748" s="923">
        <v>361404</v>
      </c>
      <c r="E748" s="923">
        <v>352501</v>
      </c>
      <c r="F748" s="923">
        <v>1189754</v>
      </c>
      <c r="G748" s="923">
        <v>1854576</v>
      </c>
      <c r="H748" s="923"/>
    </row>
    <row r="749" spans="1:8">
      <c r="A749" t="s">
        <v>1247</v>
      </c>
      <c r="D749" s="923"/>
      <c r="E749" s="923"/>
      <c r="F749" s="923"/>
      <c r="G749" s="923">
        <v>797743</v>
      </c>
      <c r="H749" s="923"/>
    </row>
    <row r="750" spans="1:8">
      <c r="A750" t="s">
        <v>1153</v>
      </c>
      <c r="D750" s="923">
        <v>69116</v>
      </c>
      <c r="E750" s="923">
        <v>144767</v>
      </c>
      <c r="F750" s="923">
        <v>479061</v>
      </c>
      <c r="G750" s="923">
        <v>694006</v>
      </c>
      <c r="H750" s="923"/>
    </row>
    <row r="751" spans="1:8">
      <c r="A751" t="s">
        <v>1248</v>
      </c>
      <c r="D751" s="923">
        <v>897091</v>
      </c>
      <c r="E751" s="923">
        <v>0</v>
      </c>
      <c r="F751" s="923">
        <v>0</v>
      </c>
      <c r="G751" s="923">
        <v>0</v>
      </c>
      <c r="H751" s="923"/>
    </row>
    <row r="752" spans="1:8">
      <c r="A752" t="s">
        <v>1106</v>
      </c>
      <c r="D752" s="923">
        <v>73015</v>
      </c>
      <c r="E752" s="923">
        <v>297439</v>
      </c>
      <c r="F752" s="923">
        <v>2148139</v>
      </c>
      <c r="G752" s="923">
        <v>2506106</v>
      </c>
      <c r="H752" s="923"/>
    </row>
    <row r="753" spans="1:8">
      <c r="A753" s="64" t="s">
        <v>1107</v>
      </c>
      <c r="D753" s="923">
        <v>3090626</v>
      </c>
      <c r="E753" s="923">
        <v>2439707</v>
      </c>
      <c r="F753" s="923">
        <v>5492060</v>
      </c>
      <c r="G753" s="923">
        <v>10465488</v>
      </c>
      <c r="H753" s="923"/>
    </row>
    <row r="754" spans="1:8">
      <c r="A754" s="64" t="s">
        <v>1108</v>
      </c>
      <c r="D754" s="923">
        <v>6388317</v>
      </c>
      <c r="E754" s="923">
        <v>10276970</v>
      </c>
      <c r="F754" s="923">
        <v>23504724</v>
      </c>
      <c r="G754" s="923">
        <v>34580341</v>
      </c>
      <c r="H754" s="923"/>
    </row>
    <row r="755" spans="1:8" s="913" customFormat="1">
      <c r="A755" s="913" t="s">
        <v>1072</v>
      </c>
      <c r="D755" s="927">
        <f>D745+SUM(D747:D752)</f>
        <v>6388317</v>
      </c>
      <c r="E755" s="927">
        <f t="shared" ref="E755:G755" si="12">E745+SUM(E747:E752)</f>
        <v>10276970</v>
      </c>
      <c r="F755" s="927">
        <f t="shared" si="12"/>
        <v>23504724</v>
      </c>
      <c r="G755" s="927">
        <f t="shared" si="12"/>
        <v>34580341</v>
      </c>
      <c r="H755" s="927"/>
    </row>
    <row r="756" spans="1:8">
      <c r="A756" s="64" t="s">
        <v>1110</v>
      </c>
      <c r="D756" s="923"/>
      <c r="E756" s="923"/>
      <c r="F756" s="923"/>
      <c r="G756" s="923"/>
      <c r="H756" s="923"/>
    </row>
    <row r="757" spans="1:8">
      <c r="A757" t="s">
        <v>1249</v>
      </c>
      <c r="D757" s="923">
        <v>597559</v>
      </c>
      <c r="E757" s="923"/>
      <c r="F757" s="923"/>
      <c r="G757" s="923"/>
      <c r="H757" s="923"/>
    </row>
    <row r="758" spans="1:8">
      <c r="A758" t="s">
        <v>1112</v>
      </c>
      <c r="D758" s="923">
        <v>559654</v>
      </c>
      <c r="E758" s="923"/>
      <c r="F758" s="923"/>
      <c r="G758" s="923"/>
      <c r="H758" s="923"/>
    </row>
    <row r="759" spans="1:8">
      <c r="A759" t="s">
        <v>1113</v>
      </c>
      <c r="D759" s="923">
        <v>121257</v>
      </c>
      <c r="E759" s="923"/>
      <c r="F759" s="923"/>
      <c r="G759" s="923"/>
      <c r="H759" s="923"/>
    </row>
    <row r="760" spans="1:8">
      <c r="A760" t="s">
        <v>1250</v>
      </c>
      <c r="D760" s="923">
        <v>2562098</v>
      </c>
      <c r="E760" s="923"/>
      <c r="F760" s="923"/>
      <c r="G760" s="923"/>
      <c r="H760" s="923"/>
    </row>
    <row r="761" spans="1:8">
      <c r="A761" t="s">
        <v>1115</v>
      </c>
      <c r="D761" s="923">
        <v>3080443</v>
      </c>
      <c r="E761" s="923"/>
      <c r="F761" s="923"/>
      <c r="G761" s="923"/>
      <c r="H761" s="923"/>
    </row>
    <row r="762" spans="1:8">
      <c r="A762" t="s">
        <v>1116</v>
      </c>
      <c r="D762" s="923">
        <v>952068</v>
      </c>
      <c r="E762" s="923"/>
      <c r="F762" s="923"/>
      <c r="G762" s="923"/>
      <c r="H762" s="923"/>
    </row>
    <row r="763" spans="1:8">
      <c r="A763" t="s">
        <v>1118</v>
      </c>
      <c r="D763" s="923">
        <v>1820399</v>
      </c>
      <c r="E763" s="923"/>
      <c r="F763" s="923"/>
      <c r="G763" s="923"/>
      <c r="H763" s="923"/>
    </row>
    <row r="764" spans="1:8">
      <c r="A764" s="64" t="s">
        <v>1119</v>
      </c>
      <c r="D764" s="923">
        <v>9693478</v>
      </c>
      <c r="E764" s="923"/>
      <c r="F764" s="923"/>
      <c r="G764" s="923"/>
      <c r="H764" s="923"/>
    </row>
    <row r="765" spans="1:8">
      <c r="A765" s="64" t="s">
        <v>1251</v>
      </c>
      <c r="D765" s="923"/>
      <c r="E765" s="923"/>
      <c r="F765" s="923"/>
      <c r="G765" s="923"/>
      <c r="H765" s="923"/>
    </row>
    <row r="766" spans="1:8">
      <c r="A766" s="64" t="s">
        <v>1122</v>
      </c>
      <c r="D766" s="923">
        <v>2</v>
      </c>
      <c r="E766" s="923">
        <v>63</v>
      </c>
      <c r="F766" s="923">
        <v>87</v>
      </c>
      <c r="G766" s="923">
        <v>92</v>
      </c>
      <c r="H766" s="923"/>
    </row>
    <row r="767" spans="1:8">
      <c r="A767" s="64" t="s">
        <v>1123</v>
      </c>
      <c r="D767" s="923">
        <v>19</v>
      </c>
      <c r="E767" s="923">
        <v>26</v>
      </c>
      <c r="F767" s="923">
        <v>25</v>
      </c>
      <c r="G767" s="923">
        <v>21</v>
      </c>
      <c r="H767" s="923"/>
    </row>
    <row r="768" spans="1:8">
      <c r="A768" s="64" t="s">
        <v>1252</v>
      </c>
      <c r="D768" s="923">
        <v>0</v>
      </c>
      <c r="E768" s="923">
        <v>12</v>
      </c>
      <c r="F768" s="923">
        <v>0</v>
      </c>
      <c r="G768" s="923">
        <v>0</v>
      </c>
      <c r="H768" s="923"/>
    </row>
    <row r="769" spans="1:14">
      <c r="A769" t="s">
        <v>1126</v>
      </c>
      <c r="D769" s="923">
        <v>0</v>
      </c>
      <c r="E769" s="923">
        <v>46482512</v>
      </c>
      <c r="F769" s="923">
        <v>59980534</v>
      </c>
      <c r="G769" s="923">
        <v>60691019</v>
      </c>
      <c r="H769" s="923"/>
    </row>
    <row r="770" spans="1:14">
      <c r="A770" t="s">
        <v>1253</v>
      </c>
      <c r="D770" s="923"/>
      <c r="E770" s="923"/>
      <c r="F770" s="923">
        <v>6047</v>
      </c>
      <c r="G770" s="923">
        <v>6425</v>
      </c>
      <c r="H770" s="923"/>
    </row>
    <row r="771" spans="1:14">
      <c r="A771" t="s">
        <v>1128</v>
      </c>
      <c r="D771" s="923">
        <v>-6824503</v>
      </c>
      <c r="E771" s="923">
        <v>-11322423</v>
      </c>
      <c r="F771" s="923">
        <v>-16191566</v>
      </c>
      <c r="G771" s="923">
        <v>-25330916</v>
      </c>
      <c r="H771" s="923"/>
    </row>
    <row r="772" spans="1:14">
      <c r="A772" t="s">
        <v>1127</v>
      </c>
      <c r="D772" s="923">
        <v>-5948</v>
      </c>
      <c r="E772" s="923">
        <v>-730381</v>
      </c>
      <c r="F772" s="923">
        <v>-1648549</v>
      </c>
      <c r="G772" s="923">
        <v>1544024</v>
      </c>
      <c r="H772" s="923"/>
    </row>
    <row r="773" spans="1:14">
      <c r="A773" s="64" t="s">
        <v>1254</v>
      </c>
      <c r="D773" s="923">
        <v>-6830430</v>
      </c>
      <c r="E773" s="923">
        <v>34429809</v>
      </c>
      <c r="F773" s="923">
        <v>42146578</v>
      </c>
      <c r="G773" s="923">
        <v>36910665</v>
      </c>
      <c r="H773" s="923"/>
    </row>
    <row r="774" spans="1:14">
      <c r="A774" s="64" t="s">
        <v>1255</v>
      </c>
      <c r="D774" s="923">
        <v>9251365</v>
      </c>
      <c r="E774" s="923">
        <v>44706779</v>
      </c>
      <c r="F774" s="923">
        <v>65651302</v>
      </c>
      <c r="G774" s="923">
        <v>71491006</v>
      </c>
      <c r="H774" s="923"/>
    </row>
    <row r="775" spans="1:14" s="913" customFormat="1">
      <c r="A775" s="913" t="s">
        <v>1072</v>
      </c>
      <c r="D775" s="927">
        <f>D755+D764+SUM(D766:D772)</f>
        <v>9251365</v>
      </c>
      <c r="E775" s="927">
        <f t="shared" ref="E775:G775" si="13">E755+E764+SUM(E766:E772)</f>
        <v>44706779</v>
      </c>
      <c r="F775" s="927">
        <f t="shared" si="13"/>
        <v>65651302</v>
      </c>
      <c r="G775" s="927">
        <f t="shared" si="13"/>
        <v>71491006</v>
      </c>
      <c r="H775" s="927"/>
    </row>
    <row r="777" spans="1:14" ht="15" customHeight="1">
      <c r="A777" s="1966" t="s">
        <v>1256</v>
      </c>
      <c r="B777" s="1966"/>
      <c r="C777" s="1966"/>
      <c r="D777" s="1966"/>
      <c r="E777" s="1966"/>
      <c r="F777" s="1966"/>
      <c r="G777" s="1966"/>
      <c r="H777" s="1966"/>
      <c r="I777" s="1966"/>
      <c r="J777" s="1966"/>
      <c r="K777" s="1966"/>
      <c r="L777" s="1966"/>
      <c r="M777" s="1966"/>
      <c r="N777" s="1966"/>
    </row>
    <row r="778" spans="1:14" ht="15.5">
      <c r="A778" s="1423" t="s">
        <v>1019</v>
      </c>
      <c r="B778" s="1425"/>
      <c r="C778" s="1424" t="s">
        <v>657</v>
      </c>
      <c r="D778" s="901" t="s">
        <v>658</v>
      </c>
      <c r="E778" s="901" t="s">
        <v>659</v>
      </c>
      <c r="F778" s="901" t="s">
        <v>660</v>
      </c>
      <c r="G778" s="901" t="s">
        <v>661</v>
      </c>
      <c r="H778" s="1439"/>
    </row>
    <row r="779" spans="1:14">
      <c r="A779" s="96" t="s">
        <v>662</v>
      </c>
      <c r="C779" s="97">
        <v>43465</v>
      </c>
      <c r="D779" s="97">
        <v>43830</v>
      </c>
      <c r="E779" s="97">
        <v>44196</v>
      </c>
      <c r="F779" s="97">
        <v>44561</v>
      </c>
      <c r="G779" s="97">
        <v>44926</v>
      </c>
      <c r="H779" s="97"/>
    </row>
    <row r="780" spans="1:14">
      <c r="A780" s="96" t="s">
        <v>663</v>
      </c>
      <c r="C780" s="98" t="s">
        <v>189</v>
      </c>
      <c r="D780" s="98" t="s">
        <v>189</v>
      </c>
      <c r="E780" s="98" t="s">
        <v>189</v>
      </c>
      <c r="F780" s="98" t="s">
        <v>189</v>
      </c>
      <c r="G780" s="98" t="s">
        <v>189</v>
      </c>
      <c r="H780" s="98"/>
    </row>
    <row r="781" spans="1:14">
      <c r="A781" s="96" t="s">
        <v>665</v>
      </c>
      <c r="C781" s="98" t="s">
        <v>666</v>
      </c>
      <c r="D781" s="98" t="s">
        <v>666</v>
      </c>
      <c r="E781" s="98" t="s">
        <v>666</v>
      </c>
      <c r="F781" s="98" t="s">
        <v>666</v>
      </c>
      <c r="G781" s="98" t="s">
        <v>666</v>
      </c>
      <c r="H781" s="98"/>
    </row>
    <row r="782" spans="1:14">
      <c r="A782" s="64" t="s">
        <v>1257</v>
      </c>
    </row>
    <row r="783" spans="1:14">
      <c r="A783" t="s">
        <v>1135</v>
      </c>
      <c r="C783" s="19">
        <v>-1398823</v>
      </c>
      <c r="D783" s="19">
        <v>-3691673</v>
      </c>
      <c r="E783" s="19">
        <v>-2731985</v>
      </c>
      <c r="F783" s="19">
        <v>-4863096</v>
      </c>
      <c r="G783" s="19"/>
      <c r="H783" s="19"/>
    </row>
    <row r="784" spans="1:14">
      <c r="A784" t="s">
        <v>1258</v>
      </c>
      <c r="C784" s="19"/>
      <c r="D784" s="19"/>
      <c r="E784" s="19"/>
      <c r="F784" s="19"/>
      <c r="G784" s="19"/>
      <c r="H784" s="19"/>
    </row>
    <row r="785" spans="1:8">
      <c r="A785" t="s">
        <v>1259</v>
      </c>
      <c r="C785" s="19">
        <v>53527</v>
      </c>
      <c r="D785" s="19">
        <v>125453</v>
      </c>
      <c r="E785" s="19">
        <v>302974</v>
      </c>
      <c r="F785" s="19">
        <v>573247</v>
      </c>
      <c r="G785" s="19"/>
      <c r="H785" s="19"/>
    </row>
    <row r="786" spans="1:8">
      <c r="A786" t="s">
        <v>1260</v>
      </c>
      <c r="C786" s="19">
        <v>3546</v>
      </c>
      <c r="D786" s="19">
        <v>7681</v>
      </c>
      <c r="E786" s="19">
        <v>20169</v>
      </c>
      <c r="F786" s="19">
        <v>25875</v>
      </c>
      <c r="G786" s="19"/>
      <c r="H786" s="19"/>
    </row>
    <row r="787" spans="1:8">
      <c r="A787" t="s">
        <v>1261</v>
      </c>
      <c r="C787" s="19">
        <v>34500</v>
      </c>
      <c r="D787" s="19">
        <v>88208</v>
      </c>
      <c r="E787" s="19">
        <v>109473</v>
      </c>
      <c r="F787" s="19">
        <v>229031</v>
      </c>
      <c r="G787" s="19"/>
      <c r="H787" s="19"/>
    </row>
    <row r="788" spans="1:8">
      <c r="A788" t="s">
        <v>1262</v>
      </c>
      <c r="C788" s="19">
        <v>4058</v>
      </c>
      <c r="D788" s="19">
        <v>5323</v>
      </c>
      <c r="E788" s="19">
        <v>5323</v>
      </c>
      <c r="F788" s="19">
        <v>9642</v>
      </c>
      <c r="G788" s="19"/>
      <c r="H788" s="19"/>
    </row>
    <row r="789" spans="1:8">
      <c r="A789" t="s">
        <v>1263</v>
      </c>
      <c r="C789" s="19">
        <v>30275</v>
      </c>
      <c r="D789" s="19">
        <v>1191</v>
      </c>
      <c r="E789" s="19">
        <v>6167</v>
      </c>
      <c r="F789" s="19">
        <v>36508</v>
      </c>
      <c r="G789" s="19"/>
      <c r="H789" s="19"/>
    </row>
    <row r="790" spans="1:8">
      <c r="A790" t="s">
        <v>1264</v>
      </c>
      <c r="C790" s="19">
        <v>0</v>
      </c>
      <c r="D790" s="19">
        <v>79185</v>
      </c>
      <c r="E790" s="19">
        <v>63251</v>
      </c>
      <c r="F790" s="19">
        <v>34589</v>
      </c>
      <c r="G790" s="19"/>
      <c r="H790" s="19"/>
    </row>
    <row r="791" spans="1:8">
      <c r="A791" t="s">
        <v>1265</v>
      </c>
      <c r="C791" s="19">
        <v>0</v>
      </c>
      <c r="D791" s="19">
        <v>3812</v>
      </c>
      <c r="E791" s="19">
        <v>6216</v>
      </c>
      <c r="F791" s="19">
        <v>16175</v>
      </c>
      <c r="G791" s="19"/>
      <c r="H791" s="19"/>
    </row>
    <row r="792" spans="1:8">
      <c r="A792" t="s">
        <v>1266</v>
      </c>
      <c r="C792" s="19">
        <v>0</v>
      </c>
      <c r="D792" s="19">
        <v>833</v>
      </c>
      <c r="E792" s="19">
        <v>3454</v>
      </c>
      <c r="F792" s="19">
        <v>49978</v>
      </c>
      <c r="G792" s="19"/>
      <c r="H792" s="19"/>
    </row>
    <row r="793" spans="1:8">
      <c r="A793" t="s">
        <v>1267</v>
      </c>
      <c r="C793" s="19">
        <v>0</v>
      </c>
      <c r="D793" s="19">
        <v>0</v>
      </c>
      <c r="E793" s="19">
        <v>369</v>
      </c>
      <c r="F793" s="19">
        <v>3578</v>
      </c>
      <c r="G793" s="19"/>
      <c r="H793" s="19"/>
    </row>
    <row r="794" spans="1:8">
      <c r="A794" t="s">
        <v>1268</v>
      </c>
      <c r="C794" s="19">
        <v>0</v>
      </c>
      <c r="D794" s="19">
        <v>109505</v>
      </c>
      <c r="E794" s="19">
        <v>92612</v>
      </c>
      <c r="F794" s="19">
        <v>162433</v>
      </c>
      <c r="G794" s="19"/>
      <c r="H794" s="19"/>
    </row>
    <row r="795" spans="1:8">
      <c r="A795" t="s">
        <v>1269</v>
      </c>
      <c r="C795" s="19">
        <v>11807</v>
      </c>
      <c r="D795" s="19">
        <v>-8363</v>
      </c>
      <c r="E795" s="19">
        <v>-81181</v>
      </c>
      <c r="F795" s="19">
        <v>-313580</v>
      </c>
      <c r="G795" s="19"/>
      <c r="H795" s="19"/>
    </row>
    <row r="796" spans="1:8">
      <c r="A796" t="s">
        <v>597</v>
      </c>
      <c r="C796" s="19">
        <v>-55885</v>
      </c>
      <c r="D796" s="19">
        <v>-66782</v>
      </c>
      <c r="E796" s="19">
        <v>-65676</v>
      </c>
      <c r="F796" s="19">
        <v>-351926</v>
      </c>
      <c r="G796" s="19"/>
      <c r="H796" s="19"/>
    </row>
    <row r="797" spans="1:8">
      <c r="A797" t="s">
        <v>1270</v>
      </c>
      <c r="C797" s="19">
        <v>1630</v>
      </c>
      <c r="D797" s="19">
        <v>517</v>
      </c>
      <c r="E797" s="19">
        <v>996417</v>
      </c>
      <c r="F797" s="19">
        <v>379948</v>
      </c>
      <c r="G797" s="19"/>
      <c r="H797" s="19"/>
    </row>
    <row r="798" spans="1:8">
      <c r="A798" t="s">
        <v>1271</v>
      </c>
      <c r="C798" s="19">
        <v>-254361</v>
      </c>
      <c r="D798" s="19">
        <v>-27679</v>
      </c>
      <c r="E798" s="19">
        <v>-1362025</v>
      </c>
      <c r="F798" s="19">
        <v>-79262</v>
      </c>
      <c r="G798" s="19"/>
      <c r="H798" s="19"/>
    </row>
    <row r="799" spans="1:8">
      <c r="A799" t="s">
        <v>649</v>
      </c>
      <c r="C799" s="19"/>
      <c r="D799" s="19"/>
      <c r="E799" s="19"/>
      <c r="F799" s="19">
        <v>-591506</v>
      </c>
      <c r="G799" s="19"/>
      <c r="H799" s="19"/>
    </row>
    <row r="800" spans="1:8">
      <c r="A800" t="s">
        <v>1272</v>
      </c>
      <c r="C800" s="19"/>
      <c r="D800" s="19"/>
      <c r="E800" s="19"/>
      <c r="F800" s="19"/>
      <c r="G800" s="19"/>
      <c r="H800" s="19"/>
    </row>
    <row r="801" spans="1:8">
      <c r="A801" t="s">
        <v>788</v>
      </c>
      <c r="C801" s="19">
        <v>-35390</v>
      </c>
      <c r="D801" s="19">
        <v>-504618</v>
      </c>
      <c r="E801" s="19">
        <v>-595908</v>
      </c>
      <c r="F801" s="19">
        <v>-1560777</v>
      </c>
      <c r="G801" s="19"/>
      <c r="H801" s="19"/>
    </row>
    <row r="802" spans="1:8">
      <c r="A802" t="s">
        <v>696</v>
      </c>
      <c r="C802" s="19">
        <v>-137877</v>
      </c>
      <c r="D802" s="19">
        <v>-394295</v>
      </c>
      <c r="E802" s="19">
        <v>-981521</v>
      </c>
      <c r="F802" s="19">
        <v>-1940225</v>
      </c>
      <c r="G802" s="19"/>
      <c r="H802" s="19"/>
    </row>
    <row r="803" spans="1:8">
      <c r="A803" t="s">
        <v>1233</v>
      </c>
      <c r="C803" s="19">
        <v>-26956</v>
      </c>
      <c r="D803" s="19">
        <v>4351</v>
      </c>
      <c r="E803" s="19">
        <v>21923</v>
      </c>
      <c r="F803" s="19">
        <v>-32103</v>
      </c>
      <c r="G803" s="19"/>
      <c r="H803" s="19"/>
    </row>
    <row r="804" spans="1:8">
      <c r="A804" t="s">
        <v>1068</v>
      </c>
      <c r="C804" s="19">
        <v>-277651</v>
      </c>
      <c r="D804" s="19">
        <v>-418103</v>
      </c>
      <c r="E804" s="19">
        <v>-792863</v>
      </c>
      <c r="F804" s="19">
        <v>-652033</v>
      </c>
      <c r="G804" s="19"/>
      <c r="H804" s="19"/>
    </row>
    <row r="805" spans="1:8">
      <c r="A805" t="s">
        <v>1080</v>
      </c>
      <c r="C805" s="19">
        <v>-24737</v>
      </c>
      <c r="D805" s="19">
        <v>-5616</v>
      </c>
      <c r="E805" s="19">
        <v>-30808</v>
      </c>
      <c r="F805" s="19">
        <v>-68136</v>
      </c>
      <c r="G805" s="19"/>
      <c r="H805" s="19"/>
    </row>
    <row r="806" spans="1:8">
      <c r="A806" t="s">
        <v>1239</v>
      </c>
      <c r="C806" s="19">
        <v>176817</v>
      </c>
      <c r="D806" s="19">
        <v>739053</v>
      </c>
      <c r="E806" s="19">
        <v>4157799</v>
      </c>
      <c r="F806" s="19">
        <v>7250441</v>
      </c>
      <c r="G806" s="19"/>
      <c r="H806" s="19"/>
    </row>
    <row r="807" spans="1:8">
      <c r="A807" t="s">
        <v>1153</v>
      </c>
      <c r="C807" s="19">
        <v>2366</v>
      </c>
      <c r="D807" s="19">
        <v>83132</v>
      </c>
      <c r="E807" s="19">
        <v>222886</v>
      </c>
      <c r="F807" s="19">
        <v>588904</v>
      </c>
      <c r="G807" s="19"/>
      <c r="H807" s="19"/>
    </row>
    <row r="808" spans="1:8">
      <c r="A808" t="s">
        <v>1273</v>
      </c>
      <c r="C808" s="19">
        <v>-4376</v>
      </c>
      <c r="D808" s="19">
        <v>-84626</v>
      </c>
      <c r="E808" s="19">
        <v>-108134</v>
      </c>
      <c r="F808" s="19">
        <v>-237846</v>
      </c>
      <c r="G808" s="19"/>
      <c r="H808" s="19"/>
    </row>
    <row r="809" spans="1:8">
      <c r="A809" t="s">
        <v>1244</v>
      </c>
      <c r="C809" s="19">
        <v>324815</v>
      </c>
      <c r="D809" s="19">
        <v>520547</v>
      </c>
      <c r="E809" s="19">
        <v>722967</v>
      </c>
      <c r="F809" s="19">
        <v>2260378</v>
      </c>
      <c r="G809" s="19"/>
      <c r="H809" s="19"/>
    </row>
    <row r="810" spans="1:8">
      <c r="A810" t="s">
        <v>1106</v>
      </c>
      <c r="C810" s="19">
        <v>0</v>
      </c>
      <c r="D810" s="19">
        <v>26155</v>
      </c>
      <c r="E810" s="19">
        <v>266932</v>
      </c>
      <c r="F810" s="19">
        <v>187923</v>
      </c>
      <c r="G810" s="19"/>
      <c r="H810" s="19"/>
    </row>
    <row r="811" spans="1:8">
      <c r="A811" t="s">
        <v>1274</v>
      </c>
      <c r="C811" s="19">
        <v>0</v>
      </c>
      <c r="D811" s="19">
        <v>-156634</v>
      </c>
      <c r="E811" s="19">
        <v>-401190</v>
      </c>
      <c r="F811" s="19">
        <v>-2247136</v>
      </c>
      <c r="G811" s="19"/>
      <c r="H811" s="19"/>
    </row>
    <row r="812" spans="1:8">
      <c r="A812" t="s">
        <v>1090</v>
      </c>
      <c r="C812" s="19">
        <v>0</v>
      </c>
      <c r="D812" s="19">
        <v>678</v>
      </c>
      <c r="E812" s="19">
        <v>11384</v>
      </c>
      <c r="F812" s="19">
        <v>12857</v>
      </c>
      <c r="G812" s="19"/>
      <c r="H812" s="19"/>
    </row>
    <row r="813" spans="1:8">
      <c r="A813" t="s">
        <v>1245</v>
      </c>
      <c r="C813" s="19">
        <v>0</v>
      </c>
      <c r="D813" s="19">
        <v>0</v>
      </c>
      <c r="E813" s="19">
        <v>1209</v>
      </c>
      <c r="F813" s="19">
        <v>21528</v>
      </c>
      <c r="G813" s="19"/>
      <c r="H813" s="19"/>
    </row>
    <row r="814" spans="1:8">
      <c r="A814" t="s">
        <v>1275</v>
      </c>
      <c r="C814" s="19">
        <v>-1572715</v>
      </c>
      <c r="D814" s="19">
        <v>-3562765</v>
      </c>
      <c r="E814" s="19">
        <v>-139766</v>
      </c>
      <c r="F814" s="19">
        <v>-1094591</v>
      </c>
      <c r="G814" s="19"/>
      <c r="H814" s="19"/>
    </row>
    <row r="815" spans="1:8">
      <c r="A815" s="64" t="s">
        <v>1276</v>
      </c>
      <c r="C815" s="19"/>
      <c r="D815" s="19"/>
      <c r="E815" s="19"/>
      <c r="F815" s="19"/>
      <c r="G815" s="19"/>
      <c r="H815" s="19"/>
    </row>
    <row r="816" spans="1:8">
      <c r="A816" t="s">
        <v>1277</v>
      </c>
      <c r="C816" s="19">
        <v>-759975</v>
      </c>
      <c r="D816" s="19">
        <v>759975</v>
      </c>
      <c r="E816" s="19">
        <v>-979897</v>
      </c>
      <c r="F816" s="19">
        <v>-24899368</v>
      </c>
      <c r="G816" s="19"/>
      <c r="H816" s="19"/>
    </row>
    <row r="817" spans="1:8">
      <c r="A817" t="s">
        <v>1278</v>
      </c>
      <c r="C817" s="19">
        <v>-1863447</v>
      </c>
      <c r="D817" s="19">
        <v>1905210</v>
      </c>
      <c r="E817" s="19">
        <v>-2347191</v>
      </c>
      <c r="F817" s="19">
        <v>62305</v>
      </c>
      <c r="G817" s="19"/>
      <c r="H817" s="19"/>
    </row>
    <row r="818" spans="1:8">
      <c r="A818" t="s">
        <v>1279</v>
      </c>
      <c r="C818" s="19"/>
      <c r="D818" s="19"/>
      <c r="E818" s="19"/>
      <c r="F818" s="19">
        <v>-3157891</v>
      </c>
      <c r="G818" s="19"/>
      <c r="H818" s="19"/>
    </row>
    <row r="819" spans="1:8">
      <c r="A819" t="s">
        <v>1280</v>
      </c>
      <c r="C819" s="19">
        <v>-770339</v>
      </c>
      <c r="D819" s="19">
        <v>-1831593</v>
      </c>
      <c r="E819" s="19">
        <v>-806067</v>
      </c>
      <c r="F819" s="19">
        <v>-2299698</v>
      </c>
      <c r="G819" s="19"/>
      <c r="H819" s="19"/>
    </row>
    <row r="820" spans="1:8">
      <c r="A820" t="s">
        <v>1281</v>
      </c>
      <c r="C820" s="19">
        <v>2007</v>
      </c>
      <c r="D820" s="19">
        <v>83201</v>
      </c>
      <c r="E820" s="19">
        <v>243838</v>
      </c>
      <c r="F820" s="19">
        <v>12954</v>
      </c>
      <c r="G820" s="19"/>
      <c r="H820" s="19"/>
    </row>
    <row r="821" spans="1:8">
      <c r="A821" t="s">
        <v>1282</v>
      </c>
      <c r="C821" s="19"/>
      <c r="D821" s="19"/>
      <c r="E821" s="19"/>
      <c r="F821" s="19">
        <v>233050</v>
      </c>
      <c r="G821" s="19"/>
      <c r="H821" s="19"/>
    </row>
    <row r="822" spans="1:8">
      <c r="A822" t="s">
        <v>1283</v>
      </c>
      <c r="C822" s="19">
        <v>-47479</v>
      </c>
      <c r="D822" s="19">
        <v>-76760</v>
      </c>
      <c r="E822" s="19">
        <v>-426089</v>
      </c>
      <c r="F822" s="19">
        <v>-288084</v>
      </c>
      <c r="G822" s="19"/>
      <c r="H822" s="19"/>
    </row>
    <row r="823" spans="1:8">
      <c r="A823" t="s">
        <v>1159</v>
      </c>
      <c r="C823" s="19">
        <v>489</v>
      </c>
      <c r="D823" s="19">
        <v>263</v>
      </c>
      <c r="E823" s="19">
        <v>24505</v>
      </c>
      <c r="F823" s="19">
        <v>24124</v>
      </c>
      <c r="G823" s="19"/>
      <c r="H823" s="19"/>
    </row>
    <row r="824" spans="1:8">
      <c r="A824" t="s">
        <v>1284</v>
      </c>
      <c r="C824" s="19">
        <v>-191580</v>
      </c>
      <c r="D824" s="19">
        <v>0</v>
      </c>
      <c r="E824" s="19">
        <v>0</v>
      </c>
      <c r="F824" s="19">
        <v>-223113</v>
      </c>
      <c r="G824" s="19"/>
      <c r="H824" s="19"/>
    </row>
    <row r="825" spans="1:8">
      <c r="A825" t="s">
        <v>1285</v>
      </c>
      <c r="C825" s="19">
        <v>0</v>
      </c>
      <c r="D825" s="19">
        <v>-100000</v>
      </c>
      <c r="E825" s="19">
        <v>0</v>
      </c>
      <c r="F825" s="19">
        <v>-23132</v>
      </c>
      <c r="G825" s="19"/>
      <c r="H825" s="19"/>
    </row>
    <row r="826" spans="1:8">
      <c r="A826" t="s">
        <v>1286</v>
      </c>
      <c r="C826" s="19"/>
      <c r="D826" s="19"/>
      <c r="E826" s="19"/>
      <c r="F826" s="19">
        <v>-50000</v>
      </c>
      <c r="G826" s="19"/>
      <c r="H826" s="19"/>
    </row>
    <row r="827" spans="1:8">
      <c r="A827" t="s">
        <v>1287</v>
      </c>
      <c r="C827" s="19">
        <v>0</v>
      </c>
      <c r="D827" s="19">
        <v>0</v>
      </c>
      <c r="E827" s="19">
        <v>-130260</v>
      </c>
      <c r="F827" s="19">
        <v>-1507170</v>
      </c>
      <c r="G827" s="19"/>
      <c r="H827" s="19"/>
    </row>
    <row r="828" spans="1:8">
      <c r="A828" t="s">
        <v>1288</v>
      </c>
      <c r="C828" s="19">
        <v>0</v>
      </c>
      <c r="D828" s="19">
        <v>0</v>
      </c>
      <c r="E828" s="19">
        <v>16000</v>
      </c>
      <c r="F828" s="19">
        <v>0</v>
      </c>
      <c r="G828" s="19"/>
      <c r="H828" s="19"/>
    </row>
    <row r="829" spans="1:8">
      <c r="A829" t="s">
        <v>1289</v>
      </c>
      <c r="C829" s="19">
        <v>0</v>
      </c>
      <c r="D829" s="19">
        <v>0</v>
      </c>
      <c r="E829" s="19">
        <v>-1000</v>
      </c>
      <c r="F829" s="19">
        <v>-959855</v>
      </c>
      <c r="G829" s="19"/>
      <c r="H829" s="19"/>
    </row>
    <row r="830" spans="1:8">
      <c r="A830" t="s">
        <v>1290</v>
      </c>
      <c r="C830" s="19">
        <v>-3630324</v>
      </c>
      <c r="D830" s="19">
        <v>740296</v>
      </c>
      <c r="E830" s="19">
        <v>-4406161</v>
      </c>
      <c r="F830" s="19">
        <v>-33075878</v>
      </c>
      <c r="G830" s="19"/>
      <c r="H830" s="19"/>
    </row>
    <row r="831" spans="1:8">
      <c r="A831" s="64" t="s">
        <v>1291</v>
      </c>
      <c r="C831" s="19"/>
      <c r="D831" s="19"/>
      <c r="E831" s="19"/>
      <c r="F831" s="19"/>
      <c r="G831" s="19"/>
      <c r="H831" s="19"/>
    </row>
    <row r="832" spans="1:8">
      <c r="A832" t="s">
        <v>1292</v>
      </c>
      <c r="C832" s="19">
        <v>5854200</v>
      </c>
      <c r="D832" s="19">
        <v>2678612</v>
      </c>
      <c r="E832" s="19">
        <v>7282554</v>
      </c>
      <c r="F832" s="19">
        <v>0</v>
      </c>
      <c r="G832" s="19"/>
      <c r="H832" s="19"/>
    </row>
    <row r="833" spans="1:8">
      <c r="A833" t="s">
        <v>1293</v>
      </c>
      <c r="C833" s="19">
        <v>0</v>
      </c>
      <c r="D833" s="19">
        <v>0</v>
      </c>
      <c r="E833" s="19">
        <v>11410386</v>
      </c>
      <c r="F833" s="19">
        <v>0</v>
      </c>
      <c r="G833" s="19"/>
      <c r="H833" s="19"/>
    </row>
    <row r="834" spans="1:8">
      <c r="A834" t="s">
        <v>1294</v>
      </c>
      <c r="C834" s="19">
        <v>0</v>
      </c>
      <c r="D834" s="19">
        <v>0</v>
      </c>
      <c r="E834" s="19">
        <v>15988903</v>
      </c>
      <c r="F834" s="19">
        <v>0</v>
      </c>
      <c r="G834" s="19"/>
      <c r="H834" s="19"/>
    </row>
    <row r="835" spans="1:8">
      <c r="A835" t="s">
        <v>1295</v>
      </c>
      <c r="C835" s="19"/>
      <c r="D835" s="19"/>
      <c r="E835" s="19"/>
      <c r="F835" s="19">
        <v>13146811</v>
      </c>
      <c r="G835" s="19"/>
      <c r="H835" s="19"/>
    </row>
    <row r="836" spans="1:8">
      <c r="A836" t="s">
        <v>1177</v>
      </c>
      <c r="C836" s="19">
        <v>1200000</v>
      </c>
      <c r="D836" s="19">
        <v>1620000</v>
      </c>
      <c r="E836" s="19">
        <v>1028335</v>
      </c>
      <c r="F836" s="19">
        <v>840106</v>
      </c>
      <c r="G836" s="19"/>
      <c r="H836" s="19"/>
    </row>
    <row r="837" spans="1:8">
      <c r="A837" t="s">
        <v>1296</v>
      </c>
      <c r="C837" s="19">
        <v>-320000</v>
      </c>
      <c r="D837" s="19">
        <v>-748060</v>
      </c>
      <c r="E837" s="19">
        <v>-1380385</v>
      </c>
      <c r="F837" s="19">
        <v>-982900</v>
      </c>
      <c r="G837" s="19"/>
      <c r="H837" s="19"/>
    </row>
    <row r="838" spans="1:8">
      <c r="A838" t="s">
        <v>1297</v>
      </c>
      <c r="C838" s="19">
        <v>0</v>
      </c>
      <c r="D838" s="19">
        <v>0</v>
      </c>
      <c r="E838" s="19">
        <v>1063434</v>
      </c>
      <c r="F838" s="19">
        <v>0</v>
      </c>
      <c r="G838" s="19"/>
      <c r="H838" s="19"/>
    </row>
    <row r="839" spans="1:8">
      <c r="A839" t="s">
        <v>1298</v>
      </c>
      <c r="C839" s="19">
        <v>0</v>
      </c>
      <c r="D839" s="19">
        <v>0</v>
      </c>
      <c r="E839" s="19">
        <v>-1063434</v>
      </c>
      <c r="F839" s="19">
        <v>0</v>
      </c>
      <c r="G839" s="19"/>
      <c r="H839" s="19"/>
    </row>
    <row r="840" spans="1:8">
      <c r="A840" t="s">
        <v>1299</v>
      </c>
      <c r="C840" s="19">
        <v>0</v>
      </c>
      <c r="D840" s="19">
        <v>-55000</v>
      </c>
      <c r="E840" s="19">
        <v>0</v>
      </c>
      <c r="F840" s="19">
        <v>0</v>
      </c>
      <c r="G840" s="19"/>
      <c r="H840" s="19"/>
    </row>
    <row r="841" spans="1:8">
      <c r="A841" t="s">
        <v>1300</v>
      </c>
      <c r="C841" s="19">
        <v>0</v>
      </c>
      <c r="D841" s="19">
        <v>98010</v>
      </c>
      <c r="E841" s="19">
        <v>0</v>
      </c>
      <c r="F841" s="19">
        <v>1660000</v>
      </c>
      <c r="G841" s="19"/>
      <c r="H841" s="19"/>
    </row>
    <row r="842" spans="1:8">
      <c r="A842" t="s">
        <v>1301</v>
      </c>
      <c r="C842" s="19"/>
      <c r="D842" s="19"/>
      <c r="E842" s="19"/>
      <c r="F842" s="19">
        <v>-36924</v>
      </c>
      <c r="G842" s="19"/>
      <c r="H842" s="19"/>
    </row>
    <row r="843" spans="1:8">
      <c r="A843" t="s">
        <v>1194</v>
      </c>
      <c r="C843" s="19">
        <v>6734200</v>
      </c>
      <c r="D843" s="19">
        <v>3593562</v>
      </c>
      <c r="E843" s="19">
        <v>34329793</v>
      </c>
      <c r="F843" s="19">
        <v>14627093</v>
      </c>
      <c r="G843" s="19"/>
      <c r="H843" s="19"/>
    </row>
    <row r="844" spans="1:8">
      <c r="A844" t="s">
        <v>1302</v>
      </c>
      <c r="C844" s="19">
        <v>-14782</v>
      </c>
      <c r="D844" s="19">
        <v>5125</v>
      </c>
      <c r="E844" s="19">
        <v>-650076</v>
      </c>
      <c r="F844" s="19">
        <v>-363276</v>
      </c>
      <c r="G844" s="19"/>
      <c r="H844" s="19"/>
    </row>
    <row r="845" spans="1:8">
      <c r="A845" t="s">
        <v>1303</v>
      </c>
      <c r="C845" s="19">
        <v>1516379</v>
      </c>
      <c r="D845" s="19">
        <v>776218</v>
      </c>
      <c r="E845" s="19">
        <v>29133790</v>
      </c>
      <c r="F845" s="19">
        <v>-19906652</v>
      </c>
      <c r="G845" s="19"/>
      <c r="H845" s="19"/>
    </row>
    <row r="846" spans="1:8">
      <c r="A846" t="s">
        <v>1197</v>
      </c>
      <c r="C846" s="19">
        <v>115146</v>
      </c>
      <c r="D846" s="19">
        <v>1631525</v>
      </c>
      <c r="E846" s="19">
        <v>2407743</v>
      </c>
      <c r="F846" s="19">
        <v>31541533</v>
      </c>
      <c r="G846" s="19"/>
      <c r="H846" s="19"/>
    </row>
    <row r="847" spans="1:8">
      <c r="A847" s="64" t="s">
        <v>1198</v>
      </c>
      <c r="C847" s="19">
        <v>1631525</v>
      </c>
      <c r="D847" s="19">
        <v>2407743</v>
      </c>
      <c r="E847" s="19">
        <v>31541533</v>
      </c>
      <c r="F847" s="19">
        <v>11634881</v>
      </c>
      <c r="G847" s="19"/>
      <c r="H847" s="19"/>
    </row>
    <row r="848" spans="1:8">
      <c r="A848" s="64" t="s">
        <v>1304</v>
      </c>
      <c r="C848" s="19"/>
      <c r="D848" s="19"/>
      <c r="E848" s="19"/>
      <c r="F848" s="19"/>
      <c r="G848" s="19"/>
      <c r="H848" s="19"/>
    </row>
    <row r="849" spans="1:775 1026:1799 2050:2823 3074:3847 4098:4871 5122:5895 6146:6919 7170:7943 8194:8967 9218:9991 10242:11015 11266:12039 12290:13063 13314:14087 14338:15111 15362:16135">
      <c r="A849" t="s">
        <v>1305</v>
      </c>
      <c r="C849" s="19">
        <v>-29697</v>
      </c>
      <c r="D849" s="19">
        <v>-26406</v>
      </c>
      <c r="E849" s="19">
        <v>-76093</v>
      </c>
      <c r="F849" s="19">
        <v>-126090</v>
      </c>
      <c r="G849" s="19"/>
      <c r="H849" s="19"/>
    </row>
    <row r="850" spans="1:775 1026:1799 2050:2823 3074:3847 4098:4871 5122:5895 6146:6919 7170:7943 8194:8967 9218:9991 10242:11015 11266:12039 12290:13063 13314:14087 14338:15111 15362:16135">
      <c r="A850" t="s">
        <v>1306</v>
      </c>
      <c r="C850" s="19">
        <v>69360</v>
      </c>
      <c r="D850" s="19">
        <v>762151</v>
      </c>
      <c r="E850" s="19">
        <v>235117</v>
      </c>
      <c r="F850" s="19">
        <v>843732</v>
      </c>
      <c r="G850" s="19"/>
      <c r="H850" s="19"/>
    </row>
    <row r="852" spans="1:775 1026:1799 2050:2823 3074:3847 4098:4871 5122:5895 6146:6919 7170:7943 8194:8967 9218:9991 10242:11015 11266:12039 12290:13063 13314:14087 14338:15111 15362:16135">
      <c r="A852" s="1421" t="s">
        <v>1307</v>
      </c>
      <c r="B852" s="1421"/>
      <c r="C852" s="1421"/>
      <c r="D852" s="1421"/>
      <c r="E852" s="1421"/>
      <c r="F852" s="1421"/>
      <c r="G852" s="1421"/>
      <c r="H852" s="1421"/>
      <c r="I852" s="1421"/>
      <c r="J852" s="1421"/>
      <c r="K852" s="1421"/>
      <c r="L852" s="1421"/>
      <c r="M852" s="1421"/>
      <c r="IX852" t="s">
        <v>1307</v>
      </c>
      <c r="ST852" t="s">
        <v>1307</v>
      </c>
      <c r="ACP852" t="s">
        <v>1307</v>
      </c>
      <c r="AML852" t="s">
        <v>1307</v>
      </c>
      <c r="AWH852" t="s">
        <v>1307</v>
      </c>
      <c r="BGD852" t="s">
        <v>1307</v>
      </c>
      <c r="BPZ852" t="s">
        <v>1307</v>
      </c>
      <c r="BZV852" t="s">
        <v>1307</v>
      </c>
      <c r="CJR852" t="s">
        <v>1307</v>
      </c>
      <c r="CTN852" t="s">
        <v>1307</v>
      </c>
      <c r="DDJ852" t="s">
        <v>1307</v>
      </c>
      <c r="DNF852" t="s">
        <v>1307</v>
      </c>
      <c r="DXB852" t="s">
        <v>1307</v>
      </c>
      <c r="EGX852" t="s">
        <v>1307</v>
      </c>
      <c r="EQT852" t="s">
        <v>1307</v>
      </c>
      <c r="FAP852" t="s">
        <v>1307</v>
      </c>
      <c r="FKL852" t="s">
        <v>1307</v>
      </c>
      <c r="FUH852" t="s">
        <v>1307</v>
      </c>
      <c r="GED852" t="s">
        <v>1307</v>
      </c>
      <c r="GNZ852" t="s">
        <v>1307</v>
      </c>
      <c r="GXV852" t="s">
        <v>1307</v>
      </c>
      <c r="HHR852" t="s">
        <v>1307</v>
      </c>
      <c r="HRN852" t="s">
        <v>1307</v>
      </c>
      <c r="IBJ852" t="s">
        <v>1307</v>
      </c>
      <c r="ILF852" t="s">
        <v>1307</v>
      </c>
      <c r="IVB852" t="s">
        <v>1307</v>
      </c>
      <c r="JEX852" t="s">
        <v>1307</v>
      </c>
      <c r="JOT852" t="s">
        <v>1307</v>
      </c>
      <c r="JYP852" t="s">
        <v>1307</v>
      </c>
      <c r="KIL852" t="s">
        <v>1307</v>
      </c>
      <c r="KSH852" t="s">
        <v>1307</v>
      </c>
      <c r="LCD852" t="s">
        <v>1307</v>
      </c>
      <c r="LLZ852" t="s">
        <v>1307</v>
      </c>
      <c r="LVV852" t="s">
        <v>1307</v>
      </c>
      <c r="MFR852" t="s">
        <v>1307</v>
      </c>
      <c r="MPN852" t="s">
        <v>1307</v>
      </c>
      <c r="MZJ852" t="s">
        <v>1307</v>
      </c>
      <c r="NJF852" t="s">
        <v>1307</v>
      </c>
      <c r="NTB852" t="s">
        <v>1307</v>
      </c>
      <c r="OCX852" t="s">
        <v>1307</v>
      </c>
      <c r="OMT852" t="s">
        <v>1307</v>
      </c>
      <c r="OWP852" t="s">
        <v>1307</v>
      </c>
      <c r="PGL852" t="s">
        <v>1307</v>
      </c>
      <c r="PQH852" t="s">
        <v>1307</v>
      </c>
      <c r="QAD852" t="s">
        <v>1307</v>
      </c>
      <c r="QJZ852" t="s">
        <v>1307</v>
      </c>
      <c r="QTV852" t="s">
        <v>1307</v>
      </c>
      <c r="RDR852" t="s">
        <v>1307</v>
      </c>
      <c r="RNN852" t="s">
        <v>1307</v>
      </c>
      <c r="RXJ852" t="s">
        <v>1307</v>
      </c>
      <c r="SHF852" t="s">
        <v>1307</v>
      </c>
      <c r="SRB852" t="s">
        <v>1307</v>
      </c>
      <c r="TAX852" t="s">
        <v>1307</v>
      </c>
      <c r="TKT852" t="s">
        <v>1307</v>
      </c>
      <c r="TUP852" t="s">
        <v>1307</v>
      </c>
      <c r="UEL852" t="s">
        <v>1307</v>
      </c>
      <c r="UOH852" t="s">
        <v>1307</v>
      </c>
      <c r="UYD852" t="s">
        <v>1307</v>
      </c>
      <c r="VHZ852" t="s">
        <v>1307</v>
      </c>
      <c r="VRV852" t="s">
        <v>1307</v>
      </c>
      <c r="WBR852" t="s">
        <v>1307</v>
      </c>
      <c r="WLN852" t="s">
        <v>1307</v>
      </c>
      <c r="WVJ852" t="s">
        <v>1307</v>
      </c>
    </row>
    <row r="853" spans="1:775 1026:1799 2050:2823 3074:3847 4098:4871 5122:5895 6146:6919 7170:7943 8194:8967 9218:9991 10242:11015 11266:12039 12290:13063 13314:14087 14338:15111 15362:16135" ht="15.5">
      <c r="A853" s="1419" t="s">
        <v>1019</v>
      </c>
      <c r="B853" s="1422"/>
      <c r="C853" s="1420" t="s">
        <v>657</v>
      </c>
      <c r="D853" s="1420" t="s">
        <v>658</v>
      </c>
      <c r="E853" s="1420" t="s">
        <v>659</v>
      </c>
      <c r="F853" s="1420" t="s">
        <v>660</v>
      </c>
      <c r="G853" s="1420" t="s">
        <v>661</v>
      </c>
      <c r="H853" s="1440"/>
      <c r="IX853" t="s">
        <v>1019</v>
      </c>
      <c r="IY853" t="s">
        <v>657</v>
      </c>
      <c r="IZ853" t="s">
        <v>658</v>
      </c>
      <c r="JA853" t="s">
        <v>659</v>
      </c>
      <c r="JB853" t="s">
        <v>660</v>
      </c>
      <c r="JC853" t="s">
        <v>661</v>
      </c>
      <c r="ST853" t="s">
        <v>1019</v>
      </c>
      <c r="SU853" t="s">
        <v>657</v>
      </c>
      <c r="SV853" t="s">
        <v>658</v>
      </c>
      <c r="SW853" t="s">
        <v>659</v>
      </c>
      <c r="SX853" t="s">
        <v>660</v>
      </c>
      <c r="SY853" t="s">
        <v>661</v>
      </c>
      <c r="ACP853" t="s">
        <v>1019</v>
      </c>
      <c r="ACQ853" t="s">
        <v>657</v>
      </c>
      <c r="ACR853" t="s">
        <v>658</v>
      </c>
      <c r="ACS853" t="s">
        <v>659</v>
      </c>
      <c r="ACT853" t="s">
        <v>660</v>
      </c>
      <c r="ACU853" t="s">
        <v>661</v>
      </c>
      <c r="AML853" t="s">
        <v>1019</v>
      </c>
      <c r="AMM853" t="s">
        <v>657</v>
      </c>
      <c r="AMN853" t="s">
        <v>658</v>
      </c>
      <c r="AMO853" t="s">
        <v>659</v>
      </c>
      <c r="AMP853" t="s">
        <v>660</v>
      </c>
      <c r="AMQ853" t="s">
        <v>661</v>
      </c>
      <c r="AWH853" t="s">
        <v>1019</v>
      </c>
      <c r="AWI853" t="s">
        <v>657</v>
      </c>
      <c r="AWJ853" t="s">
        <v>658</v>
      </c>
      <c r="AWK853" t="s">
        <v>659</v>
      </c>
      <c r="AWL853" t="s">
        <v>660</v>
      </c>
      <c r="AWM853" t="s">
        <v>661</v>
      </c>
      <c r="BGD853" t="s">
        <v>1019</v>
      </c>
      <c r="BGE853" t="s">
        <v>657</v>
      </c>
      <c r="BGF853" t="s">
        <v>658</v>
      </c>
      <c r="BGG853" t="s">
        <v>659</v>
      </c>
      <c r="BGH853" t="s">
        <v>660</v>
      </c>
      <c r="BGI853" t="s">
        <v>661</v>
      </c>
      <c r="BPZ853" t="s">
        <v>1019</v>
      </c>
      <c r="BQA853" t="s">
        <v>657</v>
      </c>
      <c r="BQB853" t="s">
        <v>658</v>
      </c>
      <c r="BQC853" t="s">
        <v>659</v>
      </c>
      <c r="BQD853" t="s">
        <v>660</v>
      </c>
      <c r="BQE853" t="s">
        <v>661</v>
      </c>
      <c r="BZV853" t="s">
        <v>1019</v>
      </c>
      <c r="BZW853" t="s">
        <v>657</v>
      </c>
      <c r="BZX853" t="s">
        <v>658</v>
      </c>
      <c r="BZY853" t="s">
        <v>659</v>
      </c>
      <c r="BZZ853" t="s">
        <v>660</v>
      </c>
      <c r="CAA853" t="s">
        <v>661</v>
      </c>
      <c r="CJR853" t="s">
        <v>1019</v>
      </c>
      <c r="CJS853" t="s">
        <v>657</v>
      </c>
      <c r="CJT853" t="s">
        <v>658</v>
      </c>
      <c r="CJU853" t="s">
        <v>659</v>
      </c>
      <c r="CJV853" t="s">
        <v>660</v>
      </c>
      <c r="CJW853" t="s">
        <v>661</v>
      </c>
      <c r="CTN853" t="s">
        <v>1019</v>
      </c>
      <c r="CTO853" t="s">
        <v>657</v>
      </c>
      <c r="CTP853" t="s">
        <v>658</v>
      </c>
      <c r="CTQ853" t="s">
        <v>659</v>
      </c>
      <c r="CTR853" t="s">
        <v>660</v>
      </c>
      <c r="CTS853" t="s">
        <v>661</v>
      </c>
      <c r="DDJ853" t="s">
        <v>1019</v>
      </c>
      <c r="DDK853" t="s">
        <v>657</v>
      </c>
      <c r="DDL853" t="s">
        <v>658</v>
      </c>
      <c r="DDM853" t="s">
        <v>659</v>
      </c>
      <c r="DDN853" t="s">
        <v>660</v>
      </c>
      <c r="DDO853" t="s">
        <v>661</v>
      </c>
      <c r="DNF853" t="s">
        <v>1019</v>
      </c>
      <c r="DNG853" t="s">
        <v>657</v>
      </c>
      <c r="DNH853" t="s">
        <v>658</v>
      </c>
      <c r="DNI853" t="s">
        <v>659</v>
      </c>
      <c r="DNJ853" t="s">
        <v>660</v>
      </c>
      <c r="DNK853" t="s">
        <v>661</v>
      </c>
      <c r="DXB853" t="s">
        <v>1019</v>
      </c>
      <c r="DXC853" t="s">
        <v>657</v>
      </c>
      <c r="DXD853" t="s">
        <v>658</v>
      </c>
      <c r="DXE853" t="s">
        <v>659</v>
      </c>
      <c r="DXF853" t="s">
        <v>660</v>
      </c>
      <c r="DXG853" t="s">
        <v>661</v>
      </c>
      <c r="EGX853" t="s">
        <v>1019</v>
      </c>
      <c r="EGY853" t="s">
        <v>657</v>
      </c>
      <c r="EGZ853" t="s">
        <v>658</v>
      </c>
      <c r="EHA853" t="s">
        <v>659</v>
      </c>
      <c r="EHB853" t="s">
        <v>660</v>
      </c>
      <c r="EHC853" t="s">
        <v>661</v>
      </c>
      <c r="EQT853" t="s">
        <v>1019</v>
      </c>
      <c r="EQU853" t="s">
        <v>657</v>
      </c>
      <c r="EQV853" t="s">
        <v>658</v>
      </c>
      <c r="EQW853" t="s">
        <v>659</v>
      </c>
      <c r="EQX853" t="s">
        <v>660</v>
      </c>
      <c r="EQY853" t="s">
        <v>661</v>
      </c>
      <c r="FAP853" t="s">
        <v>1019</v>
      </c>
      <c r="FAQ853" t="s">
        <v>657</v>
      </c>
      <c r="FAR853" t="s">
        <v>658</v>
      </c>
      <c r="FAS853" t="s">
        <v>659</v>
      </c>
      <c r="FAT853" t="s">
        <v>660</v>
      </c>
      <c r="FAU853" t="s">
        <v>661</v>
      </c>
      <c r="FKL853" t="s">
        <v>1019</v>
      </c>
      <c r="FKM853" t="s">
        <v>657</v>
      </c>
      <c r="FKN853" t="s">
        <v>658</v>
      </c>
      <c r="FKO853" t="s">
        <v>659</v>
      </c>
      <c r="FKP853" t="s">
        <v>660</v>
      </c>
      <c r="FKQ853" t="s">
        <v>661</v>
      </c>
      <c r="FUH853" t="s">
        <v>1019</v>
      </c>
      <c r="FUI853" t="s">
        <v>657</v>
      </c>
      <c r="FUJ853" t="s">
        <v>658</v>
      </c>
      <c r="FUK853" t="s">
        <v>659</v>
      </c>
      <c r="FUL853" t="s">
        <v>660</v>
      </c>
      <c r="FUM853" t="s">
        <v>661</v>
      </c>
      <c r="GED853" t="s">
        <v>1019</v>
      </c>
      <c r="GEE853" t="s">
        <v>657</v>
      </c>
      <c r="GEF853" t="s">
        <v>658</v>
      </c>
      <c r="GEG853" t="s">
        <v>659</v>
      </c>
      <c r="GEH853" t="s">
        <v>660</v>
      </c>
      <c r="GEI853" t="s">
        <v>661</v>
      </c>
      <c r="GNZ853" t="s">
        <v>1019</v>
      </c>
      <c r="GOA853" t="s">
        <v>657</v>
      </c>
      <c r="GOB853" t="s">
        <v>658</v>
      </c>
      <c r="GOC853" t="s">
        <v>659</v>
      </c>
      <c r="GOD853" t="s">
        <v>660</v>
      </c>
      <c r="GOE853" t="s">
        <v>661</v>
      </c>
      <c r="GXV853" t="s">
        <v>1019</v>
      </c>
      <c r="GXW853" t="s">
        <v>657</v>
      </c>
      <c r="GXX853" t="s">
        <v>658</v>
      </c>
      <c r="GXY853" t="s">
        <v>659</v>
      </c>
      <c r="GXZ853" t="s">
        <v>660</v>
      </c>
      <c r="GYA853" t="s">
        <v>661</v>
      </c>
      <c r="HHR853" t="s">
        <v>1019</v>
      </c>
      <c r="HHS853" t="s">
        <v>657</v>
      </c>
      <c r="HHT853" t="s">
        <v>658</v>
      </c>
      <c r="HHU853" t="s">
        <v>659</v>
      </c>
      <c r="HHV853" t="s">
        <v>660</v>
      </c>
      <c r="HHW853" t="s">
        <v>661</v>
      </c>
      <c r="HRN853" t="s">
        <v>1019</v>
      </c>
      <c r="HRO853" t="s">
        <v>657</v>
      </c>
      <c r="HRP853" t="s">
        <v>658</v>
      </c>
      <c r="HRQ853" t="s">
        <v>659</v>
      </c>
      <c r="HRR853" t="s">
        <v>660</v>
      </c>
      <c r="HRS853" t="s">
        <v>661</v>
      </c>
      <c r="IBJ853" t="s">
        <v>1019</v>
      </c>
      <c r="IBK853" t="s">
        <v>657</v>
      </c>
      <c r="IBL853" t="s">
        <v>658</v>
      </c>
      <c r="IBM853" t="s">
        <v>659</v>
      </c>
      <c r="IBN853" t="s">
        <v>660</v>
      </c>
      <c r="IBO853" t="s">
        <v>661</v>
      </c>
      <c r="ILF853" t="s">
        <v>1019</v>
      </c>
      <c r="ILG853" t="s">
        <v>657</v>
      </c>
      <c r="ILH853" t="s">
        <v>658</v>
      </c>
      <c r="ILI853" t="s">
        <v>659</v>
      </c>
      <c r="ILJ853" t="s">
        <v>660</v>
      </c>
      <c r="ILK853" t="s">
        <v>661</v>
      </c>
      <c r="IVB853" t="s">
        <v>1019</v>
      </c>
      <c r="IVC853" t="s">
        <v>657</v>
      </c>
      <c r="IVD853" t="s">
        <v>658</v>
      </c>
      <c r="IVE853" t="s">
        <v>659</v>
      </c>
      <c r="IVF853" t="s">
        <v>660</v>
      </c>
      <c r="IVG853" t="s">
        <v>661</v>
      </c>
      <c r="JEX853" t="s">
        <v>1019</v>
      </c>
      <c r="JEY853" t="s">
        <v>657</v>
      </c>
      <c r="JEZ853" t="s">
        <v>658</v>
      </c>
      <c r="JFA853" t="s">
        <v>659</v>
      </c>
      <c r="JFB853" t="s">
        <v>660</v>
      </c>
      <c r="JFC853" t="s">
        <v>661</v>
      </c>
      <c r="JOT853" t="s">
        <v>1019</v>
      </c>
      <c r="JOU853" t="s">
        <v>657</v>
      </c>
      <c r="JOV853" t="s">
        <v>658</v>
      </c>
      <c r="JOW853" t="s">
        <v>659</v>
      </c>
      <c r="JOX853" t="s">
        <v>660</v>
      </c>
      <c r="JOY853" t="s">
        <v>661</v>
      </c>
      <c r="JYP853" t="s">
        <v>1019</v>
      </c>
      <c r="JYQ853" t="s">
        <v>657</v>
      </c>
      <c r="JYR853" t="s">
        <v>658</v>
      </c>
      <c r="JYS853" t="s">
        <v>659</v>
      </c>
      <c r="JYT853" t="s">
        <v>660</v>
      </c>
      <c r="JYU853" t="s">
        <v>661</v>
      </c>
      <c r="KIL853" t="s">
        <v>1019</v>
      </c>
      <c r="KIM853" t="s">
        <v>657</v>
      </c>
      <c r="KIN853" t="s">
        <v>658</v>
      </c>
      <c r="KIO853" t="s">
        <v>659</v>
      </c>
      <c r="KIP853" t="s">
        <v>660</v>
      </c>
      <c r="KIQ853" t="s">
        <v>661</v>
      </c>
      <c r="KSH853" t="s">
        <v>1019</v>
      </c>
      <c r="KSI853" t="s">
        <v>657</v>
      </c>
      <c r="KSJ853" t="s">
        <v>658</v>
      </c>
      <c r="KSK853" t="s">
        <v>659</v>
      </c>
      <c r="KSL853" t="s">
        <v>660</v>
      </c>
      <c r="KSM853" t="s">
        <v>661</v>
      </c>
      <c r="LCD853" t="s">
        <v>1019</v>
      </c>
      <c r="LCE853" t="s">
        <v>657</v>
      </c>
      <c r="LCF853" t="s">
        <v>658</v>
      </c>
      <c r="LCG853" t="s">
        <v>659</v>
      </c>
      <c r="LCH853" t="s">
        <v>660</v>
      </c>
      <c r="LCI853" t="s">
        <v>661</v>
      </c>
      <c r="LLZ853" t="s">
        <v>1019</v>
      </c>
      <c r="LMA853" t="s">
        <v>657</v>
      </c>
      <c r="LMB853" t="s">
        <v>658</v>
      </c>
      <c r="LMC853" t="s">
        <v>659</v>
      </c>
      <c r="LMD853" t="s">
        <v>660</v>
      </c>
      <c r="LME853" t="s">
        <v>661</v>
      </c>
      <c r="LVV853" t="s">
        <v>1019</v>
      </c>
      <c r="LVW853" t="s">
        <v>657</v>
      </c>
      <c r="LVX853" t="s">
        <v>658</v>
      </c>
      <c r="LVY853" t="s">
        <v>659</v>
      </c>
      <c r="LVZ853" t="s">
        <v>660</v>
      </c>
      <c r="LWA853" t="s">
        <v>661</v>
      </c>
      <c r="MFR853" t="s">
        <v>1019</v>
      </c>
      <c r="MFS853" t="s">
        <v>657</v>
      </c>
      <c r="MFT853" t="s">
        <v>658</v>
      </c>
      <c r="MFU853" t="s">
        <v>659</v>
      </c>
      <c r="MFV853" t="s">
        <v>660</v>
      </c>
      <c r="MFW853" t="s">
        <v>661</v>
      </c>
      <c r="MPN853" t="s">
        <v>1019</v>
      </c>
      <c r="MPO853" t="s">
        <v>657</v>
      </c>
      <c r="MPP853" t="s">
        <v>658</v>
      </c>
      <c r="MPQ853" t="s">
        <v>659</v>
      </c>
      <c r="MPR853" t="s">
        <v>660</v>
      </c>
      <c r="MPS853" t="s">
        <v>661</v>
      </c>
      <c r="MZJ853" t="s">
        <v>1019</v>
      </c>
      <c r="MZK853" t="s">
        <v>657</v>
      </c>
      <c r="MZL853" t="s">
        <v>658</v>
      </c>
      <c r="MZM853" t="s">
        <v>659</v>
      </c>
      <c r="MZN853" t="s">
        <v>660</v>
      </c>
      <c r="MZO853" t="s">
        <v>661</v>
      </c>
      <c r="NJF853" t="s">
        <v>1019</v>
      </c>
      <c r="NJG853" t="s">
        <v>657</v>
      </c>
      <c r="NJH853" t="s">
        <v>658</v>
      </c>
      <c r="NJI853" t="s">
        <v>659</v>
      </c>
      <c r="NJJ853" t="s">
        <v>660</v>
      </c>
      <c r="NJK853" t="s">
        <v>661</v>
      </c>
      <c r="NTB853" t="s">
        <v>1019</v>
      </c>
      <c r="NTC853" t="s">
        <v>657</v>
      </c>
      <c r="NTD853" t="s">
        <v>658</v>
      </c>
      <c r="NTE853" t="s">
        <v>659</v>
      </c>
      <c r="NTF853" t="s">
        <v>660</v>
      </c>
      <c r="NTG853" t="s">
        <v>661</v>
      </c>
      <c r="OCX853" t="s">
        <v>1019</v>
      </c>
      <c r="OCY853" t="s">
        <v>657</v>
      </c>
      <c r="OCZ853" t="s">
        <v>658</v>
      </c>
      <c r="ODA853" t="s">
        <v>659</v>
      </c>
      <c r="ODB853" t="s">
        <v>660</v>
      </c>
      <c r="ODC853" t="s">
        <v>661</v>
      </c>
      <c r="OMT853" t="s">
        <v>1019</v>
      </c>
      <c r="OMU853" t="s">
        <v>657</v>
      </c>
      <c r="OMV853" t="s">
        <v>658</v>
      </c>
      <c r="OMW853" t="s">
        <v>659</v>
      </c>
      <c r="OMX853" t="s">
        <v>660</v>
      </c>
      <c r="OMY853" t="s">
        <v>661</v>
      </c>
      <c r="OWP853" t="s">
        <v>1019</v>
      </c>
      <c r="OWQ853" t="s">
        <v>657</v>
      </c>
      <c r="OWR853" t="s">
        <v>658</v>
      </c>
      <c r="OWS853" t="s">
        <v>659</v>
      </c>
      <c r="OWT853" t="s">
        <v>660</v>
      </c>
      <c r="OWU853" t="s">
        <v>661</v>
      </c>
      <c r="PGL853" t="s">
        <v>1019</v>
      </c>
      <c r="PGM853" t="s">
        <v>657</v>
      </c>
      <c r="PGN853" t="s">
        <v>658</v>
      </c>
      <c r="PGO853" t="s">
        <v>659</v>
      </c>
      <c r="PGP853" t="s">
        <v>660</v>
      </c>
      <c r="PGQ853" t="s">
        <v>661</v>
      </c>
      <c r="PQH853" t="s">
        <v>1019</v>
      </c>
      <c r="PQI853" t="s">
        <v>657</v>
      </c>
      <c r="PQJ853" t="s">
        <v>658</v>
      </c>
      <c r="PQK853" t="s">
        <v>659</v>
      </c>
      <c r="PQL853" t="s">
        <v>660</v>
      </c>
      <c r="PQM853" t="s">
        <v>661</v>
      </c>
      <c r="QAD853" t="s">
        <v>1019</v>
      </c>
      <c r="QAE853" t="s">
        <v>657</v>
      </c>
      <c r="QAF853" t="s">
        <v>658</v>
      </c>
      <c r="QAG853" t="s">
        <v>659</v>
      </c>
      <c r="QAH853" t="s">
        <v>660</v>
      </c>
      <c r="QAI853" t="s">
        <v>661</v>
      </c>
      <c r="QJZ853" t="s">
        <v>1019</v>
      </c>
      <c r="QKA853" t="s">
        <v>657</v>
      </c>
      <c r="QKB853" t="s">
        <v>658</v>
      </c>
      <c r="QKC853" t="s">
        <v>659</v>
      </c>
      <c r="QKD853" t="s">
        <v>660</v>
      </c>
      <c r="QKE853" t="s">
        <v>661</v>
      </c>
      <c r="QTV853" t="s">
        <v>1019</v>
      </c>
      <c r="QTW853" t="s">
        <v>657</v>
      </c>
      <c r="QTX853" t="s">
        <v>658</v>
      </c>
      <c r="QTY853" t="s">
        <v>659</v>
      </c>
      <c r="QTZ853" t="s">
        <v>660</v>
      </c>
      <c r="QUA853" t="s">
        <v>661</v>
      </c>
      <c r="RDR853" t="s">
        <v>1019</v>
      </c>
      <c r="RDS853" t="s">
        <v>657</v>
      </c>
      <c r="RDT853" t="s">
        <v>658</v>
      </c>
      <c r="RDU853" t="s">
        <v>659</v>
      </c>
      <c r="RDV853" t="s">
        <v>660</v>
      </c>
      <c r="RDW853" t="s">
        <v>661</v>
      </c>
      <c r="RNN853" t="s">
        <v>1019</v>
      </c>
      <c r="RNO853" t="s">
        <v>657</v>
      </c>
      <c r="RNP853" t="s">
        <v>658</v>
      </c>
      <c r="RNQ853" t="s">
        <v>659</v>
      </c>
      <c r="RNR853" t="s">
        <v>660</v>
      </c>
      <c r="RNS853" t="s">
        <v>661</v>
      </c>
      <c r="RXJ853" t="s">
        <v>1019</v>
      </c>
      <c r="RXK853" t="s">
        <v>657</v>
      </c>
      <c r="RXL853" t="s">
        <v>658</v>
      </c>
      <c r="RXM853" t="s">
        <v>659</v>
      </c>
      <c r="RXN853" t="s">
        <v>660</v>
      </c>
      <c r="RXO853" t="s">
        <v>661</v>
      </c>
      <c r="SHF853" t="s">
        <v>1019</v>
      </c>
      <c r="SHG853" t="s">
        <v>657</v>
      </c>
      <c r="SHH853" t="s">
        <v>658</v>
      </c>
      <c r="SHI853" t="s">
        <v>659</v>
      </c>
      <c r="SHJ853" t="s">
        <v>660</v>
      </c>
      <c r="SHK853" t="s">
        <v>661</v>
      </c>
      <c r="SRB853" t="s">
        <v>1019</v>
      </c>
      <c r="SRC853" t="s">
        <v>657</v>
      </c>
      <c r="SRD853" t="s">
        <v>658</v>
      </c>
      <c r="SRE853" t="s">
        <v>659</v>
      </c>
      <c r="SRF853" t="s">
        <v>660</v>
      </c>
      <c r="SRG853" t="s">
        <v>661</v>
      </c>
      <c r="TAX853" t="s">
        <v>1019</v>
      </c>
      <c r="TAY853" t="s">
        <v>657</v>
      </c>
      <c r="TAZ853" t="s">
        <v>658</v>
      </c>
      <c r="TBA853" t="s">
        <v>659</v>
      </c>
      <c r="TBB853" t="s">
        <v>660</v>
      </c>
      <c r="TBC853" t="s">
        <v>661</v>
      </c>
      <c r="TKT853" t="s">
        <v>1019</v>
      </c>
      <c r="TKU853" t="s">
        <v>657</v>
      </c>
      <c r="TKV853" t="s">
        <v>658</v>
      </c>
      <c r="TKW853" t="s">
        <v>659</v>
      </c>
      <c r="TKX853" t="s">
        <v>660</v>
      </c>
      <c r="TKY853" t="s">
        <v>661</v>
      </c>
      <c r="TUP853" t="s">
        <v>1019</v>
      </c>
      <c r="TUQ853" t="s">
        <v>657</v>
      </c>
      <c r="TUR853" t="s">
        <v>658</v>
      </c>
      <c r="TUS853" t="s">
        <v>659</v>
      </c>
      <c r="TUT853" t="s">
        <v>660</v>
      </c>
      <c r="TUU853" t="s">
        <v>661</v>
      </c>
      <c r="UEL853" t="s">
        <v>1019</v>
      </c>
      <c r="UEM853" t="s">
        <v>657</v>
      </c>
      <c r="UEN853" t="s">
        <v>658</v>
      </c>
      <c r="UEO853" t="s">
        <v>659</v>
      </c>
      <c r="UEP853" t="s">
        <v>660</v>
      </c>
      <c r="UEQ853" t="s">
        <v>661</v>
      </c>
      <c r="UOH853" t="s">
        <v>1019</v>
      </c>
      <c r="UOI853" t="s">
        <v>657</v>
      </c>
      <c r="UOJ853" t="s">
        <v>658</v>
      </c>
      <c r="UOK853" t="s">
        <v>659</v>
      </c>
      <c r="UOL853" t="s">
        <v>660</v>
      </c>
      <c r="UOM853" t="s">
        <v>661</v>
      </c>
      <c r="UYD853" t="s">
        <v>1019</v>
      </c>
      <c r="UYE853" t="s">
        <v>657</v>
      </c>
      <c r="UYF853" t="s">
        <v>658</v>
      </c>
      <c r="UYG853" t="s">
        <v>659</v>
      </c>
      <c r="UYH853" t="s">
        <v>660</v>
      </c>
      <c r="UYI853" t="s">
        <v>661</v>
      </c>
      <c r="VHZ853" t="s">
        <v>1019</v>
      </c>
      <c r="VIA853" t="s">
        <v>657</v>
      </c>
      <c r="VIB853" t="s">
        <v>658</v>
      </c>
      <c r="VIC853" t="s">
        <v>659</v>
      </c>
      <c r="VID853" t="s">
        <v>660</v>
      </c>
      <c r="VIE853" t="s">
        <v>661</v>
      </c>
      <c r="VRV853" t="s">
        <v>1019</v>
      </c>
      <c r="VRW853" t="s">
        <v>657</v>
      </c>
      <c r="VRX853" t="s">
        <v>658</v>
      </c>
      <c r="VRY853" t="s">
        <v>659</v>
      </c>
      <c r="VRZ853" t="s">
        <v>660</v>
      </c>
      <c r="VSA853" t="s">
        <v>661</v>
      </c>
      <c r="WBR853" t="s">
        <v>1019</v>
      </c>
      <c r="WBS853" t="s">
        <v>657</v>
      </c>
      <c r="WBT853" t="s">
        <v>658</v>
      </c>
      <c r="WBU853" t="s">
        <v>659</v>
      </c>
      <c r="WBV853" t="s">
        <v>660</v>
      </c>
      <c r="WBW853" t="s">
        <v>661</v>
      </c>
      <c r="WLN853" t="s">
        <v>1019</v>
      </c>
      <c r="WLO853" t="s">
        <v>657</v>
      </c>
      <c r="WLP853" t="s">
        <v>658</v>
      </c>
      <c r="WLQ853" t="s">
        <v>659</v>
      </c>
      <c r="WLR853" t="s">
        <v>660</v>
      </c>
      <c r="WLS853" t="s">
        <v>661</v>
      </c>
      <c r="WVJ853" t="s">
        <v>1019</v>
      </c>
      <c r="WVK853" t="s">
        <v>657</v>
      </c>
      <c r="WVL853" t="s">
        <v>658</v>
      </c>
      <c r="WVM853" t="s">
        <v>659</v>
      </c>
      <c r="WVN853" t="s">
        <v>660</v>
      </c>
      <c r="WVO853" t="s">
        <v>661</v>
      </c>
    </row>
    <row r="854" spans="1:775 1026:1799 2050:2823 3074:3847 4098:4871 5122:5895 6146:6919 7170:7943 8194:8967 9218:9991 10242:11015 11266:12039 12290:13063 13314:14087 14338:15111 15362:16135">
      <c r="A854" s="96" t="s">
        <v>662</v>
      </c>
      <c r="C854" s="97">
        <v>43465</v>
      </c>
      <c r="D854" s="97">
        <v>43830</v>
      </c>
      <c r="E854" s="97">
        <v>44196</v>
      </c>
      <c r="F854" s="97">
        <v>44561</v>
      </c>
      <c r="G854" s="97">
        <v>44926</v>
      </c>
      <c r="H854" s="97"/>
      <c r="IX854" t="s">
        <v>662</v>
      </c>
      <c r="IY854">
        <v>43465</v>
      </c>
      <c r="IZ854">
        <v>43830</v>
      </c>
      <c r="JA854">
        <v>44196</v>
      </c>
      <c r="JB854">
        <v>44561</v>
      </c>
      <c r="JC854">
        <v>44926</v>
      </c>
      <c r="ST854" t="s">
        <v>662</v>
      </c>
      <c r="SU854">
        <v>43465</v>
      </c>
      <c r="SV854">
        <v>43830</v>
      </c>
      <c r="SW854">
        <v>44196</v>
      </c>
      <c r="SX854">
        <v>44561</v>
      </c>
      <c r="SY854">
        <v>44926</v>
      </c>
      <c r="ACP854" t="s">
        <v>662</v>
      </c>
      <c r="ACQ854">
        <v>43465</v>
      </c>
      <c r="ACR854">
        <v>43830</v>
      </c>
      <c r="ACS854">
        <v>44196</v>
      </c>
      <c r="ACT854">
        <v>44561</v>
      </c>
      <c r="ACU854">
        <v>44926</v>
      </c>
      <c r="AML854" t="s">
        <v>662</v>
      </c>
      <c r="AMM854">
        <v>43465</v>
      </c>
      <c r="AMN854">
        <v>43830</v>
      </c>
      <c r="AMO854">
        <v>44196</v>
      </c>
      <c r="AMP854">
        <v>44561</v>
      </c>
      <c r="AMQ854">
        <v>44926</v>
      </c>
      <c r="AWH854" t="s">
        <v>662</v>
      </c>
      <c r="AWI854">
        <v>43465</v>
      </c>
      <c r="AWJ854">
        <v>43830</v>
      </c>
      <c r="AWK854">
        <v>44196</v>
      </c>
      <c r="AWL854">
        <v>44561</v>
      </c>
      <c r="AWM854">
        <v>44926</v>
      </c>
      <c r="BGD854" t="s">
        <v>662</v>
      </c>
      <c r="BGE854">
        <v>43465</v>
      </c>
      <c r="BGF854">
        <v>43830</v>
      </c>
      <c r="BGG854">
        <v>44196</v>
      </c>
      <c r="BGH854">
        <v>44561</v>
      </c>
      <c r="BGI854">
        <v>44926</v>
      </c>
      <c r="BPZ854" t="s">
        <v>662</v>
      </c>
      <c r="BQA854">
        <v>43465</v>
      </c>
      <c r="BQB854">
        <v>43830</v>
      </c>
      <c r="BQC854">
        <v>44196</v>
      </c>
      <c r="BQD854">
        <v>44561</v>
      </c>
      <c r="BQE854">
        <v>44926</v>
      </c>
      <c r="BZV854" t="s">
        <v>662</v>
      </c>
      <c r="BZW854">
        <v>43465</v>
      </c>
      <c r="BZX854">
        <v>43830</v>
      </c>
      <c r="BZY854">
        <v>44196</v>
      </c>
      <c r="BZZ854">
        <v>44561</v>
      </c>
      <c r="CAA854">
        <v>44926</v>
      </c>
      <c r="CJR854" t="s">
        <v>662</v>
      </c>
      <c r="CJS854">
        <v>43465</v>
      </c>
      <c r="CJT854">
        <v>43830</v>
      </c>
      <c r="CJU854">
        <v>44196</v>
      </c>
      <c r="CJV854">
        <v>44561</v>
      </c>
      <c r="CJW854">
        <v>44926</v>
      </c>
      <c r="CTN854" t="s">
        <v>662</v>
      </c>
      <c r="CTO854">
        <v>43465</v>
      </c>
      <c r="CTP854">
        <v>43830</v>
      </c>
      <c r="CTQ854">
        <v>44196</v>
      </c>
      <c r="CTR854">
        <v>44561</v>
      </c>
      <c r="CTS854">
        <v>44926</v>
      </c>
      <c r="DDJ854" t="s">
        <v>662</v>
      </c>
      <c r="DDK854">
        <v>43465</v>
      </c>
      <c r="DDL854">
        <v>43830</v>
      </c>
      <c r="DDM854">
        <v>44196</v>
      </c>
      <c r="DDN854">
        <v>44561</v>
      </c>
      <c r="DDO854">
        <v>44926</v>
      </c>
      <c r="DNF854" t="s">
        <v>662</v>
      </c>
      <c r="DNG854">
        <v>43465</v>
      </c>
      <c r="DNH854">
        <v>43830</v>
      </c>
      <c r="DNI854">
        <v>44196</v>
      </c>
      <c r="DNJ854">
        <v>44561</v>
      </c>
      <c r="DNK854">
        <v>44926</v>
      </c>
      <c r="DXB854" t="s">
        <v>662</v>
      </c>
      <c r="DXC854">
        <v>43465</v>
      </c>
      <c r="DXD854">
        <v>43830</v>
      </c>
      <c r="DXE854">
        <v>44196</v>
      </c>
      <c r="DXF854">
        <v>44561</v>
      </c>
      <c r="DXG854">
        <v>44926</v>
      </c>
      <c r="EGX854" t="s">
        <v>662</v>
      </c>
      <c r="EGY854">
        <v>43465</v>
      </c>
      <c r="EGZ854">
        <v>43830</v>
      </c>
      <c r="EHA854">
        <v>44196</v>
      </c>
      <c r="EHB854">
        <v>44561</v>
      </c>
      <c r="EHC854">
        <v>44926</v>
      </c>
      <c r="EQT854" t="s">
        <v>662</v>
      </c>
      <c r="EQU854">
        <v>43465</v>
      </c>
      <c r="EQV854">
        <v>43830</v>
      </c>
      <c r="EQW854">
        <v>44196</v>
      </c>
      <c r="EQX854">
        <v>44561</v>
      </c>
      <c r="EQY854">
        <v>44926</v>
      </c>
      <c r="FAP854" t="s">
        <v>662</v>
      </c>
      <c r="FAQ854">
        <v>43465</v>
      </c>
      <c r="FAR854">
        <v>43830</v>
      </c>
      <c r="FAS854">
        <v>44196</v>
      </c>
      <c r="FAT854">
        <v>44561</v>
      </c>
      <c r="FAU854">
        <v>44926</v>
      </c>
      <c r="FKL854" t="s">
        <v>662</v>
      </c>
      <c r="FKM854">
        <v>43465</v>
      </c>
      <c r="FKN854">
        <v>43830</v>
      </c>
      <c r="FKO854">
        <v>44196</v>
      </c>
      <c r="FKP854">
        <v>44561</v>
      </c>
      <c r="FKQ854">
        <v>44926</v>
      </c>
      <c r="FUH854" t="s">
        <v>662</v>
      </c>
      <c r="FUI854">
        <v>43465</v>
      </c>
      <c r="FUJ854">
        <v>43830</v>
      </c>
      <c r="FUK854">
        <v>44196</v>
      </c>
      <c r="FUL854">
        <v>44561</v>
      </c>
      <c r="FUM854">
        <v>44926</v>
      </c>
      <c r="GED854" t="s">
        <v>662</v>
      </c>
      <c r="GEE854">
        <v>43465</v>
      </c>
      <c r="GEF854">
        <v>43830</v>
      </c>
      <c r="GEG854">
        <v>44196</v>
      </c>
      <c r="GEH854">
        <v>44561</v>
      </c>
      <c r="GEI854">
        <v>44926</v>
      </c>
      <c r="GNZ854" t="s">
        <v>662</v>
      </c>
      <c r="GOA854">
        <v>43465</v>
      </c>
      <c r="GOB854">
        <v>43830</v>
      </c>
      <c r="GOC854">
        <v>44196</v>
      </c>
      <c r="GOD854">
        <v>44561</v>
      </c>
      <c r="GOE854">
        <v>44926</v>
      </c>
      <c r="GXV854" t="s">
        <v>662</v>
      </c>
      <c r="GXW854">
        <v>43465</v>
      </c>
      <c r="GXX854">
        <v>43830</v>
      </c>
      <c r="GXY854">
        <v>44196</v>
      </c>
      <c r="GXZ854">
        <v>44561</v>
      </c>
      <c r="GYA854">
        <v>44926</v>
      </c>
      <c r="HHR854" t="s">
        <v>662</v>
      </c>
      <c r="HHS854">
        <v>43465</v>
      </c>
      <c r="HHT854">
        <v>43830</v>
      </c>
      <c r="HHU854">
        <v>44196</v>
      </c>
      <c r="HHV854">
        <v>44561</v>
      </c>
      <c r="HHW854">
        <v>44926</v>
      </c>
      <c r="HRN854" t="s">
        <v>662</v>
      </c>
      <c r="HRO854">
        <v>43465</v>
      </c>
      <c r="HRP854">
        <v>43830</v>
      </c>
      <c r="HRQ854">
        <v>44196</v>
      </c>
      <c r="HRR854">
        <v>44561</v>
      </c>
      <c r="HRS854">
        <v>44926</v>
      </c>
      <c r="IBJ854" t="s">
        <v>662</v>
      </c>
      <c r="IBK854">
        <v>43465</v>
      </c>
      <c r="IBL854">
        <v>43830</v>
      </c>
      <c r="IBM854">
        <v>44196</v>
      </c>
      <c r="IBN854">
        <v>44561</v>
      </c>
      <c r="IBO854">
        <v>44926</v>
      </c>
      <c r="ILF854" t="s">
        <v>662</v>
      </c>
      <c r="ILG854">
        <v>43465</v>
      </c>
      <c r="ILH854">
        <v>43830</v>
      </c>
      <c r="ILI854">
        <v>44196</v>
      </c>
      <c r="ILJ854">
        <v>44561</v>
      </c>
      <c r="ILK854">
        <v>44926</v>
      </c>
      <c r="IVB854" t="s">
        <v>662</v>
      </c>
      <c r="IVC854">
        <v>43465</v>
      </c>
      <c r="IVD854">
        <v>43830</v>
      </c>
      <c r="IVE854">
        <v>44196</v>
      </c>
      <c r="IVF854">
        <v>44561</v>
      </c>
      <c r="IVG854">
        <v>44926</v>
      </c>
      <c r="JEX854" t="s">
        <v>662</v>
      </c>
      <c r="JEY854">
        <v>43465</v>
      </c>
      <c r="JEZ854">
        <v>43830</v>
      </c>
      <c r="JFA854">
        <v>44196</v>
      </c>
      <c r="JFB854">
        <v>44561</v>
      </c>
      <c r="JFC854">
        <v>44926</v>
      </c>
      <c r="JOT854" t="s">
        <v>662</v>
      </c>
      <c r="JOU854">
        <v>43465</v>
      </c>
      <c r="JOV854">
        <v>43830</v>
      </c>
      <c r="JOW854">
        <v>44196</v>
      </c>
      <c r="JOX854">
        <v>44561</v>
      </c>
      <c r="JOY854">
        <v>44926</v>
      </c>
      <c r="JYP854" t="s">
        <v>662</v>
      </c>
      <c r="JYQ854">
        <v>43465</v>
      </c>
      <c r="JYR854">
        <v>43830</v>
      </c>
      <c r="JYS854">
        <v>44196</v>
      </c>
      <c r="JYT854">
        <v>44561</v>
      </c>
      <c r="JYU854">
        <v>44926</v>
      </c>
      <c r="KIL854" t="s">
        <v>662</v>
      </c>
      <c r="KIM854">
        <v>43465</v>
      </c>
      <c r="KIN854">
        <v>43830</v>
      </c>
      <c r="KIO854">
        <v>44196</v>
      </c>
      <c r="KIP854">
        <v>44561</v>
      </c>
      <c r="KIQ854">
        <v>44926</v>
      </c>
      <c r="KSH854" t="s">
        <v>662</v>
      </c>
      <c r="KSI854">
        <v>43465</v>
      </c>
      <c r="KSJ854">
        <v>43830</v>
      </c>
      <c r="KSK854">
        <v>44196</v>
      </c>
      <c r="KSL854">
        <v>44561</v>
      </c>
      <c r="KSM854">
        <v>44926</v>
      </c>
      <c r="LCD854" t="s">
        <v>662</v>
      </c>
      <c r="LCE854">
        <v>43465</v>
      </c>
      <c r="LCF854">
        <v>43830</v>
      </c>
      <c r="LCG854">
        <v>44196</v>
      </c>
      <c r="LCH854">
        <v>44561</v>
      </c>
      <c r="LCI854">
        <v>44926</v>
      </c>
      <c r="LLZ854" t="s">
        <v>662</v>
      </c>
      <c r="LMA854">
        <v>43465</v>
      </c>
      <c r="LMB854">
        <v>43830</v>
      </c>
      <c r="LMC854">
        <v>44196</v>
      </c>
      <c r="LMD854">
        <v>44561</v>
      </c>
      <c r="LME854">
        <v>44926</v>
      </c>
      <c r="LVV854" t="s">
        <v>662</v>
      </c>
      <c r="LVW854">
        <v>43465</v>
      </c>
      <c r="LVX854">
        <v>43830</v>
      </c>
      <c r="LVY854">
        <v>44196</v>
      </c>
      <c r="LVZ854">
        <v>44561</v>
      </c>
      <c r="LWA854">
        <v>44926</v>
      </c>
      <c r="MFR854" t="s">
        <v>662</v>
      </c>
      <c r="MFS854">
        <v>43465</v>
      </c>
      <c r="MFT854">
        <v>43830</v>
      </c>
      <c r="MFU854">
        <v>44196</v>
      </c>
      <c r="MFV854">
        <v>44561</v>
      </c>
      <c r="MFW854">
        <v>44926</v>
      </c>
      <c r="MPN854" t="s">
        <v>662</v>
      </c>
      <c r="MPO854">
        <v>43465</v>
      </c>
      <c r="MPP854">
        <v>43830</v>
      </c>
      <c r="MPQ854">
        <v>44196</v>
      </c>
      <c r="MPR854">
        <v>44561</v>
      </c>
      <c r="MPS854">
        <v>44926</v>
      </c>
      <c r="MZJ854" t="s">
        <v>662</v>
      </c>
      <c r="MZK854">
        <v>43465</v>
      </c>
      <c r="MZL854">
        <v>43830</v>
      </c>
      <c r="MZM854">
        <v>44196</v>
      </c>
      <c r="MZN854">
        <v>44561</v>
      </c>
      <c r="MZO854">
        <v>44926</v>
      </c>
      <c r="NJF854" t="s">
        <v>662</v>
      </c>
      <c r="NJG854">
        <v>43465</v>
      </c>
      <c r="NJH854">
        <v>43830</v>
      </c>
      <c r="NJI854">
        <v>44196</v>
      </c>
      <c r="NJJ854">
        <v>44561</v>
      </c>
      <c r="NJK854">
        <v>44926</v>
      </c>
      <c r="NTB854" t="s">
        <v>662</v>
      </c>
      <c r="NTC854">
        <v>43465</v>
      </c>
      <c r="NTD854">
        <v>43830</v>
      </c>
      <c r="NTE854">
        <v>44196</v>
      </c>
      <c r="NTF854">
        <v>44561</v>
      </c>
      <c r="NTG854">
        <v>44926</v>
      </c>
      <c r="OCX854" t="s">
        <v>662</v>
      </c>
      <c r="OCY854">
        <v>43465</v>
      </c>
      <c r="OCZ854">
        <v>43830</v>
      </c>
      <c r="ODA854">
        <v>44196</v>
      </c>
      <c r="ODB854">
        <v>44561</v>
      </c>
      <c r="ODC854">
        <v>44926</v>
      </c>
      <c r="OMT854" t="s">
        <v>662</v>
      </c>
      <c r="OMU854">
        <v>43465</v>
      </c>
      <c r="OMV854">
        <v>43830</v>
      </c>
      <c r="OMW854">
        <v>44196</v>
      </c>
      <c r="OMX854">
        <v>44561</v>
      </c>
      <c r="OMY854">
        <v>44926</v>
      </c>
      <c r="OWP854" t="s">
        <v>662</v>
      </c>
      <c r="OWQ854">
        <v>43465</v>
      </c>
      <c r="OWR854">
        <v>43830</v>
      </c>
      <c r="OWS854">
        <v>44196</v>
      </c>
      <c r="OWT854">
        <v>44561</v>
      </c>
      <c r="OWU854">
        <v>44926</v>
      </c>
      <c r="PGL854" t="s">
        <v>662</v>
      </c>
      <c r="PGM854">
        <v>43465</v>
      </c>
      <c r="PGN854">
        <v>43830</v>
      </c>
      <c r="PGO854">
        <v>44196</v>
      </c>
      <c r="PGP854">
        <v>44561</v>
      </c>
      <c r="PGQ854">
        <v>44926</v>
      </c>
      <c r="PQH854" t="s">
        <v>662</v>
      </c>
      <c r="PQI854">
        <v>43465</v>
      </c>
      <c r="PQJ854">
        <v>43830</v>
      </c>
      <c r="PQK854">
        <v>44196</v>
      </c>
      <c r="PQL854">
        <v>44561</v>
      </c>
      <c r="PQM854">
        <v>44926</v>
      </c>
      <c r="QAD854" t="s">
        <v>662</v>
      </c>
      <c r="QAE854">
        <v>43465</v>
      </c>
      <c r="QAF854">
        <v>43830</v>
      </c>
      <c r="QAG854">
        <v>44196</v>
      </c>
      <c r="QAH854">
        <v>44561</v>
      </c>
      <c r="QAI854">
        <v>44926</v>
      </c>
      <c r="QJZ854" t="s">
        <v>662</v>
      </c>
      <c r="QKA854">
        <v>43465</v>
      </c>
      <c r="QKB854">
        <v>43830</v>
      </c>
      <c r="QKC854">
        <v>44196</v>
      </c>
      <c r="QKD854">
        <v>44561</v>
      </c>
      <c r="QKE854">
        <v>44926</v>
      </c>
      <c r="QTV854" t="s">
        <v>662</v>
      </c>
      <c r="QTW854">
        <v>43465</v>
      </c>
      <c r="QTX854">
        <v>43830</v>
      </c>
      <c r="QTY854">
        <v>44196</v>
      </c>
      <c r="QTZ854">
        <v>44561</v>
      </c>
      <c r="QUA854">
        <v>44926</v>
      </c>
      <c r="RDR854" t="s">
        <v>662</v>
      </c>
      <c r="RDS854">
        <v>43465</v>
      </c>
      <c r="RDT854">
        <v>43830</v>
      </c>
      <c r="RDU854">
        <v>44196</v>
      </c>
      <c r="RDV854">
        <v>44561</v>
      </c>
      <c r="RDW854">
        <v>44926</v>
      </c>
      <c r="RNN854" t="s">
        <v>662</v>
      </c>
      <c r="RNO854">
        <v>43465</v>
      </c>
      <c r="RNP854">
        <v>43830</v>
      </c>
      <c r="RNQ854">
        <v>44196</v>
      </c>
      <c r="RNR854">
        <v>44561</v>
      </c>
      <c r="RNS854">
        <v>44926</v>
      </c>
      <c r="RXJ854" t="s">
        <v>662</v>
      </c>
      <c r="RXK854">
        <v>43465</v>
      </c>
      <c r="RXL854">
        <v>43830</v>
      </c>
      <c r="RXM854">
        <v>44196</v>
      </c>
      <c r="RXN854">
        <v>44561</v>
      </c>
      <c r="RXO854">
        <v>44926</v>
      </c>
      <c r="SHF854" t="s">
        <v>662</v>
      </c>
      <c r="SHG854">
        <v>43465</v>
      </c>
      <c r="SHH854">
        <v>43830</v>
      </c>
      <c r="SHI854">
        <v>44196</v>
      </c>
      <c r="SHJ854">
        <v>44561</v>
      </c>
      <c r="SHK854">
        <v>44926</v>
      </c>
      <c r="SRB854" t="s">
        <v>662</v>
      </c>
      <c r="SRC854">
        <v>43465</v>
      </c>
      <c r="SRD854">
        <v>43830</v>
      </c>
      <c r="SRE854">
        <v>44196</v>
      </c>
      <c r="SRF854">
        <v>44561</v>
      </c>
      <c r="SRG854">
        <v>44926</v>
      </c>
      <c r="TAX854" t="s">
        <v>662</v>
      </c>
      <c r="TAY854">
        <v>43465</v>
      </c>
      <c r="TAZ854">
        <v>43830</v>
      </c>
      <c r="TBA854">
        <v>44196</v>
      </c>
      <c r="TBB854">
        <v>44561</v>
      </c>
      <c r="TBC854">
        <v>44926</v>
      </c>
      <c r="TKT854" t="s">
        <v>662</v>
      </c>
      <c r="TKU854">
        <v>43465</v>
      </c>
      <c r="TKV854">
        <v>43830</v>
      </c>
      <c r="TKW854">
        <v>44196</v>
      </c>
      <c r="TKX854">
        <v>44561</v>
      </c>
      <c r="TKY854">
        <v>44926</v>
      </c>
      <c r="TUP854" t="s">
        <v>662</v>
      </c>
      <c r="TUQ854">
        <v>43465</v>
      </c>
      <c r="TUR854">
        <v>43830</v>
      </c>
      <c r="TUS854">
        <v>44196</v>
      </c>
      <c r="TUT854">
        <v>44561</v>
      </c>
      <c r="TUU854">
        <v>44926</v>
      </c>
      <c r="UEL854" t="s">
        <v>662</v>
      </c>
      <c r="UEM854">
        <v>43465</v>
      </c>
      <c r="UEN854">
        <v>43830</v>
      </c>
      <c r="UEO854">
        <v>44196</v>
      </c>
      <c r="UEP854">
        <v>44561</v>
      </c>
      <c r="UEQ854">
        <v>44926</v>
      </c>
      <c r="UOH854" t="s">
        <v>662</v>
      </c>
      <c r="UOI854">
        <v>43465</v>
      </c>
      <c r="UOJ854">
        <v>43830</v>
      </c>
      <c r="UOK854">
        <v>44196</v>
      </c>
      <c r="UOL854">
        <v>44561</v>
      </c>
      <c r="UOM854">
        <v>44926</v>
      </c>
      <c r="UYD854" t="s">
        <v>662</v>
      </c>
      <c r="UYE854">
        <v>43465</v>
      </c>
      <c r="UYF854">
        <v>43830</v>
      </c>
      <c r="UYG854">
        <v>44196</v>
      </c>
      <c r="UYH854">
        <v>44561</v>
      </c>
      <c r="UYI854">
        <v>44926</v>
      </c>
      <c r="VHZ854" t="s">
        <v>662</v>
      </c>
      <c r="VIA854">
        <v>43465</v>
      </c>
      <c r="VIB854">
        <v>43830</v>
      </c>
      <c r="VIC854">
        <v>44196</v>
      </c>
      <c r="VID854">
        <v>44561</v>
      </c>
      <c r="VIE854">
        <v>44926</v>
      </c>
      <c r="VRV854" t="s">
        <v>662</v>
      </c>
      <c r="VRW854">
        <v>43465</v>
      </c>
      <c r="VRX854">
        <v>43830</v>
      </c>
      <c r="VRY854">
        <v>44196</v>
      </c>
      <c r="VRZ854">
        <v>44561</v>
      </c>
      <c r="VSA854">
        <v>44926</v>
      </c>
      <c r="WBR854" t="s">
        <v>662</v>
      </c>
      <c r="WBS854">
        <v>43465</v>
      </c>
      <c r="WBT854">
        <v>43830</v>
      </c>
      <c r="WBU854">
        <v>44196</v>
      </c>
      <c r="WBV854">
        <v>44561</v>
      </c>
      <c r="WBW854">
        <v>44926</v>
      </c>
      <c r="WLN854" t="s">
        <v>662</v>
      </c>
      <c r="WLO854">
        <v>43465</v>
      </c>
      <c r="WLP854">
        <v>43830</v>
      </c>
      <c r="WLQ854">
        <v>44196</v>
      </c>
      <c r="WLR854">
        <v>44561</v>
      </c>
      <c r="WLS854">
        <v>44926</v>
      </c>
      <c r="WVJ854" t="s">
        <v>662</v>
      </c>
      <c r="WVK854">
        <v>43465</v>
      </c>
      <c r="WVL854">
        <v>43830</v>
      </c>
      <c r="WVM854">
        <v>44196</v>
      </c>
      <c r="WVN854">
        <v>44561</v>
      </c>
      <c r="WVO854">
        <v>44926</v>
      </c>
    </row>
    <row r="855" spans="1:775 1026:1799 2050:2823 3074:3847 4098:4871 5122:5895 6146:6919 7170:7943 8194:8967 9218:9991 10242:11015 11266:12039 12290:13063 13314:14087 14338:15111 15362:16135">
      <c r="A855" s="96" t="s">
        <v>663</v>
      </c>
      <c r="C855" s="98" t="s">
        <v>189</v>
      </c>
      <c r="D855" s="98" t="s">
        <v>189</v>
      </c>
      <c r="E855" s="98" t="s">
        <v>189</v>
      </c>
      <c r="F855" s="98" t="s">
        <v>189</v>
      </c>
      <c r="G855" s="98" t="s">
        <v>189</v>
      </c>
      <c r="H855" s="98"/>
      <c r="IX855" t="s">
        <v>663</v>
      </c>
      <c r="IY855" t="s">
        <v>189</v>
      </c>
      <c r="IZ855" t="s">
        <v>189</v>
      </c>
      <c r="JA855" t="s">
        <v>189</v>
      </c>
      <c r="JB855" t="s">
        <v>189</v>
      </c>
      <c r="JC855" t="s">
        <v>189</v>
      </c>
      <c r="ST855" t="s">
        <v>663</v>
      </c>
      <c r="SU855" t="s">
        <v>189</v>
      </c>
      <c r="SV855" t="s">
        <v>189</v>
      </c>
      <c r="SW855" t="s">
        <v>189</v>
      </c>
      <c r="SX855" t="s">
        <v>189</v>
      </c>
      <c r="SY855" t="s">
        <v>189</v>
      </c>
      <c r="ACP855" t="s">
        <v>663</v>
      </c>
      <c r="ACQ855" t="s">
        <v>189</v>
      </c>
      <c r="ACR855" t="s">
        <v>189</v>
      </c>
      <c r="ACS855" t="s">
        <v>189</v>
      </c>
      <c r="ACT855" t="s">
        <v>189</v>
      </c>
      <c r="ACU855" t="s">
        <v>189</v>
      </c>
      <c r="AML855" t="s">
        <v>663</v>
      </c>
      <c r="AMM855" t="s">
        <v>189</v>
      </c>
      <c r="AMN855" t="s">
        <v>189</v>
      </c>
      <c r="AMO855" t="s">
        <v>189</v>
      </c>
      <c r="AMP855" t="s">
        <v>189</v>
      </c>
      <c r="AMQ855" t="s">
        <v>189</v>
      </c>
      <c r="AWH855" t="s">
        <v>663</v>
      </c>
      <c r="AWI855" t="s">
        <v>189</v>
      </c>
      <c r="AWJ855" t="s">
        <v>189</v>
      </c>
      <c r="AWK855" t="s">
        <v>189</v>
      </c>
      <c r="AWL855" t="s">
        <v>189</v>
      </c>
      <c r="AWM855" t="s">
        <v>189</v>
      </c>
      <c r="BGD855" t="s">
        <v>663</v>
      </c>
      <c r="BGE855" t="s">
        <v>189</v>
      </c>
      <c r="BGF855" t="s">
        <v>189</v>
      </c>
      <c r="BGG855" t="s">
        <v>189</v>
      </c>
      <c r="BGH855" t="s">
        <v>189</v>
      </c>
      <c r="BGI855" t="s">
        <v>189</v>
      </c>
      <c r="BPZ855" t="s">
        <v>663</v>
      </c>
      <c r="BQA855" t="s">
        <v>189</v>
      </c>
      <c r="BQB855" t="s">
        <v>189</v>
      </c>
      <c r="BQC855" t="s">
        <v>189</v>
      </c>
      <c r="BQD855" t="s">
        <v>189</v>
      </c>
      <c r="BQE855" t="s">
        <v>189</v>
      </c>
      <c r="BZV855" t="s">
        <v>663</v>
      </c>
      <c r="BZW855" t="s">
        <v>189</v>
      </c>
      <c r="BZX855" t="s">
        <v>189</v>
      </c>
      <c r="BZY855" t="s">
        <v>189</v>
      </c>
      <c r="BZZ855" t="s">
        <v>189</v>
      </c>
      <c r="CAA855" t="s">
        <v>189</v>
      </c>
      <c r="CJR855" t="s">
        <v>663</v>
      </c>
      <c r="CJS855" t="s">
        <v>189</v>
      </c>
      <c r="CJT855" t="s">
        <v>189</v>
      </c>
      <c r="CJU855" t="s">
        <v>189</v>
      </c>
      <c r="CJV855" t="s">
        <v>189</v>
      </c>
      <c r="CJW855" t="s">
        <v>189</v>
      </c>
      <c r="CTN855" t="s">
        <v>663</v>
      </c>
      <c r="CTO855" t="s">
        <v>189</v>
      </c>
      <c r="CTP855" t="s">
        <v>189</v>
      </c>
      <c r="CTQ855" t="s">
        <v>189</v>
      </c>
      <c r="CTR855" t="s">
        <v>189</v>
      </c>
      <c r="CTS855" t="s">
        <v>189</v>
      </c>
      <c r="DDJ855" t="s">
        <v>663</v>
      </c>
      <c r="DDK855" t="s">
        <v>189</v>
      </c>
      <c r="DDL855" t="s">
        <v>189</v>
      </c>
      <c r="DDM855" t="s">
        <v>189</v>
      </c>
      <c r="DDN855" t="s">
        <v>189</v>
      </c>
      <c r="DDO855" t="s">
        <v>189</v>
      </c>
      <c r="DNF855" t="s">
        <v>663</v>
      </c>
      <c r="DNG855" t="s">
        <v>189</v>
      </c>
      <c r="DNH855" t="s">
        <v>189</v>
      </c>
      <c r="DNI855" t="s">
        <v>189</v>
      </c>
      <c r="DNJ855" t="s">
        <v>189</v>
      </c>
      <c r="DNK855" t="s">
        <v>189</v>
      </c>
      <c r="DXB855" t="s">
        <v>663</v>
      </c>
      <c r="DXC855" t="s">
        <v>189</v>
      </c>
      <c r="DXD855" t="s">
        <v>189</v>
      </c>
      <c r="DXE855" t="s">
        <v>189</v>
      </c>
      <c r="DXF855" t="s">
        <v>189</v>
      </c>
      <c r="DXG855" t="s">
        <v>189</v>
      </c>
      <c r="EGX855" t="s">
        <v>663</v>
      </c>
      <c r="EGY855" t="s">
        <v>189</v>
      </c>
      <c r="EGZ855" t="s">
        <v>189</v>
      </c>
      <c r="EHA855" t="s">
        <v>189</v>
      </c>
      <c r="EHB855" t="s">
        <v>189</v>
      </c>
      <c r="EHC855" t="s">
        <v>189</v>
      </c>
      <c r="EQT855" t="s">
        <v>663</v>
      </c>
      <c r="EQU855" t="s">
        <v>189</v>
      </c>
      <c r="EQV855" t="s">
        <v>189</v>
      </c>
      <c r="EQW855" t="s">
        <v>189</v>
      </c>
      <c r="EQX855" t="s">
        <v>189</v>
      </c>
      <c r="EQY855" t="s">
        <v>189</v>
      </c>
      <c r="FAP855" t="s">
        <v>663</v>
      </c>
      <c r="FAQ855" t="s">
        <v>189</v>
      </c>
      <c r="FAR855" t="s">
        <v>189</v>
      </c>
      <c r="FAS855" t="s">
        <v>189</v>
      </c>
      <c r="FAT855" t="s">
        <v>189</v>
      </c>
      <c r="FAU855" t="s">
        <v>189</v>
      </c>
      <c r="FKL855" t="s">
        <v>663</v>
      </c>
      <c r="FKM855" t="s">
        <v>189</v>
      </c>
      <c r="FKN855" t="s">
        <v>189</v>
      </c>
      <c r="FKO855" t="s">
        <v>189</v>
      </c>
      <c r="FKP855" t="s">
        <v>189</v>
      </c>
      <c r="FKQ855" t="s">
        <v>189</v>
      </c>
      <c r="FUH855" t="s">
        <v>663</v>
      </c>
      <c r="FUI855" t="s">
        <v>189</v>
      </c>
      <c r="FUJ855" t="s">
        <v>189</v>
      </c>
      <c r="FUK855" t="s">
        <v>189</v>
      </c>
      <c r="FUL855" t="s">
        <v>189</v>
      </c>
      <c r="FUM855" t="s">
        <v>189</v>
      </c>
      <c r="GED855" t="s">
        <v>663</v>
      </c>
      <c r="GEE855" t="s">
        <v>189</v>
      </c>
      <c r="GEF855" t="s">
        <v>189</v>
      </c>
      <c r="GEG855" t="s">
        <v>189</v>
      </c>
      <c r="GEH855" t="s">
        <v>189</v>
      </c>
      <c r="GEI855" t="s">
        <v>189</v>
      </c>
      <c r="GNZ855" t="s">
        <v>663</v>
      </c>
      <c r="GOA855" t="s">
        <v>189</v>
      </c>
      <c r="GOB855" t="s">
        <v>189</v>
      </c>
      <c r="GOC855" t="s">
        <v>189</v>
      </c>
      <c r="GOD855" t="s">
        <v>189</v>
      </c>
      <c r="GOE855" t="s">
        <v>189</v>
      </c>
      <c r="GXV855" t="s">
        <v>663</v>
      </c>
      <c r="GXW855" t="s">
        <v>189</v>
      </c>
      <c r="GXX855" t="s">
        <v>189</v>
      </c>
      <c r="GXY855" t="s">
        <v>189</v>
      </c>
      <c r="GXZ855" t="s">
        <v>189</v>
      </c>
      <c r="GYA855" t="s">
        <v>189</v>
      </c>
      <c r="HHR855" t="s">
        <v>663</v>
      </c>
      <c r="HHS855" t="s">
        <v>189</v>
      </c>
      <c r="HHT855" t="s">
        <v>189</v>
      </c>
      <c r="HHU855" t="s">
        <v>189</v>
      </c>
      <c r="HHV855" t="s">
        <v>189</v>
      </c>
      <c r="HHW855" t="s">
        <v>189</v>
      </c>
      <c r="HRN855" t="s">
        <v>663</v>
      </c>
      <c r="HRO855" t="s">
        <v>189</v>
      </c>
      <c r="HRP855" t="s">
        <v>189</v>
      </c>
      <c r="HRQ855" t="s">
        <v>189</v>
      </c>
      <c r="HRR855" t="s">
        <v>189</v>
      </c>
      <c r="HRS855" t="s">
        <v>189</v>
      </c>
      <c r="IBJ855" t="s">
        <v>663</v>
      </c>
      <c r="IBK855" t="s">
        <v>189</v>
      </c>
      <c r="IBL855" t="s">
        <v>189</v>
      </c>
      <c r="IBM855" t="s">
        <v>189</v>
      </c>
      <c r="IBN855" t="s">
        <v>189</v>
      </c>
      <c r="IBO855" t="s">
        <v>189</v>
      </c>
      <c r="ILF855" t="s">
        <v>663</v>
      </c>
      <c r="ILG855" t="s">
        <v>189</v>
      </c>
      <c r="ILH855" t="s">
        <v>189</v>
      </c>
      <c r="ILI855" t="s">
        <v>189</v>
      </c>
      <c r="ILJ855" t="s">
        <v>189</v>
      </c>
      <c r="ILK855" t="s">
        <v>189</v>
      </c>
      <c r="IVB855" t="s">
        <v>663</v>
      </c>
      <c r="IVC855" t="s">
        <v>189</v>
      </c>
      <c r="IVD855" t="s">
        <v>189</v>
      </c>
      <c r="IVE855" t="s">
        <v>189</v>
      </c>
      <c r="IVF855" t="s">
        <v>189</v>
      </c>
      <c r="IVG855" t="s">
        <v>189</v>
      </c>
      <c r="JEX855" t="s">
        <v>663</v>
      </c>
      <c r="JEY855" t="s">
        <v>189</v>
      </c>
      <c r="JEZ855" t="s">
        <v>189</v>
      </c>
      <c r="JFA855" t="s">
        <v>189</v>
      </c>
      <c r="JFB855" t="s">
        <v>189</v>
      </c>
      <c r="JFC855" t="s">
        <v>189</v>
      </c>
      <c r="JOT855" t="s">
        <v>663</v>
      </c>
      <c r="JOU855" t="s">
        <v>189</v>
      </c>
      <c r="JOV855" t="s">
        <v>189</v>
      </c>
      <c r="JOW855" t="s">
        <v>189</v>
      </c>
      <c r="JOX855" t="s">
        <v>189</v>
      </c>
      <c r="JOY855" t="s">
        <v>189</v>
      </c>
      <c r="JYP855" t="s">
        <v>663</v>
      </c>
      <c r="JYQ855" t="s">
        <v>189</v>
      </c>
      <c r="JYR855" t="s">
        <v>189</v>
      </c>
      <c r="JYS855" t="s">
        <v>189</v>
      </c>
      <c r="JYT855" t="s">
        <v>189</v>
      </c>
      <c r="JYU855" t="s">
        <v>189</v>
      </c>
      <c r="KIL855" t="s">
        <v>663</v>
      </c>
      <c r="KIM855" t="s">
        <v>189</v>
      </c>
      <c r="KIN855" t="s">
        <v>189</v>
      </c>
      <c r="KIO855" t="s">
        <v>189</v>
      </c>
      <c r="KIP855" t="s">
        <v>189</v>
      </c>
      <c r="KIQ855" t="s">
        <v>189</v>
      </c>
      <c r="KSH855" t="s">
        <v>663</v>
      </c>
      <c r="KSI855" t="s">
        <v>189</v>
      </c>
      <c r="KSJ855" t="s">
        <v>189</v>
      </c>
      <c r="KSK855" t="s">
        <v>189</v>
      </c>
      <c r="KSL855" t="s">
        <v>189</v>
      </c>
      <c r="KSM855" t="s">
        <v>189</v>
      </c>
      <c r="LCD855" t="s">
        <v>663</v>
      </c>
      <c r="LCE855" t="s">
        <v>189</v>
      </c>
      <c r="LCF855" t="s">
        <v>189</v>
      </c>
      <c r="LCG855" t="s">
        <v>189</v>
      </c>
      <c r="LCH855" t="s">
        <v>189</v>
      </c>
      <c r="LCI855" t="s">
        <v>189</v>
      </c>
      <c r="LLZ855" t="s">
        <v>663</v>
      </c>
      <c r="LMA855" t="s">
        <v>189</v>
      </c>
      <c r="LMB855" t="s">
        <v>189</v>
      </c>
      <c r="LMC855" t="s">
        <v>189</v>
      </c>
      <c r="LMD855" t="s">
        <v>189</v>
      </c>
      <c r="LME855" t="s">
        <v>189</v>
      </c>
      <c r="LVV855" t="s">
        <v>663</v>
      </c>
      <c r="LVW855" t="s">
        <v>189</v>
      </c>
      <c r="LVX855" t="s">
        <v>189</v>
      </c>
      <c r="LVY855" t="s">
        <v>189</v>
      </c>
      <c r="LVZ855" t="s">
        <v>189</v>
      </c>
      <c r="LWA855" t="s">
        <v>189</v>
      </c>
      <c r="MFR855" t="s">
        <v>663</v>
      </c>
      <c r="MFS855" t="s">
        <v>189</v>
      </c>
      <c r="MFT855" t="s">
        <v>189</v>
      </c>
      <c r="MFU855" t="s">
        <v>189</v>
      </c>
      <c r="MFV855" t="s">
        <v>189</v>
      </c>
      <c r="MFW855" t="s">
        <v>189</v>
      </c>
      <c r="MPN855" t="s">
        <v>663</v>
      </c>
      <c r="MPO855" t="s">
        <v>189</v>
      </c>
      <c r="MPP855" t="s">
        <v>189</v>
      </c>
      <c r="MPQ855" t="s">
        <v>189</v>
      </c>
      <c r="MPR855" t="s">
        <v>189</v>
      </c>
      <c r="MPS855" t="s">
        <v>189</v>
      </c>
      <c r="MZJ855" t="s">
        <v>663</v>
      </c>
      <c r="MZK855" t="s">
        <v>189</v>
      </c>
      <c r="MZL855" t="s">
        <v>189</v>
      </c>
      <c r="MZM855" t="s">
        <v>189</v>
      </c>
      <c r="MZN855" t="s">
        <v>189</v>
      </c>
      <c r="MZO855" t="s">
        <v>189</v>
      </c>
      <c r="NJF855" t="s">
        <v>663</v>
      </c>
      <c r="NJG855" t="s">
        <v>189</v>
      </c>
      <c r="NJH855" t="s">
        <v>189</v>
      </c>
      <c r="NJI855" t="s">
        <v>189</v>
      </c>
      <c r="NJJ855" t="s">
        <v>189</v>
      </c>
      <c r="NJK855" t="s">
        <v>189</v>
      </c>
      <c r="NTB855" t="s">
        <v>663</v>
      </c>
      <c r="NTC855" t="s">
        <v>189</v>
      </c>
      <c r="NTD855" t="s">
        <v>189</v>
      </c>
      <c r="NTE855" t="s">
        <v>189</v>
      </c>
      <c r="NTF855" t="s">
        <v>189</v>
      </c>
      <c r="NTG855" t="s">
        <v>189</v>
      </c>
      <c r="OCX855" t="s">
        <v>663</v>
      </c>
      <c r="OCY855" t="s">
        <v>189</v>
      </c>
      <c r="OCZ855" t="s">
        <v>189</v>
      </c>
      <c r="ODA855" t="s">
        <v>189</v>
      </c>
      <c r="ODB855" t="s">
        <v>189</v>
      </c>
      <c r="ODC855" t="s">
        <v>189</v>
      </c>
      <c r="OMT855" t="s">
        <v>663</v>
      </c>
      <c r="OMU855" t="s">
        <v>189</v>
      </c>
      <c r="OMV855" t="s">
        <v>189</v>
      </c>
      <c r="OMW855" t="s">
        <v>189</v>
      </c>
      <c r="OMX855" t="s">
        <v>189</v>
      </c>
      <c r="OMY855" t="s">
        <v>189</v>
      </c>
      <c r="OWP855" t="s">
        <v>663</v>
      </c>
      <c r="OWQ855" t="s">
        <v>189</v>
      </c>
      <c r="OWR855" t="s">
        <v>189</v>
      </c>
      <c r="OWS855" t="s">
        <v>189</v>
      </c>
      <c r="OWT855" t="s">
        <v>189</v>
      </c>
      <c r="OWU855" t="s">
        <v>189</v>
      </c>
      <c r="PGL855" t="s">
        <v>663</v>
      </c>
      <c r="PGM855" t="s">
        <v>189</v>
      </c>
      <c r="PGN855" t="s">
        <v>189</v>
      </c>
      <c r="PGO855" t="s">
        <v>189</v>
      </c>
      <c r="PGP855" t="s">
        <v>189</v>
      </c>
      <c r="PGQ855" t="s">
        <v>189</v>
      </c>
      <c r="PQH855" t="s">
        <v>663</v>
      </c>
      <c r="PQI855" t="s">
        <v>189</v>
      </c>
      <c r="PQJ855" t="s">
        <v>189</v>
      </c>
      <c r="PQK855" t="s">
        <v>189</v>
      </c>
      <c r="PQL855" t="s">
        <v>189</v>
      </c>
      <c r="PQM855" t="s">
        <v>189</v>
      </c>
      <c r="QAD855" t="s">
        <v>663</v>
      </c>
      <c r="QAE855" t="s">
        <v>189</v>
      </c>
      <c r="QAF855" t="s">
        <v>189</v>
      </c>
      <c r="QAG855" t="s">
        <v>189</v>
      </c>
      <c r="QAH855" t="s">
        <v>189</v>
      </c>
      <c r="QAI855" t="s">
        <v>189</v>
      </c>
      <c r="QJZ855" t="s">
        <v>663</v>
      </c>
      <c r="QKA855" t="s">
        <v>189</v>
      </c>
      <c r="QKB855" t="s">
        <v>189</v>
      </c>
      <c r="QKC855" t="s">
        <v>189</v>
      </c>
      <c r="QKD855" t="s">
        <v>189</v>
      </c>
      <c r="QKE855" t="s">
        <v>189</v>
      </c>
      <c r="QTV855" t="s">
        <v>663</v>
      </c>
      <c r="QTW855" t="s">
        <v>189</v>
      </c>
      <c r="QTX855" t="s">
        <v>189</v>
      </c>
      <c r="QTY855" t="s">
        <v>189</v>
      </c>
      <c r="QTZ855" t="s">
        <v>189</v>
      </c>
      <c r="QUA855" t="s">
        <v>189</v>
      </c>
      <c r="RDR855" t="s">
        <v>663</v>
      </c>
      <c r="RDS855" t="s">
        <v>189</v>
      </c>
      <c r="RDT855" t="s">
        <v>189</v>
      </c>
      <c r="RDU855" t="s">
        <v>189</v>
      </c>
      <c r="RDV855" t="s">
        <v>189</v>
      </c>
      <c r="RDW855" t="s">
        <v>189</v>
      </c>
      <c r="RNN855" t="s">
        <v>663</v>
      </c>
      <c r="RNO855" t="s">
        <v>189</v>
      </c>
      <c r="RNP855" t="s">
        <v>189</v>
      </c>
      <c r="RNQ855" t="s">
        <v>189</v>
      </c>
      <c r="RNR855" t="s">
        <v>189</v>
      </c>
      <c r="RNS855" t="s">
        <v>189</v>
      </c>
      <c r="RXJ855" t="s">
        <v>663</v>
      </c>
      <c r="RXK855" t="s">
        <v>189</v>
      </c>
      <c r="RXL855" t="s">
        <v>189</v>
      </c>
      <c r="RXM855" t="s">
        <v>189</v>
      </c>
      <c r="RXN855" t="s">
        <v>189</v>
      </c>
      <c r="RXO855" t="s">
        <v>189</v>
      </c>
      <c r="SHF855" t="s">
        <v>663</v>
      </c>
      <c r="SHG855" t="s">
        <v>189</v>
      </c>
      <c r="SHH855" t="s">
        <v>189</v>
      </c>
      <c r="SHI855" t="s">
        <v>189</v>
      </c>
      <c r="SHJ855" t="s">
        <v>189</v>
      </c>
      <c r="SHK855" t="s">
        <v>189</v>
      </c>
      <c r="SRB855" t="s">
        <v>663</v>
      </c>
      <c r="SRC855" t="s">
        <v>189</v>
      </c>
      <c r="SRD855" t="s">
        <v>189</v>
      </c>
      <c r="SRE855" t="s">
        <v>189</v>
      </c>
      <c r="SRF855" t="s">
        <v>189</v>
      </c>
      <c r="SRG855" t="s">
        <v>189</v>
      </c>
      <c r="TAX855" t="s">
        <v>663</v>
      </c>
      <c r="TAY855" t="s">
        <v>189</v>
      </c>
      <c r="TAZ855" t="s">
        <v>189</v>
      </c>
      <c r="TBA855" t="s">
        <v>189</v>
      </c>
      <c r="TBB855" t="s">
        <v>189</v>
      </c>
      <c r="TBC855" t="s">
        <v>189</v>
      </c>
      <c r="TKT855" t="s">
        <v>663</v>
      </c>
      <c r="TKU855" t="s">
        <v>189</v>
      </c>
      <c r="TKV855" t="s">
        <v>189</v>
      </c>
      <c r="TKW855" t="s">
        <v>189</v>
      </c>
      <c r="TKX855" t="s">
        <v>189</v>
      </c>
      <c r="TKY855" t="s">
        <v>189</v>
      </c>
      <c r="TUP855" t="s">
        <v>663</v>
      </c>
      <c r="TUQ855" t="s">
        <v>189</v>
      </c>
      <c r="TUR855" t="s">
        <v>189</v>
      </c>
      <c r="TUS855" t="s">
        <v>189</v>
      </c>
      <c r="TUT855" t="s">
        <v>189</v>
      </c>
      <c r="TUU855" t="s">
        <v>189</v>
      </c>
      <c r="UEL855" t="s">
        <v>663</v>
      </c>
      <c r="UEM855" t="s">
        <v>189</v>
      </c>
      <c r="UEN855" t="s">
        <v>189</v>
      </c>
      <c r="UEO855" t="s">
        <v>189</v>
      </c>
      <c r="UEP855" t="s">
        <v>189</v>
      </c>
      <c r="UEQ855" t="s">
        <v>189</v>
      </c>
      <c r="UOH855" t="s">
        <v>663</v>
      </c>
      <c r="UOI855" t="s">
        <v>189</v>
      </c>
      <c r="UOJ855" t="s">
        <v>189</v>
      </c>
      <c r="UOK855" t="s">
        <v>189</v>
      </c>
      <c r="UOL855" t="s">
        <v>189</v>
      </c>
      <c r="UOM855" t="s">
        <v>189</v>
      </c>
      <c r="UYD855" t="s">
        <v>663</v>
      </c>
      <c r="UYE855" t="s">
        <v>189</v>
      </c>
      <c r="UYF855" t="s">
        <v>189</v>
      </c>
      <c r="UYG855" t="s">
        <v>189</v>
      </c>
      <c r="UYH855" t="s">
        <v>189</v>
      </c>
      <c r="UYI855" t="s">
        <v>189</v>
      </c>
      <c r="VHZ855" t="s">
        <v>663</v>
      </c>
      <c r="VIA855" t="s">
        <v>189</v>
      </c>
      <c r="VIB855" t="s">
        <v>189</v>
      </c>
      <c r="VIC855" t="s">
        <v>189</v>
      </c>
      <c r="VID855" t="s">
        <v>189</v>
      </c>
      <c r="VIE855" t="s">
        <v>189</v>
      </c>
      <c r="VRV855" t="s">
        <v>663</v>
      </c>
      <c r="VRW855" t="s">
        <v>189</v>
      </c>
      <c r="VRX855" t="s">
        <v>189</v>
      </c>
      <c r="VRY855" t="s">
        <v>189</v>
      </c>
      <c r="VRZ855" t="s">
        <v>189</v>
      </c>
      <c r="VSA855" t="s">
        <v>189</v>
      </c>
      <c r="WBR855" t="s">
        <v>663</v>
      </c>
      <c r="WBS855" t="s">
        <v>189</v>
      </c>
      <c r="WBT855" t="s">
        <v>189</v>
      </c>
      <c r="WBU855" t="s">
        <v>189</v>
      </c>
      <c r="WBV855" t="s">
        <v>189</v>
      </c>
      <c r="WBW855" t="s">
        <v>189</v>
      </c>
      <c r="WLN855" t="s">
        <v>663</v>
      </c>
      <c r="WLO855" t="s">
        <v>189</v>
      </c>
      <c r="WLP855" t="s">
        <v>189</v>
      </c>
      <c r="WLQ855" t="s">
        <v>189</v>
      </c>
      <c r="WLR855" t="s">
        <v>189</v>
      </c>
      <c r="WLS855" t="s">
        <v>189</v>
      </c>
      <c r="WVJ855" t="s">
        <v>663</v>
      </c>
      <c r="WVK855" t="s">
        <v>189</v>
      </c>
      <c r="WVL855" t="s">
        <v>189</v>
      </c>
      <c r="WVM855" t="s">
        <v>189</v>
      </c>
      <c r="WVN855" t="s">
        <v>189</v>
      </c>
      <c r="WVO855" t="s">
        <v>189</v>
      </c>
    </row>
    <row r="856" spans="1:775 1026:1799 2050:2823 3074:3847 4098:4871 5122:5895 6146:6919 7170:7943 8194:8967 9218:9991 10242:11015 11266:12039 12290:13063 13314:14087 14338:15111 15362:16135">
      <c r="A856" s="96" t="s">
        <v>665</v>
      </c>
      <c r="C856" s="98" t="s">
        <v>666</v>
      </c>
      <c r="D856" s="98" t="s">
        <v>666</v>
      </c>
      <c r="E856" s="98" t="s">
        <v>666</v>
      </c>
      <c r="F856" s="98" t="s">
        <v>666</v>
      </c>
      <c r="G856" s="98" t="s">
        <v>666</v>
      </c>
      <c r="H856" s="98"/>
      <c r="IX856" t="s">
        <v>665</v>
      </c>
      <c r="IY856" t="s">
        <v>666</v>
      </c>
      <c r="IZ856" t="s">
        <v>666</v>
      </c>
      <c r="JA856" t="s">
        <v>666</v>
      </c>
      <c r="JB856" t="s">
        <v>666</v>
      </c>
      <c r="JC856" t="s">
        <v>666</v>
      </c>
      <c r="ST856" t="s">
        <v>665</v>
      </c>
      <c r="SU856" t="s">
        <v>666</v>
      </c>
      <c r="SV856" t="s">
        <v>666</v>
      </c>
      <c r="SW856" t="s">
        <v>666</v>
      </c>
      <c r="SX856" t="s">
        <v>666</v>
      </c>
      <c r="SY856" t="s">
        <v>666</v>
      </c>
      <c r="ACP856" t="s">
        <v>665</v>
      </c>
      <c r="ACQ856" t="s">
        <v>666</v>
      </c>
      <c r="ACR856" t="s">
        <v>666</v>
      </c>
      <c r="ACS856" t="s">
        <v>666</v>
      </c>
      <c r="ACT856" t="s">
        <v>666</v>
      </c>
      <c r="ACU856" t="s">
        <v>666</v>
      </c>
      <c r="AML856" t="s">
        <v>665</v>
      </c>
      <c r="AMM856" t="s">
        <v>666</v>
      </c>
      <c r="AMN856" t="s">
        <v>666</v>
      </c>
      <c r="AMO856" t="s">
        <v>666</v>
      </c>
      <c r="AMP856" t="s">
        <v>666</v>
      </c>
      <c r="AMQ856" t="s">
        <v>666</v>
      </c>
      <c r="AWH856" t="s">
        <v>665</v>
      </c>
      <c r="AWI856" t="s">
        <v>666</v>
      </c>
      <c r="AWJ856" t="s">
        <v>666</v>
      </c>
      <c r="AWK856" t="s">
        <v>666</v>
      </c>
      <c r="AWL856" t="s">
        <v>666</v>
      </c>
      <c r="AWM856" t="s">
        <v>666</v>
      </c>
      <c r="BGD856" t="s">
        <v>665</v>
      </c>
      <c r="BGE856" t="s">
        <v>666</v>
      </c>
      <c r="BGF856" t="s">
        <v>666</v>
      </c>
      <c r="BGG856" t="s">
        <v>666</v>
      </c>
      <c r="BGH856" t="s">
        <v>666</v>
      </c>
      <c r="BGI856" t="s">
        <v>666</v>
      </c>
      <c r="BPZ856" t="s">
        <v>665</v>
      </c>
      <c r="BQA856" t="s">
        <v>666</v>
      </c>
      <c r="BQB856" t="s">
        <v>666</v>
      </c>
      <c r="BQC856" t="s">
        <v>666</v>
      </c>
      <c r="BQD856" t="s">
        <v>666</v>
      </c>
      <c r="BQE856" t="s">
        <v>666</v>
      </c>
      <c r="BZV856" t="s">
        <v>665</v>
      </c>
      <c r="BZW856" t="s">
        <v>666</v>
      </c>
      <c r="BZX856" t="s">
        <v>666</v>
      </c>
      <c r="BZY856" t="s">
        <v>666</v>
      </c>
      <c r="BZZ856" t="s">
        <v>666</v>
      </c>
      <c r="CAA856" t="s">
        <v>666</v>
      </c>
      <c r="CJR856" t="s">
        <v>665</v>
      </c>
      <c r="CJS856" t="s">
        <v>666</v>
      </c>
      <c r="CJT856" t="s">
        <v>666</v>
      </c>
      <c r="CJU856" t="s">
        <v>666</v>
      </c>
      <c r="CJV856" t="s">
        <v>666</v>
      </c>
      <c r="CJW856" t="s">
        <v>666</v>
      </c>
      <c r="CTN856" t="s">
        <v>665</v>
      </c>
      <c r="CTO856" t="s">
        <v>666</v>
      </c>
      <c r="CTP856" t="s">
        <v>666</v>
      </c>
      <c r="CTQ856" t="s">
        <v>666</v>
      </c>
      <c r="CTR856" t="s">
        <v>666</v>
      </c>
      <c r="CTS856" t="s">
        <v>666</v>
      </c>
      <c r="DDJ856" t="s">
        <v>665</v>
      </c>
      <c r="DDK856" t="s">
        <v>666</v>
      </c>
      <c r="DDL856" t="s">
        <v>666</v>
      </c>
      <c r="DDM856" t="s">
        <v>666</v>
      </c>
      <c r="DDN856" t="s">
        <v>666</v>
      </c>
      <c r="DDO856" t="s">
        <v>666</v>
      </c>
      <c r="DNF856" t="s">
        <v>665</v>
      </c>
      <c r="DNG856" t="s">
        <v>666</v>
      </c>
      <c r="DNH856" t="s">
        <v>666</v>
      </c>
      <c r="DNI856" t="s">
        <v>666</v>
      </c>
      <c r="DNJ856" t="s">
        <v>666</v>
      </c>
      <c r="DNK856" t="s">
        <v>666</v>
      </c>
      <c r="DXB856" t="s">
        <v>665</v>
      </c>
      <c r="DXC856" t="s">
        <v>666</v>
      </c>
      <c r="DXD856" t="s">
        <v>666</v>
      </c>
      <c r="DXE856" t="s">
        <v>666</v>
      </c>
      <c r="DXF856" t="s">
        <v>666</v>
      </c>
      <c r="DXG856" t="s">
        <v>666</v>
      </c>
      <c r="EGX856" t="s">
        <v>665</v>
      </c>
      <c r="EGY856" t="s">
        <v>666</v>
      </c>
      <c r="EGZ856" t="s">
        <v>666</v>
      </c>
      <c r="EHA856" t="s">
        <v>666</v>
      </c>
      <c r="EHB856" t="s">
        <v>666</v>
      </c>
      <c r="EHC856" t="s">
        <v>666</v>
      </c>
      <c r="EQT856" t="s">
        <v>665</v>
      </c>
      <c r="EQU856" t="s">
        <v>666</v>
      </c>
      <c r="EQV856" t="s">
        <v>666</v>
      </c>
      <c r="EQW856" t="s">
        <v>666</v>
      </c>
      <c r="EQX856" t="s">
        <v>666</v>
      </c>
      <c r="EQY856" t="s">
        <v>666</v>
      </c>
      <c r="FAP856" t="s">
        <v>665</v>
      </c>
      <c r="FAQ856" t="s">
        <v>666</v>
      </c>
      <c r="FAR856" t="s">
        <v>666</v>
      </c>
      <c r="FAS856" t="s">
        <v>666</v>
      </c>
      <c r="FAT856" t="s">
        <v>666</v>
      </c>
      <c r="FAU856" t="s">
        <v>666</v>
      </c>
      <c r="FKL856" t="s">
        <v>665</v>
      </c>
      <c r="FKM856" t="s">
        <v>666</v>
      </c>
      <c r="FKN856" t="s">
        <v>666</v>
      </c>
      <c r="FKO856" t="s">
        <v>666</v>
      </c>
      <c r="FKP856" t="s">
        <v>666</v>
      </c>
      <c r="FKQ856" t="s">
        <v>666</v>
      </c>
      <c r="FUH856" t="s">
        <v>665</v>
      </c>
      <c r="FUI856" t="s">
        <v>666</v>
      </c>
      <c r="FUJ856" t="s">
        <v>666</v>
      </c>
      <c r="FUK856" t="s">
        <v>666</v>
      </c>
      <c r="FUL856" t="s">
        <v>666</v>
      </c>
      <c r="FUM856" t="s">
        <v>666</v>
      </c>
      <c r="GED856" t="s">
        <v>665</v>
      </c>
      <c r="GEE856" t="s">
        <v>666</v>
      </c>
      <c r="GEF856" t="s">
        <v>666</v>
      </c>
      <c r="GEG856" t="s">
        <v>666</v>
      </c>
      <c r="GEH856" t="s">
        <v>666</v>
      </c>
      <c r="GEI856" t="s">
        <v>666</v>
      </c>
      <c r="GNZ856" t="s">
        <v>665</v>
      </c>
      <c r="GOA856" t="s">
        <v>666</v>
      </c>
      <c r="GOB856" t="s">
        <v>666</v>
      </c>
      <c r="GOC856" t="s">
        <v>666</v>
      </c>
      <c r="GOD856" t="s">
        <v>666</v>
      </c>
      <c r="GOE856" t="s">
        <v>666</v>
      </c>
      <c r="GXV856" t="s">
        <v>665</v>
      </c>
      <c r="GXW856" t="s">
        <v>666</v>
      </c>
      <c r="GXX856" t="s">
        <v>666</v>
      </c>
      <c r="GXY856" t="s">
        <v>666</v>
      </c>
      <c r="GXZ856" t="s">
        <v>666</v>
      </c>
      <c r="GYA856" t="s">
        <v>666</v>
      </c>
      <c r="HHR856" t="s">
        <v>665</v>
      </c>
      <c r="HHS856" t="s">
        <v>666</v>
      </c>
      <c r="HHT856" t="s">
        <v>666</v>
      </c>
      <c r="HHU856" t="s">
        <v>666</v>
      </c>
      <c r="HHV856" t="s">
        <v>666</v>
      </c>
      <c r="HHW856" t="s">
        <v>666</v>
      </c>
      <c r="HRN856" t="s">
        <v>665</v>
      </c>
      <c r="HRO856" t="s">
        <v>666</v>
      </c>
      <c r="HRP856" t="s">
        <v>666</v>
      </c>
      <c r="HRQ856" t="s">
        <v>666</v>
      </c>
      <c r="HRR856" t="s">
        <v>666</v>
      </c>
      <c r="HRS856" t="s">
        <v>666</v>
      </c>
      <c r="IBJ856" t="s">
        <v>665</v>
      </c>
      <c r="IBK856" t="s">
        <v>666</v>
      </c>
      <c r="IBL856" t="s">
        <v>666</v>
      </c>
      <c r="IBM856" t="s">
        <v>666</v>
      </c>
      <c r="IBN856" t="s">
        <v>666</v>
      </c>
      <c r="IBO856" t="s">
        <v>666</v>
      </c>
      <c r="ILF856" t="s">
        <v>665</v>
      </c>
      <c r="ILG856" t="s">
        <v>666</v>
      </c>
      <c r="ILH856" t="s">
        <v>666</v>
      </c>
      <c r="ILI856" t="s">
        <v>666</v>
      </c>
      <c r="ILJ856" t="s">
        <v>666</v>
      </c>
      <c r="ILK856" t="s">
        <v>666</v>
      </c>
      <c r="IVB856" t="s">
        <v>665</v>
      </c>
      <c r="IVC856" t="s">
        <v>666</v>
      </c>
      <c r="IVD856" t="s">
        <v>666</v>
      </c>
      <c r="IVE856" t="s">
        <v>666</v>
      </c>
      <c r="IVF856" t="s">
        <v>666</v>
      </c>
      <c r="IVG856" t="s">
        <v>666</v>
      </c>
      <c r="JEX856" t="s">
        <v>665</v>
      </c>
      <c r="JEY856" t="s">
        <v>666</v>
      </c>
      <c r="JEZ856" t="s">
        <v>666</v>
      </c>
      <c r="JFA856" t="s">
        <v>666</v>
      </c>
      <c r="JFB856" t="s">
        <v>666</v>
      </c>
      <c r="JFC856" t="s">
        <v>666</v>
      </c>
      <c r="JOT856" t="s">
        <v>665</v>
      </c>
      <c r="JOU856" t="s">
        <v>666</v>
      </c>
      <c r="JOV856" t="s">
        <v>666</v>
      </c>
      <c r="JOW856" t="s">
        <v>666</v>
      </c>
      <c r="JOX856" t="s">
        <v>666</v>
      </c>
      <c r="JOY856" t="s">
        <v>666</v>
      </c>
      <c r="JYP856" t="s">
        <v>665</v>
      </c>
      <c r="JYQ856" t="s">
        <v>666</v>
      </c>
      <c r="JYR856" t="s">
        <v>666</v>
      </c>
      <c r="JYS856" t="s">
        <v>666</v>
      </c>
      <c r="JYT856" t="s">
        <v>666</v>
      </c>
      <c r="JYU856" t="s">
        <v>666</v>
      </c>
      <c r="KIL856" t="s">
        <v>665</v>
      </c>
      <c r="KIM856" t="s">
        <v>666</v>
      </c>
      <c r="KIN856" t="s">
        <v>666</v>
      </c>
      <c r="KIO856" t="s">
        <v>666</v>
      </c>
      <c r="KIP856" t="s">
        <v>666</v>
      </c>
      <c r="KIQ856" t="s">
        <v>666</v>
      </c>
      <c r="KSH856" t="s">
        <v>665</v>
      </c>
      <c r="KSI856" t="s">
        <v>666</v>
      </c>
      <c r="KSJ856" t="s">
        <v>666</v>
      </c>
      <c r="KSK856" t="s">
        <v>666</v>
      </c>
      <c r="KSL856" t="s">
        <v>666</v>
      </c>
      <c r="KSM856" t="s">
        <v>666</v>
      </c>
      <c r="LCD856" t="s">
        <v>665</v>
      </c>
      <c r="LCE856" t="s">
        <v>666</v>
      </c>
      <c r="LCF856" t="s">
        <v>666</v>
      </c>
      <c r="LCG856" t="s">
        <v>666</v>
      </c>
      <c r="LCH856" t="s">
        <v>666</v>
      </c>
      <c r="LCI856" t="s">
        <v>666</v>
      </c>
      <c r="LLZ856" t="s">
        <v>665</v>
      </c>
      <c r="LMA856" t="s">
        <v>666</v>
      </c>
      <c r="LMB856" t="s">
        <v>666</v>
      </c>
      <c r="LMC856" t="s">
        <v>666</v>
      </c>
      <c r="LMD856" t="s">
        <v>666</v>
      </c>
      <c r="LME856" t="s">
        <v>666</v>
      </c>
      <c r="LVV856" t="s">
        <v>665</v>
      </c>
      <c r="LVW856" t="s">
        <v>666</v>
      </c>
      <c r="LVX856" t="s">
        <v>666</v>
      </c>
      <c r="LVY856" t="s">
        <v>666</v>
      </c>
      <c r="LVZ856" t="s">
        <v>666</v>
      </c>
      <c r="LWA856" t="s">
        <v>666</v>
      </c>
      <c r="MFR856" t="s">
        <v>665</v>
      </c>
      <c r="MFS856" t="s">
        <v>666</v>
      </c>
      <c r="MFT856" t="s">
        <v>666</v>
      </c>
      <c r="MFU856" t="s">
        <v>666</v>
      </c>
      <c r="MFV856" t="s">
        <v>666</v>
      </c>
      <c r="MFW856" t="s">
        <v>666</v>
      </c>
      <c r="MPN856" t="s">
        <v>665</v>
      </c>
      <c r="MPO856" t="s">
        <v>666</v>
      </c>
      <c r="MPP856" t="s">
        <v>666</v>
      </c>
      <c r="MPQ856" t="s">
        <v>666</v>
      </c>
      <c r="MPR856" t="s">
        <v>666</v>
      </c>
      <c r="MPS856" t="s">
        <v>666</v>
      </c>
      <c r="MZJ856" t="s">
        <v>665</v>
      </c>
      <c r="MZK856" t="s">
        <v>666</v>
      </c>
      <c r="MZL856" t="s">
        <v>666</v>
      </c>
      <c r="MZM856" t="s">
        <v>666</v>
      </c>
      <c r="MZN856" t="s">
        <v>666</v>
      </c>
      <c r="MZO856" t="s">
        <v>666</v>
      </c>
      <c r="NJF856" t="s">
        <v>665</v>
      </c>
      <c r="NJG856" t="s">
        <v>666</v>
      </c>
      <c r="NJH856" t="s">
        <v>666</v>
      </c>
      <c r="NJI856" t="s">
        <v>666</v>
      </c>
      <c r="NJJ856" t="s">
        <v>666</v>
      </c>
      <c r="NJK856" t="s">
        <v>666</v>
      </c>
      <c r="NTB856" t="s">
        <v>665</v>
      </c>
      <c r="NTC856" t="s">
        <v>666</v>
      </c>
      <c r="NTD856" t="s">
        <v>666</v>
      </c>
      <c r="NTE856" t="s">
        <v>666</v>
      </c>
      <c r="NTF856" t="s">
        <v>666</v>
      </c>
      <c r="NTG856" t="s">
        <v>666</v>
      </c>
      <c r="OCX856" t="s">
        <v>665</v>
      </c>
      <c r="OCY856" t="s">
        <v>666</v>
      </c>
      <c r="OCZ856" t="s">
        <v>666</v>
      </c>
      <c r="ODA856" t="s">
        <v>666</v>
      </c>
      <c r="ODB856" t="s">
        <v>666</v>
      </c>
      <c r="ODC856" t="s">
        <v>666</v>
      </c>
      <c r="OMT856" t="s">
        <v>665</v>
      </c>
      <c r="OMU856" t="s">
        <v>666</v>
      </c>
      <c r="OMV856" t="s">
        <v>666</v>
      </c>
      <c r="OMW856" t="s">
        <v>666</v>
      </c>
      <c r="OMX856" t="s">
        <v>666</v>
      </c>
      <c r="OMY856" t="s">
        <v>666</v>
      </c>
      <c r="OWP856" t="s">
        <v>665</v>
      </c>
      <c r="OWQ856" t="s">
        <v>666</v>
      </c>
      <c r="OWR856" t="s">
        <v>666</v>
      </c>
      <c r="OWS856" t="s">
        <v>666</v>
      </c>
      <c r="OWT856" t="s">
        <v>666</v>
      </c>
      <c r="OWU856" t="s">
        <v>666</v>
      </c>
      <c r="PGL856" t="s">
        <v>665</v>
      </c>
      <c r="PGM856" t="s">
        <v>666</v>
      </c>
      <c r="PGN856" t="s">
        <v>666</v>
      </c>
      <c r="PGO856" t="s">
        <v>666</v>
      </c>
      <c r="PGP856" t="s">
        <v>666</v>
      </c>
      <c r="PGQ856" t="s">
        <v>666</v>
      </c>
      <c r="PQH856" t="s">
        <v>665</v>
      </c>
      <c r="PQI856" t="s">
        <v>666</v>
      </c>
      <c r="PQJ856" t="s">
        <v>666</v>
      </c>
      <c r="PQK856" t="s">
        <v>666</v>
      </c>
      <c r="PQL856" t="s">
        <v>666</v>
      </c>
      <c r="PQM856" t="s">
        <v>666</v>
      </c>
      <c r="QAD856" t="s">
        <v>665</v>
      </c>
      <c r="QAE856" t="s">
        <v>666</v>
      </c>
      <c r="QAF856" t="s">
        <v>666</v>
      </c>
      <c r="QAG856" t="s">
        <v>666</v>
      </c>
      <c r="QAH856" t="s">
        <v>666</v>
      </c>
      <c r="QAI856" t="s">
        <v>666</v>
      </c>
      <c r="QJZ856" t="s">
        <v>665</v>
      </c>
      <c r="QKA856" t="s">
        <v>666</v>
      </c>
      <c r="QKB856" t="s">
        <v>666</v>
      </c>
      <c r="QKC856" t="s">
        <v>666</v>
      </c>
      <c r="QKD856" t="s">
        <v>666</v>
      </c>
      <c r="QKE856" t="s">
        <v>666</v>
      </c>
      <c r="QTV856" t="s">
        <v>665</v>
      </c>
      <c r="QTW856" t="s">
        <v>666</v>
      </c>
      <c r="QTX856" t="s">
        <v>666</v>
      </c>
      <c r="QTY856" t="s">
        <v>666</v>
      </c>
      <c r="QTZ856" t="s">
        <v>666</v>
      </c>
      <c r="QUA856" t="s">
        <v>666</v>
      </c>
      <c r="RDR856" t="s">
        <v>665</v>
      </c>
      <c r="RDS856" t="s">
        <v>666</v>
      </c>
      <c r="RDT856" t="s">
        <v>666</v>
      </c>
      <c r="RDU856" t="s">
        <v>666</v>
      </c>
      <c r="RDV856" t="s">
        <v>666</v>
      </c>
      <c r="RDW856" t="s">
        <v>666</v>
      </c>
      <c r="RNN856" t="s">
        <v>665</v>
      </c>
      <c r="RNO856" t="s">
        <v>666</v>
      </c>
      <c r="RNP856" t="s">
        <v>666</v>
      </c>
      <c r="RNQ856" t="s">
        <v>666</v>
      </c>
      <c r="RNR856" t="s">
        <v>666</v>
      </c>
      <c r="RNS856" t="s">
        <v>666</v>
      </c>
      <c r="RXJ856" t="s">
        <v>665</v>
      </c>
      <c r="RXK856" t="s">
        <v>666</v>
      </c>
      <c r="RXL856" t="s">
        <v>666</v>
      </c>
      <c r="RXM856" t="s">
        <v>666</v>
      </c>
      <c r="RXN856" t="s">
        <v>666</v>
      </c>
      <c r="RXO856" t="s">
        <v>666</v>
      </c>
      <c r="SHF856" t="s">
        <v>665</v>
      </c>
      <c r="SHG856" t="s">
        <v>666</v>
      </c>
      <c r="SHH856" t="s">
        <v>666</v>
      </c>
      <c r="SHI856" t="s">
        <v>666</v>
      </c>
      <c r="SHJ856" t="s">
        <v>666</v>
      </c>
      <c r="SHK856" t="s">
        <v>666</v>
      </c>
      <c r="SRB856" t="s">
        <v>665</v>
      </c>
      <c r="SRC856" t="s">
        <v>666</v>
      </c>
      <c r="SRD856" t="s">
        <v>666</v>
      </c>
      <c r="SRE856" t="s">
        <v>666</v>
      </c>
      <c r="SRF856" t="s">
        <v>666</v>
      </c>
      <c r="SRG856" t="s">
        <v>666</v>
      </c>
      <c r="TAX856" t="s">
        <v>665</v>
      </c>
      <c r="TAY856" t="s">
        <v>666</v>
      </c>
      <c r="TAZ856" t="s">
        <v>666</v>
      </c>
      <c r="TBA856" t="s">
        <v>666</v>
      </c>
      <c r="TBB856" t="s">
        <v>666</v>
      </c>
      <c r="TBC856" t="s">
        <v>666</v>
      </c>
      <c r="TKT856" t="s">
        <v>665</v>
      </c>
      <c r="TKU856" t="s">
        <v>666</v>
      </c>
      <c r="TKV856" t="s">
        <v>666</v>
      </c>
      <c r="TKW856" t="s">
        <v>666</v>
      </c>
      <c r="TKX856" t="s">
        <v>666</v>
      </c>
      <c r="TKY856" t="s">
        <v>666</v>
      </c>
      <c r="TUP856" t="s">
        <v>665</v>
      </c>
      <c r="TUQ856" t="s">
        <v>666</v>
      </c>
      <c r="TUR856" t="s">
        <v>666</v>
      </c>
      <c r="TUS856" t="s">
        <v>666</v>
      </c>
      <c r="TUT856" t="s">
        <v>666</v>
      </c>
      <c r="TUU856" t="s">
        <v>666</v>
      </c>
      <c r="UEL856" t="s">
        <v>665</v>
      </c>
      <c r="UEM856" t="s">
        <v>666</v>
      </c>
      <c r="UEN856" t="s">
        <v>666</v>
      </c>
      <c r="UEO856" t="s">
        <v>666</v>
      </c>
      <c r="UEP856" t="s">
        <v>666</v>
      </c>
      <c r="UEQ856" t="s">
        <v>666</v>
      </c>
      <c r="UOH856" t="s">
        <v>665</v>
      </c>
      <c r="UOI856" t="s">
        <v>666</v>
      </c>
      <c r="UOJ856" t="s">
        <v>666</v>
      </c>
      <c r="UOK856" t="s">
        <v>666</v>
      </c>
      <c r="UOL856" t="s">
        <v>666</v>
      </c>
      <c r="UOM856" t="s">
        <v>666</v>
      </c>
      <c r="UYD856" t="s">
        <v>665</v>
      </c>
      <c r="UYE856" t="s">
        <v>666</v>
      </c>
      <c r="UYF856" t="s">
        <v>666</v>
      </c>
      <c r="UYG856" t="s">
        <v>666</v>
      </c>
      <c r="UYH856" t="s">
        <v>666</v>
      </c>
      <c r="UYI856" t="s">
        <v>666</v>
      </c>
      <c r="VHZ856" t="s">
        <v>665</v>
      </c>
      <c r="VIA856" t="s">
        <v>666</v>
      </c>
      <c r="VIB856" t="s">
        <v>666</v>
      </c>
      <c r="VIC856" t="s">
        <v>666</v>
      </c>
      <c r="VID856" t="s">
        <v>666</v>
      </c>
      <c r="VIE856" t="s">
        <v>666</v>
      </c>
      <c r="VRV856" t="s">
        <v>665</v>
      </c>
      <c r="VRW856" t="s">
        <v>666</v>
      </c>
      <c r="VRX856" t="s">
        <v>666</v>
      </c>
      <c r="VRY856" t="s">
        <v>666</v>
      </c>
      <c r="VRZ856" t="s">
        <v>666</v>
      </c>
      <c r="VSA856" t="s">
        <v>666</v>
      </c>
      <c r="WBR856" t="s">
        <v>665</v>
      </c>
      <c r="WBS856" t="s">
        <v>666</v>
      </c>
      <c r="WBT856" t="s">
        <v>666</v>
      </c>
      <c r="WBU856" t="s">
        <v>666</v>
      </c>
      <c r="WBV856" t="s">
        <v>666</v>
      </c>
      <c r="WBW856" t="s">
        <v>666</v>
      </c>
      <c r="WLN856" t="s">
        <v>665</v>
      </c>
      <c r="WLO856" t="s">
        <v>666</v>
      </c>
      <c r="WLP856" t="s">
        <v>666</v>
      </c>
      <c r="WLQ856" t="s">
        <v>666</v>
      </c>
      <c r="WLR856" t="s">
        <v>666</v>
      </c>
      <c r="WLS856" t="s">
        <v>666</v>
      </c>
      <c r="WVJ856" t="s">
        <v>665</v>
      </c>
      <c r="WVK856" t="s">
        <v>666</v>
      </c>
      <c r="WVL856" t="s">
        <v>666</v>
      </c>
      <c r="WVM856" t="s">
        <v>666</v>
      </c>
      <c r="WVN856" t="s">
        <v>666</v>
      </c>
      <c r="WVO856" t="s">
        <v>666</v>
      </c>
    </row>
    <row r="857" spans="1:775 1026:1799 2050:2823 3074:3847 4098:4871 5122:5895 6146:6919 7170:7943 8194:8967 9218:9991 10242:11015 11266:12039 12290:13063 13314:14087 14338:15111 15362:16135">
      <c r="A857" s="99" t="s">
        <v>667</v>
      </c>
      <c r="C857" s="96"/>
      <c r="D857" s="96"/>
      <c r="E857" s="96"/>
      <c r="F857" s="96"/>
      <c r="G857" s="96"/>
      <c r="H857" s="96"/>
      <c r="IX857" t="s">
        <v>667</v>
      </c>
      <c r="ST857" t="s">
        <v>667</v>
      </c>
      <c r="ACP857" t="s">
        <v>667</v>
      </c>
      <c r="AML857" t="s">
        <v>667</v>
      </c>
      <c r="AWH857" t="s">
        <v>667</v>
      </c>
      <c r="BGD857" t="s">
        <v>667</v>
      </c>
      <c r="BPZ857" t="s">
        <v>667</v>
      </c>
      <c r="BZV857" t="s">
        <v>667</v>
      </c>
      <c r="CJR857" t="s">
        <v>667</v>
      </c>
      <c r="CTN857" t="s">
        <v>667</v>
      </c>
      <c r="DDJ857" t="s">
        <v>667</v>
      </c>
      <c r="DNF857" t="s">
        <v>667</v>
      </c>
      <c r="DXB857" t="s">
        <v>667</v>
      </c>
      <c r="EGX857" t="s">
        <v>667</v>
      </c>
      <c r="EQT857" t="s">
        <v>667</v>
      </c>
      <c r="FAP857" t="s">
        <v>667</v>
      </c>
      <c r="FKL857" t="s">
        <v>667</v>
      </c>
      <c r="FUH857" t="s">
        <v>667</v>
      </c>
      <c r="GED857" t="s">
        <v>667</v>
      </c>
      <c r="GNZ857" t="s">
        <v>667</v>
      </c>
      <c r="GXV857" t="s">
        <v>667</v>
      </c>
      <c r="HHR857" t="s">
        <v>667</v>
      </c>
      <c r="HRN857" t="s">
        <v>667</v>
      </c>
      <c r="IBJ857" t="s">
        <v>667</v>
      </c>
      <c r="ILF857" t="s">
        <v>667</v>
      </c>
      <c r="IVB857" t="s">
        <v>667</v>
      </c>
      <c r="JEX857" t="s">
        <v>667</v>
      </c>
      <c r="JOT857" t="s">
        <v>667</v>
      </c>
      <c r="JYP857" t="s">
        <v>667</v>
      </c>
      <c r="KIL857" t="s">
        <v>667</v>
      </c>
      <c r="KSH857" t="s">
        <v>667</v>
      </c>
      <c r="LCD857" t="s">
        <v>667</v>
      </c>
      <c r="LLZ857" t="s">
        <v>667</v>
      </c>
      <c r="LVV857" t="s">
        <v>667</v>
      </c>
      <c r="MFR857" t="s">
        <v>667</v>
      </c>
      <c r="MPN857" t="s">
        <v>667</v>
      </c>
      <c r="MZJ857" t="s">
        <v>667</v>
      </c>
      <c r="NJF857" t="s">
        <v>667</v>
      </c>
      <c r="NTB857" t="s">
        <v>667</v>
      </c>
      <c r="OCX857" t="s">
        <v>667</v>
      </c>
      <c r="OMT857" t="s">
        <v>667</v>
      </c>
      <c r="OWP857" t="s">
        <v>667</v>
      </c>
      <c r="PGL857" t="s">
        <v>667</v>
      </c>
      <c r="PQH857" t="s">
        <v>667</v>
      </c>
      <c r="QAD857" t="s">
        <v>667</v>
      </c>
      <c r="QJZ857" t="s">
        <v>667</v>
      </c>
      <c r="QTV857" t="s">
        <v>667</v>
      </c>
      <c r="RDR857" t="s">
        <v>667</v>
      </c>
      <c r="RNN857" t="s">
        <v>667</v>
      </c>
      <c r="RXJ857" t="s">
        <v>667</v>
      </c>
      <c r="SHF857" t="s">
        <v>667</v>
      </c>
      <c r="SRB857" t="s">
        <v>667</v>
      </c>
      <c r="TAX857" t="s">
        <v>667</v>
      </c>
      <c r="TKT857" t="s">
        <v>667</v>
      </c>
      <c r="TUP857" t="s">
        <v>667</v>
      </c>
      <c r="UEL857" t="s">
        <v>667</v>
      </c>
      <c r="UOH857" t="s">
        <v>667</v>
      </c>
      <c r="UYD857" t="s">
        <v>667</v>
      </c>
      <c r="VHZ857" t="s">
        <v>667</v>
      </c>
      <c r="VRV857" t="s">
        <v>667</v>
      </c>
      <c r="WBR857" t="s">
        <v>667</v>
      </c>
      <c r="WLN857" t="s">
        <v>667</v>
      </c>
      <c r="WVJ857" t="s">
        <v>667</v>
      </c>
    </row>
    <row r="858" spans="1:775 1026:1799 2050:2823 3074:3847 4098:4871 5122:5895 6146:6919 7170:7943 8194:8967 9218:9991 10242:11015 11266:12039 12290:13063 13314:14087 14338:15111 15362:16135">
      <c r="A858" s="96" t="s">
        <v>1308</v>
      </c>
      <c r="C858" s="100">
        <v>4852470</v>
      </c>
      <c r="D858" s="100">
        <v>7367113</v>
      </c>
      <c r="E858" s="100">
        <v>15182522</v>
      </c>
      <c r="F858" s="100">
        <v>33169740</v>
      </c>
      <c r="G858" s="100">
        <v>45506581</v>
      </c>
      <c r="H858" s="100"/>
      <c r="IX858" t="s">
        <v>1308</v>
      </c>
      <c r="IY858">
        <v>4852470</v>
      </c>
      <c r="IZ858">
        <v>7367113</v>
      </c>
      <c r="JA858">
        <v>15182522</v>
      </c>
      <c r="JB858">
        <v>33169740</v>
      </c>
      <c r="JC858">
        <v>45506581</v>
      </c>
      <c r="ST858" t="s">
        <v>1308</v>
      </c>
      <c r="SU858">
        <v>4852470</v>
      </c>
      <c r="SV858">
        <v>7367113</v>
      </c>
      <c r="SW858">
        <v>15182522</v>
      </c>
      <c r="SX858">
        <v>33169740</v>
      </c>
      <c r="SY858">
        <v>45506581</v>
      </c>
      <c r="ACP858" t="s">
        <v>1308</v>
      </c>
      <c r="ACQ858">
        <v>4852470</v>
      </c>
      <c r="ACR858">
        <v>7367113</v>
      </c>
      <c r="ACS858">
        <v>15182522</v>
      </c>
      <c r="ACT858">
        <v>33169740</v>
      </c>
      <c r="ACU858">
        <v>45506581</v>
      </c>
      <c r="AML858" t="s">
        <v>1308</v>
      </c>
      <c r="AMM858">
        <v>4852470</v>
      </c>
      <c r="AMN858">
        <v>7367113</v>
      </c>
      <c r="AMO858">
        <v>15182522</v>
      </c>
      <c r="AMP858">
        <v>33169740</v>
      </c>
      <c r="AMQ858">
        <v>45506581</v>
      </c>
      <c r="AWH858" t="s">
        <v>1308</v>
      </c>
      <c r="AWI858">
        <v>4852470</v>
      </c>
      <c r="AWJ858">
        <v>7367113</v>
      </c>
      <c r="AWK858">
        <v>15182522</v>
      </c>
      <c r="AWL858">
        <v>33169740</v>
      </c>
      <c r="AWM858">
        <v>45506581</v>
      </c>
      <c r="BGD858" t="s">
        <v>1308</v>
      </c>
      <c r="BGE858">
        <v>4852470</v>
      </c>
      <c r="BGF858">
        <v>7367113</v>
      </c>
      <c r="BGG858">
        <v>15182522</v>
      </c>
      <c r="BGH858">
        <v>33169740</v>
      </c>
      <c r="BGI858">
        <v>45506581</v>
      </c>
      <c r="BPZ858" t="s">
        <v>1308</v>
      </c>
      <c r="BQA858">
        <v>4852470</v>
      </c>
      <c r="BQB858">
        <v>7367113</v>
      </c>
      <c r="BQC858">
        <v>15182522</v>
      </c>
      <c r="BQD858">
        <v>33169740</v>
      </c>
      <c r="BQE858">
        <v>45506581</v>
      </c>
      <c r="BZV858" t="s">
        <v>1308</v>
      </c>
      <c r="BZW858">
        <v>4852470</v>
      </c>
      <c r="BZX858">
        <v>7367113</v>
      </c>
      <c r="BZY858">
        <v>15182522</v>
      </c>
      <c r="BZZ858">
        <v>33169740</v>
      </c>
      <c r="CAA858">
        <v>45506581</v>
      </c>
      <c r="CJR858" t="s">
        <v>1308</v>
      </c>
      <c r="CJS858">
        <v>4852470</v>
      </c>
      <c r="CJT858">
        <v>7367113</v>
      </c>
      <c r="CJU858">
        <v>15182522</v>
      </c>
      <c r="CJV858">
        <v>33169740</v>
      </c>
      <c r="CJW858">
        <v>45506581</v>
      </c>
      <c r="CTN858" t="s">
        <v>1308</v>
      </c>
      <c r="CTO858">
        <v>4852470</v>
      </c>
      <c r="CTP858">
        <v>7367113</v>
      </c>
      <c r="CTQ858">
        <v>15182522</v>
      </c>
      <c r="CTR858">
        <v>33169740</v>
      </c>
      <c r="CTS858">
        <v>45506581</v>
      </c>
      <c r="DDJ858" t="s">
        <v>1308</v>
      </c>
      <c r="DDK858">
        <v>4852470</v>
      </c>
      <c r="DDL858">
        <v>7367113</v>
      </c>
      <c r="DDM858">
        <v>15182522</v>
      </c>
      <c r="DDN858">
        <v>33169740</v>
      </c>
      <c r="DDO858">
        <v>45506581</v>
      </c>
      <c r="DNF858" t="s">
        <v>1308</v>
      </c>
      <c r="DNG858">
        <v>4852470</v>
      </c>
      <c r="DNH858">
        <v>7367113</v>
      </c>
      <c r="DNI858">
        <v>15182522</v>
      </c>
      <c r="DNJ858">
        <v>33169740</v>
      </c>
      <c r="DNK858">
        <v>45506581</v>
      </c>
      <c r="DXB858" t="s">
        <v>1308</v>
      </c>
      <c r="DXC858">
        <v>4852470</v>
      </c>
      <c r="DXD858">
        <v>7367113</v>
      </c>
      <c r="DXE858">
        <v>15182522</v>
      </c>
      <c r="DXF858">
        <v>33169740</v>
      </c>
      <c r="DXG858">
        <v>45506581</v>
      </c>
      <c r="EGX858" t="s">
        <v>1308</v>
      </c>
      <c r="EGY858">
        <v>4852470</v>
      </c>
      <c r="EGZ858">
        <v>7367113</v>
      </c>
      <c r="EHA858">
        <v>15182522</v>
      </c>
      <c r="EHB858">
        <v>33169740</v>
      </c>
      <c r="EHC858">
        <v>45506581</v>
      </c>
      <c r="EQT858" t="s">
        <v>1308</v>
      </c>
      <c r="EQU858">
        <v>4852470</v>
      </c>
      <c r="EQV858">
        <v>7367113</v>
      </c>
      <c r="EQW858">
        <v>15182522</v>
      </c>
      <c r="EQX858">
        <v>33169740</v>
      </c>
      <c r="EQY858">
        <v>45506581</v>
      </c>
      <c r="FAP858" t="s">
        <v>1308</v>
      </c>
      <c r="FAQ858">
        <v>4852470</v>
      </c>
      <c r="FAR858">
        <v>7367113</v>
      </c>
      <c r="FAS858">
        <v>15182522</v>
      </c>
      <c r="FAT858">
        <v>33169740</v>
      </c>
      <c r="FAU858">
        <v>45506581</v>
      </c>
      <c r="FKL858" t="s">
        <v>1308</v>
      </c>
      <c r="FKM858">
        <v>4852470</v>
      </c>
      <c r="FKN858">
        <v>7367113</v>
      </c>
      <c r="FKO858">
        <v>15182522</v>
      </c>
      <c r="FKP858">
        <v>33169740</v>
      </c>
      <c r="FKQ858">
        <v>45506581</v>
      </c>
      <c r="FUH858" t="s">
        <v>1308</v>
      </c>
      <c r="FUI858">
        <v>4852470</v>
      </c>
      <c r="FUJ858">
        <v>7367113</v>
      </c>
      <c r="FUK858">
        <v>15182522</v>
      </c>
      <c r="FUL858">
        <v>33169740</v>
      </c>
      <c r="FUM858">
        <v>45506581</v>
      </c>
      <c r="GED858" t="s">
        <v>1308</v>
      </c>
      <c r="GEE858">
        <v>4852470</v>
      </c>
      <c r="GEF858">
        <v>7367113</v>
      </c>
      <c r="GEG858">
        <v>15182522</v>
      </c>
      <c r="GEH858">
        <v>33169740</v>
      </c>
      <c r="GEI858">
        <v>45506581</v>
      </c>
      <c r="GNZ858" t="s">
        <v>1308</v>
      </c>
      <c r="GOA858">
        <v>4852470</v>
      </c>
      <c r="GOB858">
        <v>7367113</v>
      </c>
      <c r="GOC858">
        <v>15182522</v>
      </c>
      <c r="GOD858">
        <v>33169740</v>
      </c>
      <c r="GOE858">
        <v>45506581</v>
      </c>
      <c r="GXV858" t="s">
        <v>1308</v>
      </c>
      <c r="GXW858">
        <v>4852470</v>
      </c>
      <c r="GXX858">
        <v>7367113</v>
      </c>
      <c r="GXY858">
        <v>15182522</v>
      </c>
      <c r="GXZ858">
        <v>33169740</v>
      </c>
      <c r="GYA858">
        <v>45506581</v>
      </c>
      <c r="HHR858" t="s">
        <v>1308</v>
      </c>
      <c r="HHS858">
        <v>4852470</v>
      </c>
      <c r="HHT858">
        <v>7367113</v>
      </c>
      <c r="HHU858">
        <v>15182522</v>
      </c>
      <c r="HHV858">
        <v>33169740</v>
      </c>
      <c r="HHW858">
        <v>45506581</v>
      </c>
      <c r="HRN858" t="s">
        <v>1308</v>
      </c>
      <c r="HRO858">
        <v>4852470</v>
      </c>
      <c r="HRP858">
        <v>7367113</v>
      </c>
      <c r="HRQ858">
        <v>15182522</v>
      </c>
      <c r="HRR858">
        <v>33169740</v>
      </c>
      <c r="HRS858">
        <v>45506581</v>
      </c>
      <c r="IBJ858" t="s">
        <v>1308</v>
      </c>
      <c r="IBK858">
        <v>4852470</v>
      </c>
      <c r="IBL858">
        <v>7367113</v>
      </c>
      <c r="IBM858">
        <v>15182522</v>
      </c>
      <c r="IBN858">
        <v>33169740</v>
      </c>
      <c r="IBO858">
        <v>45506581</v>
      </c>
      <c r="ILF858" t="s">
        <v>1308</v>
      </c>
      <c r="ILG858">
        <v>4852470</v>
      </c>
      <c r="ILH858">
        <v>7367113</v>
      </c>
      <c r="ILI858">
        <v>15182522</v>
      </c>
      <c r="ILJ858">
        <v>33169740</v>
      </c>
      <c r="ILK858">
        <v>45506581</v>
      </c>
      <c r="IVB858" t="s">
        <v>1308</v>
      </c>
      <c r="IVC858">
        <v>4852470</v>
      </c>
      <c r="IVD858">
        <v>7367113</v>
      </c>
      <c r="IVE858">
        <v>15182522</v>
      </c>
      <c r="IVF858">
        <v>33169740</v>
      </c>
      <c r="IVG858">
        <v>45506581</v>
      </c>
      <c r="JEX858" t="s">
        <v>1308</v>
      </c>
      <c r="JEY858">
        <v>4852470</v>
      </c>
      <c r="JEZ858">
        <v>7367113</v>
      </c>
      <c r="JFA858">
        <v>15182522</v>
      </c>
      <c r="JFB858">
        <v>33169740</v>
      </c>
      <c r="JFC858">
        <v>45506581</v>
      </c>
      <c r="JOT858" t="s">
        <v>1308</v>
      </c>
      <c r="JOU858">
        <v>4852470</v>
      </c>
      <c r="JOV858">
        <v>7367113</v>
      </c>
      <c r="JOW858">
        <v>15182522</v>
      </c>
      <c r="JOX858">
        <v>33169740</v>
      </c>
      <c r="JOY858">
        <v>45506581</v>
      </c>
      <c r="JYP858" t="s">
        <v>1308</v>
      </c>
      <c r="JYQ858">
        <v>4852470</v>
      </c>
      <c r="JYR858">
        <v>7367113</v>
      </c>
      <c r="JYS858">
        <v>15182522</v>
      </c>
      <c r="JYT858">
        <v>33169740</v>
      </c>
      <c r="JYU858">
        <v>45506581</v>
      </c>
      <c r="KIL858" t="s">
        <v>1308</v>
      </c>
      <c r="KIM858">
        <v>4852470</v>
      </c>
      <c r="KIN858">
        <v>7367113</v>
      </c>
      <c r="KIO858">
        <v>15182522</v>
      </c>
      <c r="KIP858">
        <v>33169740</v>
      </c>
      <c r="KIQ858">
        <v>45506581</v>
      </c>
      <c r="KSH858" t="s">
        <v>1308</v>
      </c>
      <c r="KSI858">
        <v>4852470</v>
      </c>
      <c r="KSJ858">
        <v>7367113</v>
      </c>
      <c r="KSK858">
        <v>15182522</v>
      </c>
      <c r="KSL858">
        <v>33169740</v>
      </c>
      <c r="KSM858">
        <v>45506581</v>
      </c>
      <c r="LCD858" t="s">
        <v>1308</v>
      </c>
      <c r="LCE858">
        <v>4852470</v>
      </c>
      <c r="LCF858">
        <v>7367113</v>
      </c>
      <c r="LCG858">
        <v>15182522</v>
      </c>
      <c r="LCH858">
        <v>33169740</v>
      </c>
      <c r="LCI858">
        <v>45506581</v>
      </c>
      <c r="LLZ858" t="s">
        <v>1308</v>
      </c>
      <c r="LMA858">
        <v>4852470</v>
      </c>
      <c r="LMB858">
        <v>7367113</v>
      </c>
      <c r="LMC858">
        <v>15182522</v>
      </c>
      <c r="LMD858">
        <v>33169740</v>
      </c>
      <c r="LME858">
        <v>45506581</v>
      </c>
      <c r="LVV858" t="s">
        <v>1308</v>
      </c>
      <c r="LVW858">
        <v>4852470</v>
      </c>
      <c r="LVX858">
        <v>7367113</v>
      </c>
      <c r="LVY858">
        <v>15182522</v>
      </c>
      <c r="LVZ858">
        <v>33169740</v>
      </c>
      <c r="LWA858">
        <v>45506581</v>
      </c>
      <c r="MFR858" t="s">
        <v>1308</v>
      </c>
      <c r="MFS858">
        <v>4852470</v>
      </c>
      <c r="MFT858">
        <v>7367113</v>
      </c>
      <c r="MFU858">
        <v>15182522</v>
      </c>
      <c r="MFV858">
        <v>33169740</v>
      </c>
      <c r="MFW858">
        <v>45506581</v>
      </c>
      <c r="MPN858" t="s">
        <v>1308</v>
      </c>
      <c r="MPO858">
        <v>4852470</v>
      </c>
      <c r="MPP858">
        <v>7367113</v>
      </c>
      <c r="MPQ858">
        <v>15182522</v>
      </c>
      <c r="MPR858">
        <v>33169740</v>
      </c>
      <c r="MPS858">
        <v>45506581</v>
      </c>
      <c r="MZJ858" t="s">
        <v>1308</v>
      </c>
      <c r="MZK858">
        <v>4852470</v>
      </c>
      <c r="MZL858">
        <v>7367113</v>
      </c>
      <c r="MZM858">
        <v>15182522</v>
      </c>
      <c r="MZN858">
        <v>33169740</v>
      </c>
      <c r="MZO858">
        <v>45506581</v>
      </c>
      <c r="NJF858" t="s">
        <v>1308</v>
      </c>
      <c r="NJG858">
        <v>4852470</v>
      </c>
      <c r="NJH858">
        <v>7367113</v>
      </c>
      <c r="NJI858">
        <v>15182522</v>
      </c>
      <c r="NJJ858">
        <v>33169740</v>
      </c>
      <c r="NJK858">
        <v>45506581</v>
      </c>
      <c r="NTB858" t="s">
        <v>1308</v>
      </c>
      <c r="NTC858">
        <v>4852470</v>
      </c>
      <c r="NTD858">
        <v>7367113</v>
      </c>
      <c r="NTE858">
        <v>15182522</v>
      </c>
      <c r="NTF858">
        <v>33169740</v>
      </c>
      <c r="NTG858">
        <v>45506581</v>
      </c>
      <c r="OCX858" t="s">
        <v>1308</v>
      </c>
      <c r="OCY858">
        <v>4852470</v>
      </c>
      <c r="OCZ858">
        <v>7367113</v>
      </c>
      <c r="ODA858">
        <v>15182522</v>
      </c>
      <c r="ODB858">
        <v>33169740</v>
      </c>
      <c r="ODC858">
        <v>45506581</v>
      </c>
      <c r="OMT858" t="s">
        <v>1308</v>
      </c>
      <c r="OMU858">
        <v>4852470</v>
      </c>
      <c r="OMV858">
        <v>7367113</v>
      </c>
      <c r="OMW858">
        <v>15182522</v>
      </c>
      <c r="OMX858">
        <v>33169740</v>
      </c>
      <c r="OMY858">
        <v>45506581</v>
      </c>
      <c r="OWP858" t="s">
        <v>1308</v>
      </c>
      <c r="OWQ858">
        <v>4852470</v>
      </c>
      <c r="OWR858">
        <v>7367113</v>
      </c>
      <c r="OWS858">
        <v>15182522</v>
      </c>
      <c r="OWT858">
        <v>33169740</v>
      </c>
      <c r="OWU858">
        <v>45506581</v>
      </c>
      <c r="PGL858" t="s">
        <v>1308</v>
      </c>
      <c r="PGM858">
        <v>4852470</v>
      </c>
      <c r="PGN858">
        <v>7367113</v>
      </c>
      <c r="PGO858">
        <v>15182522</v>
      </c>
      <c r="PGP858">
        <v>33169740</v>
      </c>
      <c r="PGQ858">
        <v>45506581</v>
      </c>
      <c r="PQH858" t="s">
        <v>1308</v>
      </c>
      <c r="PQI858">
        <v>4852470</v>
      </c>
      <c r="PQJ858">
        <v>7367113</v>
      </c>
      <c r="PQK858">
        <v>15182522</v>
      </c>
      <c r="PQL858">
        <v>33169740</v>
      </c>
      <c r="PQM858">
        <v>45506581</v>
      </c>
      <c r="QAD858" t="s">
        <v>1308</v>
      </c>
      <c r="QAE858">
        <v>4852470</v>
      </c>
      <c r="QAF858">
        <v>7367113</v>
      </c>
      <c r="QAG858">
        <v>15182522</v>
      </c>
      <c r="QAH858">
        <v>33169740</v>
      </c>
      <c r="QAI858">
        <v>45506581</v>
      </c>
      <c r="QJZ858" t="s">
        <v>1308</v>
      </c>
      <c r="QKA858">
        <v>4852470</v>
      </c>
      <c r="QKB858">
        <v>7367113</v>
      </c>
      <c r="QKC858">
        <v>15182522</v>
      </c>
      <c r="QKD858">
        <v>33169740</v>
      </c>
      <c r="QKE858">
        <v>45506581</v>
      </c>
      <c r="QTV858" t="s">
        <v>1308</v>
      </c>
      <c r="QTW858">
        <v>4852470</v>
      </c>
      <c r="QTX858">
        <v>7367113</v>
      </c>
      <c r="QTY858">
        <v>15182522</v>
      </c>
      <c r="QTZ858">
        <v>33169740</v>
      </c>
      <c r="QUA858">
        <v>45506581</v>
      </c>
      <c r="RDR858" t="s">
        <v>1308</v>
      </c>
      <c r="RDS858">
        <v>4852470</v>
      </c>
      <c r="RDT858">
        <v>7367113</v>
      </c>
      <c r="RDU858">
        <v>15182522</v>
      </c>
      <c r="RDV858">
        <v>33169740</v>
      </c>
      <c r="RDW858">
        <v>45506581</v>
      </c>
      <c r="RNN858" t="s">
        <v>1308</v>
      </c>
      <c r="RNO858">
        <v>4852470</v>
      </c>
      <c r="RNP858">
        <v>7367113</v>
      </c>
      <c r="RNQ858">
        <v>15182522</v>
      </c>
      <c r="RNR858">
        <v>33169740</v>
      </c>
      <c r="RNS858">
        <v>45506581</v>
      </c>
      <c r="RXJ858" t="s">
        <v>1308</v>
      </c>
      <c r="RXK858">
        <v>4852470</v>
      </c>
      <c r="RXL858">
        <v>7367113</v>
      </c>
      <c r="RXM858">
        <v>15182522</v>
      </c>
      <c r="RXN858">
        <v>33169740</v>
      </c>
      <c r="RXO858">
        <v>45506581</v>
      </c>
      <c r="SHF858" t="s">
        <v>1308</v>
      </c>
      <c r="SHG858">
        <v>4852470</v>
      </c>
      <c r="SHH858">
        <v>7367113</v>
      </c>
      <c r="SHI858">
        <v>15182522</v>
      </c>
      <c r="SHJ858">
        <v>33169740</v>
      </c>
      <c r="SHK858">
        <v>45506581</v>
      </c>
      <c r="SRB858" t="s">
        <v>1308</v>
      </c>
      <c r="SRC858">
        <v>4852470</v>
      </c>
      <c r="SRD858">
        <v>7367113</v>
      </c>
      <c r="SRE858">
        <v>15182522</v>
      </c>
      <c r="SRF858">
        <v>33169740</v>
      </c>
      <c r="SRG858">
        <v>45506581</v>
      </c>
      <c r="TAX858" t="s">
        <v>1308</v>
      </c>
      <c r="TAY858">
        <v>4852470</v>
      </c>
      <c r="TAZ858">
        <v>7367113</v>
      </c>
      <c r="TBA858">
        <v>15182522</v>
      </c>
      <c r="TBB858">
        <v>33169740</v>
      </c>
      <c r="TBC858">
        <v>45506581</v>
      </c>
      <c r="TKT858" t="s">
        <v>1308</v>
      </c>
      <c r="TKU858">
        <v>4852470</v>
      </c>
      <c r="TKV858">
        <v>7367113</v>
      </c>
      <c r="TKW858">
        <v>15182522</v>
      </c>
      <c r="TKX858">
        <v>33169740</v>
      </c>
      <c r="TKY858">
        <v>45506581</v>
      </c>
      <c r="TUP858" t="s">
        <v>1308</v>
      </c>
      <c r="TUQ858">
        <v>4852470</v>
      </c>
      <c r="TUR858">
        <v>7367113</v>
      </c>
      <c r="TUS858">
        <v>15182522</v>
      </c>
      <c r="TUT858">
        <v>33169740</v>
      </c>
      <c r="TUU858">
        <v>45506581</v>
      </c>
      <c r="UEL858" t="s">
        <v>1308</v>
      </c>
      <c r="UEM858">
        <v>4852470</v>
      </c>
      <c r="UEN858">
        <v>7367113</v>
      </c>
      <c r="UEO858">
        <v>15182522</v>
      </c>
      <c r="UEP858">
        <v>33169740</v>
      </c>
      <c r="UEQ858">
        <v>45506581</v>
      </c>
      <c r="UOH858" t="s">
        <v>1308</v>
      </c>
      <c r="UOI858">
        <v>4852470</v>
      </c>
      <c r="UOJ858">
        <v>7367113</v>
      </c>
      <c r="UOK858">
        <v>15182522</v>
      </c>
      <c r="UOL858">
        <v>33169740</v>
      </c>
      <c r="UOM858">
        <v>45506581</v>
      </c>
      <c r="UYD858" t="s">
        <v>1308</v>
      </c>
      <c r="UYE858">
        <v>4852470</v>
      </c>
      <c r="UYF858">
        <v>7367113</v>
      </c>
      <c r="UYG858">
        <v>15182522</v>
      </c>
      <c r="UYH858">
        <v>33169740</v>
      </c>
      <c r="UYI858">
        <v>45506581</v>
      </c>
      <c r="VHZ858" t="s">
        <v>1308</v>
      </c>
      <c r="VIA858">
        <v>4852470</v>
      </c>
      <c r="VIB858">
        <v>7367113</v>
      </c>
      <c r="VIC858">
        <v>15182522</v>
      </c>
      <c r="VID858">
        <v>33169740</v>
      </c>
      <c r="VIE858">
        <v>45506581</v>
      </c>
      <c r="VRV858" t="s">
        <v>1308</v>
      </c>
      <c r="VRW858">
        <v>4852470</v>
      </c>
      <c r="VRX858">
        <v>7367113</v>
      </c>
      <c r="VRY858">
        <v>15182522</v>
      </c>
      <c r="VRZ858">
        <v>33169740</v>
      </c>
      <c r="VSA858">
        <v>45506581</v>
      </c>
      <c r="WBR858" t="s">
        <v>1308</v>
      </c>
      <c r="WBS858">
        <v>4852470</v>
      </c>
      <c r="WBT858">
        <v>7367113</v>
      </c>
      <c r="WBU858">
        <v>15182522</v>
      </c>
      <c r="WBV858">
        <v>33169740</v>
      </c>
      <c r="WBW858">
        <v>45506581</v>
      </c>
      <c r="WLN858" t="s">
        <v>1308</v>
      </c>
      <c r="WLO858">
        <v>4852470</v>
      </c>
      <c r="WLP858">
        <v>7367113</v>
      </c>
      <c r="WLQ858">
        <v>15182522</v>
      </c>
      <c r="WLR858">
        <v>33169740</v>
      </c>
      <c r="WLS858">
        <v>45506581</v>
      </c>
      <c r="WVJ858" t="s">
        <v>1308</v>
      </c>
      <c r="WVK858">
        <v>4852470</v>
      </c>
      <c r="WVL858">
        <v>7367113</v>
      </c>
      <c r="WVM858">
        <v>15182522</v>
      </c>
      <c r="WVN858">
        <v>33169740</v>
      </c>
      <c r="WVO858">
        <v>45506581</v>
      </c>
    </row>
    <row r="859" spans="1:775 1026:1799 2050:2823 3074:3847 4098:4871 5122:5895 6146:6919 7170:7943 8194:8967 9218:9991 10242:11015 11266:12039 12290:13063 13314:14087 14338:15111 15362:16135">
      <c r="A859" s="96" t="s">
        <v>1309</v>
      </c>
      <c r="C859" s="100">
        <v>98701</v>
      </c>
      <c r="D859" s="100">
        <v>457791</v>
      </c>
      <c r="E859" s="100">
        <v>1075411</v>
      </c>
      <c r="F859" s="100">
        <v>2966683</v>
      </c>
      <c r="G859" s="100">
        <v>3761980</v>
      </c>
      <c r="H859" s="100"/>
      <c r="IX859" t="s">
        <v>1309</v>
      </c>
      <c r="IY859">
        <v>98701</v>
      </c>
      <c r="IZ859">
        <v>457791</v>
      </c>
      <c r="JA859">
        <v>1075411</v>
      </c>
      <c r="JB859">
        <v>2966683</v>
      </c>
      <c r="JC859">
        <v>3761980</v>
      </c>
      <c r="ST859" t="s">
        <v>1309</v>
      </c>
      <c r="SU859">
        <v>98701</v>
      </c>
      <c r="SV859">
        <v>457791</v>
      </c>
      <c r="SW859">
        <v>1075411</v>
      </c>
      <c r="SX859">
        <v>2966683</v>
      </c>
      <c r="SY859">
        <v>3761980</v>
      </c>
      <c r="ACP859" t="s">
        <v>1309</v>
      </c>
      <c r="ACQ859">
        <v>98701</v>
      </c>
      <c r="ACR859">
        <v>457791</v>
      </c>
      <c r="ACS859">
        <v>1075411</v>
      </c>
      <c r="ACT859">
        <v>2966683</v>
      </c>
      <c r="ACU859">
        <v>3761980</v>
      </c>
      <c r="AML859" t="s">
        <v>1309</v>
      </c>
      <c r="AMM859">
        <v>98701</v>
      </c>
      <c r="AMN859">
        <v>457791</v>
      </c>
      <c r="AMO859">
        <v>1075411</v>
      </c>
      <c r="AMP859">
        <v>2966683</v>
      </c>
      <c r="AMQ859">
        <v>3761980</v>
      </c>
      <c r="AWH859" t="s">
        <v>1309</v>
      </c>
      <c r="AWI859">
        <v>98701</v>
      </c>
      <c r="AWJ859">
        <v>457791</v>
      </c>
      <c r="AWK859">
        <v>1075411</v>
      </c>
      <c r="AWL859">
        <v>2966683</v>
      </c>
      <c r="AWM859">
        <v>3761980</v>
      </c>
      <c r="BGD859" t="s">
        <v>1309</v>
      </c>
      <c r="BGE859">
        <v>98701</v>
      </c>
      <c r="BGF859">
        <v>457791</v>
      </c>
      <c r="BGG859">
        <v>1075411</v>
      </c>
      <c r="BGH859">
        <v>2966683</v>
      </c>
      <c r="BGI859">
        <v>3761980</v>
      </c>
      <c r="BPZ859" t="s">
        <v>1309</v>
      </c>
      <c r="BQA859">
        <v>98701</v>
      </c>
      <c r="BQB859">
        <v>457791</v>
      </c>
      <c r="BQC859">
        <v>1075411</v>
      </c>
      <c r="BQD859">
        <v>2966683</v>
      </c>
      <c r="BQE859">
        <v>3761980</v>
      </c>
      <c r="BZV859" t="s">
        <v>1309</v>
      </c>
      <c r="BZW859">
        <v>98701</v>
      </c>
      <c r="BZX859">
        <v>457791</v>
      </c>
      <c r="BZY859">
        <v>1075411</v>
      </c>
      <c r="BZZ859">
        <v>2966683</v>
      </c>
      <c r="CAA859">
        <v>3761980</v>
      </c>
      <c r="CJR859" t="s">
        <v>1309</v>
      </c>
      <c r="CJS859">
        <v>98701</v>
      </c>
      <c r="CJT859">
        <v>457791</v>
      </c>
      <c r="CJU859">
        <v>1075411</v>
      </c>
      <c r="CJV859">
        <v>2966683</v>
      </c>
      <c r="CJW859">
        <v>3761980</v>
      </c>
      <c r="CTN859" t="s">
        <v>1309</v>
      </c>
      <c r="CTO859">
        <v>98701</v>
      </c>
      <c r="CTP859">
        <v>457791</v>
      </c>
      <c r="CTQ859">
        <v>1075411</v>
      </c>
      <c r="CTR859">
        <v>2966683</v>
      </c>
      <c r="CTS859">
        <v>3761980</v>
      </c>
      <c r="DDJ859" t="s">
        <v>1309</v>
      </c>
      <c r="DDK859">
        <v>98701</v>
      </c>
      <c r="DDL859">
        <v>457791</v>
      </c>
      <c r="DDM859">
        <v>1075411</v>
      </c>
      <c r="DDN859">
        <v>2966683</v>
      </c>
      <c r="DDO859">
        <v>3761980</v>
      </c>
      <c r="DNF859" t="s">
        <v>1309</v>
      </c>
      <c r="DNG859">
        <v>98701</v>
      </c>
      <c r="DNH859">
        <v>457791</v>
      </c>
      <c r="DNI859">
        <v>1075411</v>
      </c>
      <c r="DNJ859">
        <v>2966683</v>
      </c>
      <c r="DNK859">
        <v>3761980</v>
      </c>
      <c r="DXB859" t="s">
        <v>1309</v>
      </c>
      <c r="DXC859">
        <v>98701</v>
      </c>
      <c r="DXD859">
        <v>457791</v>
      </c>
      <c r="DXE859">
        <v>1075411</v>
      </c>
      <c r="DXF859">
        <v>2966683</v>
      </c>
      <c r="DXG859">
        <v>3761980</v>
      </c>
      <c r="EGX859" t="s">
        <v>1309</v>
      </c>
      <c r="EGY859">
        <v>98701</v>
      </c>
      <c r="EGZ859">
        <v>457791</v>
      </c>
      <c r="EHA859">
        <v>1075411</v>
      </c>
      <c r="EHB859">
        <v>2966683</v>
      </c>
      <c r="EHC859">
        <v>3761980</v>
      </c>
      <c r="EQT859" t="s">
        <v>1309</v>
      </c>
      <c r="EQU859">
        <v>98701</v>
      </c>
      <c r="EQV859">
        <v>457791</v>
      </c>
      <c r="EQW859">
        <v>1075411</v>
      </c>
      <c r="EQX859">
        <v>2966683</v>
      </c>
      <c r="EQY859">
        <v>3761980</v>
      </c>
      <c r="FAP859" t="s">
        <v>1309</v>
      </c>
      <c r="FAQ859">
        <v>98701</v>
      </c>
      <c r="FAR859">
        <v>457791</v>
      </c>
      <c r="FAS859">
        <v>1075411</v>
      </c>
      <c r="FAT859">
        <v>2966683</v>
      </c>
      <c r="FAU859">
        <v>3761980</v>
      </c>
      <c r="FKL859" t="s">
        <v>1309</v>
      </c>
      <c r="FKM859">
        <v>98701</v>
      </c>
      <c r="FKN859">
        <v>457791</v>
      </c>
      <c r="FKO859">
        <v>1075411</v>
      </c>
      <c r="FKP859">
        <v>2966683</v>
      </c>
      <c r="FKQ859">
        <v>3761980</v>
      </c>
      <c r="FUH859" t="s">
        <v>1309</v>
      </c>
      <c r="FUI859">
        <v>98701</v>
      </c>
      <c r="FUJ859">
        <v>457791</v>
      </c>
      <c r="FUK859">
        <v>1075411</v>
      </c>
      <c r="FUL859">
        <v>2966683</v>
      </c>
      <c r="FUM859">
        <v>3761980</v>
      </c>
      <c r="GED859" t="s">
        <v>1309</v>
      </c>
      <c r="GEE859">
        <v>98701</v>
      </c>
      <c r="GEF859">
        <v>457791</v>
      </c>
      <c r="GEG859">
        <v>1075411</v>
      </c>
      <c r="GEH859">
        <v>2966683</v>
      </c>
      <c r="GEI859">
        <v>3761980</v>
      </c>
      <c r="GNZ859" t="s">
        <v>1309</v>
      </c>
      <c r="GOA859">
        <v>98701</v>
      </c>
      <c r="GOB859">
        <v>457791</v>
      </c>
      <c r="GOC859">
        <v>1075411</v>
      </c>
      <c r="GOD859">
        <v>2966683</v>
      </c>
      <c r="GOE859">
        <v>3761980</v>
      </c>
      <c r="GXV859" t="s">
        <v>1309</v>
      </c>
      <c r="GXW859">
        <v>98701</v>
      </c>
      <c r="GXX859">
        <v>457791</v>
      </c>
      <c r="GXY859">
        <v>1075411</v>
      </c>
      <c r="GXZ859">
        <v>2966683</v>
      </c>
      <c r="GYA859">
        <v>3761980</v>
      </c>
      <c r="HHR859" t="s">
        <v>1309</v>
      </c>
      <c r="HHS859">
        <v>98701</v>
      </c>
      <c r="HHT859">
        <v>457791</v>
      </c>
      <c r="HHU859">
        <v>1075411</v>
      </c>
      <c r="HHV859">
        <v>2966683</v>
      </c>
      <c r="HHW859">
        <v>3761980</v>
      </c>
      <c r="HRN859" t="s">
        <v>1309</v>
      </c>
      <c r="HRO859">
        <v>98701</v>
      </c>
      <c r="HRP859">
        <v>457791</v>
      </c>
      <c r="HRQ859">
        <v>1075411</v>
      </c>
      <c r="HRR859">
        <v>2966683</v>
      </c>
      <c r="HRS859">
        <v>3761980</v>
      </c>
      <c r="IBJ859" t="s">
        <v>1309</v>
      </c>
      <c r="IBK859">
        <v>98701</v>
      </c>
      <c r="IBL859">
        <v>457791</v>
      </c>
      <c r="IBM859">
        <v>1075411</v>
      </c>
      <c r="IBN859">
        <v>2966683</v>
      </c>
      <c r="IBO859">
        <v>3761980</v>
      </c>
      <c r="ILF859" t="s">
        <v>1309</v>
      </c>
      <c r="ILG859">
        <v>98701</v>
      </c>
      <c r="ILH859">
        <v>457791</v>
      </c>
      <c r="ILI859">
        <v>1075411</v>
      </c>
      <c r="ILJ859">
        <v>2966683</v>
      </c>
      <c r="ILK859">
        <v>3761980</v>
      </c>
      <c r="IVB859" t="s">
        <v>1309</v>
      </c>
      <c r="IVC859">
        <v>98701</v>
      </c>
      <c r="IVD859">
        <v>457791</v>
      </c>
      <c r="IVE859">
        <v>1075411</v>
      </c>
      <c r="IVF859">
        <v>2966683</v>
      </c>
      <c r="IVG859">
        <v>3761980</v>
      </c>
      <c r="JEX859" t="s">
        <v>1309</v>
      </c>
      <c r="JEY859">
        <v>98701</v>
      </c>
      <c r="JEZ859">
        <v>457791</v>
      </c>
      <c r="JFA859">
        <v>1075411</v>
      </c>
      <c r="JFB859">
        <v>2966683</v>
      </c>
      <c r="JFC859">
        <v>3761980</v>
      </c>
      <c r="JOT859" t="s">
        <v>1309</v>
      </c>
      <c r="JOU859">
        <v>98701</v>
      </c>
      <c r="JOV859">
        <v>457791</v>
      </c>
      <c r="JOW859">
        <v>1075411</v>
      </c>
      <c r="JOX859">
        <v>2966683</v>
      </c>
      <c r="JOY859">
        <v>3761980</v>
      </c>
      <c r="JYP859" t="s">
        <v>1309</v>
      </c>
      <c r="JYQ859">
        <v>98701</v>
      </c>
      <c r="JYR859">
        <v>457791</v>
      </c>
      <c r="JYS859">
        <v>1075411</v>
      </c>
      <c r="JYT859">
        <v>2966683</v>
      </c>
      <c r="JYU859">
        <v>3761980</v>
      </c>
      <c r="KIL859" t="s">
        <v>1309</v>
      </c>
      <c r="KIM859">
        <v>98701</v>
      </c>
      <c r="KIN859">
        <v>457791</v>
      </c>
      <c r="KIO859">
        <v>1075411</v>
      </c>
      <c r="KIP859">
        <v>2966683</v>
      </c>
      <c r="KIQ859">
        <v>3761980</v>
      </c>
      <c r="KSH859" t="s">
        <v>1309</v>
      </c>
      <c r="KSI859">
        <v>98701</v>
      </c>
      <c r="KSJ859">
        <v>457791</v>
      </c>
      <c r="KSK859">
        <v>1075411</v>
      </c>
      <c r="KSL859">
        <v>2966683</v>
      </c>
      <c r="KSM859">
        <v>3761980</v>
      </c>
      <c r="LCD859" t="s">
        <v>1309</v>
      </c>
      <c r="LCE859">
        <v>98701</v>
      </c>
      <c r="LCF859">
        <v>457791</v>
      </c>
      <c r="LCG859">
        <v>1075411</v>
      </c>
      <c r="LCH859">
        <v>2966683</v>
      </c>
      <c r="LCI859">
        <v>3761980</v>
      </c>
      <c r="LLZ859" t="s">
        <v>1309</v>
      </c>
      <c r="LMA859">
        <v>98701</v>
      </c>
      <c r="LMB859">
        <v>457791</v>
      </c>
      <c r="LMC859">
        <v>1075411</v>
      </c>
      <c r="LMD859">
        <v>2966683</v>
      </c>
      <c r="LME859">
        <v>3761980</v>
      </c>
      <c r="LVV859" t="s">
        <v>1309</v>
      </c>
      <c r="LVW859">
        <v>98701</v>
      </c>
      <c r="LVX859">
        <v>457791</v>
      </c>
      <c r="LVY859">
        <v>1075411</v>
      </c>
      <c r="LVZ859">
        <v>2966683</v>
      </c>
      <c r="LWA859">
        <v>3761980</v>
      </c>
      <c r="MFR859" t="s">
        <v>1309</v>
      </c>
      <c r="MFS859">
        <v>98701</v>
      </c>
      <c r="MFT859">
        <v>457791</v>
      </c>
      <c r="MFU859">
        <v>1075411</v>
      </c>
      <c r="MFV859">
        <v>2966683</v>
      </c>
      <c r="MFW859">
        <v>3761980</v>
      </c>
      <c r="MPN859" t="s">
        <v>1309</v>
      </c>
      <c r="MPO859">
        <v>98701</v>
      </c>
      <c r="MPP859">
        <v>457791</v>
      </c>
      <c r="MPQ859">
        <v>1075411</v>
      </c>
      <c r="MPR859">
        <v>2966683</v>
      </c>
      <c r="MPS859">
        <v>3761980</v>
      </c>
      <c r="MZJ859" t="s">
        <v>1309</v>
      </c>
      <c r="MZK859">
        <v>98701</v>
      </c>
      <c r="MZL859">
        <v>457791</v>
      </c>
      <c r="MZM859">
        <v>1075411</v>
      </c>
      <c r="MZN859">
        <v>2966683</v>
      </c>
      <c r="MZO859">
        <v>3761980</v>
      </c>
      <c r="NJF859" t="s">
        <v>1309</v>
      </c>
      <c r="NJG859">
        <v>98701</v>
      </c>
      <c r="NJH859">
        <v>457791</v>
      </c>
      <c r="NJI859">
        <v>1075411</v>
      </c>
      <c r="NJJ859">
        <v>2966683</v>
      </c>
      <c r="NJK859">
        <v>3761980</v>
      </c>
      <c r="NTB859" t="s">
        <v>1309</v>
      </c>
      <c r="NTC859">
        <v>98701</v>
      </c>
      <c r="NTD859">
        <v>457791</v>
      </c>
      <c r="NTE859">
        <v>1075411</v>
      </c>
      <c r="NTF859">
        <v>2966683</v>
      </c>
      <c r="NTG859">
        <v>3761980</v>
      </c>
      <c r="OCX859" t="s">
        <v>1309</v>
      </c>
      <c r="OCY859">
        <v>98701</v>
      </c>
      <c r="OCZ859">
        <v>457791</v>
      </c>
      <c r="ODA859">
        <v>1075411</v>
      </c>
      <c r="ODB859">
        <v>2966683</v>
      </c>
      <c r="ODC859">
        <v>3761980</v>
      </c>
      <c r="OMT859" t="s">
        <v>1309</v>
      </c>
      <c r="OMU859">
        <v>98701</v>
      </c>
      <c r="OMV859">
        <v>457791</v>
      </c>
      <c r="OMW859">
        <v>1075411</v>
      </c>
      <c r="OMX859">
        <v>2966683</v>
      </c>
      <c r="OMY859">
        <v>3761980</v>
      </c>
      <c r="OWP859" t="s">
        <v>1309</v>
      </c>
      <c r="OWQ859">
        <v>98701</v>
      </c>
      <c r="OWR859">
        <v>457791</v>
      </c>
      <c r="OWS859">
        <v>1075411</v>
      </c>
      <c r="OWT859">
        <v>2966683</v>
      </c>
      <c r="OWU859">
        <v>3761980</v>
      </c>
      <c r="PGL859" t="s">
        <v>1309</v>
      </c>
      <c r="PGM859">
        <v>98701</v>
      </c>
      <c r="PGN859">
        <v>457791</v>
      </c>
      <c r="PGO859">
        <v>1075411</v>
      </c>
      <c r="PGP859">
        <v>2966683</v>
      </c>
      <c r="PGQ859">
        <v>3761980</v>
      </c>
      <c r="PQH859" t="s">
        <v>1309</v>
      </c>
      <c r="PQI859">
        <v>98701</v>
      </c>
      <c r="PQJ859">
        <v>457791</v>
      </c>
      <c r="PQK859">
        <v>1075411</v>
      </c>
      <c r="PQL859">
        <v>2966683</v>
      </c>
      <c r="PQM859">
        <v>3761980</v>
      </c>
      <c r="QAD859" t="s">
        <v>1309</v>
      </c>
      <c r="QAE859">
        <v>98701</v>
      </c>
      <c r="QAF859">
        <v>457791</v>
      </c>
      <c r="QAG859">
        <v>1075411</v>
      </c>
      <c r="QAH859">
        <v>2966683</v>
      </c>
      <c r="QAI859">
        <v>3761980</v>
      </c>
      <c r="QJZ859" t="s">
        <v>1309</v>
      </c>
      <c r="QKA859">
        <v>98701</v>
      </c>
      <c r="QKB859">
        <v>457791</v>
      </c>
      <c r="QKC859">
        <v>1075411</v>
      </c>
      <c r="QKD859">
        <v>2966683</v>
      </c>
      <c r="QKE859">
        <v>3761980</v>
      </c>
      <c r="QTV859" t="s">
        <v>1309</v>
      </c>
      <c r="QTW859">
        <v>98701</v>
      </c>
      <c r="QTX859">
        <v>457791</v>
      </c>
      <c r="QTY859">
        <v>1075411</v>
      </c>
      <c r="QTZ859">
        <v>2966683</v>
      </c>
      <c r="QUA859">
        <v>3761980</v>
      </c>
      <c r="RDR859" t="s">
        <v>1309</v>
      </c>
      <c r="RDS859">
        <v>98701</v>
      </c>
      <c r="RDT859">
        <v>457791</v>
      </c>
      <c r="RDU859">
        <v>1075411</v>
      </c>
      <c r="RDV859">
        <v>2966683</v>
      </c>
      <c r="RDW859">
        <v>3761980</v>
      </c>
      <c r="RNN859" t="s">
        <v>1309</v>
      </c>
      <c r="RNO859">
        <v>98701</v>
      </c>
      <c r="RNP859">
        <v>457791</v>
      </c>
      <c r="RNQ859">
        <v>1075411</v>
      </c>
      <c r="RNR859">
        <v>2966683</v>
      </c>
      <c r="RNS859">
        <v>3761980</v>
      </c>
      <c r="RXJ859" t="s">
        <v>1309</v>
      </c>
      <c r="RXK859">
        <v>98701</v>
      </c>
      <c r="RXL859">
        <v>457791</v>
      </c>
      <c r="RXM859">
        <v>1075411</v>
      </c>
      <c r="RXN859">
        <v>2966683</v>
      </c>
      <c r="RXO859">
        <v>3761980</v>
      </c>
      <c r="SHF859" t="s">
        <v>1309</v>
      </c>
      <c r="SHG859">
        <v>98701</v>
      </c>
      <c r="SHH859">
        <v>457791</v>
      </c>
      <c r="SHI859">
        <v>1075411</v>
      </c>
      <c r="SHJ859">
        <v>2966683</v>
      </c>
      <c r="SHK859">
        <v>3761980</v>
      </c>
      <c r="SRB859" t="s">
        <v>1309</v>
      </c>
      <c r="SRC859">
        <v>98701</v>
      </c>
      <c r="SRD859">
        <v>457791</v>
      </c>
      <c r="SRE859">
        <v>1075411</v>
      </c>
      <c r="SRF859">
        <v>2966683</v>
      </c>
      <c r="SRG859">
        <v>3761980</v>
      </c>
      <c r="TAX859" t="s">
        <v>1309</v>
      </c>
      <c r="TAY859">
        <v>98701</v>
      </c>
      <c r="TAZ859">
        <v>457791</v>
      </c>
      <c r="TBA859">
        <v>1075411</v>
      </c>
      <c r="TBB859">
        <v>2966683</v>
      </c>
      <c r="TBC859">
        <v>3761980</v>
      </c>
      <c r="TKT859" t="s">
        <v>1309</v>
      </c>
      <c r="TKU859">
        <v>98701</v>
      </c>
      <c r="TKV859">
        <v>457791</v>
      </c>
      <c r="TKW859">
        <v>1075411</v>
      </c>
      <c r="TKX859">
        <v>2966683</v>
      </c>
      <c r="TKY859">
        <v>3761980</v>
      </c>
      <c r="TUP859" t="s">
        <v>1309</v>
      </c>
      <c r="TUQ859">
        <v>98701</v>
      </c>
      <c r="TUR859">
        <v>457791</v>
      </c>
      <c r="TUS859">
        <v>1075411</v>
      </c>
      <c r="TUT859">
        <v>2966683</v>
      </c>
      <c r="TUU859">
        <v>3761980</v>
      </c>
      <c r="UEL859" t="s">
        <v>1309</v>
      </c>
      <c r="UEM859">
        <v>98701</v>
      </c>
      <c r="UEN859">
        <v>457791</v>
      </c>
      <c r="UEO859">
        <v>1075411</v>
      </c>
      <c r="UEP859">
        <v>2966683</v>
      </c>
      <c r="UEQ859">
        <v>3761980</v>
      </c>
      <c r="UOH859" t="s">
        <v>1309</v>
      </c>
      <c r="UOI859">
        <v>98701</v>
      </c>
      <c r="UOJ859">
        <v>457791</v>
      </c>
      <c r="UOK859">
        <v>1075411</v>
      </c>
      <c r="UOL859">
        <v>2966683</v>
      </c>
      <c r="UOM859">
        <v>3761980</v>
      </c>
      <c r="UYD859" t="s">
        <v>1309</v>
      </c>
      <c r="UYE859">
        <v>98701</v>
      </c>
      <c r="UYF859">
        <v>457791</v>
      </c>
      <c r="UYG859">
        <v>1075411</v>
      </c>
      <c r="UYH859">
        <v>2966683</v>
      </c>
      <c r="UYI859">
        <v>3761980</v>
      </c>
      <c r="VHZ859" t="s">
        <v>1309</v>
      </c>
      <c r="VIA859">
        <v>98701</v>
      </c>
      <c r="VIB859">
        <v>457791</v>
      </c>
      <c r="VIC859">
        <v>1075411</v>
      </c>
      <c r="VID859">
        <v>2966683</v>
      </c>
      <c r="VIE859">
        <v>3761980</v>
      </c>
      <c r="VRV859" t="s">
        <v>1309</v>
      </c>
      <c r="VRW859">
        <v>98701</v>
      </c>
      <c r="VRX859">
        <v>457791</v>
      </c>
      <c r="VRY859">
        <v>1075411</v>
      </c>
      <c r="VRZ859">
        <v>2966683</v>
      </c>
      <c r="VSA859">
        <v>3761980</v>
      </c>
      <c r="WBR859" t="s">
        <v>1309</v>
      </c>
      <c r="WBS859">
        <v>98701</v>
      </c>
      <c r="WBT859">
        <v>457791</v>
      </c>
      <c r="WBU859">
        <v>1075411</v>
      </c>
      <c r="WBV859">
        <v>2966683</v>
      </c>
      <c r="WBW859">
        <v>3761980</v>
      </c>
      <c r="WLN859" t="s">
        <v>1309</v>
      </c>
      <c r="WLO859">
        <v>98701</v>
      </c>
      <c r="WLP859">
        <v>457791</v>
      </c>
      <c r="WLQ859">
        <v>1075411</v>
      </c>
      <c r="WLR859">
        <v>2966683</v>
      </c>
      <c r="WLS859">
        <v>3761980</v>
      </c>
      <c r="WVJ859" t="s">
        <v>1309</v>
      </c>
      <c r="WVK859">
        <v>98701</v>
      </c>
      <c r="WVL859">
        <v>457791</v>
      </c>
      <c r="WVM859">
        <v>1075411</v>
      </c>
      <c r="WVN859">
        <v>2966683</v>
      </c>
      <c r="WVO859">
        <v>3761980</v>
      </c>
    </row>
    <row r="860" spans="1:775 1026:1799 2050:2823 3074:3847 4098:4871 5122:5895 6146:6919 7170:7943 8194:8967 9218:9991 10242:11015 11266:12039 12290:13063 13314:14087 14338:15111 15362:16135">
      <c r="A860" s="654" t="s">
        <v>671</v>
      </c>
      <c r="C860" s="1469">
        <v>4951171</v>
      </c>
      <c r="D860" s="1469">
        <v>7824904</v>
      </c>
      <c r="E860" s="1469">
        <v>16257933</v>
      </c>
      <c r="F860" s="1469">
        <v>36136423</v>
      </c>
      <c r="G860" s="1469">
        <v>49268561</v>
      </c>
      <c r="H860" s="100"/>
      <c r="IX860" t="s">
        <v>671</v>
      </c>
      <c r="IY860">
        <v>4951171</v>
      </c>
      <c r="IZ860">
        <v>7824904</v>
      </c>
      <c r="JA860">
        <v>16257933</v>
      </c>
      <c r="JB860">
        <v>36136423</v>
      </c>
      <c r="JC860">
        <v>49268561</v>
      </c>
      <c r="ST860" t="s">
        <v>671</v>
      </c>
      <c r="SU860">
        <v>4951171</v>
      </c>
      <c r="SV860">
        <v>7824904</v>
      </c>
      <c r="SW860">
        <v>16257933</v>
      </c>
      <c r="SX860">
        <v>36136423</v>
      </c>
      <c r="SY860">
        <v>49268561</v>
      </c>
      <c r="ACP860" t="s">
        <v>671</v>
      </c>
      <c r="ACQ860">
        <v>4951171</v>
      </c>
      <c r="ACR860">
        <v>7824904</v>
      </c>
      <c r="ACS860">
        <v>16257933</v>
      </c>
      <c r="ACT860">
        <v>36136423</v>
      </c>
      <c r="ACU860">
        <v>49268561</v>
      </c>
      <c r="AML860" t="s">
        <v>671</v>
      </c>
      <c r="AMM860">
        <v>4951171</v>
      </c>
      <c r="AMN860">
        <v>7824904</v>
      </c>
      <c r="AMO860">
        <v>16257933</v>
      </c>
      <c r="AMP860">
        <v>36136423</v>
      </c>
      <c r="AMQ860">
        <v>49268561</v>
      </c>
      <c r="AWH860" t="s">
        <v>671</v>
      </c>
      <c r="AWI860">
        <v>4951171</v>
      </c>
      <c r="AWJ860">
        <v>7824904</v>
      </c>
      <c r="AWK860">
        <v>16257933</v>
      </c>
      <c r="AWL860">
        <v>36136423</v>
      </c>
      <c r="AWM860">
        <v>49268561</v>
      </c>
      <c r="BGD860" t="s">
        <v>671</v>
      </c>
      <c r="BGE860">
        <v>4951171</v>
      </c>
      <c r="BGF860">
        <v>7824904</v>
      </c>
      <c r="BGG860">
        <v>16257933</v>
      </c>
      <c r="BGH860">
        <v>36136423</v>
      </c>
      <c r="BGI860">
        <v>49268561</v>
      </c>
      <c r="BPZ860" t="s">
        <v>671</v>
      </c>
      <c r="BQA860">
        <v>4951171</v>
      </c>
      <c r="BQB860">
        <v>7824904</v>
      </c>
      <c r="BQC860">
        <v>16257933</v>
      </c>
      <c r="BQD860">
        <v>36136423</v>
      </c>
      <c r="BQE860">
        <v>49268561</v>
      </c>
      <c r="BZV860" t="s">
        <v>671</v>
      </c>
      <c r="BZW860">
        <v>4951171</v>
      </c>
      <c r="BZX860">
        <v>7824904</v>
      </c>
      <c r="BZY860">
        <v>16257933</v>
      </c>
      <c r="BZZ860">
        <v>36136423</v>
      </c>
      <c r="CAA860">
        <v>49268561</v>
      </c>
      <c r="CJR860" t="s">
        <v>671</v>
      </c>
      <c r="CJS860">
        <v>4951171</v>
      </c>
      <c r="CJT860">
        <v>7824904</v>
      </c>
      <c r="CJU860">
        <v>16257933</v>
      </c>
      <c r="CJV860">
        <v>36136423</v>
      </c>
      <c r="CJW860">
        <v>49268561</v>
      </c>
      <c r="CTN860" t="s">
        <v>671</v>
      </c>
      <c r="CTO860">
        <v>4951171</v>
      </c>
      <c r="CTP860">
        <v>7824904</v>
      </c>
      <c r="CTQ860">
        <v>16257933</v>
      </c>
      <c r="CTR860">
        <v>36136423</v>
      </c>
      <c r="CTS860">
        <v>49268561</v>
      </c>
      <c r="DDJ860" t="s">
        <v>671</v>
      </c>
      <c r="DDK860">
        <v>4951171</v>
      </c>
      <c r="DDL860">
        <v>7824904</v>
      </c>
      <c r="DDM860">
        <v>16257933</v>
      </c>
      <c r="DDN860">
        <v>36136423</v>
      </c>
      <c r="DDO860">
        <v>49268561</v>
      </c>
      <c r="DNF860" t="s">
        <v>671</v>
      </c>
      <c r="DNG860">
        <v>4951171</v>
      </c>
      <c r="DNH860">
        <v>7824904</v>
      </c>
      <c r="DNI860">
        <v>16257933</v>
      </c>
      <c r="DNJ860">
        <v>36136423</v>
      </c>
      <c r="DNK860">
        <v>49268561</v>
      </c>
      <c r="DXB860" t="s">
        <v>671</v>
      </c>
      <c r="DXC860">
        <v>4951171</v>
      </c>
      <c r="DXD860">
        <v>7824904</v>
      </c>
      <c r="DXE860">
        <v>16257933</v>
      </c>
      <c r="DXF860">
        <v>36136423</v>
      </c>
      <c r="DXG860">
        <v>49268561</v>
      </c>
      <c r="EGX860" t="s">
        <v>671</v>
      </c>
      <c r="EGY860">
        <v>4951171</v>
      </c>
      <c r="EGZ860">
        <v>7824904</v>
      </c>
      <c r="EHA860">
        <v>16257933</v>
      </c>
      <c r="EHB860">
        <v>36136423</v>
      </c>
      <c r="EHC860">
        <v>49268561</v>
      </c>
      <c r="EQT860" t="s">
        <v>671</v>
      </c>
      <c r="EQU860">
        <v>4951171</v>
      </c>
      <c r="EQV860">
        <v>7824904</v>
      </c>
      <c r="EQW860">
        <v>16257933</v>
      </c>
      <c r="EQX860">
        <v>36136423</v>
      </c>
      <c r="EQY860">
        <v>49268561</v>
      </c>
      <c r="FAP860" t="s">
        <v>671</v>
      </c>
      <c r="FAQ860">
        <v>4951171</v>
      </c>
      <c r="FAR860">
        <v>7824904</v>
      </c>
      <c r="FAS860">
        <v>16257933</v>
      </c>
      <c r="FAT860">
        <v>36136423</v>
      </c>
      <c r="FAU860">
        <v>49268561</v>
      </c>
      <c r="FKL860" t="s">
        <v>671</v>
      </c>
      <c r="FKM860">
        <v>4951171</v>
      </c>
      <c r="FKN860">
        <v>7824904</v>
      </c>
      <c r="FKO860">
        <v>16257933</v>
      </c>
      <c r="FKP860">
        <v>36136423</v>
      </c>
      <c r="FKQ860">
        <v>49268561</v>
      </c>
      <c r="FUH860" t="s">
        <v>671</v>
      </c>
      <c r="FUI860">
        <v>4951171</v>
      </c>
      <c r="FUJ860">
        <v>7824904</v>
      </c>
      <c r="FUK860">
        <v>16257933</v>
      </c>
      <c r="FUL860">
        <v>36136423</v>
      </c>
      <c r="FUM860">
        <v>49268561</v>
      </c>
      <c r="GED860" t="s">
        <v>671</v>
      </c>
      <c r="GEE860">
        <v>4951171</v>
      </c>
      <c r="GEF860">
        <v>7824904</v>
      </c>
      <c r="GEG860">
        <v>16257933</v>
      </c>
      <c r="GEH860">
        <v>36136423</v>
      </c>
      <c r="GEI860">
        <v>49268561</v>
      </c>
      <c r="GNZ860" t="s">
        <v>671</v>
      </c>
      <c r="GOA860">
        <v>4951171</v>
      </c>
      <c r="GOB860">
        <v>7824904</v>
      </c>
      <c r="GOC860">
        <v>16257933</v>
      </c>
      <c r="GOD860">
        <v>36136423</v>
      </c>
      <c r="GOE860">
        <v>49268561</v>
      </c>
      <c r="GXV860" t="s">
        <v>671</v>
      </c>
      <c r="GXW860">
        <v>4951171</v>
      </c>
      <c r="GXX860">
        <v>7824904</v>
      </c>
      <c r="GXY860">
        <v>16257933</v>
      </c>
      <c r="GXZ860">
        <v>36136423</v>
      </c>
      <c r="GYA860">
        <v>49268561</v>
      </c>
      <c r="HHR860" t="s">
        <v>671</v>
      </c>
      <c r="HHS860">
        <v>4951171</v>
      </c>
      <c r="HHT860">
        <v>7824904</v>
      </c>
      <c r="HHU860">
        <v>16257933</v>
      </c>
      <c r="HHV860">
        <v>36136423</v>
      </c>
      <c r="HHW860">
        <v>49268561</v>
      </c>
      <c r="HRN860" t="s">
        <v>671</v>
      </c>
      <c r="HRO860">
        <v>4951171</v>
      </c>
      <c r="HRP860">
        <v>7824904</v>
      </c>
      <c r="HRQ860">
        <v>16257933</v>
      </c>
      <c r="HRR860">
        <v>36136423</v>
      </c>
      <c r="HRS860">
        <v>49268561</v>
      </c>
      <c r="IBJ860" t="s">
        <v>671</v>
      </c>
      <c r="IBK860">
        <v>4951171</v>
      </c>
      <c r="IBL860">
        <v>7824904</v>
      </c>
      <c r="IBM860">
        <v>16257933</v>
      </c>
      <c r="IBN860">
        <v>36136423</v>
      </c>
      <c r="IBO860">
        <v>49268561</v>
      </c>
      <c r="ILF860" t="s">
        <v>671</v>
      </c>
      <c r="ILG860">
        <v>4951171</v>
      </c>
      <c r="ILH860">
        <v>7824904</v>
      </c>
      <c r="ILI860">
        <v>16257933</v>
      </c>
      <c r="ILJ860">
        <v>36136423</v>
      </c>
      <c r="ILK860">
        <v>49268561</v>
      </c>
      <c r="IVB860" t="s">
        <v>671</v>
      </c>
      <c r="IVC860">
        <v>4951171</v>
      </c>
      <c r="IVD860">
        <v>7824904</v>
      </c>
      <c r="IVE860">
        <v>16257933</v>
      </c>
      <c r="IVF860">
        <v>36136423</v>
      </c>
      <c r="IVG860">
        <v>49268561</v>
      </c>
      <c r="JEX860" t="s">
        <v>671</v>
      </c>
      <c r="JEY860">
        <v>4951171</v>
      </c>
      <c r="JEZ860">
        <v>7824904</v>
      </c>
      <c r="JFA860">
        <v>16257933</v>
      </c>
      <c r="JFB860">
        <v>36136423</v>
      </c>
      <c r="JFC860">
        <v>49268561</v>
      </c>
      <c r="JOT860" t="s">
        <v>671</v>
      </c>
      <c r="JOU860">
        <v>4951171</v>
      </c>
      <c r="JOV860">
        <v>7824904</v>
      </c>
      <c r="JOW860">
        <v>16257933</v>
      </c>
      <c r="JOX860">
        <v>36136423</v>
      </c>
      <c r="JOY860">
        <v>49268561</v>
      </c>
      <c r="JYP860" t="s">
        <v>671</v>
      </c>
      <c r="JYQ860">
        <v>4951171</v>
      </c>
      <c r="JYR860">
        <v>7824904</v>
      </c>
      <c r="JYS860">
        <v>16257933</v>
      </c>
      <c r="JYT860">
        <v>36136423</v>
      </c>
      <c r="JYU860">
        <v>49268561</v>
      </c>
      <c r="KIL860" t="s">
        <v>671</v>
      </c>
      <c r="KIM860">
        <v>4951171</v>
      </c>
      <c r="KIN860">
        <v>7824904</v>
      </c>
      <c r="KIO860">
        <v>16257933</v>
      </c>
      <c r="KIP860">
        <v>36136423</v>
      </c>
      <c r="KIQ860">
        <v>49268561</v>
      </c>
      <c r="KSH860" t="s">
        <v>671</v>
      </c>
      <c r="KSI860">
        <v>4951171</v>
      </c>
      <c r="KSJ860">
        <v>7824904</v>
      </c>
      <c r="KSK860">
        <v>16257933</v>
      </c>
      <c r="KSL860">
        <v>36136423</v>
      </c>
      <c r="KSM860">
        <v>49268561</v>
      </c>
      <c r="LCD860" t="s">
        <v>671</v>
      </c>
      <c r="LCE860">
        <v>4951171</v>
      </c>
      <c r="LCF860">
        <v>7824904</v>
      </c>
      <c r="LCG860">
        <v>16257933</v>
      </c>
      <c r="LCH860">
        <v>36136423</v>
      </c>
      <c r="LCI860">
        <v>49268561</v>
      </c>
      <c r="LLZ860" t="s">
        <v>671</v>
      </c>
      <c r="LMA860">
        <v>4951171</v>
      </c>
      <c r="LMB860">
        <v>7824904</v>
      </c>
      <c r="LMC860">
        <v>16257933</v>
      </c>
      <c r="LMD860">
        <v>36136423</v>
      </c>
      <c r="LME860">
        <v>49268561</v>
      </c>
      <c r="LVV860" t="s">
        <v>671</v>
      </c>
      <c r="LVW860">
        <v>4951171</v>
      </c>
      <c r="LVX860">
        <v>7824904</v>
      </c>
      <c r="LVY860">
        <v>16257933</v>
      </c>
      <c r="LVZ860">
        <v>36136423</v>
      </c>
      <c r="LWA860">
        <v>49268561</v>
      </c>
      <c r="MFR860" t="s">
        <v>671</v>
      </c>
      <c r="MFS860">
        <v>4951171</v>
      </c>
      <c r="MFT860">
        <v>7824904</v>
      </c>
      <c r="MFU860">
        <v>16257933</v>
      </c>
      <c r="MFV860">
        <v>36136423</v>
      </c>
      <c r="MFW860">
        <v>49268561</v>
      </c>
      <c r="MPN860" t="s">
        <v>671</v>
      </c>
      <c r="MPO860">
        <v>4951171</v>
      </c>
      <c r="MPP860">
        <v>7824904</v>
      </c>
      <c r="MPQ860">
        <v>16257933</v>
      </c>
      <c r="MPR860">
        <v>36136423</v>
      </c>
      <c r="MPS860">
        <v>49268561</v>
      </c>
      <c r="MZJ860" t="s">
        <v>671</v>
      </c>
      <c r="MZK860">
        <v>4951171</v>
      </c>
      <c r="MZL860">
        <v>7824904</v>
      </c>
      <c r="MZM860">
        <v>16257933</v>
      </c>
      <c r="MZN860">
        <v>36136423</v>
      </c>
      <c r="MZO860">
        <v>49268561</v>
      </c>
      <c r="NJF860" t="s">
        <v>671</v>
      </c>
      <c r="NJG860">
        <v>4951171</v>
      </c>
      <c r="NJH860">
        <v>7824904</v>
      </c>
      <c r="NJI860">
        <v>16257933</v>
      </c>
      <c r="NJJ860">
        <v>36136423</v>
      </c>
      <c r="NJK860">
        <v>49268561</v>
      </c>
      <c r="NTB860" t="s">
        <v>671</v>
      </c>
      <c r="NTC860">
        <v>4951171</v>
      </c>
      <c r="NTD860">
        <v>7824904</v>
      </c>
      <c r="NTE860">
        <v>16257933</v>
      </c>
      <c r="NTF860">
        <v>36136423</v>
      </c>
      <c r="NTG860">
        <v>49268561</v>
      </c>
      <c r="OCX860" t="s">
        <v>671</v>
      </c>
      <c r="OCY860">
        <v>4951171</v>
      </c>
      <c r="OCZ860">
        <v>7824904</v>
      </c>
      <c r="ODA860">
        <v>16257933</v>
      </c>
      <c r="ODB860">
        <v>36136423</v>
      </c>
      <c r="ODC860">
        <v>49268561</v>
      </c>
      <c r="OMT860" t="s">
        <v>671</v>
      </c>
      <c r="OMU860">
        <v>4951171</v>
      </c>
      <c r="OMV860">
        <v>7824904</v>
      </c>
      <c r="OMW860">
        <v>16257933</v>
      </c>
      <c r="OMX860">
        <v>36136423</v>
      </c>
      <c r="OMY860">
        <v>49268561</v>
      </c>
      <c r="OWP860" t="s">
        <v>671</v>
      </c>
      <c r="OWQ860">
        <v>4951171</v>
      </c>
      <c r="OWR860">
        <v>7824904</v>
      </c>
      <c r="OWS860">
        <v>16257933</v>
      </c>
      <c r="OWT860">
        <v>36136423</v>
      </c>
      <c r="OWU860">
        <v>49268561</v>
      </c>
      <c r="PGL860" t="s">
        <v>671</v>
      </c>
      <c r="PGM860">
        <v>4951171</v>
      </c>
      <c r="PGN860">
        <v>7824904</v>
      </c>
      <c r="PGO860">
        <v>16257933</v>
      </c>
      <c r="PGP860">
        <v>36136423</v>
      </c>
      <c r="PGQ860">
        <v>49268561</v>
      </c>
      <c r="PQH860" t="s">
        <v>671</v>
      </c>
      <c r="PQI860">
        <v>4951171</v>
      </c>
      <c r="PQJ860">
        <v>7824904</v>
      </c>
      <c r="PQK860">
        <v>16257933</v>
      </c>
      <c r="PQL860">
        <v>36136423</v>
      </c>
      <c r="PQM860">
        <v>49268561</v>
      </c>
      <c r="QAD860" t="s">
        <v>671</v>
      </c>
      <c r="QAE860">
        <v>4951171</v>
      </c>
      <c r="QAF860">
        <v>7824904</v>
      </c>
      <c r="QAG860">
        <v>16257933</v>
      </c>
      <c r="QAH860">
        <v>36136423</v>
      </c>
      <c r="QAI860">
        <v>49268561</v>
      </c>
      <c r="QJZ860" t="s">
        <v>671</v>
      </c>
      <c r="QKA860">
        <v>4951171</v>
      </c>
      <c r="QKB860">
        <v>7824904</v>
      </c>
      <c r="QKC860">
        <v>16257933</v>
      </c>
      <c r="QKD860">
        <v>36136423</v>
      </c>
      <c r="QKE860">
        <v>49268561</v>
      </c>
      <c r="QTV860" t="s">
        <v>671</v>
      </c>
      <c r="QTW860">
        <v>4951171</v>
      </c>
      <c r="QTX860">
        <v>7824904</v>
      </c>
      <c r="QTY860">
        <v>16257933</v>
      </c>
      <c r="QTZ860">
        <v>36136423</v>
      </c>
      <c r="QUA860">
        <v>49268561</v>
      </c>
      <c r="RDR860" t="s">
        <v>671</v>
      </c>
      <c r="RDS860">
        <v>4951171</v>
      </c>
      <c r="RDT860">
        <v>7824904</v>
      </c>
      <c r="RDU860">
        <v>16257933</v>
      </c>
      <c r="RDV860">
        <v>36136423</v>
      </c>
      <c r="RDW860">
        <v>49268561</v>
      </c>
      <c r="RNN860" t="s">
        <v>671</v>
      </c>
      <c r="RNO860">
        <v>4951171</v>
      </c>
      <c r="RNP860">
        <v>7824904</v>
      </c>
      <c r="RNQ860">
        <v>16257933</v>
      </c>
      <c r="RNR860">
        <v>36136423</v>
      </c>
      <c r="RNS860">
        <v>49268561</v>
      </c>
      <c r="RXJ860" t="s">
        <v>671</v>
      </c>
      <c r="RXK860">
        <v>4951171</v>
      </c>
      <c r="RXL860">
        <v>7824904</v>
      </c>
      <c r="RXM860">
        <v>16257933</v>
      </c>
      <c r="RXN860">
        <v>36136423</v>
      </c>
      <c r="RXO860">
        <v>49268561</v>
      </c>
      <c r="SHF860" t="s">
        <v>671</v>
      </c>
      <c r="SHG860">
        <v>4951171</v>
      </c>
      <c r="SHH860">
        <v>7824904</v>
      </c>
      <c r="SHI860">
        <v>16257933</v>
      </c>
      <c r="SHJ860">
        <v>36136423</v>
      </c>
      <c r="SHK860">
        <v>49268561</v>
      </c>
      <c r="SRB860" t="s">
        <v>671</v>
      </c>
      <c r="SRC860">
        <v>4951171</v>
      </c>
      <c r="SRD860">
        <v>7824904</v>
      </c>
      <c r="SRE860">
        <v>16257933</v>
      </c>
      <c r="SRF860">
        <v>36136423</v>
      </c>
      <c r="SRG860">
        <v>49268561</v>
      </c>
      <c r="TAX860" t="s">
        <v>671</v>
      </c>
      <c r="TAY860">
        <v>4951171</v>
      </c>
      <c r="TAZ860">
        <v>7824904</v>
      </c>
      <c r="TBA860">
        <v>16257933</v>
      </c>
      <c r="TBB860">
        <v>36136423</v>
      </c>
      <c r="TBC860">
        <v>49268561</v>
      </c>
      <c r="TKT860" t="s">
        <v>671</v>
      </c>
      <c r="TKU860">
        <v>4951171</v>
      </c>
      <c r="TKV860">
        <v>7824904</v>
      </c>
      <c r="TKW860">
        <v>16257933</v>
      </c>
      <c r="TKX860">
        <v>36136423</v>
      </c>
      <c r="TKY860">
        <v>49268561</v>
      </c>
      <c r="TUP860" t="s">
        <v>671</v>
      </c>
      <c r="TUQ860">
        <v>4951171</v>
      </c>
      <c r="TUR860">
        <v>7824904</v>
      </c>
      <c r="TUS860">
        <v>16257933</v>
      </c>
      <c r="TUT860">
        <v>36136423</v>
      </c>
      <c r="TUU860">
        <v>49268561</v>
      </c>
      <c r="UEL860" t="s">
        <v>671</v>
      </c>
      <c r="UEM860">
        <v>4951171</v>
      </c>
      <c r="UEN860">
        <v>7824904</v>
      </c>
      <c r="UEO860">
        <v>16257933</v>
      </c>
      <c r="UEP860">
        <v>36136423</v>
      </c>
      <c r="UEQ860">
        <v>49268561</v>
      </c>
      <c r="UOH860" t="s">
        <v>671</v>
      </c>
      <c r="UOI860">
        <v>4951171</v>
      </c>
      <c r="UOJ860">
        <v>7824904</v>
      </c>
      <c r="UOK860">
        <v>16257933</v>
      </c>
      <c r="UOL860">
        <v>36136423</v>
      </c>
      <c r="UOM860">
        <v>49268561</v>
      </c>
      <c r="UYD860" t="s">
        <v>671</v>
      </c>
      <c r="UYE860">
        <v>4951171</v>
      </c>
      <c r="UYF860">
        <v>7824904</v>
      </c>
      <c r="UYG860">
        <v>16257933</v>
      </c>
      <c r="UYH860">
        <v>36136423</v>
      </c>
      <c r="UYI860">
        <v>49268561</v>
      </c>
      <c r="VHZ860" t="s">
        <v>671</v>
      </c>
      <c r="VIA860">
        <v>4951171</v>
      </c>
      <c r="VIB860">
        <v>7824904</v>
      </c>
      <c r="VIC860">
        <v>16257933</v>
      </c>
      <c r="VID860">
        <v>36136423</v>
      </c>
      <c r="VIE860">
        <v>49268561</v>
      </c>
      <c r="VRV860" t="s">
        <v>671</v>
      </c>
      <c r="VRW860">
        <v>4951171</v>
      </c>
      <c r="VRX860">
        <v>7824904</v>
      </c>
      <c r="VRY860">
        <v>16257933</v>
      </c>
      <c r="VRZ860">
        <v>36136423</v>
      </c>
      <c r="VSA860">
        <v>49268561</v>
      </c>
      <c r="WBR860" t="s">
        <v>671</v>
      </c>
      <c r="WBS860">
        <v>4951171</v>
      </c>
      <c r="WBT860">
        <v>7824904</v>
      </c>
      <c r="WBU860">
        <v>16257933</v>
      </c>
      <c r="WBV860">
        <v>36136423</v>
      </c>
      <c r="WBW860">
        <v>49268561</v>
      </c>
      <c r="WLN860" t="s">
        <v>671</v>
      </c>
      <c r="WLO860">
        <v>4951171</v>
      </c>
      <c r="WLP860">
        <v>7824904</v>
      </c>
      <c r="WLQ860">
        <v>16257933</v>
      </c>
      <c r="WLR860">
        <v>36136423</v>
      </c>
      <c r="WLS860">
        <v>49268561</v>
      </c>
      <c r="WVJ860" t="s">
        <v>671</v>
      </c>
      <c r="WVK860">
        <v>4951171</v>
      </c>
      <c r="WVL860">
        <v>7824904</v>
      </c>
      <c r="WVM860">
        <v>16257933</v>
      </c>
      <c r="WVN860">
        <v>36136423</v>
      </c>
      <c r="WVO860">
        <v>49268561</v>
      </c>
    </row>
    <row r="861" spans="1:775 1026:1799 2050:2823 3074:3847 4098:4871 5122:5895 6146:6919 7170:7943 8194:8967 9218:9991 10242:11015 11266:12039 12290:13063 13314:14087 14338:15111 15362:16135">
      <c r="A861" s="654"/>
      <c r="C861" s="100"/>
      <c r="D861" s="100"/>
      <c r="E861" s="100"/>
      <c r="F861" s="100"/>
      <c r="G861" s="100"/>
      <c r="H861" s="100"/>
    </row>
    <row r="862" spans="1:775 1026:1799 2050:2823 3074:3847 4098:4871 5122:5895 6146:6919 7170:7943 8194:8967 9218:9991 10242:11015 11266:12039 12290:13063 13314:14087 14338:15111 15362:16135">
      <c r="A862" s="99" t="s">
        <v>672</v>
      </c>
      <c r="C862" s="96"/>
      <c r="D862" s="96"/>
      <c r="E862" s="96"/>
      <c r="F862" s="96"/>
      <c r="G862" s="96"/>
      <c r="H862" s="96"/>
      <c r="IX862" t="s">
        <v>672</v>
      </c>
      <c r="ST862" t="s">
        <v>672</v>
      </c>
      <c r="ACP862" t="s">
        <v>672</v>
      </c>
      <c r="AML862" t="s">
        <v>672</v>
      </c>
      <c r="AWH862" t="s">
        <v>672</v>
      </c>
      <c r="BGD862" t="s">
        <v>672</v>
      </c>
      <c r="BPZ862" t="s">
        <v>672</v>
      </c>
      <c r="BZV862" t="s">
        <v>672</v>
      </c>
      <c r="CJR862" t="s">
        <v>672</v>
      </c>
      <c r="CTN862" t="s">
        <v>672</v>
      </c>
      <c r="DDJ862" t="s">
        <v>672</v>
      </c>
      <c r="DNF862" t="s">
        <v>672</v>
      </c>
      <c r="DXB862" t="s">
        <v>672</v>
      </c>
      <c r="EGX862" t="s">
        <v>672</v>
      </c>
      <c r="EQT862" t="s">
        <v>672</v>
      </c>
      <c r="FAP862" t="s">
        <v>672</v>
      </c>
      <c r="FKL862" t="s">
        <v>672</v>
      </c>
      <c r="FUH862" t="s">
        <v>672</v>
      </c>
      <c r="GED862" t="s">
        <v>672</v>
      </c>
      <c r="GNZ862" t="s">
        <v>672</v>
      </c>
      <c r="GXV862" t="s">
        <v>672</v>
      </c>
      <c r="HHR862" t="s">
        <v>672</v>
      </c>
      <c r="HRN862" t="s">
        <v>672</v>
      </c>
      <c r="IBJ862" t="s">
        <v>672</v>
      </c>
      <c r="ILF862" t="s">
        <v>672</v>
      </c>
      <c r="IVB862" t="s">
        <v>672</v>
      </c>
      <c r="JEX862" t="s">
        <v>672</v>
      </c>
      <c r="JOT862" t="s">
        <v>672</v>
      </c>
      <c r="JYP862" t="s">
        <v>672</v>
      </c>
      <c r="KIL862" t="s">
        <v>672</v>
      </c>
      <c r="KSH862" t="s">
        <v>672</v>
      </c>
      <c r="LCD862" t="s">
        <v>672</v>
      </c>
      <c r="LLZ862" t="s">
        <v>672</v>
      </c>
      <c r="LVV862" t="s">
        <v>672</v>
      </c>
      <c r="MFR862" t="s">
        <v>672</v>
      </c>
      <c r="MPN862" t="s">
        <v>672</v>
      </c>
      <c r="MZJ862" t="s">
        <v>672</v>
      </c>
      <c r="NJF862" t="s">
        <v>672</v>
      </c>
      <c r="NTB862" t="s">
        <v>672</v>
      </c>
      <c r="OCX862" t="s">
        <v>672</v>
      </c>
      <c r="OMT862" t="s">
        <v>672</v>
      </c>
      <c r="OWP862" t="s">
        <v>672</v>
      </c>
      <c r="PGL862" t="s">
        <v>672</v>
      </c>
      <c r="PQH862" t="s">
        <v>672</v>
      </c>
      <c r="QAD862" t="s">
        <v>672</v>
      </c>
      <c r="QJZ862" t="s">
        <v>672</v>
      </c>
      <c r="QTV862" t="s">
        <v>672</v>
      </c>
      <c r="RDR862" t="s">
        <v>672</v>
      </c>
      <c r="RNN862" t="s">
        <v>672</v>
      </c>
      <c r="RXJ862" t="s">
        <v>672</v>
      </c>
      <c r="SHF862" t="s">
        <v>672</v>
      </c>
      <c r="SRB862" t="s">
        <v>672</v>
      </c>
      <c r="TAX862" t="s">
        <v>672</v>
      </c>
      <c r="TKT862" t="s">
        <v>672</v>
      </c>
      <c r="TUP862" t="s">
        <v>672</v>
      </c>
      <c r="UEL862" t="s">
        <v>672</v>
      </c>
      <c r="UOH862" t="s">
        <v>672</v>
      </c>
      <c r="UYD862" t="s">
        <v>672</v>
      </c>
      <c r="VHZ862" t="s">
        <v>672</v>
      </c>
      <c r="VRV862" t="s">
        <v>672</v>
      </c>
      <c r="WBR862" t="s">
        <v>672</v>
      </c>
      <c r="WLN862" t="s">
        <v>672</v>
      </c>
      <c r="WVJ862" t="s">
        <v>672</v>
      </c>
    </row>
    <row r="863" spans="1:775 1026:1799 2050:2823 3074:3847 4098:4871 5122:5895 6146:6919 7170:7943 8194:8967 9218:9991 10242:11015 11266:12039 12290:13063 13314:14087 14338:15111 15362:16135">
      <c r="A863" s="96" t="s">
        <v>1310</v>
      </c>
      <c r="C863" s="98">
        <v>0</v>
      </c>
      <c r="D863" s="98">
        <v>0</v>
      </c>
      <c r="E863" s="100">
        <v>-1128744</v>
      </c>
      <c r="F863" s="100">
        <v>-2798347</v>
      </c>
      <c r="G863" s="100">
        <v>-4852767</v>
      </c>
      <c r="H863" s="100"/>
      <c r="IX863" t="s">
        <v>1310</v>
      </c>
      <c r="IY863" t="s">
        <v>619</v>
      </c>
      <c r="IZ863" t="s">
        <v>619</v>
      </c>
      <c r="JA863">
        <v>-1128744</v>
      </c>
      <c r="JB863">
        <v>-2798347</v>
      </c>
      <c r="JC863">
        <v>-4852767</v>
      </c>
      <c r="ST863" t="s">
        <v>1310</v>
      </c>
      <c r="SU863" t="s">
        <v>619</v>
      </c>
      <c r="SV863" t="s">
        <v>619</v>
      </c>
      <c r="SW863">
        <v>-1128744</v>
      </c>
      <c r="SX863">
        <v>-2798347</v>
      </c>
      <c r="SY863">
        <v>-4852767</v>
      </c>
      <c r="ACP863" t="s">
        <v>1310</v>
      </c>
      <c r="ACQ863" t="s">
        <v>619</v>
      </c>
      <c r="ACR863" t="s">
        <v>619</v>
      </c>
      <c r="ACS863">
        <v>-1128744</v>
      </c>
      <c r="ACT863">
        <v>-2798347</v>
      </c>
      <c r="ACU863">
        <v>-4852767</v>
      </c>
      <c r="AML863" t="s">
        <v>1310</v>
      </c>
      <c r="AMM863" t="s">
        <v>619</v>
      </c>
      <c r="AMN863" t="s">
        <v>619</v>
      </c>
      <c r="AMO863">
        <v>-1128744</v>
      </c>
      <c r="AMP863">
        <v>-2798347</v>
      </c>
      <c r="AMQ863">
        <v>-4852767</v>
      </c>
      <c r="AWH863" t="s">
        <v>1310</v>
      </c>
      <c r="AWI863" t="s">
        <v>619</v>
      </c>
      <c r="AWJ863" t="s">
        <v>619</v>
      </c>
      <c r="AWK863">
        <v>-1128744</v>
      </c>
      <c r="AWL863">
        <v>-2798347</v>
      </c>
      <c r="AWM863">
        <v>-4852767</v>
      </c>
      <c r="BGD863" t="s">
        <v>1310</v>
      </c>
      <c r="BGE863" t="s">
        <v>619</v>
      </c>
      <c r="BGF863" t="s">
        <v>619</v>
      </c>
      <c r="BGG863">
        <v>-1128744</v>
      </c>
      <c r="BGH863">
        <v>-2798347</v>
      </c>
      <c r="BGI863">
        <v>-4852767</v>
      </c>
      <c r="BPZ863" t="s">
        <v>1310</v>
      </c>
      <c r="BQA863" t="s">
        <v>619</v>
      </c>
      <c r="BQB863" t="s">
        <v>619</v>
      </c>
      <c r="BQC863">
        <v>-1128744</v>
      </c>
      <c r="BQD863">
        <v>-2798347</v>
      </c>
      <c r="BQE863">
        <v>-4852767</v>
      </c>
      <c r="BZV863" t="s">
        <v>1310</v>
      </c>
      <c r="BZW863" t="s">
        <v>619</v>
      </c>
      <c r="BZX863" t="s">
        <v>619</v>
      </c>
      <c r="BZY863">
        <v>-1128744</v>
      </c>
      <c r="BZZ863">
        <v>-2798347</v>
      </c>
      <c r="CAA863">
        <v>-4852767</v>
      </c>
      <c r="CJR863" t="s">
        <v>1310</v>
      </c>
      <c r="CJS863" t="s">
        <v>619</v>
      </c>
      <c r="CJT863" t="s">
        <v>619</v>
      </c>
      <c r="CJU863">
        <v>-1128744</v>
      </c>
      <c r="CJV863">
        <v>-2798347</v>
      </c>
      <c r="CJW863">
        <v>-4852767</v>
      </c>
      <c r="CTN863" t="s">
        <v>1310</v>
      </c>
      <c r="CTO863" t="s">
        <v>619</v>
      </c>
      <c r="CTP863" t="s">
        <v>619</v>
      </c>
      <c r="CTQ863">
        <v>-1128744</v>
      </c>
      <c r="CTR863">
        <v>-2798347</v>
      </c>
      <c r="CTS863">
        <v>-4852767</v>
      </c>
      <c r="DDJ863" t="s">
        <v>1310</v>
      </c>
      <c r="DDK863" t="s">
        <v>619</v>
      </c>
      <c r="DDL863" t="s">
        <v>619</v>
      </c>
      <c r="DDM863">
        <v>-1128744</v>
      </c>
      <c r="DDN863">
        <v>-2798347</v>
      </c>
      <c r="DDO863">
        <v>-4852767</v>
      </c>
      <c r="DNF863" t="s">
        <v>1310</v>
      </c>
      <c r="DNG863" t="s">
        <v>619</v>
      </c>
      <c r="DNH863" t="s">
        <v>619</v>
      </c>
      <c r="DNI863">
        <v>-1128744</v>
      </c>
      <c r="DNJ863">
        <v>-2798347</v>
      </c>
      <c r="DNK863">
        <v>-4852767</v>
      </c>
      <c r="DXB863" t="s">
        <v>1310</v>
      </c>
      <c r="DXC863" t="s">
        <v>619</v>
      </c>
      <c r="DXD863" t="s">
        <v>619</v>
      </c>
      <c r="DXE863">
        <v>-1128744</v>
      </c>
      <c r="DXF863">
        <v>-2798347</v>
      </c>
      <c r="DXG863">
        <v>-4852767</v>
      </c>
      <c r="EGX863" t="s">
        <v>1310</v>
      </c>
      <c r="EGY863" t="s">
        <v>619</v>
      </c>
      <c r="EGZ863" t="s">
        <v>619</v>
      </c>
      <c r="EHA863">
        <v>-1128744</v>
      </c>
      <c r="EHB863">
        <v>-2798347</v>
      </c>
      <c r="EHC863">
        <v>-4852767</v>
      </c>
      <c r="EQT863" t="s">
        <v>1310</v>
      </c>
      <c r="EQU863" t="s">
        <v>619</v>
      </c>
      <c r="EQV863" t="s">
        <v>619</v>
      </c>
      <c r="EQW863">
        <v>-1128744</v>
      </c>
      <c r="EQX863">
        <v>-2798347</v>
      </c>
      <c r="EQY863">
        <v>-4852767</v>
      </c>
      <c r="FAP863" t="s">
        <v>1310</v>
      </c>
      <c r="FAQ863" t="s">
        <v>619</v>
      </c>
      <c r="FAR863" t="s">
        <v>619</v>
      </c>
      <c r="FAS863">
        <v>-1128744</v>
      </c>
      <c r="FAT863">
        <v>-2798347</v>
      </c>
      <c r="FAU863">
        <v>-4852767</v>
      </c>
      <c r="FKL863" t="s">
        <v>1310</v>
      </c>
      <c r="FKM863" t="s">
        <v>619</v>
      </c>
      <c r="FKN863" t="s">
        <v>619</v>
      </c>
      <c r="FKO863">
        <v>-1128744</v>
      </c>
      <c r="FKP863">
        <v>-2798347</v>
      </c>
      <c r="FKQ863">
        <v>-4852767</v>
      </c>
      <c r="FUH863" t="s">
        <v>1310</v>
      </c>
      <c r="FUI863" t="s">
        <v>619</v>
      </c>
      <c r="FUJ863" t="s">
        <v>619</v>
      </c>
      <c r="FUK863">
        <v>-1128744</v>
      </c>
      <c r="FUL863">
        <v>-2798347</v>
      </c>
      <c r="FUM863">
        <v>-4852767</v>
      </c>
      <c r="GED863" t="s">
        <v>1310</v>
      </c>
      <c r="GEE863" t="s">
        <v>619</v>
      </c>
      <c r="GEF863" t="s">
        <v>619</v>
      </c>
      <c r="GEG863">
        <v>-1128744</v>
      </c>
      <c r="GEH863">
        <v>-2798347</v>
      </c>
      <c r="GEI863">
        <v>-4852767</v>
      </c>
      <c r="GNZ863" t="s">
        <v>1310</v>
      </c>
      <c r="GOA863" t="s">
        <v>619</v>
      </c>
      <c r="GOB863" t="s">
        <v>619</v>
      </c>
      <c r="GOC863">
        <v>-1128744</v>
      </c>
      <c r="GOD863">
        <v>-2798347</v>
      </c>
      <c r="GOE863">
        <v>-4852767</v>
      </c>
      <c r="GXV863" t="s">
        <v>1310</v>
      </c>
      <c r="GXW863" t="s">
        <v>619</v>
      </c>
      <c r="GXX863" t="s">
        <v>619</v>
      </c>
      <c r="GXY863">
        <v>-1128744</v>
      </c>
      <c r="GXZ863">
        <v>-2798347</v>
      </c>
      <c r="GYA863">
        <v>-4852767</v>
      </c>
      <c r="HHR863" t="s">
        <v>1310</v>
      </c>
      <c r="HHS863" t="s">
        <v>619</v>
      </c>
      <c r="HHT863" t="s">
        <v>619</v>
      </c>
      <c r="HHU863">
        <v>-1128744</v>
      </c>
      <c r="HHV863">
        <v>-2798347</v>
      </c>
      <c r="HHW863">
        <v>-4852767</v>
      </c>
      <c r="HRN863" t="s">
        <v>1310</v>
      </c>
      <c r="HRO863" t="s">
        <v>619</v>
      </c>
      <c r="HRP863" t="s">
        <v>619</v>
      </c>
      <c r="HRQ863">
        <v>-1128744</v>
      </c>
      <c r="HRR863">
        <v>-2798347</v>
      </c>
      <c r="HRS863">
        <v>-4852767</v>
      </c>
      <c r="IBJ863" t="s">
        <v>1310</v>
      </c>
      <c r="IBK863" t="s">
        <v>619</v>
      </c>
      <c r="IBL863" t="s">
        <v>619</v>
      </c>
      <c r="IBM863">
        <v>-1128744</v>
      </c>
      <c r="IBN863">
        <v>-2798347</v>
      </c>
      <c r="IBO863">
        <v>-4852767</v>
      </c>
      <c r="ILF863" t="s">
        <v>1310</v>
      </c>
      <c r="ILG863" t="s">
        <v>619</v>
      </c>
      <c r="ILH863" t="s">
        <v>619</v>
      </c>
      <c r="ILI863">
        <v>-1128744</v>
      </c>
      <c r="ILJ863">
        <v>-2798347</v>
      </c>
      <c r="ILK863">
        <v>-4852767</v>
      </c>
      <c r="IVB863" t="s">
        <v>1310</v>
      </c>
      <c r="IVC863" t="s">
        <v>619</v>
      </c>
      <c r="IVD863" t="s">
        <v>619</v>
      </c>
      <c r="IVE863">
        <v>-1128744</v>
      </c>
      <c r="IVF863">
        <v>-2798347</v>
      </c>
      <c r="IVG863">
        <v>-4852767</v>
      </c>
      <c r="JEX863" t="s">
        <v>1310</v>
      </c>
      <c r="JEY863" t="s">
        <v>619</v>
      </c>
      <c r="JEZ863" t="s">
        <v>619</v>
      </c>
      <c r="JFA863">
        <v>-1128744</v>
      </c>
      <c r="JFB863">
        <v>-2798347</v>
      </c>
      <c r="JFC863">
        <v>-4852767</v>
      </c>
      <c r="JOT863" t="s">
        <v>1310</v>
      </c>
      <c r="JOU863" t="s">
        <v>619</v>
      </c>
      <c r="JOV863" t="s">
        <v>619</v>
      </c>
      <c r="JOW863">
        <v>-1128744</v>
      </c>
      <c r="JOX863">
        <v>-2798347</v>
      </c>
      <c r="JOY863">
        <v>-4852767</v>
      </c>
      <c r="JYP863" t="s">
        <v>1310</v>
      </c>
      <c r="JYQ863" t="s">
        <v>619</v>
      </c>
      <c r="JYR863" t="s">
        <v>619</v>
      </c>
      <c r="JYS863">
        <v>-1128744</v>
      </c>
      <c r="JYT863">
        <v>-2798347</v>
      </c>
      <c r="JYU863">
        <v>-4852767</v>
      </c>
      <c r="KIL863" t="s">
        <v>1310</v>
      </c>
      <c r="KIM863" t="s">
        <v>619</v>
      </c>
      <c r="KIN863" t="s">
        <v>619</v>
      </c>
      <c r="KIO863">
        <v>-1128744</v>
      </c>
      <c r="KIP863">
        <v>-2798347</v>
      </c>
      <c r="KIQ863">
        <v>-4852767</v>
      </c>
      <c r="KSH863" t="s">
        <v>1310</v>
      </c>
      <c r="KSI863" t="s">
        <v>619</v>
      </c>
      <c r="KSJ863" t="s">
        <v>619</v>
      </c>
      <c r="KSK863">
        <v>-1128744</v>
      </c>
      <c r="KSL863">
        <v>-2798347</v>
      </c>
      <c r="KSM863">
        <v>-4852767</v>
      </c>
      <c r="LCD863" t="s">
        <v>1310</v>
      </c>
      <c r="LCE863" t="s">
        <v>619</v>
      </c>
      <c r="LCF863" t="s">
        <v>619</v>
      </c>
      <c r="LCG863">
        <v>-1128744</v>
      </c>
      <c r="LCH863">
        <v>-2798347</v>
      </c>
      <c r="LCI863">
        <v>-4852767</v>
      </c>
      <c r="LLZ863" t="s">
        <v>1310</v>
      </c>
      <c r="LMA863" t="s">
        <v>619</v>
      </c>
      <c r="LMB863" t="s">
        <v>619</v>
      </c>
      <c r="LMC863">
        <v>-1128744</v>
      </c>
      <c r="LMD863">
        <v>-2798347</v>
      </c>
      <c r="LME863">
        <v>-4852767</v>
      </c>
      <c r="LVV863" t="s">
        <v>1310</v>
      </c>
      <c r="LVW863" t="s">
        <v>619</v>
      </c>
      <c r="LVX863" t="s">
        <v>619</v>
      </c>
      <c r="LVY863">
        <v>-1128744</v>
      </c>
      <c r="LVZ863">
        <v>-2798347</v>
      </c>
      <c r="LWA863">
        <v>-4852767</v>
      </c>
      <c r="MFR863" t="s">
        <v>1310</v>
      </c>
      <c r="MFS863" t="s">
        <v>619</v>
      </c>
      <c r="MFT863" t="s">
        <v>619</v>
      </c>
      <c r="MFU863">
        <v>-1128744</v>
      </c>
      <c r="MFV863">
        <v>-2798347</v>
      </c>
      <c r="MFW863">
        <v>-4852767</v>
      </c>
      <c r="MPN863" t="s">
        <v>1310</v>
      </c>
      <c r="MPO863" t="s">
        <v>619</v>
      </c>
      <c r="MPP863" t="s">
        <v>619</v>
      </c>
      <c r="MPQ863">
        <v>-1128744</v>
      </c>
      <c r="MPR863">
        <v>-2798347</v>
      </c>
      <c r="MPS863">
        <v>-4852767</v>
      </c>
      <c r="MZJ863" t="s">
        <v>1310</v>
      </c>
      <c r="MZK863" t="s">
        <v>619</v>
      </c>
      <c r="MZL863" t="s">
        <v>619</v>
      </c>
      <c r="MZM863">
        <v>-1128744</v>
      </c>
      <c r="MZN863">
        <v>-2798347</v>
      </c>
      <c r="MZO863">
        <v>-4852767</v>
      </c>
      <c r="NJF863" t="s">
        <v>1310</v>
      </c>
      <c r="NJG863" t="s">
        <v>619</v>
      </c>
      <c r="NJH863" t="s">
        <v>619</v>
      </c>
      <c r="NJI863">
        <v>-1128744</v>
      </c>
      <c r="NJJ863">
        <v>-2798347</v>
      </c>
      <c r="NJK863">
        <v>-4852767</v>
      </c>
      <c r="NTB863" t="s">
        <v>1310</v>
      </c>
      <c r="NTC863" t="s">
        <v>619</v>
      </c>
      <c r="NTD863" t="s">
        <v>619</v>
      </c>
      <c r="NTE863">
        <v>-1128744</v>
      </c>
      <c r="NTF863">
        <v>-2798347</v>
      </c>
      <c r="NTG863">
        <v>-4852767</v>
      </c>
      <c r="OCX863" t="s">
        <v>1310</v>
      </c>
      <c r="OCY863" t="s">
        <v>619</v>
      </c>
      <c r="OCZ863" t="s">
        <v>619</v>
      </c>
      <c r="ODA863">
        <v>-1128744</v>
      </c>
      <c r="ODB863">
        <v>-2798347</v>
      </c>
      <c r="ODC863">
        <v>-4852767</v>
      </c>
      <c r="OMT863" t="s">
        <v>1310</v>
      </c>
      <c r="OMU863" t="s">
        <v>619</v>
      </c>
      <c r="OMV863" t="s">
        <v>619</v>
      </c>
      <c r="OMW863">
        <v>-1128744</v>
      </c>
      <c r="OMX863">
        <v>-2798347</v>
      </c>
      <c r="OMY863">
        <v>-4852767</v>
      </c>
      <c r="OWP863" t="s">
        <v>1310</v>
      </c>
      <c r="OWQ863" t="s">
        <v>619</v>
      </c>
      <c r="OWR863" t="s">
        <v>619</v>
      </c>
      <c r="OWS863">
        <v>-1128744</v>
      </c>
      <c r="OWT863">
        <v>-2798347</v>
      </c>
      <c r="OWU863">
        <v>-4852767</v>
      </c>
      <c r="PGL863" t="s">
        <v>1310</v>
      </c>
      <c r="PGM863" t="s">
        <v>619</v>
      </c>
      <c r="PGN863" t="s">
        <v>619</v>
      </c>
      <c r="PGO863">
        <v>-1128744</v>
      </c>
      <c r="PGP863">
        <v>-2798347</v>
      </c>
      <c r="PGQ863">
        <v>-4852767</v>
      </c>
      <c r="PQH863" t="s">
        <v>1310</v>
      </c>
      <c r="PQI863" t="s">
        <v>619</v>
      </c>
      <c r="PQJ863" t="s">
        <v>619</v>
      </c>
      <c r="PQK863">
        <v>-1128744</v>
      </c>
      <c r="PQL863">
        <v>-2798347</v>
      </c>
      <c r="PQM863">
        <v>-4852767</v>
      </c>
      <c r="QAD863" t="s">
        <v>1310</v>
      </c>
      <c r="QAE863" t="s">
        <v>619</v>
      </c>
      <c r="QAF863" t="s">
        <v>619</v>
      </c>
      <c r="QAG863">
        <v>-1128744</v>
      </c>
      <c r="QAH863">
        <v>-2798347</v>
      </c>
      <c r="QAI863">
        <v>-4852767</v>
      </c>
      <c r="QJZ863" t="s">
        <v>1310</v>
      </c>
      <c r="QKA863" t="s">
        <v>619</v>
      </c>
      <c r="QKB863" t="s">
        <v>619</v>
      </c>
      <c r="QKC863">
        <v>-1128744</v>
      </c>
      <c r="QKD863">
        <v>-2798347</v>
      </c>
      <c r="QKE863">
        <v>-4852767</v>
      </c>
      <c r="QTV863" t="s">
        <v>1310</v>
      </c>
      <c r="QTW863" t="s">
        <v>619</v>
      </c>
      <c r="QTX863" t="s">
        <v>619</v>
      </c>
      <c r="QTY863">
        <v>-1128744</v>
      </c>
      <c r="QTZ863">
        <v>-2798347</v>
      </c>
      <c r="QUA863">
        <v>-4852767</v>
      </c>
      <c r="RDR863" t="s">
        <v>1310</v>
      </c>
      <c r="RDS863" t="s">
        <v>619</v>
      </c>
      <c r="RDT863" t="s">
        <v>619</v>
      </c>
      <c r="RDU863">
        <v>-1128744</v>
      </c>
      <c r="RDV863">
        <v>-2798347</v>
      </c>
      <c r="RDW863">
        <v>-4852767</v>
      </c>
      <c r="RNN863" t="s">
        <v>1310</v>
      </c>
      <c r="RNO863" t="s">
        <v>619</v>
      </c>
      <c r="RNP863" t="s">
        <v>619</v>
      </c>
      <c r="RNQ863">
        <v>-1128744</v>
      </c>
      <c r="RNR863">
        <v>-2798347</v>
      </c>
      <c r="RNS863">
        <v>-4852767</v>
      </c>
      <c r="RXJ863" t="s">
        <v>1310</v>
      </c>
      <c r="RXK863" t="s">
        <v>619</v>
      </c>
      <c r="RXL863" t="s">
        <v>619</v>
      </c>
      <c r="RXM863">
        <v>-1128744</v>
      </c>
      <c r="RXN863">
        <v>-2798347</v>
      </c>
      <c r="RXO863">
        <v>-4852767</v>
      </c>
      <c r="SHF863" t="s">
        <v>1310</v>
      </c>
      <c r="SHG863" t="s">
        <v>619</v>
      </c>
      <c r="SHH863" t="s">
        <v>619</v>
      </c>
      <c r="SHI863">
        <v>-1128744</v>
      </c>
      <c r="SHJ863">
        <v>-2798347</v>
      </c>
      <c r="SHK863">
        <v>-4852767</v>
      </c>
      <c r="SRB863" t="s">
        <v>1310</v>
      </c>
      <c r="SRC863" t="s">
        <v>619</v>
      </c>
      <c r="SRD863" t="s">
        <v>619</v>
      </c>
      <c r="SRE863">
        <v>-1128744</v>
      </c>
      <c r="SRF863">
        <v>-2798347</v>
      </c>
      <c r="SRG863">
        <v>-4852767</v>
      </c>
      <c r="TAX863" t="s">
        <v>1310</v>
      </c>
      <c r="TAY863" t="s">
        <v>619</v>
      </c>
      <c r="TAZ863" t="s">
        <v>619</v>
      </c>
      <c r="TBA863">
        <v>-1128744</v>
      </c>
      <c r="TBB863">
        <v>-2798347</v>
      </c>
      <c r="TBC863">
        <v>-4852767</v>
      </c>
      <c r="TKT863" t="s">
        <v>1310</v>
      </c>
      <c r="TKU863" t="s">
        <v>619</v>
      </c>
      <c r="TKV863" t="s">
        <v>619</v>
      </c>
      <c r="TKW863">
        <v>-1128744</v>
      </c>
      <c r="TKX863">
        <v>-2798347</v>
      </c>
      <c r="TKY863">
        <v>-4852767</v>
      </c>
      <c r="TUP863" t="s">
        <v>1310</v>
      </c>
      <c r="TUQ863" t="s">
        <v>619</v>
      </c>
      <c r="TUR863" t="s">
        <v>619</v>
      </c>
      <c r="TUS863">
        <v>-1128744</v>
      </c>
      <c r="TUT863">
        <v>-2798347</v>
      </c>
      <c r="TUU863">
        <v>-4852767</v>
      </c>
      <c r="UEL863" t="s">
        <v>1310</v>
      </c>
      <c r="UEM863" t="s">
        <v>619</v>
      </c>
      <c r="UEN863" t="s">
        <v>619</v>
      </c>
      <c r="UEO863">
        <v>-1128744</v>
      </c>
      <c r="UEP863">
        <v>-2798347</v>
      </c>
      <c r="UEQ863">
        <v>-4852767</v>
      </c>
      <c r="UOH863" t="s">
        <v>1310</v>
      </c>
      <c r="UOI863" t="s">
        <v>619</v>
      </c>
      <c r="UOJ863" t="s">
        <v>619</v>
      </c>
      <c r="UOK863">
        <v>-1128744</v>
      </c>
      <c r="UOL863">
        <v>-2798347</v>
      </c>
      <c r="UOM863">
        <v>-4852767</v>
      </c>
      <c r="UYD863" t="s">
        <v>1310</v>
      </c>
      <c r="UYE863" t="s">
        <v>619</v>
      </c>
      <c r="UYF863" t="s">
        <v>619</v>
      </c>
      <c r="UYG863">
        <v>-1128744</v>
      </c>
      <c r="UYH863">
        <v>-2798347</v>
      </c>
      <c r="UYI863">
        <v>-4852767</v>
      </c>
      <c r="VHZ863" t="s">
        <v>1310</v>
      </c>
      <c r="VIA863" t="s">
        <v>619</v>
      </c>
      <c r="VIB863" t="s">
        <v>619</v>
      </c>
      <c r="VIC863">
        <v>-1128744</v>
      </c>
      <c r="VID863">
        <v>-2798347</v>
      </c>
      <c r="VIE863">
        <v>-4852767</v>
      </c>
      <c r="VRV863" t="s">
        <v>1310</v>
      </c>
      <c r="VRW863" t="s">
        <v>619</v>
      </c>
      <c r="VRX863" t="s">
        <v>619</v>
      </c>
      <c r="VRY863">
        <v>-1128744</v>
      </c>
      <c r="VRZ863">
        <v>-2798347</v>
      </c>
      <c r="VSA863">
        <v>-4852767</v>
      </c>
      <c r="WBR863" t="s">
        <v>1310</v>
      </c>
      <c r="WBS863" t="s">
        <v>619</v>
      </c>
      <c r="WBT863" t="s">
        <v>619</v>
      </c>
      <c r="WBU863">
        <v>-1128744</v>
      </c>
      <c r="WBV863">
        <v>-2798347</v>
      </c>
      <c r="WBW863">
        <v>-4852767</v>
      </c>
      <c r="WLN863" t="s">
        <v>1310</v>
      </c>
      <c r="WLO863" t="s">
        <v>619</v>
      </c>
      <c r="WLP863" t="s">
        <v>619</v>
      </c>
      <c r="WLQ863">
        <v>-1128744</v>
      </c>
      <c r="WLR863">
        <v>-2798347</v>
      </c>
      <c r="WLS863">
        <v>-4852767</v>
      </c>
      <c r="WVJ863" t="s">
        <v>1310</v>
      </c>
      <c r="WVK863" t="s">
        <v>619</v>
      </c>
      <c r="WVL863" t="s">
        <v>619</v>
      </c>
      <c r="WVM863">
        <v>-1128744</v>
      </c>
      <c r="WVN863">
        <v>-2798347</v>
      </c>
      <c r="WVO863">
        <v>-4852767</v>
      </c>
    </row>
    <row r="864" spans="1:775 1026:1799 2050:2823 3074:3847 4098:4871 5122:5895 6146:6919 7170:7943 8194:8967 9218:9991 10242:11015 11266:12039 12290:13063 13314:14087 14338:15111 15362:16135">
      <c r="A864" s="96" t="s">
        <v>1311</v>
      </c>
      <c r="C864" s="100">
        <v>-276912</v>
      </c>
      <c r="D864" s="100">
        <v>-927691</v>
      </c>
      <c r="E864" s="98">
        <v>0</v>
      </c>
      <c r="F864" s="98">
        <v>0</v>
      </c>
      <c r="G864" s="98">
        <v>0</v>
      </c>
      <c r="H864" s="98"/>
      <c r="IX864" t="s">
        <v>1311</v>
      </c>
      <c r="IY864">
        <v>-276912</v>
      </c>
      <c r="IZ864">
        <v>-927691</v>
      </c>
      <c r="JA864" t="s">
        <v>619</v>
      </c>
      <c r="JB864" t="s">
        <v>619</v>
      </c>
      <c r="JC864" t="s">
        <v>619</v>
      </c>
      <c r="ST864" t="s">
        <v>1311</v>
      </c>
      <c r="SU864">
        <v>-276912</v>
      </c>
      <c r="SV864">
        <v>-927691</v>
      </c>
      <c r="SW864" t="s">
        <v>619</v>
      </c>
      <c r="SX864" t="s">
        <v>619</v>
      </c>
      <c r="SY864" t="s">
        <v>619</v>
      </c>
      <c r="ACP864" t="s">
        <v>1311</v>
      </c>
      <c r="ACQ864">
        <v>-276912</v>
      </c>
      <c r="ACR864">
        <v>-927691</v>
      </c>
      <c r="ACS864" t="s">
        <v>619</v>
      </c>
      <c r="ACT864" t="s">
        <v>619</v>
      </c>
      <c r="ACU864" t="s">
        <v>619</v>
      </c>
      <c r="AML864" t="s">
        <v>1311</v>
      </c>
      <c r="AMM864">
        <v>-276912</v>
      </c>
      <c r="AMN864">
        <v>-927691</v>
      </c>
      <c r="AMO864" t="s">
        <v>619</v>
      </c>
      <c r="AMP864" t="s">
        <v>619</v>
      </c>
      <c r="AMQ864" t="s">
        <v>619</v>
      </c>
      <c r="AWH864" t="s">
        <v>1311</v>
      </c>
      <c r="AWI864">
        <v>-276912</v>
      </c>
      <c r="AWJ864">
        <v>-927691</v>
      </c>
      <c r="AWK864" t="s">
        <v>619</v>
      </c>
      <c r="AWL864" t="s">
        <v>619</v>
      </c>
      <c r="AWM864" t="s">
        <v>619</v>
      </c>
      <c r="BGD864" t="s">
        <v>1311</v>
      </c>
      <c r="BGE864">
        <v>-276912</v>
      </c>
      <c r="BGF864">
        <v>-927691</v>
      </c>
      <c r="BGG864" t="s">
        <v>619</v>
      </c>
      <c r="BGH864" t="s">
        <v>619</v>
      </c>
      <c r="BGI864" t="s">
        <v>619</v>
      </c>
      <c r="BPZ864" t="s">
        <v>1311</v>
      </c>
      <c r="BQA864">
        <v>-276912</v>
      </c>
      <c r="BQB864">
        <v>-927691</v>
      </c>
      <c r="BQC864" t="s">
        <v>619</v>
      </c>
      <c r="BQD864" t="s">
        <v>619</v>
      </c>
      <c r="BQE864" t="s">
        <v>619</v>
      </c>
      <c r="BZV864" t="s">
        <v>1311</v>
      </c>
      <c r="BZW864">
        <v>-276912</v>
      </c>
      <c r="BZX864">
        <v>-927691</v>
      </c>
      <c r="BZY864" t="s">
        <v>619</v>
      </c>
      <c r="BZZ864" t="s">
        <v>619</v>
      </c>
      <c r="CAA864" t="s">
        <v>619</v>
      </c>
      <c r="CJR864" t="s">
        <v>1311</v>
      </c>
      <c r="CJS864">
        <v>-276912</v>
      </c>
      <c r="CJT864">
        <v>-927691</v>
      </c>
      <c r="CJU864" t="s">
        <v>619</v>
      </c>
      <c r="CJV864" t="s">
        <v>619</v>
      </c>
      <c r="CJW864" t="s">
        <v>619</v>
      </c>
      <c r="CTN864" t="s">
        <v>1311</v>
      </c>
      <c r="CTO864">
        <v>-276912</v>
      </c>
      <c r="CTP864">
        <v>-927691</v>
      </c>
      <c r="CTQ864" t="s">
        <v>619</v>
      </c>
      <c r="CTR864" t="s">
        <v>619</v>
      </c>
      <c r="CTS864" t="s">
        <v>619</v>
      </c>
      <c r="DDJ864" t="s">
        <v>1311</v>
      </c>
      <c r="DDK864">
        <v>-276912</v>
      </c>
      <c r="DDL864">
        <v>-927691</v>
      </c>
      <c r="DDM864" t="s">
        <v>619</v>
      </c>
      <c r="DDN864" t="s">
        <v>619</v>
      </c>
      <c r="DDO864" t="s">
        <v>619</v>
      </c>
      <c r="DNF864" t="s">
        <v>1311</v>
      </c>
      <c r="DNG864">
        <v>-276912</v>
      </c>
      <c r="DNH864">
        <v>-927691</v>
      </c>
      <c r="DNI864" t="s">
        <v>619</v>
      </c>
      <c r="DNJ864" t="s">
        <v>619</v>
      </c>
      <c r="DNK864" t="s">
        <v>619</v>
      </c>
      <c r="DXB864" t="s">
        <v>1311</v>
      </c>
      <c r="DXC864">
        <v>-276912</v>
      </c>
      <c r="DXD864">
        <v>-927691</v>
      </c>
      <c r="DXE864" t="s">
        <v>619</v>
      </c>
      <c r="DXF864" t="s">
        <v>619</v>
      </c>
      <c r="DXG864" t="s">
        <v>619</v>
      </c>
      <c r="EGX864" t="s">
        <v>1311</v>
      </c>
      <c r="EGY864">
        <v>-276912</v>
      </c>
      <c r="EGZ864">
        <v>-927691</v>
      </c>
      <c r="EHA864" t="s">
        <v>619</v>
      </c>
      <c r="EHB864" t="s">
        <v>619</v>
      </c>
      <c r="EHC864" t="s">
        <v>619</v>
      </c>
      <c r="EQT864" t="s">
        <v>1311</v>
      </c>
      <c r="EQU864">
        <v>-276912</v>
      </c>
      <c r="EQV864">
        <v>-927691</v>
      </c>
      <c r="EQW864" t="s">
        <v>619</v>
      </c>
      <c r="EQX864" t="s">
        <v>619</v>
      </c>
      <c r="EQY864" t="s">
        <v>619</v>
      </c>
      <c r="FAP864" t="s">
        <v>1311</v>
      </c>
      <c r="FAQ864">
        <v>-276912</v>
      </c>
      <c r="FAR864">
        <v>-927691</v>
      </c>
      <c r="FAS864" t="s">
        <v>619</v>
      </c>
      <c r="FAT864" t="s">
        <v>619</v>
      </c>
      <c r="FAU864" t="s">
        <v>619</v>
      </c>
      <c r="FKL864" t="s">
        <v>1311</v>
      </c>
      <c r="FKM864">
        <v>-276912</v>
      </c>
      <c r="FKN864">
        <v>-927691</v>
      </c>
      <c r="FKO864" t="s">
        <v>619</v>
      </c>
      <c r="FKP864" t="s">
        <v>619</v>
      </c>
      <c r="FKQ864" t="s">
        <v>619</v>
      </c>
      <c r="FUH864" t="s">
        <v>1311</v>
      </c>
      <c r="FUI864">
        <v>-276912</v>
      </c>
      <c r="FUJ864">
        <v>-927691</v>
      </c>
      <c r="FUK864" t="s">
        <v>619</v>
      </c>
      <c r="FUL864" t="s">
        <v>619</v>
      </c>
      <c r="FUM864" t="s">
        <v>619</v>
      </c>
      <c r="GED864" t="s">
        <v>1311</v>
      </c>
      <c r="GEE864">
        <v>-276912</v>
      </c>
      <c r="GEF864">
        <v>-927691</v>
      </c>
      <c r="GEG864" t="s">
        <v>619</v>
      </c>
      <c r="GEH864" t="s">
        <v>619</v>
      </c>
      <c r="GEI864" t="s">
        <v>619</v>
      </c>
      <c r="GNZ864" t="s">
        <v>1311</v>
      </c>
      <c r="GOA864">
        <v>-276912</v>
      </c>
      <c r="GOB864">
        <v>-927691</v>
      </c>
      <c r="GOC864" t="s">
        <v>619</v>
      </c>
      <c r="GOD864" t="s">
        <v>619</v>
      </c>
      <c r="GOE864" t="s">
        <v>619</v>
      </c>
      <c r="GXV864" t="s">
        <v>1311</v>
      </c>
      <c r="GXW864">
        <v>-276912</v>
      </c>
      <c r="GXX864">
        <v>-927691</v>
      </c>
      <c r="GXY864" t="s">
        <v>619</v>
      </c>
      <c r="GXZ864" t="s">
        <v>619</v>
      </c>
      <c r="GYA864" t="s">
        <v>619</v>
      </c>
      <c r="HHR864" t="s">
        <v>1311</v>
      </c>
      <c r="HHS864">
        <v>-276912</v>
      </c>
      <c r="HHT864">
        <v>-927691</v>
      </c>
      <c r="HHU864" t="s">
        <v>619</v>
      </c>
      <c r="HHV864" t="s">
        <v>619</v>
      </c>
      <c r="HHW864" t="s">
        <v>619</v>
      </c>
      <c r="HRN864" t="s">
        <v>1311</v>
      </c>
      <c r="HRO864">
        <v>-276912</v>
      </c>
      <c r="HRP864">
        <v>-927691</v>
      </c>
      <c r="HRQ864" t="s">
        <v>619</v>
      </c>
      <c r="HRR864" t="s">
        <v>619</v>
      </c>
      <c r="HRS864" t="s">
        <v>619</v>
      </c>
      <c r="IBJ864" t="s">
        <v>1311</v>
      </c>
      <c r="IBK864">
        <v>-276912</v>
      </c>
      <c r="IBL864">
        <v>-927691</v>
      </c>
      <c r="IBM864" t="s">
        <v>619</v>
      </c>
      <c r="IBN864" t="s">
        <v>619</v>
      </c>
      <c r="IBO864" t="s">
        <v>619</v>
      </c>
      <c r="ILF864" t="s">
        <v>1311</v>
      </c>
      <c r="ILG864">
        <v>-276912</v>
      </c>
      <c r="ILH864">
        <v>-927691</v>
      </c>
      <c r="ILI864" t="s">
        <v>619</v>
      </c>
      <c r="ILJ864" t="s">
        <v>619</v>
      </c>
      <c r="ILK864" t="s">
        <v>619</v>
      </c>
      <c r="IVB864" t="s">
        <v>1311</v>
      </c>
      <c r="IVC864">
        <v>-276912</v>
      </c>
      <c r="IVD864">
        <v>-927691</v>
      </c>
      <c r="IVE864" t="s">
        <v>619</v>
      </c>
      <c r="IVF864" t="s">
        <v>619</v>
      </c>
      <c r="IVG864" t="s">
        <v>619</v>
      </c>
      <c r="JEX864" t="s">
        <v>1311</v>
      </c>
      <c r="JEY864">
        <v>-276912</v>
      </c>
      <c r="JEZ864">
        <v>-927691</v>
      </c>
      <c r="JFA864" t="s">
        <v>619</v>
      </c>
      <c r="JFB864" t="s">
        <v>619</v>
      </c>
      <c r="JFC864" t="s">
        <v>619</v>
      </c>
      <c r="JOT864" t="s">
        <v>1311</v>
      </c>
      <c r="JOU864">
        <v>-276912</v>
      </c>
      <c r="JOV864">
        <v>-927691</v>
      </c>
      <c r="JOW864" t="s">
        <v>619</v>
      </c>
      <c r="JOX864" t="s">
        <v>619</v>
      </c>
      <c r="JOY864" t="s">
        <v>619</v>
      </c>
      <c r="JYP864" t="s">
        <v>1311</v>
      </c>
      <c r="JYQ864">
        <v>-276912</v>
      </c>
      <c r="JYR864">
        <v>-927691</v>
      </c>
      <c r="JYS864" t="s">
        <v>619</v>
      </c>
      <c r="JYT864" t="s">
        <v>619</v>
      </c>
      <c r="JYU864" t="s">
        <v>619</v>
      </c>
      <c r="KIL864" t="s">
        <v>1311</v>
      </c>
      <c r="KIM864">
        <v>-276912</v>
      </c>
      <c r="KIN864">
        <v>-927691</v>
      </c>
      <c r="KIO864" t="s">
        <v>619</v>
      </c>
      <c r="KIP864" t="s">
        <v>619</v>
      </c>
      <c r="KIQ864" t="s">
        <v>619</v>
      </c>
      <c r="KSH864" t="s">
        <v>1311</v>
      </c>
      <c r="KSI864">
        <v>-276912</v>
      </c>
      <c r="KSJ864">
        <v>-927691</v>
      </c>
      <c r="KSK864" t="s">
        <v>619</v>
      </c>
      <c r="KSL864" t="s">
        <v>619</v>
      </c>
      <c r="KSM864" t="s">
        <v>619</v>
      </c>
      <c r="LCD864" t="s">
        <v>1311</v>
      </c>
      <c r="LCE864">
        <v>-276912</v>
      </c>
      <c r="LCF864">
        <v>-927691</v>
      </c>
      <c r="LCG864" t="s">
        <v>619</v>
      </c>
      <c r="LCH864" t="s">
        <v>619</v>
      </c>
      <c r="LCI864" t="s">
        <v>619</v>
      </c>
      <c r="LLZ864" t="s">
        <v>1311</v>
      </c>
      <c r="LMA864">
        <v>-276912</v>
      </c>
      <c r="LMB864">
        <v>-927691</v>
      </c>
      <c r="LMC864" t="s">
        <v>619</v>
      </c>
      <c r="LMD864" t="s">
        <v>619</v>
      </c>
      <c r="LME864" t="s">
        <v>619</v>
      </c>
      <c r="LVV864" t="s">
        <v>1311</v>
      </c>
      <c r="LVW864">
        <v>-276912</v>
      </c>
      <c r="LVX864">
        <v>-927691</v>
      </c>
      <c r="LVY864" t="s">
        <v>619</v>
      </c>
      <c r="LVZ864" t="s">
        <v>619</v>
      </c>
      <c r="LWA864" t="s">
        <v>619</v>
      </c>
      <c r="MFR864" t="s">
        <v>1311</v>
      </c>
      <c r="MFS864">
        <v>-276912</v>
      </c>
      <c r="MFT864">
        <v>-927691</v>
      </c>
      <c r="MFU864" t="s">
        <v>619</v>
      </c>
      <c r="MFV864" t="s">
        <v>619</v>
      </c>
      <c r="MFW864" t="s">
        <v>619</v>
      </c>
      <c r="MPN864" t="s">
        <v>1311</v>
      </c>
      <c r="MPO864">
        <v>-276912</v>
      </c>
      <c r="MPP864">
        <v>-927691</v>
      </c>
      <c r="MPQ864" t="s">
        <v>619</v>
      </c>
      <c r="MPR864" t="s">
        <v>619</v>
      </c>
      <c r="MPS864" t="s">
        <v>619</v>
      </c>
      <c r="MZJ864" t="s">
        <v>1311</v>
      </c>
      <c r="MZK864">
        <v>-276912</v>
      </c>
      <c r="MZL864">
        <v>-927691</v>
      </c>
      <c r="MZM864" t="s">
        <v>619</v>
      </c>
      <c r="MZN864" t="s">
        <v>619</v>
      </c>
      <c r="MZO864" t="s">
        <v>619</v>
      </c>
      <c r="NJF864" t="s">
        <v>1311</v>
      </c>
      <c r="NJG864">
        <v>-276912</v>
      </c>
      <c r="NJH864">
        <v>-927691</v>
      </c>
      <c r="NJI864" t="s">
        <v>619</v>
      </c>
      <c r="NJJ864" t="s">
        <v>619</v>
      </c>
      <c r="NJK864" t="s">
        <v>619</v>
      </c>
      <c r="NTB864" t="s">
        <v>1311</v>
      </c>
      <c r="NTC864">
        <v>-276912</v>
      </c>
      <c r="NTD864">
        <v>-927691</v>
      </c>
      <c r="NTE864" t="s">
        <v>619</v>
      </c>
      <c r="NTF864" t="s">
        <v>619</v>
      </c>
      <c r="NTG864" t="s">
        <v>619</v>
      </c>
      <c r="OCX864" t="s">
        <v>1311</v>
      </c>
      <c r="OCY864">
        <v>-276912</v>
      </c>
      <c r="OCZ864">
        <v>-927691</v>
      </c>
      <c r="ODA864" t="s">
        <v>619</v>
      </c>
      <c r="ODB864" t="s">
        <v>619</v>
      </c>
      <c r="ODC864" t="s">
        <v>619</v>
      </c>
      <c r="OMT864" t="s">
        <v>1311</v>
      </c>
      <c r="OMU864">
        <v>-276912</v>
      </c>
      <c r="OMV864">
        <v>-927691</v>
      </c>
      <c r="OMW864" t="s">
        <v>619</v>
      </c>
      <c r="OMX864" t="s">
        <v>619</v>
      </c>
      <c r="OMY864" t="s">
        <v>619</v>
      </c>
      <c r="OWP864" t="s">
        <v>1311</v>
      </c>
      <c r="OWQ864">
        <v>-276912</v>
      </c>
      <c r="OWR864">
        <v>-927691</v>
      </c>
      <c r="OWS864" t="s">
        <v>619</v>
      </c>
      <c r="OWT864" t="s">
        <v>619</v>
      </c>
      <c r="OWU864" t="s">
        <v>619</v>
      </c>
      <c r="PGL864" t="s">
        <v>1311</v>
      </c>
      <c r="PGM864">
        <v>-276912</v>
      </c>
      <c r="PGN864">
        <v>-927691</v>
      </c>
      <c r="PGO864" t="s">
        <v>619</v>
      </c>
      <c r="PGP864" t="s">
        <v>619</v>
      </c>
      <c r="PGQ864" t="s">
        <v>619</v>
      </c>
      <c r="PQH864" t="s">
        <v>1311</v>
      </c>
      <c r="PQI864">
        <v>-276912</v>
      </c>
      <c r="PQJ864">
        <v>-927691</v>
      </c>
      <c r="PQK864" t="s">
        <v>619</v>
      </c>
      <c r="PQL864" t="s">
        <v>619</v>
      </c>
      <c r="PQM864" t="s">
        <v>619</v>
      </c>
      <c r="QAD864" t="s">
        <v>1311</v>
      </c>
      <c r="QAE864">
        <v>-276912</v>
      </c>
      <c r="QAF864">
        <v>-927691</v>
      </c>
      <c r="QAG864" t="s">
        <v>619</v>
      </c>
      <c r="QAH864" t="s">
        <v>619</v>
      </c>
      <c r="QAI864" t="s">
        <v>619</v>
      </c>
      <c r="QJZ864" t="s">
        <v>1311</v>
      </c>
      <c r="QKA864">
        <v>-276912</v>
      </c>
      <c r="QKB864">
        <v>-927691</v>
      </c>
      <c r="QKC864" t="s">
        <v>619</v>
      </c>
      <c r="QKD864" t="s">
        <v>619</v>
      </c>
      <c r="QKE864" t="s">
        <v>619</v>
      </c>
      <c r="QTV864" t="s">
        <v>1311</v>
      </c>
      <c r="QTW864">
        <v>-276912</v>
      </c>
      <c r="QTX864">
        <v>-927691</v>
      </c>
      <c r="QTY864" t="s">
        <v>619</v>
      </c>
      <c r="QTZ864" t="s">
        <v>619</v>
      </c>
      <c r="QUA864" t="s">
        <v>619</v>
      </c>
      <c r="RDR864" t="s">
        <v>1311</v>
      </c>
      <c r="RDS864">
        <v>-276912</v>
      </c>
      <c r="RDT864">
        <v>-927691</v>
      </c>
      <c r="RDU864" t="s">
        <v>619</v>
      </c>
      <c r="RDV864" t="s">
        <v>619</v>
      </c>
      <c r="RDW864" t="s">
        <v>619</v>
      </c>
      <c r="RNN864" t="s">
        <v>1311</v>
      </c>
      <c r="RNO864">
        <v>-276912</v>
      </c>
      <c r="RNP864">
        <v>-927691</v>
      </c>
      <c r="RNQ864" t="s">
        <v>619</v>
      </c>
      <c r="RNR864" t="s">
        <v>619</v>
      </c>
      <c r="RNS864" t="s">
        <v>619</v>
      </c>
      <c r="RXJ864" t="s">
        <v>1311</v>
      </c>
      <c r="RXK864">
        <v>-276912</v>
      </c>
      <c r="RXL864">
        <v>-927691</v>
      </c>
      <c r="RXM864" t="s">
        <v>619</v>
      </c>
      <c r="RXN864" t="s">
        <v>619</v>
      </c>
      <c r="RXO864" t="s">
        <v>619</v>
      </c>
      <c r="SHF864" t="s">
        <v>1311</v>
      </c>
      <c r="SHG864">
        <v>-276912</v>
      </c>
      <c r="SHH864">
        <v>-927691</v>
      </c>
      <c r="SHI864" t="s">
        <v>619</v>
      </c>
      <c r="SHJ864" t="s">
        <v>619</v>
      </c>
      <c r="SHK864" t="s">
        <v>619</v>
      </c>
      <c r="SRB864" t="s">
        <v>1311</v>
      </c>
      <c r="SRC864">
        <v>-276912</v>
      </c>
      <c r="SRD864">
        <v>-927691</v>
      </c>
      <c r="SRE864" t="s">
        <v>619</v>
      </c>
      <c r="SRF864" t="s">
        <v>619</v>
      </c>
      <c r="SRG864" t="s">
        <v>619</v>
      </c>
      <c r="TAX864" t="s">
        <v>1311</v>
      </c>
      <c r="TAY864">
        <v>-276912</v>
      </c>
      <c r="TAZ864">
        <v>-927691</v>
      </c>
      <c r="TBA864" t="s">
        <v>619</v>
      </c>
      <c r="TBB864" t="s">
        <v>619</v>
      </c>
      <c r="TBC864" t="s">
        <v>619</v>
      </c>
      <c r="TKT864" t="s">
        <v>1311</v>
      </c>
      <c r="TKU864">
        <v>-276912</v>
      </c>
      <c r="TKV864">
        <v>-927691</v>
      </c>
      <c r="TKW864" t="s">
        <v>619</v>
      </c>
      <c r="TKX864" t="s">
        <v>619</v>
      </c>
      <c r="TKY864" t="s">
        <v>619</v>
      </c>
      <c r="TUP864" t="s">
        <v>1311</v>
      </c>
      <c r="TUQ864">
        <v>-276912</v>
      </c>
      <c r="TUR864">
        <v>-927691</v>
      </c>
      <c r="TUS864" t="s">
        <v>619</v>
      </c>
      <c r="TUT864" t="s">
        <v>619</v>
      </c>
      <c r="TUU864" t="s">
        <v>619</v>
      </c>
      <c r="UEL864" t="s">
        <v>1311</v>
      </c>
      <c r="UEM864">
        <v>-276912</v>
      </c>
      <c r="UEN864">
        <v>-927691</v>
      </c>
      <c r="UEO864" t="s">
        <v>619</v>
      </c>
      <c r="UEP864" t="s">
        <v>619</v>
      </c>
      <c r="UEQ864" t="s">
        <v>619</v>
      </c>
      <c r="UOH864" t="s">
        <v>1311</v>
      </c>
      <c r="UOI864">
        <v>-276912</v>
      </c>
      <c r="UOJ864">
        <v>-927691</v>
      </c>
      <c r="UOK864" t="s">
        <v>619</v>
      </c>
      <c r="UOL864" t="s">
        <v>619</v>
      </c>
      <c r="UOM864" t="s">
        <v>619</v>
      </c>
      <c r="UYD864" t="s">
        <v>1311</v>
      </c>
      <c r="UYE864">
        <v>-276912</v>
      </c>
      <c r="UYF864">
        <v>-927691</v>
      </c>
      <c r="UYG864" t="s">
        <v>619</v>
      </c>
      <c r="UYH864" t="s">
        <v>619</v>
      </c>
      <c r="UYI864" t="s">
        <v>619</v>
      </c>
      <c r="VHZ864" t="s">
        <v>1311</v>
      </c>
      <c r="VIA864">
        <v>-276912</v>
      </c>
      <c r="VIB864">
        <v>-927691</v>
      </c>
      <c r="VIC864" t="s">
        <v>619</v>
      </c>
      <c r="VID864" t="s">
        <v>619</v>
      </c>
      <c r="VIE864" t="s">
        <v>619</v>
      </c>
      <c r="VRV864" t="s">
        <v>1311</v>
      </c>
      <c r="VRW864">
        <v>-276912</v>
      </c>
      <c r="VRX864">
        <v>-927691</v>
      </c>
      <c r="VRY864" t="s">
        <v>619</v>
      </c>
      <c r="VRZ864" t="s">
        <v>619</v>
      </c>
      <c r="VSA864" t="s">
        <v>619</v>
      </c>
      <c r="WBR864" t="s">
        <v>1311</v>
      </c>
      <c r="WBS864">
        <v>-276912</v>
      </c>
      <c r="WBT864">
        <v>-927691</v>
      </c>
      <c r="WBU864" t="s">
        <v>619</v>
      </c>
      <c r="WBV864" t="s">
        <v>619</v>
      </c>
      <c r="WBW864" t="s">
        <v>619</v>
      </c>
      <c r="WLN864" t="s">
        <v>1311</v>
      </c>
      <c r="WLO864">
        <v>-276912</v>
      </c>
      <c r="WLP864">
        <v>-927691</v>
      </c>
      <c r="WLQ864" t="s">
        <v>619</v>
      </c>
      <c r="WLR864" t="s">
        <v>619</v>
      </c>
      <c r="WLS864" t="s">
        <v>619</v>
      </c>
      <c r="WVJ864" t="s">
        <v>1311</v>
      </c>
      <c r="WVK864">
        <v>-276912</v>
      </c>
      <c r="WVL864">
        <v>-927691</v>
      </c>
      <c r="WVM864" t="s">
        <v>619</v>
      </c>
      <c r="WVN864" t="s">
        <v>619</v>
      </c>
      <c r="WVO864" t="s">
        <v>619</v>
      </c>
    </row>
    <row r="865" spans="1:775 1026:1799 2050:2823 3074:3847 4098:4871 5122:5895 6146:6919 7170:7943 8194:8967 9218:9991 10242:11015 11266:12039 12290:13063 13314:14087 14338:15111 15362:16135">
      <c r="A865" s="96" t="s">
        <v>1312</v>
      </c>
      <c r="C865" s="100">
        <v>-4930135</v>
      </c>
      <c r="D865" s="100">
        <v>-8096035</v>
      </c>
      <c r="E865" s="100">
        <v>-13255770</v>
      </c>
      <c r="F865" s="100">
        <v>-26516643</v>
      </c>
      <c r="G865" s="100">
        <v>-39271801</v>
      </c>
      <c r="H865" s="100"/>
      <c r="IX865" t="s">
        <v>1312</v>
      </c>
      <c r="IY865">
        <v>-4930135</v>
      </c>
      <c r="IZ865">
        <v>-8096035</v>
      </c>
      <c r="JA865">
        <v>-13255770</v>
      </c>
      <c r="JB865">
        <v>-26516643</v>
      </c>
      <c r="JC865">
        <v>-39271801</v>
      </c>
      <c r="ST865" t="s">
        <v>1312</v>
      </c>
      <c r="SU865">
        <v>-4930135</v>
      </c>
      <c r="SV865">
        <v>-8096035</v>
      </c>
      <c r="SW865">
        <v>-13255770</v>
      </c>
      <c r="SX865">
        <v>-26516643</v>
      </c>
      <c r="SY865">
        <v>-39271801</v>
      </c>
      <c r="ACP865" t="s">
        <v>1312</v>
      </c>
      <c r="ACQ865">
        <v>-4930135</v>
      </c>
      <c r="ACR865">
        <v>-8096035</v>
      </c>
      <c r="ACS865">
        <v>-13255770</v>
      </c>
      <c r="ACT865">
        <v>-26516643</v>
      </c>
      <c r="ACU865">
        <v>-39271801</v>
      </c>
      <c r="AML865" t="s">
        <v>1312</v>
      </c>
      <c r="AMM865">
        <v>-4930135</v>
      </c>
      <c r="AMN865">
        <v>-8096035</v>
      </c>
      <c r="AMO865">
        <v>-13255770</v>
      </c>
      <c r="AMP865">
        <v>-26516643</v>
      </c>
      <c r="AMQ865">
        <v>-39271801</v>
      </c>
      <c r="AWH865" t="s">
        <v>1312</v>
      </c>
      <c r="AWI865">
        <v>-4930135</v>
      </c>
      <c r="AWJ865">
        <v>-8096035</v>
      </c>
      <c r="AWK865">
        <v>-13255770</v>
      </c>
      <c r="AWL865">
        <v>-26516643</v>
      </c>
      <c r="AWM865">
        <v>-39271801</v>
      </c>
      <c r="BGD865" t="s">
        <v>1312</v>
      </c>
      <c r="BGE865">
        <v>-4930135</v>
      </c>
      <c r="BGF865">
        <v>-8096035</v>
      </c>
      <c r="BGG865">
        <v>-13255770</v>
      </c>
      <c r="BGH865">
        <v>-26516643</v>
      </c>
      <c r="BGI865">
        <v>-39271801</v>
      </c>
      <c r="BPZ865" t="s">
        <v>1312</v>
      </c>
      <c r="BQA865">
        <v>-4930135</v>
      </c>
      <c r="BQB865">
        <v>-8096035</v>
      </c>
      <c r="BQC865">
        <v>-13255770</v>
      </c>
      <c r="BQD865">
        <v>-26516643</v>
      </c>
      <c r="BQE865">
        <v>-39271801</v>
      </c>
      <c r="BZV865" t="s">
        <v>1312</v>
      </c>
      <c r="BZW865">
        <v>-4930135</v>
      </c>
      <c r="BZX865">
        <v>-8096035</v>
      </c>
      <c r="BZY865">
        <v>-13255770</v>
      </c>
      <c r="BZZ865">
        <v>-26516643</v>
      </c>
      <c r="CAA865">
        <v>-39271801</v>
      </c>
      <c r="CJR865" t="s">
        <v>1312</v>
      </c>
      <c r="CJS865">
        <v>-4930135</v>
      </c>
      <c r="CJT865">
        <v>-8096035</v>
      </c>
      <c r="CJU865">
        <v>-13255770</v>
      </c>
      <c r="CJV865">
        <v>-26516643</v>
      </c>
      <c r="CJW865">
        <v>-39271801</v>
      </c>
      <c r="CTN865" t="s">
        <v>1312</v>
      </c>
      <c r="CTO865">
        <v>-4930135</v>
      </c>
      <c r="CTP865">
        <v>-8096035</v>
      </c>
      <c r="CTQ865">
        <v>-13255770</v>
      </c>
      <c r="CTR865">
        <v>-26516643</v>
      </c>
      <c r="CTS865">
        <v>-39271801</v>
      </c>
      <c r="DDJ865" t="s">
        <v>1312</v>
      </c>
      <c r="DDK865">
        <v>-4930135</v>
      </c>
      <c r="DDL865">
        <v>-8096035</v>
      </c>
      <c r="DDM865">
        <v>-13255770</v>
      </c>
      <c r="DDN865">
        <v>-26516643</v>
      </c>
      <c r="DDO865">
        <v>-39271801</v>
      </c>
      <c r="DNF865" t="s">
        <v>1312</v>
      </c>
      <c r="DNG865">
        <v>-4930135</v>
      </c>
      <c r="DNH865">
        <v>-8096035</v>
      </c>
      <c r="DNI865">
        <v>-13255770</v>
      </c>
      <c r="DNJ865">
        <v>-26516643</v>
      </c>
      <c r="DNK865">
        <v>-39271801</v>
      </c>
      <c r="DXB865" t="s">
        <v>1312</v>
      </c>
      <c r="DXC865">
        <v>-4930135</v>
      </c>
      <c r="DXD865">
        <v>-8096035</v>
      </c>
      <c r="DXE865">
        <v>-13255770</v>
      </c>
      <c r="DXF865">
        <v>-26516643</v>
      </c>
      <c r="DXG865">
        <v>-39271801</v>
      </c>
      <c r="EGX865" t="s">
        <v>1312</v>
      </c>
      <c r="EGY865">
        <v>-4930135</v>
      </c>
      <c r="EGZ865">
        <v>-8096035</v>
      </c>
      <c r="EHA865">
        <v>-13255770</v>
      </c>
      <c r="EHB865">
        <v>-26516643</v>
      </c>
      <c r="EHC865">
        <v>-39271801</v>
      </c>
      <c r="EQT865" t="s">
        <v>1312</v>
      </c>
      <c r="EQU865">
        <v>-4930135</v>
      </c>
      <c r="EQV865">
        <v>-8096035</v>
      </c>
      <c r="EQW865">
        <v>-13255770</v>
      </c>
      <c r="EQX865">
        <v>-26516643</v>
      </c>
      <c r="EQY865">
        <v>-39271801</v>
      </c>
      <c r="FAP865" t="s">
        <v>1312</v>
      </c>
      <c r="FAQ865">
        <v>-4930135</v>
      </c>
      <c r="FAR865">
        <v>-8096035</v>
      </c>
      <c r="FAS865">
        <v>-13255770</v>
      </c>
      <c r="FAT865">
        <v>-26516643</v>
      </c>
      <c r="FAU865">
        <v>-39271801</v>
      </c>
      <c r="FKL865" t="s">
        <v>1312</v>
      </c>
      <c r="FKM865">
        <v>-4930135</v>
      </c>
      <c r="FKN865">
        <v>-8096035</v>
      </c>
      <c r="FKO865">
        <v>-13255770</v>
      </c>
      <c r="FKP865">
        <v>-26516643</v>
      </c>
      <c r="FKQ865">
        <v>-39271801</v>
      </c>
      <c r="FUH865" t="s">
        <v>1312</v>
      </c>
      <c r="FUI865">
        <v>-4930135</v>
      </c>
      <c r="FUJ865">
        <v>-8096035</v>
      </c>
      <c r="FUK865">
        <v>-13255770</v>
      </c>
      <c r="FUL865">
        <v>-26516643</v>
      </c>
      <c r="FUM865">
        <v>-39271801</v>
      </c>
      <c r="GED865" t="s">
        <v>1312</v>
      </c>
      <c r="GEE865">
        <v>-4930135</v>
      </c>
      <c r="GEF865">
        <v>-8096035</v>
      </c>
      <c r="GEG865">
        <v>-13255770</v>
      </c>
      <c r="GEH865">
        <v>-26516643</v>
      </c>
      <c r="GEI865">
        <v>-39271801</v>
      </c>
      <c r="GNZ865" t="s">
        <v>1312</v>
      </c>
      <c r="GOA865">
        <v>-4930135</v>
      </c>
      <c r="GOB865">
        <v>-8096035</v>
      </c>
      <c r="GOC865">
        <v>-13255770</v>
      </c>
      <c r="GOD865">
        <v>-26516643</v>
      </c>
      <c r="GOE865">
        <v>-39271801</v>
      </c>
      <c r="GXV865" t="s">
        <v>1312</v>
      </c>
      <c r="GXW865">
        <v>-4930135</v>
      </c>
      <c r="GXX865">
        <v>-8096035</v>
      </c>
      <c r="GXY865">
        <v>-13255770</v>
      </c>
      <c r="GXZ865">
        <v>-26516643</v>
      </c>
      <c r="GYA865">
        <v>-39271801</v>
      </c>
      <c r="HHR865" t="s">
        <v>1312</v>
      </c>
      <c r="HHS865">
        <v>-4930135</v>
      </c>
      <c r="HHT865">
        <v>-8096035</v>
      </c>
      <c r="HHU865">
        <v>-13255770</v>
      </c>
      <c r="HHV865">
        <v>-26516643</v>
      </c>
      <c r="HHW865">
        <v>-39271801</v>
      </c>
      <c r="HRN865" t="s">
        <v>1312</v>
      </c>
      <c r="HRO865">
        <v>-4930135</v>
      </c>
      <c r="HRP865">
        <v>-8096035</v>
      </c>
      <c r="HRQ865">
        <v>-13255770</v>
      </c>
      <c r="HRR865">
        <v>-26516643</v>
      </c>
      <c r="HRS865">
        <v>-39271801</v>
      </c>
      <c r="IBJ865" t="s">
        <v>1312</v>
      </c>
      <c r="IBK865">
        <v>-4930135</v>
      </c>
      <c r="IBL865">
        <v>-8096035</v>
      </c>
      <c r="IBM865">
        <v>-13255770</v>
      </c>
      <c r="IBN865">
        <v>-26516643</v>
      </c>
      <c r="IBO865">
        <v>-39271801</v>
      </c>
      <c r="ILF865" t="s">
        <v>1312</v>
      </c>
      <c r="ILG865">
        <v>-4930135</v>
      </c>
      <c r="ILH865">
        <v>-8096035</v>
      </c>
      <c r="ILI865">
        <v>-13255770</v>
      </c>
      <c r="ILJ865">
        <v>-26516643</v>
      </c>
      <c r="ILK865">
        <v>-39271801</v>
      </c>
      <c r="IVB865" t="s">
        <v>1312</v>
      </c>
      <c r="IVC865">
        <v>-4930135</v>
      </c>
      <c r="IVD865">
        <v>-8096035</v>
      </c>
      <c r="IVE865">
        <v>-13255770</v>
      </c>
      <c r="IVF865">
        <v>-26516643</v>
      </c>
      <c r="IVG865">
        <v>-39271801</v>
      </c>
      <c r="JEX865" t="s">
        <v>1312</v>
      </c>
      <c r="JEY865">
        <v>-4930135</v>
      </c>
      <c r="JEZ865">
        <v>-8096035</v>
      </c>
      <c r="JFA865">
        <v>-13255770</v>
      </c>
      <c r="JFB865">
        <v>-26516643</v>
      </c>
      <c r="JFC865">
        <v>-39271801</v>
      </c>
      <c r="JOT865" t="s">
        <v>1312</v>
      </c>
      <c r="JOU865">
        <v>-4930135</v>
      </c>
      <c r="JOV865">
        <v>-8096035</v>
      </c>
      <c r="JOW865">
        <v>-13255770</v>
      </c>
      <c r="JOX865">
        <v>-26516643</v>
      </c>
      <c r="JOY865">
        <v>-39271801</v>
      </c>
      <c r="JYP865" t="s">
        <v>1312</v>
      </c>
      <c r="JYQ865">
        <v>-4930135</v>
      </c>
      <c r="JYR865">
        <v>-8096035</v>
      </c>
      <c r="JYS865">
        <v>-13255770</v>
      </c>
      <c r="JYT865">
        <v>-26516643</v>
      </c>
      <c r="JYU865">
        <v>-39271801</v>
      </c>
      <c r="KIL865" t="s">
        <v>1312</v>
      </c>
      <c r="KIM865">
        <v>-4930135</v>
      </c>
      <c r="KIN865">
        <v>-8096035</v>
      </c>
      <c r="KIO865">
        <v>-13255770</v>
      </c>
      <c r="KIP865">
        <v>-26516643</v>
      </c>
      <c r="KIQ865">
        <v>-39271801</v>
      </c>
      <c r="KSH865" t="s">
        <v>1312</v>
      </c>
      <c r="KSI865">
        <v>-4930135</v>
      </c>
      <c r="KSJ865">
        <v>-8096035</v>
      </c>
      <c r="KSK865">
        <v>-13255770</v>
      </c>
      <c r="KSL865">
        <v>-26516643</v>
      </c>
      <c r="KSM865">
        <v>-39271801</v>
      </c>
      <c r="LCD865" t="s">
        <v>1312</v>
      </c>
      <c r="LCE865">
        <v>-4930135</v>
      </c>
      <c r="LCF865">
        <v>-8096035</v>
      </c>
      <c r="LCG865">
        <v>-13255770</v>
      </c>
      <c r="LCH865">
        <v>-26516643</v>
      </c>
      <c r="LCI865">
        <v>-39271801</v>
      </c>
      <c r="LLZ865" t="s">
        <v>1312</v>
      </c>
      <c r="LMA865">
        <v>-4930135</v>
      </c>
      <c r="LMB865">
        <v>-8096035</v>
      </c>
      <c r="LMC865">
        <v>-13255770</v>
      </c>
      <c r="LMD865">
        <v>-26516643</v>
      </c>
      <c r="LME865">
        <v>-39271801</v>
      </c>
      <c r="LVV865" t="s">
        <v>1312</v>
      </c>
      <c r="LVW865">
        <v>-4930135</v>
      </c>
      <c r="LVX865">
        <v>-8096035</v>
      </c>
      <c r="LVY865">
        <v>-13255770</v>
      </c>
      <c r="LVZ865">
        <v>-26516643</v>
      </c>
      <c r="LWA865">
        <v>-39271801</v>
      </c>
      <c r="MFR865" t="s">
        <v>1312</v>
      </c>
      <c r="MFS865">
        <v>-4930135</v>
      </c>
      <c r="MFT865">
        <v>-8096035</v>
      </c>
      <c r="MFU865">
        <v>-13255770</v>
      </c>
      <c r="MFV865">
        <v>-26516643</v>
      </c>
      <c r="MFW865">
        <v>-39271801</v>
      </c>
      <c r="MPN865" t="s">
        <v>1312</v>
      </c>
      <c r="MPO865">
        <v>-4930135</v>
      </c>
      <c r="MPP865">
        <v>-8096035</v>
      </c>
      <c r="MPQ865">
        <v>-13255770</v>
      </c>
      <c r="MPR865">
        <v>-26516643</v>
      </c>
      <c r="MPS865">
        <v>-39271801</v>
      </c>
      <c r="MZJ865" t="s">
        <v>1312</v>
      </c>
      <c r="MZK865">
        <v>-4930135</v>
      </c>
      <c r="MZL865">
        <v>-8096035</v>
      </c>
      <c r="MZM865">
        <v>-13255770</v>
      </c>
      <c r="MZN865">
        <v>-26516643</v>
      </c>
      <c r="MZO865">
        <v>-39271801</v>
      </c>
      <c r="NJF865" t="s">
        <v>1312</v>
      </c>
      <c r="NJG865">
        <v>-4930135</v>
      </c>
      <c r="NJH865">
        <v>-8096035</v>
      </c>
      <c r="NJI865">
        <v>-13255770</v>
      </c>
      <c r="NJJ865">
        <v>-26516643</v>
      </c>
      <c r="NJK865">
        <v>-39271801</v>
      </c>
      <c r="NTB865" t="s">
        <v>1312</v>
      </c>
      <c r="NTC865">
        <v>-4930135</v>
      </c>
      <c r="NTD865">
        <v>-8096035</v>
      </c>
      <c r="NTE865">
        <v>-13255770</v>
      </c>
      <c r="NTF865">
        <v>-26516643</v>
      </c>
      <c r="NTG865">
        <v>-39271801</v>
      </c>
      <c r="OCX865" t="s">
        <v>1312</v>
      </c>
      <c r="OCY865">
        <v>-4930135</v>
      </c>
      <c r="OCZ865">
        <v>-8096035</v>
      </c>
      <c r="ODA865">
        <v>-13255770</v>
      </c>
      <c r="ODB865">
        <v>-26516643</v>
      </c>
      <c r="ODC865">
        <v>-39271801</v>
      </c>
      <c r="OMT865" t="s">
        <v>1312</v>
      </c>
      <c r="OMU865">
        <v>-4930135</v>
      </c>
      <c r="OMV865">
        <v>-8096035</v>
      </c>
      <c r="OMW865">
        <v>-13255770</v>
      </c>
      <c r="OMX865">
        <v>-26516643</v>
      </c>
      <c r="OMY865">
        <v>-39271801</v>
      </c>
      <c r="OWP865" t="s">
        <v>1312</v>
      </c>
      <c r="OWQ865">
        <v>-4930135</v>
      </c>
      <c r="OWR865">
        <v>-8096035</v>
      </c>
      <c r="OWS865">
        <v>-13255770</v>
      </c>
      <c r="OWT865">
        <v>-26516643</v>
      </c>
      <c r="OWU865">
        <v>-39271801</v>
      </c>
      <c r="PGL865" t="s">
        <v>1312</v>
      </c>
      <c r="PGM865">
        <v>-4930135</v>
      </c>
      <c r="PGN865">
        <v>-8096035</v>
      </c>
      <c r="PGO865">
        <v>-13255770</v>
      </c>
      <c r="PGP865">
        <v>-26516643</v>
      </c>
      <c r="PGQ865">
        <v>-39271801</v>
      </c>
      <c r="PQH865" t="s">
        <v>1312</v>
      </c>
      <c r="PQI865">
        <v>-4930135</v>
      </c>
      <c r="PQJ865">
        <v>-8096035</v>
      </c>
      <c r="PQK865">
        <v>-13255770</v>
      </c>
      <c r="PQL865">
        <v>-26516643</v>
      </c>
      <c r="PQM865">
        <v>-39271801</v>
      </c>
      <c r="QAD865" t="s">
        <v>1312</v>
      </c>
      <c r="QAE865">
        <v>-4930135</v>
      </c>
      <c r="QAF865">
        <v>-8096035</v>
      </c>
      <c r="QAG865">
        <v>-13255770</v>
      </c>
      <c r="QAH865">
        <v>-26516643</v>
      </c>
      <c r="QAI865">
        <v>-39271801</v>
      </c>
      <c r="QJZ865" t="s">
        <v>1312</v>
      </c>
      <c r="QKA865">
        <v>-4930135</v>
      </c>
      <c r="QKB865">
        <v>-8096035</v>
      </c>
      <c r="QKC865">
        <v>-13255770</v>
      </c>
      <c r="QKD865">
        <v>-26516643</v>
      </c>
      <c r="QKE865">
        <v>-39271801</v>
      </c>
      <c r="QTV865" t="s">
        <v>1312</v>
      </c>
      <c r="QTW865">
        <v>-4930135</v>
      </c>
      <c r="QTX865">
        <v>-8096035</v>
      </c>
      <c r="QTY865">
        <v>-13255770</v>
      </c>
      <c r="QTZ865">
        <v>-26516643</v>
      </c>
      <c r="QUA865">
        <v>-39271801</v>
      </c>
      <c r="RDR865" t="s">
        <v>1312</v>
      </c>
      <c r="RDS865">
        <v>-4930135</v>
      </c>
      <c r="RDT865">
        <v>-8096035</v>
      </c>
      <c r="RDU865">
        <v>-13255770</v>
      </c>
      <c r="RDV865">
        <v>-26516643</v>
      </c>
      <c r="RDW865">
        <v>-39271801</v>
      </c>
      <c r="RNN865" t="s">
        <v>1312</v>
      </c>
      <c r="RNO865">
        <v>-4930135</v>
      </c>
      <c r="RNP865">
        <v>-8096035</v>
      </c>
      <c r="RNQ865">
        <v>-13255770</v>
      </c>
      <c r="RNR865">
        <v>-26516643</v>
      </c>
      <c r="RNS865">
        <v>-39271801</v>
      </c>
      <c r="RXJ865" t="s">
        <v>1312</v>
      </c>
      <c r="RXK865">
        <v>-4930135</v>
      </c>
      <c r="RXL865">
        <v>-8096035</v>
      </c>
      <c r="RXM865">
        <v>-13255770</v>
      </c>
      <c r="RXN865">
        <v>-26516643</v>
      </c>
      <c r="RXO865">
        <v>-39271801</v>
      </c>
      <c r="SHF865" t="s">
        <v>1312</v>
      </c>
      <c r="SHG865">
        <v>-4930135</v>
      </c>
      <c r="SHH865">
        <v>-8096035</v>
      </c>
      <c r="SHI865">
        <v>-13255770</v>
      </c>
      <c r="SHJ865">
        <v>-26516643</v>
      </c>
      <c r="SHK865">
        <v>-39271801</v>
      </c>
      <c r="SRB865" t="s">
        <v>1312</v>
      </c>
      <c r="SRC865">
        <v>-4930135</v>
      </c>
      <c r="SRD865">
        <v>-8096035</v>
      </c>
      <c r="SRE865">
        <v>-13255770</v>
      </c>
      <c r="SRF865">
        <v>-26516643</v>
      </c>
      <c r="SRG865">
        <v>-39271801</v>
      </c>
      <c r="TAX865" t="s">
        <v>1312</v>
      </c>
      <c r="TAY865">
        <v>-4930135</v>
      </c>
      <c r="TAZ865">
        <v>-8096035</v>
      </c>
      <c r="TBA865">
        <v>-13255770</v>
      </c>
      <c r="TBB865">
        <v>-26516643</v>
      </c>
      <c r="TBC865">
        <v>-39271801</v>
      </c>
      <c r="TKT865" t="s">
        <v>1312</v>
      </c>
      <c r="TKU865">
        <v>-4930135</v>
      </c>
      <c r="TKV865">
        <v>-8096035</v>
      </c>
      <c r="TKW865">
        <v>-13255770</v>
      </c>
      <c r="TKX865">
        <v>-26516643</v>
      </c>
      <c r="TKY865">
        <v>-39271801</v>
      </c>
      <c r="TUP865" t="s">
        <v>1312</v>
      </c>
      <c r="TUQ865">
        <v>-4930135</v>
      </c>
      <c r="TUR865">
        <v>-8096035</v>
      </c>
      <c r="TUS865">
        <v>-13255770</v>
      </c>
      <c r="TUT865">
        <v>-26516643</v>
      </c>
      <c r="TUU865">
        <v>-39271801</v>
      </c>
      <c r="UEL865" t="s">
        <v>1312</v>
      </c>
      <c r="UEM865">
        <v>-4930135</v>
      </c>
      <c r="UEN865">
        <v>-8096035</v>
      </c>
      <c r="UEO865">
        <v>-13255770</v>
      </c>
      <c r="UEP865">
        <v>-26516643</v>
      </c>
      <c r="UEQ865">
        <v>-39271801</v>
      </c>
      <c r="UOH865" t="s">
        <v>1312</v>
      </c>
      <c r="UOI865">
        <v>-4930135</v>
      </c>
      <c r="UOJ865">
        <v>-8096035</v>
      </c>
      <c r="UOK865">
        <v>-13255770</v>
      </c>
      <c r="UOL865">
        <v>-26516643</v>
      </c>
      <c r="UOM865">
        <v>-39271801</v>
      </c>
      <c r="UYD865" t="s">
        <v>1312</v>
      </c>
      <c r="UYE865">
        <v>-4930135</v>
      </c>
      <c r="UYF865">
        <v>-8096035</v>
      </c>
      <c r="UYG865">
        <v>-13255770</v>
      </c>
      <c r="UYH865">
        <v>-26516643</v>
      </c>
      <c r="UYI865">
        <v>-39271801</v>
      </c>
      <c r="VHZ865" t="s">
        <v>1312</v>
      </c>
      <c r="VIA865">
        <v>-4930135</v>
      </c>
      <c r="VIB865">
        <v>-8096035</v>
      </c>
      <c r="VIC865">
        <v>-13255770</v>
      </c>
      <c r="VID865">
        <v>-26516643</v>
      </c>
      <c r="VIE865">
        <v>-39271801</v>
      </c>
      <c r="VRV865" t="s">
        <v>1312</v>
      </c>
      <c r="VRW865">
        <v>-4930135</v>
      </c>
      <c r="VRX865">
        <v>-8096035</v>
      </c>
      <c r="VRY865">
        <v>-13255770</v>
      </c>
      <c r="VRZ865">
        <v>-26516643</v>
      </c>
      <c r="VSA865">
        <v>-39271801</v>
      </c>
      <c r="WBR865" t="s">
        <v>1312</v>
      </c>
      <c r="WBS865">
        <v>-4930135</v>
      </c>
      <c r="WBT865">
        <v>-8096035</v>
      </c>
      <c r="WBU865">
        <v>-13255770</v>
      </c>
      <c r="WBV865">
        <v>-26516643</v>
      </c>
      <c r="WBW865">
        <v>-39271801</v>
      </c>
      <c r="WLN865" t="s">
        <v>1312</v>
      </c>
      <c r="WLO865">
        <v>-4930135</v>
      </c>
      <c r="WLP865">
        <v>-8096035</v>
      </c>
      <c r="WLQ865">
        <v>-13255770</v>
      </c>
      <c r="WLR865">
        <v>-26516643</v>
      </c>
      <c r="WLS865">
        <v>-39271801</v>
      </c>
      <c r="WVJ865" t="s">
        <v>1312</v>
      </c>
      <c r="WVK865">
        <v>-4930135</v>
      </c>
      <c r="WVL865">
        <v>-8096035</v>
      </c>
      <c r="WVM865">
        <v>-13255770</v>
      </c>
      <c r="WVN865">
        <v>-26516643</v>
      </c>
      <c r="WVO865">
        <v>-39271801</v>
      </c>
    </row>
    <row r="866" spans="1:775 1026:1799 2050:2823 3074:3847 4098:4871 5122:5895 6146:6919 7170:7943 8194:8967 9218:9991 10242:11015 11266:12039 12290:13063 13314:14087 14338:15111 15362:16135">
      <c r="A866" s="654" t="s">
        <v>1313</v>
      </c>
      <c r="C866" s="1429">
        <f>C863+C864+C865</f>
        <v>-5207047</v>
      </c>
      <c r="D866" s="1429">
        <f t="shared" ref="D866:G866" si="14">D863+D864+D865</f>
        <v>-9023726</v>
      </c>
      <c r="E866" s="1429">
        <f t="shared" si="14"/>
        <v>-14384514</v>
      </c>
      <c r="F866" s="1429">
        <f t="shared" si="14"/>
        <v>-29314990</v>
      </c>
      <c r="G866" s="1429">
        <f t="shared" si="14"/>
        <v>-44124568</v>
      </c>
      <c r="H866" s="100"/>
    </row>
    <row r="867" spans="1:775 1026:1799 2050:2823 3074:3847 4098:4871 5122:5895 6146:6919 7170:7943 8194:8967 9218:9991 10242:11015 11266:12039 12290:13063 13314:14087 14338:15111 15362:16135">
      <c r="A867" s="654"/>
      <c r="C867" s="100"/>
      <c r="D867" s="100"/>
      <c r="E867" s="100"/>
      <c r="F867" s="100"/>
      <c r="G867" s="100"/>
      <c r="H867" s="100"/>
    </row>
    <row r="868" spans="1:775 1026:1799 2050:2823 3074:3847 4098:4871 5122:5895 6146:6919 7170:7943 8194:8967 9218:9991 10242:11015 11266:12039 12290:13063 13314:14087 14338:15111 15362:16135">
      <c r="A868" s="1448" t="s">
        <v>674</v>
      </c>
      <c r="C868" s="100">
        <v>-5341790</v>
      </c>
      <c r="D868" s="100">
        <v>-5451787</v>
      </c>
      <c r="E868" s="100">
        <v>-3932271</v>
      </c>
      <c r="F868" s="100">
        <v>-6878132</v>
      </c>
      <c r="G868" s="100">
        <v>-10537119</v>
      </c>
      <c r="H868" s="100"/>
      <c r="IX868" t="s">
        <v>674</v>
      </c>
      <c r="IY868">
        <v>-5341790</v>
      </c>
      <c r="IZ868">
        <v>-5451787</v>
      </c>
      <c r="JA868">
        <v>-3932271</v>
      </c>
      <c r="JB868">
        <v>-6878132</v>
      </c>
      <c r="JC868">
        <v>-10537119</v>
      </c>
      <c r="ST868" t="s">
        <v>674</v>
      </c>
      <c r="SU868">
        <v>-5341790</v>
      </c>
      <c r="SV868">
        <v>-5451787</v>
      </c>
      <c r="SW868">
        <v>-3932271</v>
      </c>
      <c r="SX868">
        <v>-6878132</v>
      </c>
      <c r="SY868">
        <v>-10537119</v>
      </c>
      <c r="ACP868" t="s">
        <v>674</v>
      </c>
      <c r="ACQ868">
        <v>-5341790</v>
      </c>
      <c r="ACR868">
        <v>-5451787</v>
      </c>
      <c r="ACS868">
        <v>-3932271</v>
      </c>
      <c r="ACT868">
        <v>-6878132</v>
      </c>
      <c r="ACU868">
        <v>-10537119</v>
      </c>
      <c r="AML868" t="s">
        <v>674</v>
      </c>
      <c r="AMM868">
        <v>-5341790</v>
      </c>
      <c r="AMN868">
        <v>-5451787</v>
      </c>
      <c r="AMO868">
        <v>-3932271</v>
      </c>
      <c r="AMP868">
        <v>-6878132</v>
      </c>
      <c r="AMQ868">
        <v>-10537119</v>
      </c>
      <c r="AWH868" t="s">
        <v>674</v>
      </c>
      <c r="AWI868">
        <v>-5341790</v>
      </c>
      <c r="AWJ868">
        <v>-5451787</v>
      </c>
      <c r="AWK868">
        <v>-3932271</v>
      </c>
      <c r="AWL868">
        <v>-6878132</v>
      </c>
      <c r="AWM868">
        <v>-10537119</v>
      </c>
      <c r="BGD868" t="s">
        <v>674</v>
      </c>
      <c r="BGE868">
        <v>-5341790</v>
      </c>
      <c r="BGF868">
        <v>-5451787</v>
      </c>
      <c r="BGG868">
        <v>-3932271</v>
      </c>
      <c r="BGH868">
        <v>-6878132</v>
      </c>
      <c r="BGI868">
        <v>-10537119</v>
      </c>
      <c r="BPZ868" t="s">
        <v>674</v>
      </c>
      <c r="BQA868">
        <v>-5341790</v>
      </c>
      <c r="BQB868">
        <v>-5451787</v>
      </c>
      <c r="BQC868">
        <v>-3932271</v>
      </c>
      <c r="BQD868">
        <v>-6878132</v>
      </c>
      <c r="BQE868">
        <v>-10537119</v>
      </c>
      <c r="BZV868" t="s">
        <v>674</v>
      </c>
      <c r="BZW868">
        <v>-5341790</v>
      </c>
      <c r="BZX868">
        <v>-5451787</v>
      </c>
      <c r="BZY868">
        <v>-3932271</v>
      </c>
      <c r="BZZ868">
        <v>-6878132</v>
      </c>
      <c r="CAA868">
        <v>-10537119</v>
      </c>
      <c r="CJR868" t="s">
        <v>674</v>
      </c>
      <c r="CJS868">
        <v>-5341790</v>
      </c>
      <c r="CJT868">
        <v>-5451787</v>
      </c>
      <c r="CJU868">
        <v>-3932271</v>
      </c>
      <c r="CJV868">
        <v>-6878132</v>
      </c>
      <c r="CJW868">
        <v>-10537119</v>
      </c>
      <c r="CTN868" t="s">
        <v>674</v>
      </c>
      <c r="CTO868">
        <v>-5341790</v>
      </c>
      <c r="CTP868">
        <v>-5451787</v>
      </c>
      <c r="CTQ868">
        <v>-3932271</v>
      </c>
      <c r="CTR868">
        <v>-6878132</v>
      </c>
      <c r="CTS868">
        <v>-10537119</v>
      </c>
      <c r="DDJ868" t="s">
        <v>674</v>
      </c>
      <c r="DDK868">
        <v>-5341790</v>
      </c>
      <c r="DDL868">
        <v>-5451787</v>
      </c>
      <c r="DDM868">
        <v>-3932271</v>
      </c>
      <c r="DDN868">
        <v>-6878132</v>
      </c>
      <c r="DDO868">
        <v>-10537119</v>
      </c>
      <c r="DNF868" t="s">
        <v>674</v>
      </c>
      <c r="DNG868">
        <v>-5341790</v>
      </c>
      <c r="DNH868">
        <v>-5451787</v>
      </c>
      <c r="DNI868">
        <v>-3932271</v>
      </c>
      <c r="DNJ868">
        <v>-6878132</v>
      </c>
      <c r="DNK868">
        <v>-10537119</v>
      </c>
      <c r="DXB868" t="s">
        <v>674</v>
      </c>
      <c r="DXC868">
        <v>-5341790</v>
      </c>
      <c r="DXD868">
        <v>-5451787</v>
      </c>
      <c r="DXE868">
        <v>-3932271</v>
      </c>
      <c r="DXF868">
        <v>-6878132</v>
      </c>
      <c r="DXG868">
        <v>-10537119</v>
      </c>
      <c r="EGX868" t="s">
        <v>674</v>
      </c>
      <c r="EGY868">
        <v>-5341790</v>
      </c>
      <c r="EGZ868">
        <v>-5451787</v>
      </c>
      <c r="EHA868">
        <v>-3932271</v>
      </c>
      <c r="EHB868">
        <v>-6878132</v>
      </c>
      <c r="EHC868">
        <v>-10537119</v>
      </c>
      <c r="EQT868" t="s">
        <v>674</v>
      </c>
      <c r="EQU868">
        <v>-5341790</v>
      </c>
      <c r="EQV868">
        <v>-5451787</v>
      </c>
      <c r="EQW868">
        <v>-3932271</v>
      </c>
      <c r="EQX868">
        <v>-6878132</v>
      </c>
      <c r="EQY868">
        <v>-10537119</v>
      </c>
      <c r="FAP868" t="s">
        <v>674</v>
      </c>
      <c r="FAQ868">
        <v>-5341790</v>
      </c>
      <c r="FAR868">
        <v>-5451787</v>
      </c>
      <c r="FAS868">
        <v>-3932271</v>
      </c>
      <c r="FAT868">
        <v>-6878132</v>
      </c>
      <c r="FAU868">
        <v>-10537119</v>
      </c>
      <c r="FKL868" t="s">
        <v>674</v>
      </c>
      <c r="FKM868">
        <v>-5341790</v>
      </c>
      <c r="FKN868">
        <v>-5451787</v>
      </c>
      <c r="FKO868">
        <v>-3932271</v>
      </c>
      <c r="FKP868">
        <v>-6878132</v>
      </c>
      <c r="FKQ868">
        <v>-10537119</v>
      </c>
      <c r="FUH868" t="s">
        <v>674</v>
      </c>
      <c r="FUI868">
        <v>-5341790</v>
      </c>
      <c r="FUJ868">
        <v>-5451787</v>
      </c>
      <c r="FUK868">
        <v>-3932271</v>
      </c>
      <c r="FUL868">
        <v>-6878132</v>
      </c>
      <c r="FUM868">
        <v>-10537119</v>
      </c>
      <c r="GED868" t="s">
        <v>674</v>
      </c>
      <c r="GEE868">
        <v>-5341790</v>
      </c>
      <c r="GEF868">
        <v>-5451787</v>
      </c>
      <c r="GEG868">
        <v>-3932271</v>
      </c>
      <c r="GEH868">
        <v>-6878132</v>
      </c>
      <c r="GEI868">
        <v>-10537119</v>
      </c>
      <c r="GNZ868" t="s">
        <v>674</v>
      </c>
      <c r="GOA868">
        <v>-5341790</v>
      </c>
      <c r="GOB868">
        <v>-5451787</v>
      </c>
      <c r="GOC868">
        <v>-3932271</v>
      </c>
      <c r="GOD868">
        <v>-6878132</v>
      </c>
      <c r="GOE868">
        <v>-10537119</v>
      </c>
      <c r="GXV868" t="s">
        <v>674</v>
      </c>
      <c r="GXW868">
        <v>-5341790</v>
      </c>
      <c r="GXX868">
        <v>-5451787</v>
      </c>
      <c r="GXY868">
        <v>-3932271</v>
      </c>
      <c r="GXZ868">
        <v>-6878132</v>
      </c>
      <c r="GYA868">
        <v>-10537119</v>
      </c>
      <c r="HHR868" t="s">
        <v>674</v>
      </c>
      <c r="HHS868">
        <v>-5341790</v>
      </c>
      <c r="HHT868">
        <v>-5451787</v>
      </c>
      <c r="HHU868">
        <v>-3932271</v>
      </c>
      <c r="HHV868">
        <v>-6878132</v>
      </c>
      <c r="HHW868">
        <v>-10537119</v>
      </c>
      <c r="HRN868" t="s">
        <v>674</v>
      </c>
      <c r="HRO868">
        <v>-5341790</v>
      </c>
      <c r="HRP868">
        <v>-5451787</v>
      </c>
      <c r="HRQ868">
        <v>-3932271</v>
      </c>
      <c r="HRR868">
        <v>-6878132</v>
      </c>
      <c r="HRS868">
        <v>-10537119</v>
      </c>
      <c r="IBJ868" t="s">
        <v>674</v>
      </c>
      <c r="IBK868">
        <v>-5341790</v>
      </c>
      <c r="IBL868">
        <v>-5451787</v>
      </c>
      <c r="IBM868">
        <v>-3932271</v>
      </c>
      <c r="IBN868">
        <v>-6878132</v>
      </c>
      <c r="IBO868">
        <v>-10537119</v>
      </c>
      <c r="ILF868" t="s">
        <v>674</v>
      </c>
      <c r="ILG868">
        <v>-5341790</v>
      </c>
      <c r="ILH868">
        <v>-5451787</v>
      </c>
      <c r="ILI868">
        <v>-3932271</v>
      </c>
      <c r="ILJ868">
        <v>-6878132</v>
      </c>
      <c r="ILK868">
        <v>-10537119</v>
      </c>
      <c r="IVB868" t="s">
        <v>674</v>
      </c>
      <c r="IVC868">
        <v>-5341790</v>
      </c>
      <c r="IVD868">
        <v>-5451787</v>
      </c>
      <c r="IVE868">
        <v>-3932271</v>
      </c>
      <c r="IVF868">
        <v>-6878132</v>
      </c>
      <c r="IVG868">
        <v>-10537119</v>
      </c>
      <c r="JEX868" t="s">
        <v>674</v>
      </c>
      <c r="JEY868">
        <v>-5341790</v>
      </c>
      <c r="JEZ868">
        <v>-5451787</v>
      </c>
      <c r="JFA868">
        <v>-3932271</v>
      </c>
      <c r="JFB868">
        <v>-6878132</v>
      </c>
      <c r="JFC868">
        <v>-10537119</v>
      </c>
      <c r="JOT868" t="s">
        <v>674</v>
      </c>
      <c r="JOU868">
        <v>-5341790</v>
      </c>
      <c r="JOV868">
        <v>-5451787</v>
      </c>
      <c r="JOW868">
        <v>-3932271</v>
      </c>
      <c r="JOX868">
        <v>-6878132</v>
      </c>
      <c r="JOY868">
        <v>-10537119</v>
      </c>
      <c r="JYP868" t="s">
        <v>674</v>
      </c>
      <c r="JYQ868">
        <v>-5341790</v>
      </c>
      <c r="JYR868">
        <v>-5451787</v>
      </c>
      <c r="JYS868">
        <v>-3932271</v>
      </c>
      <c r="JYT868">
        <v>-6878132</v>
      </c>
      <c r="JYU868">
        <v>-10537119</v>
      </c>
      <c r="KIL868" t="s">
        <v>674</v>
      </c>
      <c r="KIM868">
        <v>-5341790</v>
      </c>
      <c r="KIN868">
        <v>-5451787</v>
      </c>
      <c r="KIO868">
        <v>-3932271</v>
      </c>
      <c r="KIP868">
        <v>-6878132</v>
      </c>
      <c r="KIQ868">
        <v>-10537119</v>
      </c>
      <c r="KSH868" t="s">
        <v>674</v>
      </c>
      <c r="KSI868">
        <v>-5341790</v>
      </c>
      <c r="KSJ868">
        <v>-5451787</v>
      </c>
      <c r="KSK868">
        <v>-3932271</v>
      </c>
      <c r="KSL868">
        <v>-6878132</v>
      </c>
      <c r="KSM868">
        <v>-10537119</v>
      </c>
      <c r="LCD868" t="s">
        <v>674</v>
      </c>
      <c r="LCE868">
        <v>-5341790</v>
      </c>
      <c r="LCF868">
        <v>-5451787</v>
      </c>
      <c r="LCG868">
        <v>-3932271</v>
      </c>
      <c r="LCH868">
        <v>-6878132</v>
      </c>
      <c r="LCI868">
        <v>-10537119</v>
      </c>
      <c r="LLZ868" t="s">
        <v>674</v>
      </c>
      <c r="LMA868">
        <v>-5341790</v>
      </c>
      <c r="LMB868">
        <v>-5451787</v>
      </c>
      <c r="LMC868">
        <v>-3932271</v>
      </c>
      <c r="LMD868">
        <v>-6878132</v>
      </c>
      <c r="LME868">
        <v>-10537119</v>
      </c>
      <c r="LVV868" t="s">
        <v>674</v>
      </c>
      <c r="LVW868">
        <v>-5341790</v>
      </c>
      <c r="LVX868">
        <v>-5451787</v>
      </c>
      <c r="LVY868">
        <v>-3932271</v>
      </c>
      <c r="LVZ868">
        <v>-6878132</v>
      </c>
      <c r="LWA868">
        <v>-10537119</v>
      </c>
      <c r="MFR868" t="s">
        <v>674</v>
      </c>
      <c r="MFS868">
        <v>-5341790</v>
      </c>
      <c r="MFT868">
        <v>-5451787</v>
      </c>
      <c r="MFU868">
        <v>-3932271</v>
      </c>
      <c r="MFV868">
        <v>-6878132</v>
      </c>
      <c r="MFW868">
        <v>-10537119</v>
      </c>
      <c r="MPN868" t="s">
        <v>674</v>
      </c>
      <c r="MPO868">
        <v>-5341790</v>
      </c>
      <c r="MPP868">
        <v>-5451787</v>
      </c>
      <c r="MPQ868">
        <v>-3932271</v>
      </c>
      <c r="MPR868">
        <v>-6878132</v>
      </c>
      <c r="MPS868">
        <v>-10537119</v>
      </c>
      <c r="MZJ868" t="s">
        <v>674</v>
      </c>
      <c r="MZK868">
        <v>-5341790</v>
      </c>
      <c r="MZL868">
        <v>-5451787</v>
      </c>
      <c r="MZM868">
        <v>-3932271</v>
      </c>
      <c r="MZN868">
        <v>-6878132</v>
      </c>
      <c r="MZO868">
        <v>-10537119</v>
      </c>
      <c r="NJF868" t="s">
        <v>674</v>
      </c>
      <c r="NJG868">
        <v>-5341790</v>
      </c>
      <c r="NJH868">
        <v>-5451787</v>
      </c>
      <c r="NJI868">
        <v>-3932271</v>
      </c>
      <c r="NJJ868">
        <v>-6878132</v>
      </c>
      <c r="NJK868">
        <v>-10537119</v>
      </c>
      <c r="NTB868" t="s">
        <v>674</v>
      </c>
      <c r="NTC868">
        <v>-5341790</v>
      </c>
      <c r="NTD868">
        <v>-5451787</v>
      </c>
      <c r="NTE868">
        <v>-3932271</v>
      </c>
      <c r="NTF868">
        <v>-6878132</v>
      </c>
      <c r="NTG868">
        <v>-10537119</v>
      </c>
      <c r="OCX868" t="s">
        <v>674</v>
      </c>
      <c r="OCY868">
        <v>-5341790</v>
      </c>
      <c r="OCZ868">
        <v>-5451787</v>
      </c>
      <c r="ODA868">
        <v>-3932271</v>
      </c>
      <c r="ODB868">
        <v>-6878132</v>
      </c>
      <c r="ODC868">
        <v>-10537119</v>
      </c>
      <c r="OMT868" t="s">
        <v>674</v>
      </c>
      <c r="OMU868">
        <v>-5341790</v>
      </c>
      <c r="OMV868">
        <v>-5451787</v>
      </c>
      <c r="OMW868">
        <v>-3932271</v>
      </c>
      <c r="OMX868">
        <v>-6878132</v>
      </c>
      <c r="OMY868">
        <v>-10537119</v>
      </c>
      <c r="OWP868" t="s">
        <v>674</v>
      </c>
      <c r="OWQ868">
        <v>-5341790</v>
      </c>
      <c r="OWR868">
        <v>-5451787</v>
      </c>
      <c r="OWS868">
        <v>-3932271</v>
      </c>
      <c r="OWT868">
        <v>-6878132</v>
      </c>
      <c r="OWU868">
        <v>-10537119</v>
      </c>
      <c r="PGL868" t="s">
        <v>674</v>
      </c>
      <c r="PGM868">
        <v>-5341790</v>
      </c>
      <c r="PGN868">
        <v>-5451787</v>
      </c>
      <c r="PGO868">
        <v>-3932271</v>
      </c>
      <c r="PGP868">
        <v>-6878132</v>
      </c>
      <c r="PGQ868">
        <v>-10537119</v>
      </c>
      <c r="PQH868" t="s">
        <v>674</v>
      </c>
      <c r="PQI868">
        <v>-5341790</v>
      </c>
      <c r="PQJ868">
        <v>-5451787</v>
      </c>
      <c r="PQK868">
        <v>-3932271</v>
      </c>
      <c r="PQL868">
        <v>-6878132</v>
      </c>
      <c r="PQM868">
        <v>-10537119</v>
      </c>
      <c r="QAD868" t="s">
        <v>674</v>
      </c>
      <c r="QAE868">
        <v>-5341790</v>
      </c>
      <c r="QAF868">
        <v>-5451787</v>
      </c>
      <c r="QAG868">
        <v>-3932271</v>
      </c>
      <c r="QAH868">
        <v>-6878132</v>
      </c>
      <c r="QAI868">
        <v>-10537119</v>
      </c>
      <c r="QJZ868" t="s">
        <v>674</v>
      </c>
      <c r="QKA868">
        <v>-5341790</v>
      </c>
      <c r="QKB868">
        <v>-5451787</v>
      </c>
      <c r="QKC868">
        <v>-3932271</v>
      </c>
      <c r="QKD868">
        <v>-6878132</v>
      </c>
      <c r="QKE868">
        <v>-10537119</v>
      </c>
      <c r="QTV868" t="s">
        <v>674</v>
      </c>
      <c r="QTW868">
        <v>-5341790</v>
      </c>
      <c r="QTX868">
        <v>-5451787</v>
      </c>
      <c r="QTY868">
        <v>-3932271</v>
      </c>
      <c r="QTZ868">
        <v>-6878132</v>
      </c>
      <c r="QUA868">
        <v>-10537119</v>
      </c>
      <c r="RDR868" t="s">
        <v>674</v>
      </c>
      <c r="RDS868">
        <v>-5341790</v>
      </c>
      <c r="RDT868">
        <v>-5451787</v>
      </c>
      <c r="RDU868">
        <v>-3932271</v>
      </c>
      <c r="RDV868">
        <v>-6878132</v>
      </c>
      <c r="RDW868">
        <v>-10537119</v>
      </c>
      <c r="RNN868" t="s">
        <v>674</v>
      </c>
      <c r="RNO868">
        <v>-5341790</v>
      </c>
      <c r="RNP868">
        <v>-5451787</v>
      </c>
      <c r="RNQ868">
        <v>-3932271</v>
      </c>
      <c r="RNR868">
        <v>-6878132</v>
      </c>
      <c r="RNS868">
        <v>-10537119</v>
      </c>
      <c r="RXJ868" t="s">
        <v>674</v>
      </c>
      <c r="RXK868">
        <v>-5341790</v>
      </c>
      <c r="RXL868">
        <v>-5451787</v>
      </c>
      <c r="RXM868">
        <v>-3932271</v>
      </c>
      <c r="RXN868">
        <v>-6878132</v>
      </c>
      <c r="RXO868">
        <v>-10537119</v>
      </c>
      <c r="SHF868" t="s">
        <v>674</v>
      </c>
      <c r="SHG868">
        <v>-5341790</v>
      </c>
      <c r="SHH868">
        <v>-5451787</v>
      </c>
      <c r="SHI868">
        <v>-3932271</v>
      </c>
      <c r="SHJ868">
        <v>-6878132</v>
      </c>
      <c r="SHK868">
        <v>-10537119</v>
      </c>
      <c r="SRB868" t="s">
        <v>674</v>
      </c>
      <c r="SRC868">
        <v>-5341790</v>
      </c>
      <c r="SRD868">
        <v>-5451787</v>
      </c>
      <c r="SRE868">
        <v>-3932271</v>
      </c>
      <c r="SRF868">
        <v>-6878132</v>
      </c>
      <c r="SRG868">
        <v>-10537119</v>
      </c>
      <c r="TAX868" t="s">
        <v>674</v>
      </c>
      <c r="TAY868">
        <v>-5341790</v>
      </c>
      <c r="TAZ868">
        <v>-5451787</v>
      </c>
      <c r="TBA868">
        <v>-3932271</v>
      </c>
      <c r="TBB868">
        <v>-6878132</v>
      </c>
      <c r="TBC868">
        <v>-10537119</v>
      </c>
      <c r="TKT868" t="s">
        <v>674</v>
      </c>
      <c r="TKU868">
        <v>-5341790</v>
      </c>
      <c r="TKV868">
        <v>-5451787</v>
      </c>
      <c r="TKW868">
        <v>-3932271</v>
      </c>
      <c r="TKX868">
        <v>-6878132</v>
      </c>
      <c r="TKY868">
        <v>-10537119</v>
      </c>
      <c r="TUP868" t="s">
        <v>674</v>
      </c>
      <c r="TUQ868">
        <v>-5341790</v>
      </c>
      <c r="TUR868">
        <v>-5451787</v>
      </c>
      <c r="TUS868">
        <v>-3932271</v>
      </c>
      <c r="TUT868">
        <v>-6878132</v>
      </c>
      <c r="TUU868">
        <v>-10537119</v>
      </c>
      <c r="UEL868" t="s">
        <v>674</v>
      </c>
      <c r="UEM868">
        <v>-5341790</v>
      </c>
      <c r="UEN868">
        <v>-5451787</v>
      </c>
      <c r="UEO868">
        <v>-3932271</v>
      </c>
      <c r="UEP868">
        <v>-6878132</v>
      </c>
      <c r="UEQ868">
        <v>-10537119</v>
      </c>
      <c r="UOH868" t="s">
        <v>674</v>
      </c>
      <c r="UOI868">
        <v>-5341790</v>
      </c>
      <c r="UOJ868">
        <v>-5451787</v>
      </c>
      <c r="UOK868">
        <v>-3932271</v>
      </c>
      <c r="UOL868">
        <v>-6878132</v>
      </c>
      <c r="UOM868">
        <v>-10537119</v>
      </c>
      <c r="UYD868" t="s">
        <v>674</v>
      </c>
      <c r="UYE868">
        <v>-5341790</v>
      </c>
      <c r="UYF868">
        <v>-5451787</v>
      </c>
      <c r="UYG868">
        <v>-3932271</v>
      </c>
      <c r="UYH868">
        <v>-6878132</v>
      </c>
      <c r="UYI868">
        <v>-10537119</v>
      </c>
      <c r="VHZ868" t="s">
        <v>674</v>
      </c>
      <c r="VIA868">
        <v>-5341790</v>
      </c>
      <c r="VIB868">
        <v>-5451787</v>
      </c>
      <c r="VIC868">
        <v>-3932271</v>
      </c>
      <c r="VID868">
        <v>-6878132</v>
      </c>
      <c r="VIE868">
        <v>-10537119</v>
      </c>
      <c r="VRV868" t="s">
        <v>674</v>
      </c>
      <c r="VRW868">
        <v>-5341790</v>
      </c>
      <c r="VRX868">
        <v>-5451787</v>
      </c>
      <c r="VRY868">
        <v>-3932271</v>
      </c>
      <c r="VRZ868">
        <v>-6878132</v>
      </c>
      <c r="VSA868">
        <v>-10537119</v>
      </c>
      <c r="WBR868" t="s">
        <v>674</v>
      </c>
      <c r="WBS868">
        <v>-5341790</v>
      </c>
      <c r="WBT868">
        <v>-5451787</v>
      </c>
      <c r="WBU868">
        <v>-3932271</v>
      </c>
      <c r="WBV868">
        <v>-6878132</v>
      </c>
      <c r="WBW868">
        <v>-10537119</v>
      </c>
      <c r="WLN868" t="s">
        <v>674</v>
      </c>
      <c r="WLO868">
        <v>-5341790</v>
      </c>
      <c r="WLP868">
        <v>-5451787</v>
      </c>
      <c r="WLQ868">
        <v>-3932271</v>
      </c>
      <c r="WLR868">
        <v>-6878132</v>
      </c>
      <c r="WLS868">
        <v>-10537119</v>
      </c>
      <c r="WVJ868" t="s">
        <v>674</v>
      </c>
      <c r="WVK868">
        <v>-5341790</v>
      </c>
      <c r="WVL868">
        <v>-5451787</v>
      </c>
      <c r="WVM868">
        <v>-3932271</v>
      </c>
      <c r="WVN868">
        <v>-6878132</v>
      </c>
      <c r="WVO868">
        <v>-10537119</v>
      </c>
    </row>
    <row r="869" spans="1:775 1026:1799 2050:2823 3074:3847 4098:4871 5122:5895 6146:6919 7170:7943 8194:8967 9218:9991 10242:11015 11266:12039 12290:13063 13314:14087 14338:15111 15362:16135">
      <c r="A869" s="1448" t="s">
        <v>675</v>
      </c>
      <c r="C869" s="100">
        <v>-3997942</v>
      </c>
      <c r="D869" s="100">
        <v>-4428580</v>
      </c>
      <c r="E869" s="100">
        <v>-2487770</v>
      </c>
      <c r="F869" s="100">
        <v>-4591852</v>
      </c>
      <c r="G869" s="100">
        <v>-10836261</v>
      </c>
      <c r="H869" s="100"/>
      <c r="IX869" t="s">
        <v>675</v>
      </c>
      <c r="IY869">
        <v>-3997942</v>
      </c>
      <c r="IZ869">
        <v>-4428580</v>
      </c>
      <c r="JA869">
        <v>-2487770</v>
      </c>
      <c r="JB869">
        <v>-4591852</v>
      </c>
      <c r="JC869">
        <v>-10836261</v>
      </c>
      <c r="ST869" t="s">
        <v>675</v>
      </c>
      <c r="SU869">
        <v>-3997942</v>
      </c>
      <c r="SV869">
        <v>-4428580</v>
      </c>
      <c r="SW869">
        <v>-2487770</v>
      </c>
      <c r="SX869">
        <v>-4591852</v>
      </c>
      <c r="SY869">
        <v>-10836261</v>
      </c>
      <c r="ACP869" t="s">
        <v>675</v>
      </c>
      <c r="ACQ869">
        <v>-3997942</v>
      </c>
      <c r="ACR869">
        <v>-4428580</v>
      </c>
      <c r="ACS869">
        <v>-2487770</v>
      </c>
      <c r="ACT869">
        <v>-4591852</v>
      </c>
      <c r="ACU869">
        <v>-10836261</v>
      </c>
      <c r="AML869" t="s">
        <v>675</v>
      </c>
      <c r="AMM869">
        <v>-3997942</v>
      </c>
      <c r="AMN869">
        <v>-4428580</v>
      </c>
      <c r="AMO869">
        <v>-2487770</v>
      </c>
      <c r="AMP869">
        <v>-4591852</v>
      </c>
      <c r="AMQ869">
        <v>-10836261</v>
      </c>
      <c r="AWH869" t="s">
        <v>675</v>
      </c>
      <c r="AWI869">
        <v>-3997942</v>
      </c>
      <c r="AWJ869">
        <v>-4428580</v>
      </c>
      <c r="AWK869">
        <v>-2487770</v>
      </c>
      <c r="AWL869">
        <v>-4591852</v>
      </c>
      <c r="AWM869">
        <v>-10836261</v>
      </c>
      <c r="BGD869" t="s">
        <v>675</v>
      </c>
      <c r="BGE869">
        <v>-3997942</v>
      </c>
      <c r="BGF869">
        <v>-4428580</v>
      </c>
      <c r="BGG869">
        <v>-2487770</v>
      </c>
      <c r="BGH869">
        <v>-4591852</v>
      </c>
      <c r="BGI869">
        <v>-10836261</v>
      </c>
      <c r="BPZ869" t="s">
        <v>675</v>
      </c>
      <c r="BQA869">
        <v>-3997942</v>
      </c>
      <c r="BQB869">
        <v>-4428580</v>
      </c>
      <c r="BQC869">
        <v>-2487770</v>
      </c>
      <c r="BQD869">
        <v>-4591852</v>
      </c>
      <c r="BQE869">
        <v>-10836261</v>
      </c>
      <c r="BZV869" t="s">
        <v>675</v>
      </c>
      <c r="BZW869">
        <v>-3997942</v>
      </c>
      <c r="BZX869">
        <v>-4428580</v>
      </c>
      <c r="BZY869">
        <v>-2487770</v>
      </c>
      <c r="BZZ869">
        <v>-4591852</v>
      </c>
      <c r="CAA869">
        <v>-10836261</v>
      </c>
      <c r="CJR869" t="s">
        <v>675</v>
      </c>
      <c r="CJS869">
        <v>-3997942</v>
      </c>
      <c r="CJT869">
        <v>-4428580</v>
      </c>
      <c r="CJU869">
        <v>-2487770</v>
      </c>
      <c r="CJV869">
        <v>-4591852</v>
      </c>
      <c r="CJW869">
        <v>-10836261</v>
      </c>
      <c r="CTN869" t="s">
        <v>675</v>
      </c>
      <c r="CTO869">
        <v>-3997942</v>
      </c>
      <c r="CTP869">
        <v>-4428580</v>
      </c>
      <c r="CTQ869">
        <v>-2487770</v>
      </c>
      <c r="CTR869">
        <v>-4591852</v>
      </c>
      <c r="CTS869">
        <v>-10836261</v>
      </c>
      <c r="DDJ869" t="s">
        <v>675</v>
      </c>
      <c r="DDK869">
        <v>-3997942</v>
      </c>
      <c r="DDL869">
        <v>-4428580</v>
      </c>
      <c r="DDM869">
        <v>-2487770</v>
      </c>
      <c r="DDN869">
        <v>-4591852</v>
      </c>
      <c r="DDO869">
        <v>-10836261</v>
      </c>
      <c r="DNF869" t="s">
        <v>675</v>
      </c>
      <c r="DNG869">
        <v>-3997942</v>
      </c>
      <c r="DNH869">
        <v>-4428580</v>
      </c>
      <c r="DNI869">
        <v>-2487770</v>
      </c>
      <c r="DNJ869">
        <v>-4591852</v>
      </c>
      <c r="DNK869">
        <v>-10836261</v>
      </c>
      <c r="DXB869" t="s">
        <v>675</v>
      </c>
      <c r="DXC869">
        <v>-3997942</v>
      </c>
      <c r="DXD869">
        <v>-4428580</v>
      </c>
      <c r="DXE869">
        <v>-2487770</v>
      </c>
      <c r="DXF869">
        <v>-4591852</v>
      </c>
      <c r="DXG869">
        <v>-10836261</v>
      </c>
      <c r="EGX869" t="s">
        <v>675</v>
      </c>
      <c r="EGY869">
        <v>-3997942</v>
      </c>
      <c r="EGZ869">
        <v>-4428580</v>
      </c>
      <c r="EHA869">
        <v>-2487770</v>
      </c>
      <c r="EHB869">
        <v>-4591852</v>
      </c>
      <c r="EHC869">
        <v>-10836261</v>
      </c>
      <c r="EQT869" t="s">
        <v>675</v>
      </c>
      <c r="EQU869">
        <v>-3997942</v>
      </c>
      <c r="EQV869">
        <v>-4428580</v>
      </c>
      <c r="EQW869">
        <v>-2487770</v>
      </c>
      <c r="EQX869">
        <v>-4591852</v>
      </c>
      <c r="EQY869">
        <v>-10836261</v>
      </c>
      <c r="FAP869" t="s">
        <v>675</v>
      </c>
      <c r="FAQ869">
        <v>-3997942</v>
      </c>
      <c r="FAR869">
        <v>-4428580</v>
      </c>
      <c r="FAS869">
        <v>-2487770</v>
      </c>
      <c r="FAT869">
        <v>-4591852</v>
      </c>
      <c r="FAU869">
        <v>-10836261</v>
      </c>
      <c r="FKL869" t="s">
        <v>675</v>
      </c>
      <c r="FKM869">
        <v>-3997942</v>
      </c>
      <c r="FKN869">
        <v>-4428580</v>
      </c>
      <c r="FKO869">
        <v>-2487770</v>
      </c>
      <c r="FKP869">
        <v>-4591852</v>
      </c>
      <c r="FKQ869">
        <v>-10836261</v>
      </c>
      <c r="FUH869" t="s">
        <v>675</v>
      </c>
      <c r="FUI869">
        <v>-3997942</v>
      </c>
      <c r="FUJ869">
        <v>-4428580</v>
      </c>
      <c r="FUK869">
        <v>-2487770</v>
      </c>
      <c r="FUL869">
        <v>-4591852</v>
      </c>
      <c r="FUM869">
        <v>-10836261</v>
      </c>
      <c r="GED869" t="s">
        <v>675</v>
      </c>
      <c r="GEE869">
        <v>-3997942</v>
      </c>
      <c r="GEF869">
        <v>-4428580</v>
      </c>
      <c r="GEG869">
        <v>-2487770</v>
      </c>
      <c r="GEH869">
        <v>-4591852</v>
      </c>
      <c r="GEI869">
        <v>-10836261</v>
      </c>
      <c r="GNZ869" t="s">
        <v>675</v>
      </c>
      <c r="GOA869">
        <v>-3997942</v>
      </c>
      <c r="GOB869">
        <v>-4428580</v>
      </c>
      <c r="GOC869">
        <v>-2487770</v>
      </c>
      <c r="GOD869">
        <v>-4591852</v>
      </c>
      <c r="GOE869">
        <v>-10836261</v>
      </c>
      <c r="GXV869" t="s">
        <v>675</v>
      </c>
      <c r="GXW869">
        <v>-3997942</v>
      </c>
      <c r="GXX869">
        <v>-4428580</v>
      </c>
      <c r="GXY869">
        <v>-2487770</v>
      </c>
      <c r="GXZ869">
        <v>-4591852</v>
      </c>
      <c r="GYA869">
        <v>-10836261</v>
      </c>
      <c r="HHR869" t="s">
        <v>675</v>
      </c>
      <c r="HHS869">
        <v>-3997942</v>
      </c>
      <c r="HHT869">
        <v>-4428580</v>
      </c>
      <c r="HHU869">
        <v>-2487770</v>
      </c>
      <c r="HHV869">
        <v>-4591852</v>
      </c>
      <c r="HHW869">
        <v>-10836261</v>
      </c>
      <c r="HRN869" t="s">
        <v>675</v>
      </c>
      <c r="HRO869">
        <v>-3997942</v>
      </c>
      <c r="HRP869">
        <v>-4428580</v>
      </c>
      <c r="HRQ869">
        <v>-2487770</v>
      </c>
      <c r="HRR869">
        <v>-4591852</v>
      </c>
      <c r="HRS869">
        <v>-10836261</v>
      </c>
      <c r="IBJ869" t="s">
        <v>675</v>
      </c>
      <c r="IBK869">
        <v>-3997942</v>
      </c>
      <c r="IBL869">
        <v>-4428580</v>
      </c>
      <c r="IBM869">
        <v>-2487770</v>
      </c>
      <c r="IBN869">
        <v>-4591852</v>
      </c>
      <c r="IBO869">
        <v>-10836261</v>
      </c>
      <c r="ILF869" t="s">
        <v>675</v>
      </c>
      <c r="ILG869">
        <v>-3997942</v>
      </c>
      <c r="ILH869">
        <v>-4428580</v>
      </c>
      <c r="ILI869">
        <v>-2487770</v>
      </c>
      <c r="ILJ869">
        <v>-4591852</v>
      </c>
      <c r="ILK869">
        <v>-10836261</v>
      </c>
      <c r="IVB869" t="s">
        <v>675</v>
      </c>
      <c r="IVC869">
        <v>-3997942</v>
      </c>
      <c r="IVD869">
        <v>-4428580</v>
      </c>
      <c r="IVE869">
        <v>-2487770</v>
      </c>
      <c r="IVF869">
        <v>-4591852</v>
      </c>
      <c r="IVG869">
        <v>-10836261</v>
      </c>
      <c r="JEX869" t="s">
        <v>675</v>
      </c>
      <c r="JEY869">
        <v>-3997942</v>
      </c>
      <c r="JEZ869">
        <v>-4428580</v>
      </c>
      <c r="JFA869">
        <v>-2487770</v>
      </c>
      <c r="JFB869">
        <v>-4591852</v>
      </c>
      <c r="JFC869">
        <v>-10836261</v>
      </c>
      <c r="JOT869" t="s">
        <v>675</v>
      </c>
      <c r="JOU869">
        <v>-3997942</v>
      </c>
      <c r="JOV869">
        <v>-4428580</v>
      </c>
      <c r="JOW869">
        <v>-2487770</v>
      </c>
      <c r="JOX869">
        <v>-4591852</v>
      </c>
      <c r="JOY869">
        <v>-10836261</v>
      </c>
      <c r="JYP869" t="s">
        <v>675</v>
      </c>
      <c r="JYQ869">
        <v>-3997942</v>
      </c>
      <c r="JYR869">
        <v>-4428580</v>
      </c>
      <c r="JYS869">
        <v>-2487770</v>
      </c>
      <c r="JYT869">
        <v>-4591852</v>
      </c>
      <c r="JYU869">
        <v>-10836261</v>
      </c>
      <c r="KIL869" t="s">
        <v>675</v>
      </c>
      <c r="KIM869">
        <v>-3997942</v>
      </c>
      <c r="KIN869">
        <v>-4428580</v>
      </c>
      <c r="KIO869">
        <v>-2487770</v>
      </c>
      <c r="KIP869">
        <v>-4591852</v>
      </c>
      <c r="KIQ869">
        <v>-10836261</v>
      </c>
      <c r="KSH869" t="s">
        <v>675</v>
      </c>
      <c r="KSI869">
        <v>-3997942</v>
      </c>
      <c r="KSJ869">
        <v>-4428580</v>
      </c>
      <c r="KSK869">
        <v>-2487770</v>
      </c>
      <c r="KSL869">
        <v>-4591852</v>
      </c>
      <c r="KSM869">
        <v>-10836261</v>
      </c>
      <c r="LCD869" t="s">
        <v>675</v>
      </c>
      <c r="LCE869">
        <v>-3997942</v>
      </c>
      <c r="LCF869">
        <v>-4428580</v>
      </c>
      <c r="LCG869">
        <v>-2487770</v>
      </c>
      <c r="LCH869">
        <v>-4591852</v>
      </c>
      <c r="LCI869">
        <v>-10836261</v>
      </c>
      <c r="LLZ869" t="s">
        <v>675</v>
      </c>
      <c r="LMA869">
        <v>-3997942</v>
      </c>
      <c r="LMB869">
        <v>-4428580</v>
      </c>
      <c r="LMC869">
        <v>-2487770</v>
      </c>
      <c r="LMD869">
        <v>-4591852</v>
      </c>
      <c r="LME869">
        <v>-10836261</v>
      </c>
      <c r="LVV869" t="s">
        <v>675</v>
      </c>
      <c r="LVW869">
        <v>-3997942</v>
      </c>
      <c r="LVX869">
        <v>-4428580</v>
      </c>
      <c r="LVY869">
        <v>-2487770</v>
      </c>
      <c r="LVZ869">
        <v>-4591852</v>
      </c>
      <c r="LWA869">
        <v>-10836261</v>
      </c>
      <c r="MFR869" t="s">
        <v>675</v>
      </c>
      <c r="MFS869">
        <v>-3997942</v>
      </c>
      <c r="MFT869">
        <v>-4428580</v>
      </c>
      <c r="MFU869">
        <v>-2487770</v>
      </c>
      <c r="MFV869">
        <v>-4591852</v>
      </c>
      <c r="MFW869">
        <v>-10836261</v>
      </c>
      <c r="MPN869" t="s">
        <v>675</v>
      </c>
      <c r="MPO869">
        <v>-3997942</v>
      </c>
      <c r="MPP869">
        <v>-4428580</v>
      </c>
      <c r="MPQ869">
        <v>-2487770</v>
      </c>
      <c r="MPR869">
        <v>-4591852</v>
      </c>
      <c r="MPS869">
        <v>-10836261</v>
      </c>
      <c r="MZJ869" t="s">
        <v>675</v>
      </c>
      <c r="MZK869">
        <v>-3997942</v>
      </c>
      <c r="MZL869">
        <v>-4428580</v>
      </c>
      <c r="MZM869">
        <v>-2487770</v>
      </c>
      <c r="MZN869">
        <v>-4591852</v>
      </c>
      <c r="MZO869">
        <v>-10836261</v>
      </c>
      <c r="NJF869" t="s">
        <v>675</v>
      </c>
      <c r="NJG869">
        <v>-3997942</v>
      </c>
      <c r="NJH869">
        <v>-4428580</v>
      </c>
      <c r="NJI869">
        <v>-2487770</v>
      </c>
      <c r="NJJ869">
        <v>-4591852</v>
      </c>
      <c r="NJK869">
        <v>-10836261</v>
      </c>
      <c r="NTB869" t="s">
        <v>675</v>
      </c>
      <c r="NTC869">
        <v>-3997942</v>
      </c>
      <c r="NTD869">
        <v>-4428580</v>
      </c>
      <c r="NTE869">
        <v>-2487770</v>
      </c>
      <c r="NTF869">
        <v>-4591852</v>
      </c>
      <c r="NTG869">
        <v>-10836261</v>
      </c>
      <c r="OCX869" t="s">
        <v>675</v>
      </c>
      <c r="OCY869">
        <v>-3997942</v>
      </c>
      <c r="OCZ869">
        <v>-4428580</v>
      </c>
      <c r="ODA869">
        <v>-2487770</v>
      </c>
      <c r="ODB869">
        <v>-4591852</v>
      </c>
      <c r="ODC869">
        <v>-10836261</v>
      </c>
      <c r="OMT869" t="s">
        <v>675</v>
      </c>
      <c r="OMU869">
        <v>-3997942</v>
      </c>
      <c r="OMV869">
        <v>-4428580</v>
      </c>
      <c r="OMW869">
        <v>-2487770</v>
      </c>
      <c r="OMX869">
        <v>-4591852</v>
      </c>
      <c r="OMY869">
        <v>-10836261</v>
      </c>
      <c r="OWP869" t="s">
        <v>675</v>
      </c>
      <c r="OWQ869">
        <v>-3997942</v>
      </c>
      <c r="OWR869">
        <v>-4428580</v>
      </c>
      <c r="OWS869">
        <v>-2487770</v>
      </c>
      <c r="OWT869">
        <v>-4591852</v>
      </c>
      <c r="OWU869">
        <v>-10836261</v>
      </c>
      <c r="PGL869" t="s">
        <v>675</v>
      </c>
      <c r="PGM869">
        <v>-3997942</v>
      </c>
      <c r="PGN869">
        <v>-4428580</v>
      </c>
      <c r="PGO869">
        <v>-2487770</v>
      </c>
      <c r="PGP869">
        <v>-4591852</v>
      </c>
      <c r="PGQ869">
        <v>-10836261</v>
      </c>
      <c r="PQH869" t="s">
        <v>675</v>
      </c>
      <c r="PQI869">
        <v>-3997942</v>
      </c>
      <c r="PQJ869">
        <v>-4428580</v>
      </c>
      <c r="PQK869">
        <v>-2487770</v>
      </c>
      <c r="PQL869">
        <v>-4591852</v>
      </c>
      <c r="PQM869">
        <v>-10836261</v>
      </c>
      <c r="QAD869" t="s">
        <v>675</v>
      </c>
      <c r="QAE869">
        <v>-3997942</v>
      </c>
      <c r="QAF869">
        <v>-4428580</v>
      </c>
      <c r="QAG869">
        <v>-2487770</v>
      </c>
      <c r="QAH869">
        <v>-4591852</v>
      </c>
      <c r="QAI869">
        <v>-10836261</v>
      </c>
      <c r="QJZ869" t="s">
        <v>675</v>
      </c>
      <c r="QKA869">
        <v>-3997942</v>
      </c>
      <c r="QKB869">
        <v>-4428580</v>
      </c>
      <c r="QKC869">
        <v>-2487770</v>
      </c>
      <c r="QKD869">
        <v>-4591852</v>
      </c>
      <c r="QKE869">
        <v>-10836261</v>
      </c>
      <c r="QTV869" t="s">
        <v>675</v>
      </c>
      <c r="QTW869">
        <v>-3997942</v>
      </c>
      <c r="QTX869">
        <v>-4428580</v>
      </c>
      <c r="QTY869">
        <v>-2487770</v>
      </c>
      <c r="QTZ869">
        <v>-4591852</v>
      </c>
      <c r="QUA869">
        <v>-10836261</v>
      </c>
      <c r="RDR869" t="s">
        <v>675</v>
      </c>
      <c r="RDS869">
        <v>-3997942</v>
      </c>
      <c r="RDT869">
        <v>-4428580</v>
      </c>
      <c r="RDU869">
        <v>-2487770</v>
      </c>
      <c r="RDV869">
        <v>-4591852</v>
      </c>
      <c r="RDW869">
        <v>-10836261</v>
      </c>
      <c r="RNN869" t="s">
        <v>675</v>
      </c>
      <c r="RNO869">
        <v>-3997942</v>
      </c>
      <c r="RNP869">
        <v>-4428580</v>
      </c>
      <c r="RNQ869">
        <v>-2487770</v>
      </c>
      <c r="RNR869">
        <v>-4591852</v>
      </c>
      <c r="RNS869">
        <v>-10836261</v>
      </c>
      <c r="RXJ869" t="s">
        <v>675</v>
      </c>
      <c r="RXK869">
        <v>-3997942</v>
      </c>
      <c r="RXL869">
        <v>-4428580</v>
      </c>
      <c r="RXM869">
        <v>-2487770</v>
      </c>
      <c r="RXN869">
        <v>-4591852</v>
      </c>
      <c r="RXO869">
        <v>-10836261</v>
      </c>
      <c r="SHF869" t="s">
        <v>675</v>
      </c>
      <c r="SHG869">
        <v>-3997942</v>
      </c>
      <c r="SHH869">
        <v>-4428580</v>
      </c>
      <c r="SHI869">
        <v>-2487770</v>
      </c>
      <c r="SHJ869">
        <v>-4591852</v>
      </c>
      <c r="SHK869">
        <v>-10836261</v>
      </c>
      <c r="SRB869" t="s">
        <v>675</v>
      </c>
      <c r="SRC869">
        <v>-3997942</v>
      </c>
      <c r="SRD869">
        <v>-4428580</v>
      </c>
      <c r="SRE869">
        <v>-2487770</v>
      </c>
      <c r="SRF869">
        <v>-4591852</v>
      </c>
      <c r="SRG869">
        <v>-10836261</v>
      </c>
      <c r="TAX869" t="s">
        <v>675</v>
      </c>
      <c r="TAY869">
        <v>-3997942</v>
      </c>
      <c r="TAZ869">
        <v>-4428580</v>
      </c>
      <c r="TBA869">
        <v>-2487770</v>
      </c>
      <c r="TBB869">
        <v>-4591852</v>
      </c>
      <c r="TBC869">
        <v>-10836261</v>
      </c>
      <c r="TKT869" t="s">
        <v>675</v>
      </c>
      <c r="TKU869">
        <v>-3997942</v>
      </c>
      <c r="TKV869">
        <v>-4428580</v>
      </c>
      <c r="TKW869">
        <v>-2487770</v>
      </c>
      <c r="TKX869">
        <v>-4591852</v>
      </c>
      <c r="TKY869">
        <v>-10836261</v>
      </c>
      <c r="TUP869" t="s">
        <v>675</v>
      </c>
      <c r="TUQ869">
        <v>-3997942</v>
      </c>
      <c r="TUR869">
        <v>-4428580</v>
      </c>
      <c r="TUS869">
        <v>-2487770</v>
      </c>
      <c r="TUT869">
        <v>-4591852</v>
      </c>
      <c r="TUU869">
        <v>-10836261</v>
      </c>
      <c r="UEL869" t="s">
        <v>675</v>
      </c>
      <c r="UEM869">
        <v>-3997942</v>
      </c>
      <c r="UEN869">
        <v>-4428580</v>
      </c>
      <c r="UEO869">
        <v>-2487770</v>
      </c>
      <c r="UEP869">
        <v>-4591852</v>
      </c>
      <c r="UEQ869">
        <v>-10836261</v>
      </c>
      <c r="UOH869" t="s">
        <v>675</v>
      </c>
      <c r="UOI869">
        <v>-3997942</v>
      </c>
      <c r="UOJ869">
        <v>-4428580</v>
      </c>
      <c r="UOK869">
        <v>-2487770</v>
      </c>
      <c r="UOL869">
        <v>-4591852</v>
      </c>
      <c r="UOM869">
        <v>-10836261</v>
      </c>
      <c r="UYD869" t="s">
        <v>675</v>
      </c>
      <c r="UYE869">
        <v>-3997942</v>
      </c>
      <c r="UYF869">
        <v>-4428580</v>
      </c>
      <c r="UYG869">
        <v>-2487770</v>
      </c>
      <c r="UYH869">
        <v>-4591852</v>
      </c>
      <c r="UYI869">
        <v>-10836261</v>
      </c>
      <c r="VHZ869" t="s">
        <v>675</v>
      </c>
      <c r="VIA869">
        <v>-3997942</v>
      </c>
      <c r="VIB869">
        <v>-4428580</v>
      </c>
      <c r="VIC869">
        <v>-2487770</v>
      </c>
      <c r="VID869">
        <v>-4591852</v>
      </c>
      <c r="VIE869">
        <v>-10836261</v>
      </c>
      <c r="VRV869" t="s">
        <v>675</v>
      </c>
      <c r="VRW869">
        <v>-3997942</v>
      </c>
      <c r="VRX869">
        <v>-4428580</v>
      </c>
      <c r="VRY869">
        <v>-2487770</v>
      </c>
      <c r="VRZ869">
        <v>-4591852</v>
      </c>
      <c r="VSA869">
        <v>-10836261</v>
      </c>
      <c r="WBR869" t="s">
        <v>675</v>
      </c>
      <c r="WBS869">
        <v>-3997942</v>
      </c>
      <c r="WBT869">
        <v>-4428580</v>
      </c>
      <c r="WBU869">
        <v>-2487770</v>
      </c>
      <c r="WBV869">
        <v>-4591852</v>
      </c>
      <c r="WBW869">
        <v>-10836261</v>
      </c>
      <c r="WLN869" t="s">
        <v>675</v>
      </c>
      <c r="WLO869">
        <v>-3997942</v>
      </c>
      <c r="WLP869">
        <v>-4428580</v>
      </c>
      <c r="WLQ869">
        <v>-2487770</v>
      </c>
      <c r="WLR869">
        <v>-4591852</v>
      </c>
      <c r="WLS869">
        <v>-10836261</v>
      </c>
      <c r="WVJ869" t="s">
        <v>675</v>
      </c>
      <c r="WVK869">
        <v>-3997942</v>
      </c>
      <c r="WVL869">
        <v>-4428580</v>
      </c>
      <c r="WVM869">
        <v>-2487770</v>
      </c>
      <c r="WVN869">
        <v>-4591852</v>
      </c>
      <c r="WVO869">
        <v>-10836261</v>
      </c>
    </row>
    <row r="870" spans="1:775 1026:1799 2050:2823 3074:3847 4098:4871 5122:5895 6146:6919 7170:7943 8194:8967 9218:9991 10242:11015 11266:12039 12290:13063 13314:14087 14338:15111 15362:16135">
      <c r="A870" s="1448" t="s">
        <v>1314</v>
      </c>
      <c r="C870" s="98">
        <v>0</v>
      </c>
      <c r="D870" s="98">
        <v>0</v>
      </c>
      <c r="E870" s="100">
        <v>-61023</v>
      </c>
      <c r="F870" s="100">
        <v>152248</v>
      </c>
      <c r="G870" s="100">
        <v>588728</v>
      </c>
      <c r="H870" s="100"/>
      <c r="IX870" t="s">
        <v>1314</v>
      </c>
      <c r="IY870" t="s">
        <v>619</v>
      </c>
      <c r="IZ870" t="s">
        <v>619</v>
      </c>
      <c r="JA870">
        <v>-61023</v>
      </c>
      <c r="JB870">
        <v>152248</v>
      </c>
      <c r="JC870">
        <v>588728</v>
      </c>
      <c r="ST870" t="s">
        <v>1314</v>
      </c>
      <c r="SU870" t="s">
        <v>619</v>
      </c>
      <c r="SV870" t="s">
        <v>619</v>
      </c>
      <c r="SW870">
        <v>-61023</v>
      </c>
      <c r="SX870">
        <v>152248</v>
      </c>
      <c r="SY870">
        <v>588728</v>
      </c>
      <c r="ACP870" t="s">
        <v>1314</v>
      </c>
      <c r="ACQ870" t="s">
        <v>619</v>
      </c>
      <c r="ACR870" t="s">
        <v>619</v>
      </c>
      <c r="ACS870">
        <v>-61023</v>
      </c>
      <c r="ACT870">
        <v>152248</v>
      </c>
      <c r="ACU870">
        <v>588728</v>
      </c>
      <c r="AML870" t="s">
        <v>1314</v>
      </c>
      <c r="AMM870" t="s">
        <v>619</v>
      </c>
      <c r="AMN870" t="s">
        <v>619</v>
      </c>
      <c r="AMO870">
        <v>-61023</v>
      </c>
      <c r="AMP870">
        <v>152248</v>
      </c>
      <c r="AMQ870">
        <v>588728</v>
      </c>
      <c r="AWH870" t="s">
        <v>1314</v>
      </c>
      <c r="AWI870" t="s">
        <v>619</v>
      </c>
      <c r="AWJ870" t="s">
        <v>619</v>
      </c>
      <c r="AWK870">
        <v>-61023</v>
      </c>
      <c r="AWL870">
        <v>152248</v>
      </c>
      <c r="AWM870">
        <v>588728</v>
      </c>
      <c r="BGD870" t="s">
        <v>1314</v>
      </c>
      <c r="BGE870" t="s">
        <v>619</v>
      </c>
      <c r="BGF870" t="s">
        <v>619</v>
      </c>
      <c r="BGG870">
        <v>-61023</v>
      </c>
      <c r="BGH870">
        <v>152248</v>
      </c>
      <c r="BGI870">
        <v>588728</v>
      </c>
      <c r="BPZ870" t="s">
        <v>1314</v>
      </c>
      <c r="BQA870" t="s">
        <v>619</v>
      </c>
      <c r="BQB870" t="s">
        <v>619</v>
      </c>
      <c r="BQC870">
        <v>-61023</v>
      </c>
      <c r="BQD870">
        <v>152248</v>
      </c>
      <c r="BQE870">
        <v>588728</v>
      </c>
      <c r="BZV870" t="s">
        <v>1314</v>
      </c>
      <c r="BZW870" t="s">
        <v>619</v>
      </c>
      <c r="BZX870" t="s">
        <v>619</v>
      </c>
      <c r="BZY870">
        <v>-61023</v>
      </c>
      <c r="BZZ870">
        <v>152248</v>
      </c>
      <c r="CAA870">
        <v>588728</v>
      </c>
      <c r="CJR870" t="s">
        <v>1314</v>
      </c>
      <c r="CJS870" t="s">
        <v>619</v>
      </c>
      <c r="CJT870" t="s">
        <v>619</v>
      </c>
      <c r="CJU870">
        <v>-61023</v>
      </c>
      <c r="CJV870">
        <v>152248</v>
      </c>
      <c r="CJW870">
        <v>588728</v>
      </c>
      <c r="CTN870" t="s">
        <v>1314</v>
      </c>
      <c r="CTO870" t="s">
        <v>619</v>
      </c>
      <c r="CTP870" t="s">
        <v>619</v>
      </c>
      <c r="CTQ870">
        <v>-61023</v>
      </c>
      <c r="CTR870">
        <v>152248</v>
      </c>
      <c r="CTS870">
        <v>588728</v>
      </c>
      <c r="DDJ870" t="s">
        <v>1314</v>
      </c>
      <c r="DDK870" t="s">
        <v>619</v>
      </c>
      <c r="DDL870" t="s">
        <v>619</v>
      </c>
      <c r="DDM870">
        <v>-61023</v>
      </c>
      <c r="DDN870">
        <v>152248</v>
      </c>
      <c r="DDO870">
        <v>588728</v>
      </c>
      <c r="DNF870" t="s">
        <v>1314</v>
      </c>
      <c r="DNG870" t="s">
        <v>619</v>
      </c>
      <c r="DNH870" t="s">
        <v>619</v>
      </c>
      <c r="DNI870">
        <v>-61023</v>
      </c>
      <c r="DNJ870">
        <v>152248</v>
      </c>
      <c r="DNK870">
        <v>588728</v>
      </c>
      <c r="DXB870" t="s">
        <v>1314</v>
      </c>
      <c r="DXC870" t="s">
        <v>619</v>
      </c>
      <c r="DXD870" t="s">
        <v>619</v>
      </c>
      <c r="DXE870">
        <v>-61023</v>
      </c>
      <c r="DXF870">
        <v>152248</v>
      </c>
      <c r="DXG870">
        <v>588728</v>
      </c>
      <c r="EGX870" t="s">
        <v>1314</v>
      </c>
      <c r="EGY870" t="s">
        <v>619</v>
      </c>
      <c r="EGZ870" t="s">
        <v>619</v>
      </c>
      <c r="EHA870">
        <v>-61023</v>
      </c>
      <c r="EHB870">
        <v>152248</v>
      </c>
      <c r="EHC870">
        <v>588728</v>
      </c>
      <c r="EQT870" t="s">
        <v>1314</v>
      </c>
      <c r="EQU870" t="s">
        <v>619</v>
      </c>
      <c r="EQV870" t="s">
        <v>619</v>
      </c>
      <c r="EQW870">
        <v>-61023</v>
      </c>
      <c r="EQX870">
        <v>152248</v>
      </c>
      <c r="EQY870">
        <v>588728</v>
      </c>
      <c r="FAP870" t="s">
        <v>1314</v>
      </c>
      <c r="FAQ870" t="s">
        <v>619</v>
      </c>
      <c r="FAR870" t="s">
        <v>619</v>
      </c>
      <c r="FAS870">
        <v>-61023</v>
      </c>
      <c r="FAT870">
        <v>152248</v>
      </c>
      <c r="FAU870">
        <v>588728</v>
      </c>
      <c r="FKL870" t="s">
        <v>1314</v>
      </c>
      <c r="FKM870" t="s">
        <v>619</v>
      </c>
      <c r="FKN870" t="s">
        <v>619</v>
      </c>
      <c r="FKO870">
        <v>-61023</v>
      </c>
      <c r="FKP870">
        <v>152248</v>
      </c>
      <c r="FKQ870">
        <v>588728</v>
      </c>
      <c r="FUH870" t="s">
        <v>1314</v>
      </c>
      <c r="FUI870" t="s">
        <v>619</v>
      </c>
      <c r="FUJ870" t="s">
        <v>619</v>
      </c>
      <c r="FUK870">
        <v>-61023</v>
      </c>
      <c r="FUL870">
        <v>152248</v>
      </c>
      <c r="FUM870">
        <v>588728</v>
      </c>
      <c r="GED870" t="s">
        <v>1314</v>
      </c>
      <c r="GEE870" t="s">
        <v>619</v>
      </c>
      <c r="GEF870" t="s">
        <v>619</v>
      </c>
      <c r="GEG870">
        <v>-61023</v>
      </c>
      <c r="GEH870">
        <v>152248</v>
      </c>
      <c r="GEI870">
        <v>588728</v>
      </c>
      <c r="GNZ870" t="s">
        <v>1314</v>
      </c>
      <c r="GOA870" t="s">
        <v>619</v>
      </c>
      <c r="GOB870" t="s">
        <v>619</v>
      </c>
      <c r="GOC870">
        <v>-61023</v>
      </c>
      <c r="GOD870">
        <v>152248</v>
      </c>
      <c r="GOE870">
        <v>588728</v>
      </c>
      <c r="GXV870" t="s">
        <v>1314</v>
      </c>
      <c r="GXW870" t="s">
        <v>619</v>
      </c>
      <c r="GXX870" t="s">
        <v>619</v>
      </c>
      <c r="GXY870">
        <v>-61023</v>
      </c>
      <c r="GXZ870">
        <v>152248</v>
      </c>
      <c r="GYA870">
        <v>588728</v>
      </c>
      <c r="HHR870" t="s">
        <v>1314</v>
      </c>
      <c r="HHS870" t="s">
        <v>619</v>
      </c>
      <c r="HHT870" t="s">
        <v>619</v>
      </c>
      <c r="HHU870">
        <v>-61023</v>
      </c>
      <c r="HHV870">
        <v>152248</v>
      </c>
      <c r="HHW870">
        <v>588728</v>
      </c>
      <c r="HRN870" t="s">
        <v>1314</v>
      </c>
      <c r="HRO870" t="s">
        <v>619</v>
      </c>
      <c r="HRP870" t="s">
        <v>619</v>
      </c>
      <c r="HRQ870">
        <v>-61023</v>
      </c>
      <c r="HRR870">
        <v>152248</v>
      </c>
      <c r="HRS870">
        <v>588728</v>
      </c>
      <c r="IBJ870" t="s">
        <v>1314</v>
      </c>
      <c r="IBK870" t="s">
        <v>619</v>
      </c>
      <c r="IBL870" t="s">
        <v>619</v>
      </c>
      <c r="IBM870">
        <v>-61023</v>
      </c>
      <c r="IBN870">
        <v>152248</v>
      </c>
      <c r="IBO870">
        <v>588728</v>
      </c>
      <c r="ILF870" t="s">
        <v>1314</v>
      </c>
      <c r="ILG870" t="s">
        <v>619</v>
      </c>
      <c r="ILH870" t="s">
        <v>619</v>
      </c>
      <c r="ILI870">
        <v>-61023</v>
      </c>
      <c r="ILJ870">
        <v>152248</v>
      </c>
      <c r="ILK870">
        <v>588728</v>
      </c>
      <c r="IVB870" t="s">
        <v>1314</v>
      </c>
      <c r="IVC870" t="s">
        <v>619</v>
      </c>
      <c r="IVD870" t="s">
        <v>619</v>
      </c>
      <c r="IVE870">
        <v>-61023</v>
      </c>
      <c r="IVF870">
        <v>152248</v>
      </c>
      <c r="IVG870">
        <v>588728</v>
      </c>
      <c r="JEX870" t="s">
        <v>1314</v>
      </c>
      <c r="JEY870" t="s">
        <v>619</v>
      </c>
      <c r="JEZ870" t="s">
        <v>619</v>
      </c>
      <c r="JFA870">
        <v>-61023</v>
      </c>
      <c r="JFB870">
        <v>152248</v>
      </c>
      <c r="JFC870">
        <v>588728</v>
      </c>
      <c r="JOT870" t="s">
        <v>1314</v>
      </c>
      <c r="JOU870" t="s">
        <v>619</v>
      </c>
      <c r="JOV870" t="s">
        <v>619</v>
      </c>
      <c r="JOW870">
        <v>-61023</v>
      </c>
      <c r="JOX870">
        <v>152248</v>
      </c>
      <c r="JOY870">
        <v>588728</v>
      </c>
      <c r="JYP870" t="s">
        <v>1314</v>
      </c>
      <c r="JYQ870" t="s">
        <v>619</v>
      </c>
      <c r="JYR870" t="s">
        <v>619</v>
      </c>
      <c r="JYS870">
        <v>-61023</v>
      </c>
      <c r="JYT870">
        <v>152248</v>
      </c>
      <c r="JYU870">
        <v>588728</v>
      </c>
      <c r="KIL870" t="s">
        <v>1314</v>
      </c>
      <c r="KIM870" t="s">
        <v>619</v>
      </c>
      <c r="KIN870" t="s">
        <v>619</v>
      </c>
      <c r="KIO870">
        <v>-61023</v>
      </c>
      <c r="KIP870">
        <v>152248</v>
      </c>
      <c r="KIQ870">
        <v>588728</v>
      </c>
      <c r="KSH870" t="s">
        <v>1314</v>
      </c>
      <c r="KSI870" t="s">
        <v>619</v>
      </c>
      <c r="KSJ870" t="s">
        <v>619</v>
      </c>
      <c r="KSK870">
        <v>-61023</v>
      </c>
      <c r="KSL870">
        <v>152248</v>
      </c>
      <c r="KSM870">
        <v>588728</v>
      </c>
      <c r="LCD870" t="s">
        <v>1314</v>
      </c>
      <c r="LCE870" t="s">
        <v>619</v>
      </c>
      <c r="LCF870" t="s">
        <v>619</v>
      </c>
      <c r="LCG870">
        <v>-61023</v>
      </c>
      <c r="LCH870">
        <v>152248</v>
      </c>
      <c r="LCI870">
        <v>588728</v>
      </c>
      <c r="LLZ870" t="s">
        <v>1314</v>
      </c>
      <c r="LMA870" t="s">
        <v>619</v>
      </c>
      <c r="LMB870" t="s">
        <v>619</v>
      </c>
      <c r="LMC870">
        <v>-61023</v>
      </c>
      <c r="LMD870">
        <v>152248</v>
      </c>
      <c r="LME870">
        <v>588728</v>
      </c>
      <c r="LVV870" t="s">
        <v>1314</v>
      </c>
      <c r="LVW870" t="s">
        <v>619</v>
      </c>
      <c r="LVX870" t="s">
        <v>619</v>
      </c>
      <c r="LVY870">
        <v>-61023</v>
      </c>
      <c r="LVZ870">
        <v>152248</v>
      </c>
      <c r="LWA870">
        <v>588728</v>
      </c>
      <c r="MFR870" t="s">
        <v>1314</v>
      </c>
      <c r="MFS870" t="s">
        <v>619</v>
      </c>
      <c r="MFT870" t="s">
        <v>619</v>
      </c>
      <c r="MFU870">
        <v>-61023</v>
      </c>
      <c r="MFV870">
        <v>152248</v>
      </c>
      <c r="MFW870">
        <v>588728</v>
      </c>
      <c r="MPN870" t="s">
        <v>1314</v>
      </c>
      <c r="MPO870" t="s">
        <v>619</v>
      </c>
      <c r="MPP870" t="s">
        <v>619</v>
      </c>
      <c r="MPQ870">
        <v>-61023</v>
      </c>
      <c r="MPR870">
        <v>152248</v>
      </c>
      <c r="MPS870">
        <v>588728</v>
      </c>
      <c r="MZJ870" t="s">
        <v>1314</v>
      </c>
      <c r="MZK870" t="s">
        <v>619</v>
      </c>
      <c r="MZL870" t="s">
        <v>619</v>
      </c>
      <c r="MZM870">
        <v>-61023</v>
      </c>
      <c r="MZN870">
        <v>152248</v>
      </c>
      <c r="MZO870">
        <v>588728</v>
      </c>
      <c r="NJF870" t="s">
        <v>1314</v>
      </c>
      <c r="NJG870" t="s">
        <v>619</v>
      </c>
      <c r="NJH870" t="s">
        <v>619</v>
      </c>
      <c r="NJI870">
        <v>-61023</v>
      </c>
      <c r="NJJ870">
        <v>152248</v>
      </c>
      <c r="NJK870">
        <v>588728</v>
      </c>
      <c r="NTB870" t="s">
        <v>1314</v>
      </c>
      <c r="NTC870" t="s">
        <v>619</v>
      </c>
      <c r="NTD870" t="s">
        <v>619</v>
      </c>
      <c r="NTE870">
        <v>-61023</v>
      </c>
      <c r="NTF870">
        <v>152248</v>
      </c>
      <c r="NTG870">
        <v>588728</v>
      </c>
      <c r="OCX870" t="s">
        <v>1314</v>
      </c>
      <c r="OCY870" t="s">
        <v>619</v>
      </c>
      <c r="OCZ870" t="s">
        <v>619</v>
      </c>
      <c r="ODA870">
        <v>-61023</v>
      </c>
      <c r="ODB870">
        <v>152248</v>
      </c>
      <c r="ODC870">
        <v>588728</v>
      </c>
      <c r="OMT870" t="s">
        <v>1314</v>
      </c>
      <c r="OMU870" t="s">
        <v>619</v>
      </c>
      <c r="OMV870" t="s">
        <v>619</v>
      </c>
      <c r="OMW870">
        <v>-61023</v>
      </c>
      <c r="OMX870">
        <v>152248</v>
      </c>
      <c r="OMY870">
        <v>588728</v>
      </c>
      <c r="OWP870" t="s">
        <v>1314</v>
      </c>
      <c r="OWQ870" t="s">
        <v>619</v>
      </c>
      <c r="OWR870" t="s">
        <v>619</v>
      </c>
      <c r="OWS870">
        <v>-61023</v>
      </c>
      <c r="OWT870">
        <v>152248</v>
      </c>
      <c r="OWU870">
        <v>588728</v>
      </c>
      <c r="PGL870" t="s">
        <v>1314</v>
      </c>
      <c r="PGM870" t="s">
        <v>619</v>
      </c>
      <c r="PGN870" t="s">
        <v>619</v>
      </c>
      <c r="PGO870">
        <v>-61023</v>
      </c>
      <c r="PGP870">
        <v>152248</v>
      </c>
      <c r="PGQ870">
        <v>588728</v>
      </c>
      <c r="PQH870" t="s">
        <v>1314</v>
      </c>
      <c r="PQI870" t="s">
        <v>619</v>
      </c>
      <c r="PQJ870" t="s">
        <v>619</v>
      </c>
      <c r="PQK870">
        <v>-61023</v>
      </c>
      <c r="PQL870">
        <v>152248</v>
      </c>
      <c r="PQM870">
        <v>588728</v>
      </c>
      <c r="QAD870" t="s">
        <v>1314</v>
      </c>
      <c r="QAE870" t="s">
        <v>619</v>
      </c>
      <c r="QAF870" t="s">
        <v>619</v>
      </c>
      <c r="QAG870">
        <v>-61023</v>
      </c>
      <c r="QAH870">
        <v>152248</v>
      </c>
      <c r="QAI870">
        <v>588728</v>
      </c>
      <c r="QJZ870" t="s">
        <v>1314</v>
      </c>
      <c r="QKA870" t="s">
        <v>619</v>
      </c>
      <c r="QKB870" t="s">
        <v>619</v>
      </c>
      <c r="QKC870">
        <v>-61023</v>
      </c>
      <c r="QKD870">
        <v>152248</v>
      </c>
      <c r="QKE870">
        <v>588728</v>
      </c>
      <c r="QTV870" t="s">
        <v>1314</v>
      </c>
      <c r="QTW870" t="s">
        <v>619</v>
      </c>
      <c r="QTX870" t="s">
        <v>619</v>
      </c>
      <c r="QTY870">
        <v>-61023</v>
      </c>
      <c r="QTZ870">
        <v>152248</v>
      </c>
      <c r="QUA870">
        <v>588728</v>
      </c>
      <c r="RDR870" t="s">
        <v>1314</v>
      </c>
      <c r="RDS870" t="s">
        <v>619</v>
      </c>
      <c r="RDT870" t="s">
        <v>619</v>
      </c>
      <c r="RDU870">
        <v>-61023</v>
      </c>
      <c r="RDV870">
        <v>152248</v>
      </c>
      <c r="RDW870">
        <v>588728</v>
      </c>
      <c r="RNN870" t="s">
        <v>1314</v>
      </c>
      <c r="RNO870" t="s">
        <v>619</v>
      </c>
      <c r="RNP870" t="s">
        <v>619</v>
      </c>
      <c r="RNQ870">
        <v>-61023</v>
      </c>
      <c r="RNR870">
        <v>152248</v>
      </c>
      <c r="RNS870">
        <v>588728</v>
      </c>
      <c r="RXJ870" t="s">
        <v>1314</v>
      </c>
      <c r="RXK870" t="s">
        <v>619</v>
      </c>
      <c r="RXL870" t="s">
        <v>619</v>
      </c>
      <c r="RXM870">
        <v>-61023</v>
      </c>
      <c r="RXN870">
        <v>152248</v>
      </c>
      <c r="RXO870">
        <v>588728</v>
      </c>
      <c r="SHF870" t="s">
        <v>1314</v>
      </c>
      <c r="SHG870" t="s">
        <v>619</v>
      </c>
      <c r="SHH870" t="s">
        <v>619</v>
      </c>
      <c r="SHI870">
        <v>-61023</v>
      </c>
      <c r="SHJ870">
        <v>152248</v>
      </c>
      <c r="SHK870">
        <v>588728</v>
      </c>
      <c r="SRB870" t="s">
        <v>1314</v>
      </c>
      <c r="SRC870" t="s">
        <v>619</v>
      </c>
      <c r="SRD870" t="s">
        <v>619</v>
      </c>
      <c r="SRE870">
        <v>-61023</v>
      </c>
      <c r="SRF870">
        <v>152248</v>
      </c>
      <c r="SRG870">
        <v>588728</v>
      </c>
      <c r="TAX870" t="s">
        <v>1314</v>
      </c>
      <c r="TAY870" t="s">
        <v>619</v>
      </c>
      <c r="TAZ870" t="s">
        <v>619</v>
      </c>
      <c r="TBA870">
        <v>-61023</v>
      </c>
      <c r="TBB870">
        <v>152248</v>
      </c>
      <c r="TBC870">
        <v>588728</v>
      </c>
      <c r="TKT870" t="s">
        <v>1314</v>
      </c>
      <c r="TKU870" t="s">
        <v>619</v>
      </c>
      <c r="TKV870" t="s">
        <v>619</v>
      </c>
      <c r="TKW870">
        <v>-61023</v>
      </c>
      <c r="TKX870">
        <v>152248</v>
      </c>
      <c r="TKY870">
        <v>588728</v>
      </c>
      <c r="TUP870" t="s">
        <v>1314</v>
      </c>
      <c r="TUQ870" t="s">
        <v>619</v>
      </c>
      <c r="TUR870" t="s">
        <v>619</v>
      </c>
      <c r="TUS870">
        <v>-61023</v>
      </c>
      <c r="TUT870">
        <v>152248</v>
      </c>
      <c r="TUU870">
        <v>588728</v>
      </c>
      <c r="UEL870" t="s">
        <v>1314</v>
      </c>
      <c r="UEM870" t="s">
        <v>619</v>
      </c>
      <c r="UEN870" t="s">
        <v>619</v>
      </c>
      <c r="UEO870">
        <v>-61023</v>
      </c>
      <c r="UEP870">
        <v>152248</v>
      </c>
      <c r="UEQ870">
        <v>588728</v>
      </c>
      <c r="UOH870" t="s">
        <v>1314</v>
      </c>
      <c r="UOI870" t="s">
        <v>619</v>
      </c>
      <c r="UOJ870" t="s">
        <v>619</v>
      </c>
      <c r="UOK870">
        <v>-61023</v>
      </c>
      <c r="UOL870">
        <v>152248</v>
      </c>
      <c r="UOM870">
        <v>588728</v>
      </c>
      <c r="UYD870" t="s">
        <v>1314</v>
      </c>
      <c r="UYE870" t="s">
        <v>619</v>
      </c>
      <c r="UYF870" t="s">
        <v>619</v>
      </c>
      <c r="UYG870">
        <v>-61023</v>
      </c>
      <c r="UYH870">
        <v>152248</v>
      </c>
      <c r="UYI870">
        <v>588728</v>
      </c>
      <c r="VHZ870" t="s">
        <v>1314</v>
      </c>
      <c r="VIA870" t="s">
        <v>619</v>
      </c>
      <c r="VIB870" t="s">
        <v>619</v>
      </c>
      <c r="VIC870">
        <v>-61023</v>
      </c>
      <c r="VID870">
        <v>152248</v>
      </c>
      <c r="VIE870">
        <v>588728</v>
      </c>
      <c r="VRV870" t="s">
        <v>1314</v>
      </c>
      <c r="VRW870" t="s">
        <v>619</v>
      </c>
      <c r="VRX870" t="s">
        <v>619</v>
      </c>
      <c r="VRY870">
        <v>-61023</v>
      </c>
      <c r="VRZ870">
        <v>152248</v>
      </c>
      <c r="VSA870">
        <v>588728</v>
      </c>
      <c r="WBR870" t="s">
        <v>1314</v>
      </c>
      <c r="WBS870" t="s">
        <v>619</v>
      </c>
      <c r="WBT870" t="s">
        <v>619</v>
      </c>
      <c r="WBU870">
        <v>-61023</v>
      </c>
      <c r="WBV870">
        <v>152248</v>
      </c>
      <c r="WBW870">
        <v>588728</v>
      </c>
      <c r="WLN870" t="s">
        <v>1314</v>
      </c>
      <c r="WLO870" t="s">
        <v>619</v>
      </c>
      <c r="WLP870" t="s">
        <v>619</v>
      </c>
      <c r="WLQ870">
        <v>-61023</v>
      </c>
      <c r="WLR870">
        <v>152248</v>
      </c>
      <c r="WLS870">
        <v>588728</v>
      </c>
      <c r="WVJ870" t="s">
        <v>1314</v>
      </c>
      <c r="WVK870" t="s">
        <v>619</v>
      </c>
      <c r="WVL870" t="s">
        <v>619</v>
      </c>
      <c r="WVM870">
        <v>-61023</v>
      </c>
      <c r="WVN870">
        <v>152248</v>
      </c>
      <c r="WVO870">
        <v>588728</v>
      </c>
    </row>
    <row r="871" spans="1:775 1026:1799 2050:2823 3074:3847 4098:4871 5122:5895 6146:6919 7170:7943 8194:8967 9218:9991 10242:11015 11266:12039 12290:13063 13314:14087 14338:15111 15362:16135">
      <c r="A871" s="96"/>
      <c r="C871" s="1633">
        <f>C860+C866+C868+C869+C870</f>
        <v>-9595608</v>
      </c>
      <c r="D871" s="1633">
        <f>D860+D866+D868+D869+D870</f>
        <v>-11079189</v>
      </c>
      <c r="E871" s="1633">
        <f>E860+E866+E868+E869+E870</f>
        <v>-4607645</v>
      </c>
      <c r="F871" s="1633">
        <f>F860+F866+F868+F869+F870</f>
        <v>-4496303</v>
      </c>
      <c r="G871" s="1633">
        <f>G860+G866+G868+G869+G870</f>
        <v>-15640659</v>
      </c>
      <c r="H871" s="100"/>
    </row>
    <row r="872" spans="1:775 1026:1799 2050:2823 3074:3847 4098:4871 5122:5895 6146:6919 7170:7943 8194:8967 9218:9991 10242:11015 11266:12039 12290:13063 13314:14087 14338:15111 15362:16135">
      <c r="A872" s="96" t="s">
        <v>617</v>
      </c>
      <c r="C872" s="100">
        <v>-123643</v>
      </c>
      <c r="D872" s="100">
        <v>-370536</v>
      </c>
      <c r="E872" s="100">
        <v>-426015</v>
      </c>
      <c r="F872" s="100">
        <v>-637410</v>
      </c>
      <c r="G872" s="100">
        <v>-333216</v>
      </c>
      <c r="H872" s="100"/>
      <c r="IX872" t="s">
        <v>617</v>
      </c>
      <c r="IY872">
        <v>-123643</v>
      </c>
      <c r="IZ872">
        <v>-370536</v>
      </c>
      <c r="JA872">
        <v>-426015</v>
      </c>
      <c r="JB872">
        <v>-637410</v>
      </c>
      <c r="JC872">
        <v>-333216</v>
      </c>
      <c r="ST872" t="s">
        <v>617</v>
      </c>
      <c r="SU872">
        <v>-123643</v>
      </c>
      <c r="SV872">
        <v>-370536</v>
      </c>
      <c r="SW872">
        <v>-426015</v>
      </c>
      <c r="SX872">
        <v>-637410</v>
      </c>
      <c r="SY872">
        <v>-333216</v>
      </c>
      <c r="ACP872" t="s">
        <v>617</v>
      </c>
      <c r="ACQ872">
        <v>-123643</v>
      </c>
      <c r="ACR872">
        <v>-370536</v>
      </c>
      <c r="ACS872">
        <v>-426015</v>
      </c>
      <c r="ACT872">
        <v>-637410</v>
      </c>
      <c r="ACU872">
        <v>-333216</v>
      </c>
      <c r="AML872" t="s">
        <v>617</v>
      </c>
      <c r="AMM872">
        <v>-123643</v>
      </c>
      <c r="AMN872">
        <v>-370536</v>
      </c>
      <c r="AMO872">
        <v>-426015</v>
      </c>
      <c r="AMP872">
        <v>-637410</v>
      </c>
      <c r="AMQ872">
        <v>-333216</v>
      </c>
      <c r="AWH872" t="s">
        <v>617</v>
      </c>
      <c r="AWI872">
        <v>-123643</v>
      </c>
      <c r="AWJ872">
        <v>-370536</v>
      </c>
      <c r="AWK872">
        <v>-426015</v>
      </c>
      <c r="AWL872">
        <v>-637410</v>
      </c>
      <c r="AWM872">
        <v>-333216</v>
      </c>
      <c r="BGD872" t="s">
        <v>617</v>
      </c>
      <c r="BGE872">
        <v>-123643</v>
      </c>
      <c r="BGF872">
        <v>-370536</v>
      </c>
      <c r="BGG872">
        <v>-426015</v>
      </c>
      <c r="BGH872">
        <v>-637410</v>
      </c>
      <c r="BGI872">
        <v>-333216</v>
      </c>
      <c r="BPZ872" t="s">
        <v>617</v>
      </c>
      <c r="BQA872">
        <v>-123643</v>
      </c>
      <c r="BQB872">
        <v>-370536</v>
      </c>
      <c r="BQC872">
        <v>-426015</v>
      </c>
      <c r="BQD872">
        <v>-637410</v>
      </c>
      <c r="BQE872">
        <v>-333216</v>
      </c>
      <c r="BZV872" t="s">
        <v>617</v>
      </c>
      <c r="BZW872">
        <v>-123643</v>
      </c>
      <c r="BZX872">
        <v>-370536</v>
      </c>
      <c r="BZY872">
        <v>-426015</v>
      </c>
      <c r="BZZ872">
        <v>-637410</v>
      </c>
      <c r="CAA872">
        <v>-333216</v>
      </c>
      <c r="CJR872" t="s">
        <v>617</v>
      </c>
      <c r="CJS872">
        <v>-123643</v>
      </c>
      <c r="CJT872">
        <v>-370536</v>
      </c>
      <c r="CJU872">
        <v>-426015</v>
      </c>
      <c r="CJV872">
        <v>-637410</v>
      </c>
      <c r="CJW872">
        <v>-333216</v>
      </c>
      <c r="CTN872" t="s">
        <v>617</v>
      </c>
      <c r="CTO872">
        <v>-123643</v>
      </c>
      <c r="CTP872">
        <v>-370536</v>
      </c>
      <c r="CTQ872">
        <v>-426015</v>
      </c>
      <c r="CTR872">
        <v>-637410</v>
      </c>
      <c r="CTS872">
        <v>-333216</v>
      </c>
      <c r="DDJ872" t="s">
        <v>617</v>
      </c>
      <c r="DDK872">
        <v>-123643</v>
      </c>
      <c r="DDL872">
        <v>-370536</v>
      </c>
      <c r="DDM872">
        <v>-426015</v>
      </c>
      <c r="DDN872">
        <v>-637410</v>
      </c>
      <c r="DDO872">
        <v>-333216</v>
      </c>
      <c r="DNF872" t="s">
        <v>617</v>
      </c>
      <c r="DNG872">
        <v>-123643</v>
      </c>
      <c r="DNH872">
        <v>-370536</v>
      </c>
      <c r="DNI872">
        <v>-426015</v>
      </c>
      <c r="DNJ872">
        <v>-637410</v>
      </c>
      <c r="DNK872">
        <v>-333216</v>
      </c>
      <c r="DXB872" t="s">
        <v>617</v>
      </c>
      <c r="DXC872">
        <v>-123643</v>
      </c>
      <c r="DXD872">
        <v>-370536</v>
      </c>
      <c r="DXE872">
        <v>-426015</v>
      </c>
      <c r="DXF872">
        <v>-637410</v>
      </c>
      <c r="DXG872">
        <v>-333216</v>
      </c>
      <c r="EGX872" t="s">
        <v>617</v>
      </c>
      <c r="EGY872">
        <v>-123643</v>
      </c>
      <c r="EGZ872">
        <v>-370536</v>
      </c>
      <c r="EHA872">
        <v>-426015</v>
      </c>
      <c r="EHB872">
        <v>-637410</v>
      </c>
      <c r="EHC872">
        <v>-333216</v>
      </c>
      <c r="EQT872" t="s">
        <v>617</v>
      </c>
      <c r="EQU872">
        <v>-123643</v>
      </c>
      <c r="EQV872">
        <v>-370536</v>
      </c>
      <c r="EQW872">
        <v>-426015</v>
      </c>
      <c r="EQX872">
        <v>-637410</v>
      </c>
      <c r="EQY872">
        <v>-333216</v>
      </c>
      <c r="FAP872" t="s">
        <v>617</v>
      </c>
      <c r="FAQ872">
        <v>-123643</v>
      </c>
      <c r="FAR872">
        <v>-370536</v>
      </c>
      <c r="FAS872">
        <v>-426015</v>
      </c>
      <c r="FAT872">
        <v>-637410</v>
      </c>
      <c r="FAU872">
        <v>-333216</v>
      </c>
      <c r="FKL872" t="s">
        <v>617</v>
      </c>
      <c r="FKM872">
        <v>-123643</v>
      </c>
      <c r="FKN872">
        <v>-370536</v>
      </c>
      <c r="FKO872">
        <v>-426015</v>
      </c>
      <c r="FKP872">
        <v>-637410</v>
      </c>
      <c r="FKQ872">
        <v>-333216</v>
      </c>
      <c r="FUH872" t="s">
        <v>617</v>
      </c>
      <c r="FUI872">
        <v>-123643</v>
      </c>
      <c r="FUJ872">
        <v>-370536</v>
      </c>
      <c r="FUK872">
        <v>-426015</v>
      </c>
      <c r="FUL872">
        <v>-637410</v>
      </c>
      <c r="FUM872">
        <v>-333216</v>
      </c>
      <c r="GED872" t="s">
        <v>617</v>
      </c>
      <c r="GEE872">
        <v>-123643</v>
      </c>
      <c r="GEF872">
        <v>-370536</v>
      </c>
      <c r="GEG872">
        <v>-426015</v>
      </c>
      <c r="GEH872">
        <v>-637410</v>
      </c>
      <c r="GEI872">
        <v>-333216</v>
      </c>
      <c r="GNZ872" t="s">
        <v>617</v>
      </c>
      <c r="GOA872">
        <v>-123643</v>
      </c>
      <c r="GOB872">
        <v>-370536</v>
      </c>
      <c r="GOC872">
        <v>-426015</v>
      </c>
      <c r="GOD872">
        <v>-637410</v>
      </c>
      <c r="GOE872">
        <v>-333216</v>
      </c>
      <c r="GXV872" t="s">
        <v>617</v>
      </c>
      <c r="GXW872">
        <v>-123643</v>
      </c>
      <c r="GXX872">
        <v>-370536</v>
      </c>
      <c r="GXY872">
        <v>-426015</v>
      </c>
      <c r="GXZ872">
        <v>-637410</v>
      </c>
      <c r="GYA872">
        <v>-333216</v>
      </c>
      <c r="HHR872" t="s">
        <v>617</v>
      </c>
      <c r="HHS872">
        <v>-123643</v>
      </c>
      <c r="HHT872">
        <v>-370536</v>
      </c>
      <c r="HHU872">
        <v>-426015</v>
      </c>
      <c r="HHV872">
        <v>-637410</v>
      </c>
      <c r="HHW872">
        <v>-333216</v>
      </c>
      <c r="HRN872" t="s">
        <v>617</v>
      </c>
      <c r="HRO872">
        <v>-123643</v>
      </c>
      <c r="HRP872">
        <v>-370536</v>
      </c>
      <c r="HRQ872">
        <v>-426015</v>
      </c>
      <c r="HRR872">
        <v>-637410</v>
      </c>
      <c r="HRS872">
        <v>-333216</v>
      </c>
      <c r="IBJ872" t="s">
        <v>617</v>
      </c>
      <c r="IBK872">
        <v>-123643</v>
      </c>
      <c r="IBL872">
        <v>-370536</v>
      </c>
      <c r="IBM872">
        <v>-426015</v>
      </c>
      <c r="IBN872">
        <v>-637410</v>
      </c>
      <c r="IBO872">
        <v>-333216</v>
      </c>
      <c r="ILF872" t="s">
        <v>617</v>
      </c>
      <c r="ILG872">
        <v>-123643</v>
      </c>
      <c r="ILH872">
        <v>-370536</v>
      </c>
      <c r="ILI872">
        <v>-426015</v>
      </c>
      <c r="ILJ872">
        <v>-637410</v>
      </c>
      <c r="ILK872">
        <v>-333216</v>
      </c>
      <c r="IVB872" t="s">
        <v>617</v>
      </c>
      <c r="IVC872">
        <v>-123643</v>
      </c>
      <c r="IVD872">
        <v>-370536</v>
      </c>
      <c r="IVE872">
        <v>-426015</v>
      </c>
      <c r="IVF872">
        <v>-637410</v>
      </c>
      <c r="IVG872">
        <v>-333216</v>
      </c>
      <c r="JEX872" t="s">
        <v>617</v>
      </c>
      <c r="JEY872">
        <v>-123643</v>
      </c>
      <c r="JEZ872">
        <v>-370536</v>
      </c>
      <c r="JFA872">
        <v>-426015</v>
      </c>
      <c r="JFB872">
        <v>-637410</v>
      </c>
      <c r="JFC872">
        <v>-333216</v>
      </c>
      <c r="JOT872" t="s">
        <v>617</v>
      </c>
      <c r="JOU872">
        <v>-123643</v>
      </c>
      <c r="JOV872">
        <v>-370536</v>
      </c>
      <c r="JOW872">
        <v>-426015</v>
      </c>
      <c r="JOX872">
        <v>-637410</v>
      </c>
      <c r="JOY872">
        <v>-333216</v>
      </c>
      <c r="JYP872" t="s">
        <v>617</v>
      </c>
      <c r="JYQ872">
        <v>-123643</v>
      </c>
      <c r="JYR872">
        <v>-370536</v>
      </c>
      <c r="JYS872">
        <v>-426015</v>
      </c>
      <c r="JYT872">
        <v>-637410</v>
      </c>
      <c r="JYU872">
        <v>-333216</v>
      </c>
      <c r="KIL872" t="s">
        <v>617</v>
      </c>
      <c r="KIM872">
        <v>-123643</v>
      </c>
      <c r="KIN872">
        <v>-370536</v>
      </c>
      <c r="KIO872">
        <v>-426015</v>
      </c>
      <c r="KIP872">
        <v>-637410</v>
      </c>
      <c r="KIQ872">
        <v>-333216</v>
      </c>
      <c r="KSH872" t="s">
        <v>617</v>
      </c>
      <c r="KSI872">
        <v>-123643</v>
      </c>
      <c r="KSJ872">
        <v>-370536</v>
      </c>
      <c r="KSK872">
        <v>-426015</v>
      </c>
      <c r="KSL872">
        <v>-637410</v>
      </c>
      <c r="KSM872">
        <v>-333216</v>
      </c>
      <c r="LCD872" t="s">
        <v>617</v>
      </c>
      <c r="LCE872">
        <v>-123643</v>
      </c>
      <c r="LCF872">
        <v>-370536</v>
      </c>
      <c r="LCG872">
        <v>-426015</v>
      </c>
      <c r="LCH872">
        <v>-637410</v>
      </c>
      <c r="LCI872">
        <v>-333216</v>
      </c>
      <c r="LLZ872" t="s">
        <v>617</v>
      </c>
      <c r="LMA872">
        <v>-123643</v>
      </c>
      <c r="LMB872">
        <v>-370536</v>
      </c>
      <c r="LMC872">
        <v>-426015</v>
      </c>
      <c r="LMD872">
        <v>-637410</v>
      </c>
      <c r="LME872">
        <v>-333216</v>
      </c>
      <c r="LVV872" t="s">
        <v>617</v>
      </c>
      <c r="LVW872">
        <v>-123643</v>
      </c>
      <c r="LVX872">
        <v>-370536</v>
      </c>
      <c r="LVY872">
        <v>-426015</v>
      </c>
      <c r="LVZ872">
        <v>-637410</v>
      </c>
      <c r="LWA872">
        <v>-333216</v>
      </c>
      <c r="MFR872" t="s">
        <v>617</v>
      </c>
      <c r="MFS872">
        <v>-123643</v>
      </c>
      <c r="MFT872">
        <v>-370536</v>
      </c>
      <c r="MFU872">
        <v>-426015</v>
      </c>
      <c r="MFV872">
        <v>-637410</v>
      </c>
      <c r="MFW872">
        <v>-333216</v>
      </c>
      <c r="MPN872" t="s">
        <v>617</v>
      </c>
      <c r="MPO872">
        <v>-123643</v>
      </c>
      <c r="MPP872">
        <v>-370536</v>
      </c>
      <c r="MPQ872">
        <v>-426015</v>
      </c>
      <c r="MPR872">
        <v>-637410</v>
      </c>
      <c r="MPS872">
        <v>-333216</v>
      </c>
      <c r="MZJ872" t="s">
        <v>617</v>
      </c>
      <c r="MZK872">
        <v>-123643</v>
      </c>
      <c r="MZL872">
        <v>-370536</v>
      </c>
      <c r="MZM872">
        <v>-426015</v>
      </c>
      <c r="MZN872">
        <v>-637410</v>
      </c>
      <c r="MZO872">
        <v>-333216</v>
      </c>
      <c r="NJF872" t="s">
        <v>617</v>
      </c>
      <c r="NJG872">
        <v>-123643</v>
      </c>
      <c r="NJH872">
        <v>-370536</v>
      </c>
      <c r="NJI872">
        <v>-426015</v>
      </c>
      <c r="NJJ872">
        <v>-637410</v>
      </c>
      <c r="NJK872">
        <v>-333216</v>
      </c>
      <c r="NTB872" t="s">
        <v>617</v>
      </c>
      <c r="NTC872">
        <v>-123643</v>
      </c>
      <c r="NTD872">
        <v>-370536</v>
      </c>
      <c r="NTE872">
        <v>-426015</v>
      </c>
      <c r="NTF872">
        <v>-637410</v>
      </c>
      <c r="NTG872">
        <v>-333216</v>
      </c>
      <c r="OCX872" t="s">
        <v>617</v>
      </c>
      <c r="OCY872">
        <v>-123643</v>
      </c>
      <c r="OCZ872">
        <v>-370536</v>
      </c>
      <c r="ODA872">
        <v>-426015</v>
      </c>
      <c r="ODB872">
        <v>-637410</v>
      </c>
      <c r="ODC872">
        <v>-333216</v>
      </c>
      <c r="OMT872" t="s">
        <v>617</v>
      </c>
      <c r="OMU872">
        <v>-123643</v>
      </c>
      <c r="OMV872">
        <v>-370536</v>
      </c>
      <c r="OMW872">
        <v>-426015</v>
      </c>
      <c r="OMX872">
        <v>-637410</v>
      </c>
      <c r="OMY872">
        <v>-333216</v>
      </c>
      <c r="OWP872" t="s">
        <v>617</v>
      </c>
      <c r="OWQ872">
        <v>-123643</v>
      </c>
      <c r="OWR872">
        <v>-370536</v>
      </c>
      <c r="OWS872">
        <v>-426015</v>
      </c>
      <c r="OWT872">
        <v>-637410</v>
      </c>
      <c r="OWU872">
        <v>-333216</v>
      </c>
      <c r="PGL872" t="s">
        <v>617</v>
      </c>
      <c r="PGM872">
        <v>-123643</v>
      </c>
      <c r="PGN872">
        <v>-370536</v>
      </c>
      <c r="PGO872">
        <v>-426015</v>
      </c>
      <c r="PGP872">
        <v>-637410</v>
      </c>
      <c r="PGQ872">
        <v>-333216</v>
      </c>
      <c r="PQH872" t="s">
        <v>617</v>
      </c>
      <c r="PQI872">
        <v>-123643</v>
      </c>
      <c r="PQJ872">
        <v>-370536</v>
      </c>
      <c r="PQK872">
        <v>-426015</v>
      </c>
      <c r="PQL872">
        <v>-637410</v>
      </c>
      <c r="PQM872">
        <v>-333216</v>
      </c>
      <c r="QAD872" t="s">
        <v>617</v>
      </c>
      <c r="QAE872">
        <v>-123643</v>
      </c>
      <c r="QAF872">
        <v>-370536</v>
      </c>
      <c r="QAG872">
        <v>-426015</v>
      </c>
      <c r="QAH872">
        <v>-637410</v>
      </c>
      <c r="QAI872">
        <v>-333216</v>
      </c>
      <c r="QJZ872" t="s">
        <v>617</v>
      </c>
      <c r="QKA872">
        <v>-123643</v>
      </c>
      <c r="QKB872">
        <v>-370536</v>
      </c>
      <c r="QKC872">
        <v>-426015</v>
      </c>
      <c r="QKD872">
        <v>-637410</v>
      </c>
      <c r="QKE872">
        <v>-333216</v>
      </c>
      <c r="QTV872" t="s">
        <v>617</v>
      </c>
      <c r="QTW872">
        <v>-123643</v>
      </c>
      <c r="QTX872">
        <v>-370536</v>
      </c>
      <c r="QTY872">
        <v>-426015</v>
      </c>
      <c r="QTZ872">
        <v>-637410</v>
      </c>
      <c r="QUA872">
        <v>-333216</v>
      </c>
      <c r="RDR872" t="s">
        <v>617</v>
      </c>
      <c r="RDS872">
        <v>-123643</v>
      </c>
      <c r="RDT872">
        <v>-370536</v>
      </c>
      <c r="RDU872">
        <v>-426015</v>
      </c>
      <c r="RDV872">
        <v>-637410</v>
      </c>
      <c r="RDW872">
        <v>-333216</v>
      </c>
      <c r="RNN872" t="s">
        <v>617</v>
      </c>
      <c r="RNO872">
        <v>-123643</v>
      </c>
      <c r="RNP872">
        <v>-370536</v>
      </c>
      <c r="RNQ872">
        <v>-426015</v>
      </c>
      <c r="RNR872">
        <v>-637410</v>
      </c>
      <c r="RNS872">
        <v>-333216</v>
      </c>
      <c r="RXJ872" t="s">
        <v>617</v>
      </c>
      <c r="RXK872">
        <v>-123643</v>
      </c>
      <c r="RXL872">
        <v>-370536</v>
      </c>
      <c r="RXM872">
        <v>-426015</v>
      </c>
      <c r="RXN872">
        <v>-637410</v>
      </c>
      <c r="RXO872">
        <v>-333216</v>
      </c>
      <c r="SHF872" t="s">
        <v>617</v>
      </c>
      <c r="SHG872">
        <v>-123643</v>
      </c>
      <c r="SHH872">
        <v>-370536</v>
      </c>
      <c r="SHI872">
        <v>-426015</v>
      </c>
      <c r="SHJ872">
        <v>-637410</v>
      </c>
      <c r="SHK872">
        <v>-333216</v>
      </c>
      <c r="SRB872" t="s">
        <v>617</v>
      </c>
      <c r="SRC872">
        <v>-123643</v>
      </c>
      <c r="SRD872">
        <v>-370536</v>
      </c>
      <c r="SRE872">
        <v>-426015</v>
      </c>
      <c r="SRF872">
        <v>-637410</v>
      </c>
      <c r="SRG872">
        <v>-333216</v>
      </c>
      <c r="TAX872" t="s">
        <v>617</v>
      </c>
      <c r="TAY872">
        <v>-123643</v>
      </c>
      <c r="TAZ872">
        <v>-370536</v>
      </c>
      <c r="TBA872">
        <v>-426015</v>
      </c>
      <c r="TBB872">
        <v>-637410</v>
      </c>
      <c r="TBC872">
        <v>-333216</v>
      </c>
      <c r="TKT872" t="s">
        <v>617</v>
      </c>
      <c r="TKU872">
        <v>-123643</v>
      </c>
      <c r="TKV872">
        <v>-370536</v>
      </c>
      <c r="TKW872">
        <v>-426015</v>
      </c>
      <c r="TKX872">
        <v>-637410</v>
      </c>
      <c r="TKY872">
        <v>-333216</v>
      </c>
      <c r="TUP872" t="s">
        <v>617</v>
      </c>
      <c r="TUQ872">
        <v>-123643</v>
      </c>
      <c r="TUR872">
        <v>-370536</v>
      </c>
      <c r="TUS872">
        <v>-426015</v>
      </c>
      <c r="TUT872">
        <v>-637410</v>
      </c>
      <c r="TUU872">
        <v>-333216</v>
      </c>
      <c r="UEL872" t="s">
        <v>617</v>
      </c>
      <c r="UEM872">
        <v>-123643</v>
      </c>
      <c r="UEN872">
        <v>-370536</v>
      </c>
      <c r="UEO872">
        <v>-426015</v>
      </c>
      <c r="UEP872">
        <v>-637410</v>
      </c>
      <c r="UEQ872">
        <v>-333216</v>
      </c>
      <c r="UOH872" t="s">
        <v>617</v>
      </c>
      <c r="UOI872">
        <v>-123643</v>
      </c>
      <c r="UOJ872">
        <v>-370536</v>
      </c>
      <c r="UOK872">
        <v>-426015</v>
      </c>
      <c r="UOL872">
        <v>-637410</v>
      </c>
      <c r="UOM872">
        <v>-333216</v>
      </c>
      <c r="UYD872" t="s">
        <v>617</v>
      </c>
      <c r="UYE872">
        <v>-123643</v>
      </c>
      <c r="UYF872">
        <v>-370536</v>
      </c>
      <c r="UYG872">
        <v>-426015</v>
      </c>
      <c r="UYH872">
        <v>-637410</v>
      </c>
      <c r="UYI872">
        <v>-333216</v>
      </c>
      <c r="VHZ872" t="s">
        <v>617</v>
      </c>
      <c r="VIA872">
        <v>-123643</v>
      </c>
      <c r="VIB872">
        <v>-370536</v>
      </c>
      <c r="VIC872">
        <v>-426015</v>
      </c>
      <c r="VID872">
        <v>-637410</v>
      </c>
      <c r="VIE872">
        <v>-333216</v>
      </c>
      <c r="VRV872" t="s">
        <v>617</v>
      </c>
      <c r="VRW872">
        <v>-123643</v>
      </c>
      <c r="VRX872">
        <v>-370536</v>
      </c>
      <c r="VRY872">
        <v>-426015</v>
      </c>
      <c r="VRZ872">
        <v>-637410</v>
      </c>
      <c r="VSA872">
        <v>-333216</v>
      </c>
      <c r="WBR872" t="s">
        <v>617</v>
      </c>
      <c r="WBS872">
        <v>-123643</v>
      </c>
      <c r="WBT872">
        <v>-370536</v>
      </c>
      <c r="WBU872">
        <v>-426015</v>
      </c>
      <c r="WBV872">
        <v>-637410</v>
      </c>
      <c r="WBW872">
        <v>-333216</v>
      </c>
      <c r="WLN872" t="s">
        <v>617</v>
      </c>
      <c r="WLO872">
        <v>-123643</v>
      </c>
      <c r="WLP872">
        <v>-370536</v>
      </c>
      <c r="WLQ872">
        <v>-426015</v>
      </c>
      <c r="WLR872">
        <v>-637410</v>
      </c>
      <c r="WLS872">
        <v>-333216</v>
      </c>
      <c r="WVJ872" t="s">
        <v>617</v>
      </c>
      <c r="WVK872">
        <v>-123643</v>
      </c>
      <c r="WVL872">
        <v>-370536</v>
      </c>
      <c r="WVM872">
        <v>-426015</v>
      </c>
      <c r="WVN872">
        <v>-637410</v>
      </c>
      <c r="WVO872">
        <v>-333216</v>
      </c>
    </row>
    <row r="873" spans="1:775 1026:1799 2050:2823 3074:3847 4098:4871 5122:5895 6146:6919 7170:7943 8194:8967 9218:9991 10242:11015 11266:12039 12290:13063 13314:14087 14338:15111 15362:16135">
      <c r="A873" s="96"/>
      <c r="C873" s="1635"/>
      <c r="D873" s="100"/>
      <c r="E873" s="100"/>
      <c r="F873" s="100"/>
      <c r="G873" s="100"/>
      <c r="H873" s="100"/>
    </row>
    <row r="874" spans="1:775 1026:1799 2050:2823 3074:3847 4098:4871 5122:5895 6146:6919 7170:7943 8194:8967 9218:9991 10242:11015 11266:12039 12290:13063 13314:14087 14338:15111 15362:16135">
      <c r="A874" s="96" t="s">
        <v>677</v>
      </c>
      <c r="C874" s="100">
        <v>133384</v>
      </c>
      <c r="D874" s="98">
        <v>0</v>
      </c>
      <c r="E874" s="98">
        <v>0</v>
      </c>
      <c r="F874" s="98">
        <v>0</v>
      </c>
      <c r="G874" s="98">
        <v>0</v>
      </c>
      <c r="H874" s="98"/>
      <c r="IX874" t="s">
        <v>677</v>
      </c>
      <c r="IY874">
        <v>133384</v>
      </c>
      <c r="IZ874" t="s">
        <v>619</v>
      </c>
      <c r="JA874" t="s">
        <v>619</v>
      </c>
      <c r="JB874" t="s">
        <v>619</v>
      </c>
      <c r="JC874" t="s">
        <v>619</v>
      </c>
      <c r="ST874" t="s">
        <v>677</v>
      </c>
      <c r="SU874">
        <v>133384</v>
      </c>
      <c r="SV874" t="s">
        <v>619</v>
      </c>
      <c r="SW874" t="s">
        <v>619</v>
      </c>
      <c r="SX874" t="s">
        <v>619</v>
      </c>
      <c r="SY874" t="s">
        <v>619</v>
      </c>
      <c r="ACP874" t="s">
        <v>677</v>
      </c>
      <c r="ACQ874">
        <v>133384</v>
      </c>
      <c r="ACR874" t="s">
        <v>619</v>
      </c>
      <c r="ACS874" t="s">
        <v>619</v>
      </c>
      <c r="ACT874" t="s">
        <v>619</v>
      </c>
      <c r="ACU874" t="s">
        <v>619</v>
      </c>
      <c r="AML874" t="s">
        <v>677</v>
      </c>
      <c r="AMM874">
        <v>133384</v>
      </c>
      <c r="AMN874" t="s">
        <v>619</v>
      </c>
      <c r="AMO874" t="s">
        <v>619</v>
      </c>
      <c r="AMP874" t="s">
        <v>619</v>
      </c>
      <c r="AMQ874" t="s">
        <v>619</v>
      </c>
      <c r="AWH874" t="s">
        <v>677</v>
      </c>
      <c r="AWI874">
        <v>133384</v>
      </c>
      <c r="AWJ874" t="s">
        <v>619</v>
      </c>
      <c r="AWK874" t="s">
        <v>619</v>
      </c>
      <c r="AWL874" t="s">
        <v>619</v>
      </c>
      <c r="AWM874" t="s">
        <v>619</v>
      </c>
      <c r="BGD874" t="s">
        <v>677</v>
      </c>
      <c r="BGE874">
        <v>133384</v>
      </c>
      <c r="BGF874" t="s">
        <v>619</v>
      </c>
      <c r="BGG874" t="s">
        <v>619</v>
      </c>
      <c r="BGH874" t="s">
        <v>619</v>
      </c>
      <c r="BGI874" t="s">
        <v>619</v>
      </c>
      <c r="BPZ874" t="s">
        <v>677</v>
      </c>
      <c r="BQA874">
        <v>133384</v>
      </c>
      <c r="BQB874" t="s">
        <v>619</v>
      </c>
      <c r="BQC874" t="s">
        <v>619</v>
      </c>
      <c r="BQD874" t="s">
        <v>619</v>
      </c>
      <c r="BQE874" t="s">
        <v>619</v>
      </c>
      <c r="BZV874" t="s">
        <v>677</v>
      </c>
      <c r="BZW874">
        <v>133384</v>
      </c>
      <c r="BZX874" t="s">
        <v>619</v>
      </c>
      <c r="BZY874" t="s">
        <v>619</v>
      </c>
      <c r="BZZ874" t="s">
        <v>619</v>
      </c>
      <c r="CAA874" t="s">
        <v>619</v>
      </c>
      <c r="CJR874" t="s">
        <v>677</v>
      </c>
      <c r="CJS874">
        <v>133384</v>
      </c>
      <c r="CJT874" t="s">
        <v>619</v>
      </c>
      <c r="CJU874" t="s">
        <v>619</v>
      </c>
      <c r="CJV874" t="s">
        <v>619</v>
      </c>
      <c r="CJW874" t="s">
        <v>619</v>
      </c>
      <c r="CTN874" t="s">
        <v>677</v>
      </c>
      <c r="CTO874">
        <v>133384</v>
      </c>
      <c r="CTP874" t="s">
        <v>619</v>
      </c>
      <c r="CTQ874" t="s">
        <v>619</v>
      </c>
      <c r="CTR874" t="s">
        <v>619</v>
      </c>
      <c r="CTS874" t="s">
        <v>619</v>
      </c>
      <c r="DDJ874" t="s">
        <v>677</v>
      </c>
      <c r="DDK874">
        <v>133384</v>
      </c>
      <c r="DDL874" t="s">
        <v>619</v>
      </c>
      <c r="DDM874" t="s">
        <v>619</v>
      </c>
      <c r="DDN874" t="s">
        <v>619</v>
      </c>
      <c r="DDO874" t="s">
        <v>619</v>
      </c>
      <c r="DNF874" t="s">
        <v>677</v>
      </c>
      <c r="DNG874">
        <v>133384</v>
      </c>
      <c r="DNH874" t="s">
        <v>619</v>
      </c>
      <c r="DNI874" t="s">
        <v>619</v>
      </c>
      <c r="DNJ874" t="s">
        <v>619</v>
      </c>
      <c r="DNK874" t="s">
        <v>619</v>
      </c>
      <c r="DXB874" t="s">
        <v>677</v>
      </c>
      <c r="DXC874">
        <v>133384</v>
      </c>
      <c r="DXD874" t="s">
        <v>619</v>
      </c>
      <c r="DXE874" t="s">
        <v>619</v>
      </c>
      <c r="DXF874" t="s">
        <v>619</v>
      </c>
      <c r="DXG874" t="s">
        <v>619</v>
      </c>
      <c r="EGX874" t="s">
        <v>677</v>
      </c>
      <c r="EGY874">
        <v>133384</v>
      </c>
      <c r="EGZ874" t="s">
        <v>619</v>
      </c>
      <c r="EHA874" t="s">
        <v>619</v>
      </c>
      <c r="EHB874" t="s">
        <v>619</v>
      </c>
      <c r="EHC874" t="s">
        <v>619</v>
      </c>
      <c r="EQT874" t="s">
        <v>677</v>
      </c>
      <c r="EQU874">
        <v>133384</v>
      </c>
      <c r="EQV874" t="s">
        <v>619</v>
      </c>
      <c r="EQW874" t="s">
        <v>619</v>
      </c>
      <c r="EQX874" t="s">
        <v>619</v>
      </c>
      <c r="EQY874" t="s">
        <v>619</v>
      </c>
      <c r="FAP874" t="s">
        <v>677</v>
      </c>
      <c r="FAQ874">
        <v>133384</v>
      </c>
      <c r="FAR874" t="s">
        <v>619</v>
      </c>
      <c r="FAS874" t="s">
        <v>619</v>
      </c>
      <c r="FAT874" t="s">
        <v>619</v>
      </c>
      <c r="FAU874" t="s">
        <v>619</v>
      </c>
      <c r="FKL874" t="s">
        <v>677</v>
      </c>
      <c r="FKM874">
        <v>133384</v>
      </c>
      <c r="FKN874" t="s">
        <v>619</v>
      </c>
      <c r="FKO874" t="s">
        <v>619</v>
      </c>
      <c r="FKP874" t="s">
        <v>619</v>
      </c>
      <c r="FKQ874" t="s">
        <v>619</v>
      </c>
      <c r="FUH874" t="s">
        <v>677</v>
      </c>
      <c r="FUI874">
        <v>133384</v>
      </c>
      <c r="FUJ874" t="s">
        <v>619</v>
      </c>
      <c r="FUK874" t="s">
        <v>619</v>
      </c>
      <c r="FUL874" t="s">
        <v>619</v>
      </c>
      <c r="FUM874" t="s">
        <v>619</v>
      </c>
      <c r="GED874" t="s">
        <v>677</v>
      </c>
      <c r="GEE874">
        <v>133384</v>
      </c>
      <c r="GEF874" t="s">
        <v>619</v>
      </c>
      <c r="GEG874" t="s">
        <v>619</v>
      </c>
      <c r="GEH874" t="s">
        <v>619</v>
      </c>
      <c r="GEI874" t="s">
        <v>619</v>
      </c>
      <c r="GNZ874" t="s">
        <v>677</v>
      </c>
      <c r="GOA874">
        <v>133384</v>
      </c>
      <c r="GOB874" t="s">
        <v>619</v>
      </c>
      <c r="GOC874" t="s">
        <v>619</v>
      </c>
      <c r="GOD874" t="s">
        <v>619</v>
      </c>
      <c r="GOE874" t="s">
        <v>619</v>
      </c>
      <c r="GXV874" t="s">
        <v>677</v>
      </c>
      <c r="GXW874">
        <v>133384</v>
      </c>
      <c r="GXX874" t="s">
        <v>619</v>
      </c>
      <c r="GXY874" t="s">
        <v>619</v>
      </c>
      <c r="GXZ874" t="s">
        <v>619</v>
      </c>
      <c r="GYA874" t="s">
        <v>619</v>
      </c>
      <c r="HHR874" t="s">
        <v>677</v>
      </c>
      <c r="HHS874">
        <v>133384</v>
      </c>
      <c r="HHT874" t="s">
        <v>619</v>
      </c>
      <c r="HHU874" t="s">
        <v>619</v>
      </c>
      <c r="HHV874" t="s">
        <v>619</v>
      </c>
      <c r="HHW874" t="s">
        <v>619</v>
      </c>
      <c r="HRN874" t="s">
        <v>677</v>
      </c>
      <c r="HRO874">
        <v>133384</v>
      </c>
      <c r="HRP874" t="s">
        <v>619</v>
      </c>
      <c r="HRQ874" t="s">
        <v>619</v>
      </c>
      <c r="HRR874" t="s">
        <v>619</v>
      </c>
      <c r="HRS874" t="s">
        <v>619</v>
      </c>
      <c r="IBJ874" t="s">
        <v>677</v>
      </c>
      <c r="IBK874">
        <v>133384</v>
      </c>
      <c r="IBL874" t="s">
        <v>619</v>
      </c>
      <c r="IBM874" t="s">
        <v>619</v>
      </c>
      <c r="IBN874" t="s">
        <v>619</v>
      </c>
      <c r="IBO874" t="s">
        <v>619</v>
      </c>
      <c r="ILF874" t="s">
        <v>677</v>
      </c>
      <c r="ILG874">
        <v>133384</v>
      </c>
      <c r="ILH874" t="s">
        <v>619</v>
      </c>
      <c r="ILI874" t="s">
        <v>619</v>
      </c>
      <c r="ILJ874" t="s">
        <v>619</v>
      </c>
      <c r="ILK874" t="s">
        <v>619</v>
      </c>
      <c r="IVB874" t="s">
        <v>677</v>
      </c>
      <c r="IVC874">
        <v>133384</v>
      </c>
      <c r="IVD874" t="s">
        <v>619</v>
      </c>
      <c r="IVE874" t="s">
        <v>619</v>
      </c>
      <c r="IVF874" t="s">
        <v>619</v>
      </c>
      <c r="IVG874" t="s">
        <v>619</v>
      </c>
      <c r="JEX874" t="s">
        <v>677</v>
      </c>
      <c r="JEY874">
        <v>133384</v>
      </c>
      <c r="JEZ874" t="s">
        <v>619</v>
      </c>
      <c r="JFA874" t="s">
        <v>619</v>
      </c>
      <c r="JFB874" t="s">
        <v>619</v>
      </c>
      <c r="JFC874" t="s">
        <v>619</v>
      </c>
      <c r="JOT874" t="s">
        <v>677</v>
      </c>
      <c r="JOU874">
        <v>133384</v>
      </c>
      <c r="JOV874" t="s">
        <v>619</v>
      </c>
      <c r="JOW874" t="s">
        <v>619</v>
      </c>
      <c r="JOX874" t="s">
        <v>619</v>
      </c>
      <c r="JOY874" t="s">
        <v>619</v>
      </c>
      <c r="JYP874" t="s">
        <v>677</v>
      </c>
      <c r="JYQ874">
        <v>133384</v>
      </c>
      <c r="JYR874" t="s">
        <v>619</v>
      </c>
      <c r="JYS874" t="s">
        <v>619</v>
      </c>
      <c r="JYT874" t="s">
        <v>619</v>
      </c>
      <c r="JYU874" t="s">
        <v>619</v>
      </c>
      <c r="KIL874" t="s">
        <v>677</v>
      </c>
      <c r="KIM874">
        <v>133384</v>
      </c>
      <c r="KIN874" t="s">
        <v>619</v>
      </c>
      <c r="KIO874" t="s">
        <v>619</v>
      </c>
      <c r="KIP874" t="s">
        <v>619</v>
      </c>
      <c r="KIQ874" t="s">
        <v>619</v>
      </c>
      <c r="KSH874" t="s">
        <v>677</v>
      </c>
      <c r="KSI874">
        <v>133384</v>
      </c>
      <c r="KSJ874" t="s">
        <v>619</v>
      </c>
      <c r="KSK874" t="s">
        <v>619</v>
      </c>
      <c r="KSL874" t="s">
        <v>619</v>
      </c>
      <c r="KSM874" t="s">
        <v>619</v>
      </c>
      <c r="LCD874" t="s">
        <v>677</v>
      </c>
      <c r="LCE874">
        <v>133384</v>
      </c>
      <c r="LCF874" t="s">
        <v>619</v>
      </c>
      <c r="LCG874" t="s">
        <v>619</v>
      </c>
      <c r="LCH874" t="s">
        <v>619</v>
      </c>
      <c r="LCI874" t="s">
        <v>619</v>
      </c>
      <c r="LLZ874" t="s">
        <v>677</v>
      </c>
      <c r="LMA874">
        <v>133384</v>
      </c>
      <c r="LMB874" t="s">
        <v>619</v>
      </c>
      <c r="LMC874" t="s">
        <v>619</v>
      </c>
      <c r="LMD874" t="s">
        <v>619</v>
      </c>
      <c r="LME874" t="s">
        <v>619</v>
      </c>
      <c r="LVV874" t="s">
        <v>677</v>
      </c>
      <c r="LVW874">
        <v>133384</v>
      </c>
      <c r="LVX874" t="s">
        <v>619</v>
      </c>
      <c r="LVY874" t="s">
        <v>619</v>
      </c>
      <c r="LVZ874" t="s">
        <v>619</v>
      </c>
      <c r="LWA874" t="s">
        <v>619</v>
      </c>
      <c r="MFR874" t="s">
        <v>677</v>
      </c>
      <c r="MFS874">
        <v>133384</v>
      </c>
      <c r="MFT874" t="s">
        <v>619</v>
      </c>
      <c r="MFU874" t="s">
        <v>619</v>
      </c>
      <c r="MFV874" t="s">
        <v>619</v>
      </c>
      <c r="MFW874" t="s">
        <v>619</v>
      </c>
      <c r="MPN874" t="s">
        <v>677</v>
      </c>
      <c r="MPO874">
        <v>133384</v>
      </c>
      <c r="MPP874" t="s">
        <v>619</v>
      </c>
      <c r="MPQ874" t="s">
        <v>619</v>
      </c>
      <c r="MPR874" t="s">
        <v>619</v>
      </c>
      <c r="MPS874" t="s">
        <v>619</v>
      </c>
      <c r="MZJ874" t="s">
        <v>677</v>
      </c>
      <c r="MZK874">
        <v>133384</v>
      </c>
      <c r="MZL874" t="s">
        <v>619</v>
      </c>
      <c r="MZM874" t="s">
        <v>619</v>
      </c>
      <c r="MZN874" t="s">
        <v>619</v>
      </c>
      <c r="MZO874" t="s">
        <v>619</v>
      </c>
      <c r="NJF874" t="s">
        <v>677</v>
      </c>
      <c r="NJG874">
        <v>133384</v>
      </c>
      <c r="NJH874" t="s">
        <v>619</v>
      </c>
      <c r="NJI874" t="s">
        <v>619</v>
      </c>
      <c r="NJJ874" t="s">
        <v>619</v>
      </c>
      <c r="NJK874" t="s">
        <v>619</v>
      </c>
      <c r="NTB874" t="s">
        <v>677</v>
      </c>
      <c r="NTC874">
        <v>133384</v>
      </c>
      <c r="NTD874" t="s">
        <v>619</v>
      </c>
      <c r="NTE874" t="s">
        <v>619</v>
      </c>
      <c r="NTF874" t="s">
        <v>619</v>
      </c>
      <c r="NTG874" t="s">
        <v>619</v>
      </c>
      <c r="OCX874" t="s">
        <v>677</v>
      </c>
      <c r="OCY874">
        <v>133384</v>
      </c>
      <c r="OCZ874" t="s">
        <v>619</v>
      </c>
      <c r="ODA874" t="s">
        <v>619</v>
      </c>
      <c r="ODB874" t="s">
        <v>619</v>
      </c>
      <c r="ODC874" t="s">
        <v>619</v>
      </c>
      <c r="OMT874" t="s">
        <v>677</v>
      </c>
      <c r="OMU874">
        <v>133384</v>
      </c>
      <c r="OMV874" t="s">
        <v>619</v>
      </c>
      <c r="OMW874" t="s">
        <v>619</v>
      </c>
      <c r="OMX874" t="s">
        <v>619</v>
      </c>
      <c r="OMY874" t="s">
        <v>619</v>
      </c>
      <c r="OWP874" t="s">
        <v>677</v>
      </c>
      <c r="OWQ874">
        <v>133384</v>
      </c>
      <c r="OWR874" t="s">
        <v>619</v>
      </c>
      <c r="OWS874" t="s">
        <v>619</v>
      </c>
      <c r="OWT874" t="s">
        <v>619</v>
      </c>
      <c r="OWU874" t="s">
        <v>619</v>
      </c>
      <c r="PGL874" t="s">
        <v>677</v>
      </c>
      <c r="PGM874">
        <v>133384</v>
      </c>
      <c r="PGN874" t="s">
        <v>619</v>
      </c>
      <c r="PGO874" t="s">
        <v>619</v>
      </c>
      <c r="PGP874" t="s">
        <v>619</v>
      </c>
      <c r="PGQ874" t="s">
        <v>619</v>
      </c>
      <c r="PQH874" t="s">
        <v>677</v>
      </c>
      <c r="PQI874">
        <v>133384</v>
      </c>
      <c r="PQJ874" t="s">
        <v>619</v>
      </c>
      <c r="PQK874" t="s">
        <v>619</v>
      </c>
      <c r="PQL874" t="s">
        <v>619</v>
      </c>
      <c r="PQM874" t="s">
        <v>619</v>
      </c>
      <c r="QAD874" t="s">
        <v>677</v>
      </c>
      <c r="QAE874">
        <v>133384</v>
      </c>
      <c r="QAF874" t="s">
        <v>619</v>
      </c>
      <c r="QAG874" t="s">
        <v>619</v>
      </c>
      <c r="QAH874" t="s">
        <v>619</v>
      </c>
      <c r="QAI874" t="s">
        <v>619</v>
      </c>
      <c r="QJZ874" t="s">
        <v>677</v>
      </c>
      <c r="QKA874">
        <v>133384</v>
      </c>
      <c r="QKB874" t="s">
        <v>619</v>
      </c>
      <c r="QKC874" t="s">
        <v>619</v>
      </c>
      <c r="QKD874" t="s">
        <v>619</v>
      </c>
      <c r="QKE874" t="s">
        <v>619</v>
      </c>
      <c r="QTV874" t="s">
        <v>677</v>
      </c>
      <c r="QTW874">
        <v>133384</v>
      </c>
      <c r="QTX874" t="s">
        <v>619</v>
      </c>
      <c r="QTY874" t="s">
        <v>619</v>
      </c>
      <c r="QTZ874" t="s">
        <v>619</v>
      </c>
      <c r="QUA874" t="s">
        <v>619</v>
      </c>
      <c r="RDR874" t="s">
        <v>677</v>
      </c>
      <c r="RDS874">
        <v>133384</v>
      </c>
      <c r="RDT874" t="s">
        <v>619</v>
      </c>
      <c r="RDU874" t="s">
        <v>619</v>
      </c>
      <c r="RDV874" t="s">
        <v>619</v>
      </c>
      <c r="RDW874" t="s">
        <v>619</v>
      </c>
      <c r="RNN874" t="s">
        <v>677</v>
      </c>
      <c r="RNO874">
        <v>133384</v>
      </c>
      <c r="RNP874" t="s">
        <v>619</v>
      </c>
      <c r="RNQ874" t="s">
        <v>619</v>
      </c>
      <c r="RNR874" t="s">
        <v>619</v>
      </c>
      <c r="RNS874" t="s">
        <v>619</v>
      </c>
      <c r="RXJ874" t="s">
        <v>677</v>
      </c>
      <c r="RXK874">
        <v>133384</v>
      </c>
      <c r="RXL874" t="s">
        <v>619</v>
      </c>
      <c r="RXM874" t="s">
        <v>619</v>
      </c>
      <c r="RXN874" t="s">
        <v>619</v>
      </c>
      <c r="RXO874" t="s">
        <v>619</v>
      </c>
      <c r="SHF874" t="s">
        <v>677</v>
      </c>
      <c r="SHG874">
        <v>133384</v>
      </c>
      <c r="SHH874" t="s">
        <v>619</v>
      </c>
      <c r="SHI874" t="s">
        <v>619</v>
      </c>
      <c r="SHJ874" t="s">
        <v>619</v>
      </c>
      <c r="SHK874" t="s">
        <v>619</v>
      </c>
      <c r="SRB874" t="s">
        <v>677</v>
      </c>
      <c r="SRC874">
        <v>133384</v>
      </c>
      <c r="SRD874" t="s">
        <v>619</v>
      </c>
      <c r="SRE874" t="s">
        <v>619</v>
      </c>
      <c r="SRF874" t="s">
        <v>619</v>
      </c>
      <c r="SRG874" t="s">
        <v>619</v>
      </c>
      <c r="TAX874" t="s">
        <v>677</v>
      </c>
      <c r="TAY874">
        <v>133384</v>
      </c>
      <c r="TAZ874" t="s">
        <v>619</v>
      </c>
      <c r="TBA874" t="s">
        <v>619</v>
      </c>
      <c r="TBB874" t="s">
        <v>619</v>
      </c>
      <c r="TBC874" t="s">
        <v>619</v>
      </c>
      <c r="TKT874" t="s">
        <v>677</v>
      </c>
      <c r="TKU874">
        <v>133384</v>
      </c>
      <c r="TKV874" t="s">
        <v>619</v>
      </c>
      <c r="TKW874" t="s">
        <v>619</v>
      </c>
      <c r="TKX874" t="s">
        <v>619</v>
      </c>
      <c r="TKY874" t="s">
        <v>619</v>
      </c>
      <c r="TUP874" t="s">
        <v>677</v>
      </c>
      <c r="TUQ874">
        <v>133384</v>
      </c>
      <c r="TUR874" t="s">
        <v>619</v>
      </c>
      <c r="TUS874" t="s">
        <v>619</v>
      </c>
      <c r="TUT874" t="s">
        <v>619</v>
      </c>
      <c r="TUU874" t="s">
        <v>619</v>
      </c>
      <c r="UEL874" t="s">
        <v>677</v>
      </c>
      <c r="UEM874">
        <v>133384</v>
      </c>
      <c r="UEN874" t="s">
        <v>619</v>
      </c>
      <c r="UEO874" t="s">
        <v>619</v>
      </c>
      <c r="UEP874" t="s">
        <v>619</v>
      </c>
      <c r="UEQ874" t="s">
        <v>619</v>
      </c>
      <c r="UOH874" t="s">
        <v>677</v>
      </c>
      <c r="UOI874">
        <v>133384</v>
      </c>
      <c r="UOJ874" t="s">
        <v>619</v>
      </c>
      <c r="UOK874" t="s">
        <v>619</v>
      </c>
      <c r="UOL874" t="s">
        <v>619</v>
      </c>
      <c r="UOM874" t="s">
        <v>619</v>
      </c>
      <c r="UYD874" t="s">
        <v>677</v>
      </c>
      <c r="UYE874">
        <v>133384</v>
      </c>
      <c r="UYF874" t="s">
        <v>619</v>
      </c>
      <c r="UYG874" t="s">
        <v>619</v>
      </c>
      <c r="UYH874" t="s">
        <v>619</v>
      </c>
      <c r="UYI874" t="s">
        <v>619</v>
      </c>
      <c r="VHZ874" t="s">
        <v>677</v>
      </c>
      <c r="VIA874">
        <v>133384</v>
      </c>
      <c r="VIB874" t="s">
        <v>619</v>
      </c>
      <c r="VIC874" t="s">
        <v>619</v>
      </c>
      <c r="VID874" t="s">
        <v>619</v>
      </c>
      <c r="VIE874" t="s">
        <v>619</v>
      </c>
      <c r="VRV874" t="s">
        <v>677</v>
      </c>
      <c r="VRW874">
        <v>133384</v>
      </c>
      <c r="VRX874" t="s">
        <v>619</v>
      </c>
      <c r="VRY874" t="s">
        <v>619</v>
      </c>
      <c r="VRZ874" t="s">
        <v>619</v>
      </c>
      <c r="VSA874" t="s">
        <v>619</v>
      </c>
      <c r="WBR874" t="s">
        <v>677</v>
      </c>
      <c r="WBS874">
        <v>133384</v>
      </c>
      <c r="WBT874" t="s">
        <v>619</v>
      </c>
      <c r="WBU874" t="s">
        <v>619</v>
      </c>
      <c r="WBV874" t="s">
        <v>619</v>
      </c>
      <c r="WBW874" t="s">
        <v>619</v>
      </c>
      <c r="WLN874" t="s">
        <v>677</v>
      </c>
      <c r="WLO874">
        <v>133384</v>
      </c>
      <c r="WLP874" t="s">
        <v>619</v>
      </c>
      <c r="WLQ874" t="s">
        <v>619</v>
      </c>
      <c r="WLR874" t="s">
        <v>619</v>
      </c>
      <c r="WLS874" t="s">
        <v>619</v>
      </c>
      <c r="WVJ874" t="s">
        <v>677</v>
      </c>
      <c r="WVK874">
        <v>133384</v>
      </c>
      <c r="WVL874" t="s">
        <v>619</v>
      </c>
      <c r="WVM874" t="s">
        <v>619</v>
      </c>
      <c r="WVN874" t="s">
        <v>619</v>
      </c>
      <c r="WVO874" t="s">
        <v>619</v>
      </c>
    </row>
    <row r="875" spans="1:775 1026:1799 2050:2823 3074:3847 4098:4871 5122:5895 6146:6919 7170:7943 8194:8967 9218:9991 10242:11015 11266:12039 12290:13063 13314:14087 14338:15111 15362:16135">
      <c r="A875" s="96" t="s">
        <v>618</v>
      </c>
      <c r="C875" s="98">
        <v>0</v>
      </c>
      <c r="D875" s="100">
        <v>160279</v>
      </c>
      <c r="E875" s="100">
        <v>166904</v>
      </c>
      <c r="F875" s="100">
        <v>911833</v>
      </c>
      <c r="G875" s="100">
        <v>1358719</v>
      </c>
      <c r="H875" s="100"/>
      <c r="IX875" t="s">
        <v>618</v>
      </c>
      <c r="IY875" t="s">
        <v>619</v>
      </c>
      <c r="IZ875">
        <v>160279</v>
      </c>
      <c r="JA875">
        <v>166904</v>
      </c>
      <c r="JB875">
        <v>911833</v>
      </c>
      <c r="JC875">
        <v>1358719</v>
      </c>
      <c r="ST875" t="s">
        <v>618</v>
      </c>
      <c r="SU875" t="s">
        <v>619</v>
      </c>
      <c r="SV875">
        <v>160279</v>
      </c>
      <c r="SW875">
        <v>166904</v>
      </c>
      <c r="SX875">
        <v>911833</v>
      </c>
      <c r="SY875">
        <v>1358719</v>
      </c>
      <c r="ACP875" t="s">
        <v>618</v>
      </c>
      <c r="ACQ875" t="s">
        <v>619</v>
      </c>
      <c r="ACR875">
        <v>160279</v>
      </c>
      <c r="ACS875">
        <v>166904</v>
      </c>
      <c r="ACT875">
        <v>911833</v>
      </c>
      <c r="ACU875">
        <v>1358719</v>
      </c>
      <c r="AML875" t="s">
        <v>618</v>
      </c>
      <c r="AMM875" t="s">
        <v>619</v>
      </c>
      <c r="AMN875">
        <v>160279</v>
      </c>
      <c r="AMO875">
        <v>166904</v>
      </c>
      <c r="AMP875">
        <v>911833</v>
      </c>
      <c r="AMQ875">
        <v>1358719</v>
      </c>
      <c r="AWH875" t="s">
        <v>618</v>
      </c>
      <c r="AWI875" t="s">
        <v>619</v>
      </c>
      <c r="AWJ875">
        <v>160279</v>
      </c>
      <c r="AWK875">
        <v>166904</v>
      </c>
      <c r="AWL875">
        <v>911833</v>
      </c>
      <c r="AWM875">
        <v>1358719</v>
      </c>
      <c r="BGD875" t="s">
        <v>618</v>
      </c>
      <c r="BGE875" t="s">
        <v>619</v>
      </c>
      <c r="BGF875">
        <v>160279</v>
      </c>
      <c r="BGG875">
        <v>166904</v>
      </c>
      <c r="BGH875">
        <v>911833</v>
      </c>
      <c r="BGI875">
        <v>1358719</v>
      </c>
      <c r="BPZ875" t="s">
        <v>618</v>
      </c>
      <c r="BQA875" t="s">
        <v>619</v>
      </c>
      <c r="BQB875">
        <v>160279</v>
      </c>
      <c r="BQC875">
        <v>166904</v>
      </c>
      <c r="BQD875">
        <v>911833</v>
      </c>
      <c r="BQE875">
        <v>1358719</v>
      </c>
      <c r="BZV875" t="s">
        <v>618</v>
      </c>
      <c r="BZW875" t="s">
        <v>619</v>
      </c>
      <c r="BZX875">
        <v>160279</v>
      </c>
      <c r="BZY875">
        <v>166904</v>
      </c>
      <c r="BZZ875">
        <v>911833</v>
      </c>
      <c r="CAA875">
        <v>1358719</v>
      </c>
      <c r="CJR875" t="s">
        <v>618</v>
      </c>
      <c r="CJS875" t="s">
        <v>619</v>
      </c>
      <c r="CJT875">
        <v>160279</v>
      </c>
      <c r="CJU875">
        <v>166904</v>
      </c>
      <c r="CJV875">
        <v>911833</v>
      </c>
      <c r="CJW875">
        <v>1358719</v>
      </c>
      <c r="CTN875" t="s">
        <v>618</v>
      </c>
      <c r="CTO875" t="s">
        <v>619</v>
      </c>
      <c r="CTP875">
        <v>160279</v>
      </c>
      <c r="CTQ875">
        <v>166904</v>
      </c>
      <c r="CTR875">
        <v>911833</v>
      </c>
      <c r="CTS875">
        <v>1358719</v>
      </c>
      <c r="DDJ875" t="s">
        <v>618</v>
      </c>
      <c r="DDK875" t="s">
        <v>619</v>
      </c>
      <c r="DDL875">
        <v>160279</v>
      </c>
      <c r="DDM875">
        <v>166904</v>
      </c>
      <c r="DDN875">
        <v>911833</v>
      </c>
      <c r="DDO875">
        <v>1358719</v>
      </c>
      <c r="DNF875" t="s">
        <v>618</v>
      </c>
      <c r="DNG875" t="s">
        <v>619</v>
      </c>
      <c r="DNH875">
        <v>160279</v>
      </c>
      <c r="DNI875">
        <v>166904</v>
      </c>
      <c r="DNJ875">
        <v>911833</v>
      </c>
      <c r="DNK875">
        <v>1358719</v>
      </c>
      <c r="DXB875" t="s">
        <v>618</v>
      </c>
      <c r="DXC875" t="s">
        <v>619</v>
      </c>
      <c r="DXD875">
        <v>160279</v>
      </c>
      <c r="DXE875">
        <v>166904</v>
      </c>
      <c r="DXF875">
        <v>911833</v>
      </c>
      <c r="DXG875">
        <v>1358719</v>
      </c>
      <c r="EGX875" t="s">
        <v>618</v>
      </c>
      <c r="EGY875" t="s">
        <v>619</v>
      </c>
      <c r="EGZ875">
        <v>160279</v>
      </c>
      <c r="EHA875">
        <v>166904</v>
      </c>
      <c r="EHB875">
        <v>911833</v>
      </c>
      <c r="EHC875">
        <v>1358719</v>
      </c>
      <c r="EQT875" t="s">
        <v>618</v>
      </c>
      <c r="EQU875" t="s">
        <v>619</v>
      </c>
      <c r="EQV875">
        <v>160279</v>
      </c>
      <c r="EQW875">
        <v>166904</v>
      </c>
      <c r="EQX875">
        <v>911833</v>
      </c>
      <c r="EQY875">
        <v>1358719</v>
      </c>
      <c r="FAP875" t="s">
        <v>618</v>
      </c>
      <c r="FAQ875" t="s">
        <v>619</v>
      </c>
      <c r="FAR875">
        <v>160279</v>
      </c>
      <c r="FAS875">
        <v>166904</v>
      </c>
      <c r="FAT875">
        <v>911833</v>
      </c>
      <c r="FAU875">
        <v>1358719</v>
      </c>
      <c r="FKL875" t="s">
        <v>618</v>
      </c>
      <c r="FKM875" t="s">
        <v>619</v>
      </c>
      <c r="FKN875">
        <v>160279</v>
      </c>
      <c r="FKO875">
        <v>166904</v>
      </c>
      <c r="FKP875">
        <v>911833</v>
      </c>
      <c r="FKQ875">
        <v>1358719</v>
      </c>
      <c r="FUH875" t="s">
        <v>618</v>
      </c>
      <c r="FUI875" t="s">
        <v>619</v>
      </c>
      <c r="FUJ875">
        <v>160279</v>
      </c>
      <c r="FUK875">
        <v>166904</v>
      </c>
      <c r="FUL875">
        <v>911833</v>
      </c>
      <c r="FUM875">
        <v>1358719</v>
      </c>
      <c r="GED875" t="s">
        <v>618</v>
      </c>
      <c r="GEE875" t="s">
        <v>619</v>
      </c>
      <c r="GEF875">
        <v>160279</v>
      </c>
      <c r="GEG875">
        <v>166904</v>
      </c>
      <c r="GEH875">
        <v>911833</v>
      </c>
      <c r="GEI875">
        <v>1358719</v>
      </c>
      <c r="GNZ875" t="s">
        <v>618</v>
      </c>
      <c r="GOA875" t="s">
        <v>619</v>
      </c>
      <c r="GOB875">
        <v>160279</v>
      </c>
      <c r="GOC875">
        <v>166904</v>
      </c>
      <c r="GOD875">
        <v>911833</v>
      </c>
      <c r="GOE875">
        <v>1358719</v>
      </c>
      <c r="GXV875" t="s">
        <v>618</v>
      </c>
      <c r="GXW875" t="s">
        <v>619</v>
      </c>
      <c r="GXX875">
        <v>160279</v>
      </c>
      <c r="GXY875">
        <v>166904</v>
      </c>
      <c r="GXZ875">
        <v>911833</v>
      </c>
      <c r="GYA875">
        <v>1358719</v>
      </c>
      <c r="HHR875" t="s">
        <v>618</v>
      </c>
      <c r="HHS875" t="s">
        <v>619</v>
      </c>
      <c r="HHT875">
        <v>160279</v>
      </c>
      <c r="HHU875">
        <v>166904</v>
      </c>
      <c r="HHV875">
        <v>911833</v>
      </c>
      <c r="HHW875">
        <v>1358719</v>
      </c>
      <c r="HRN875" t="s">
        <v>618</v>
      </c>
      <c r="HRO875" t="s">
        <v>619</v>
      </c>
      <c r="HRP875">
        <v>160279</v>
      </c>
      <c r="HRQ875">
        <v>166904</v>
      </c>
      <c r="HRR875">
        <v>911833</v>
      </c>
      <c r="HRS875">
        <v>1358719</v>
      </c>
      <c r="IBJ875" t="s">
        <v>618</v>
      </c>
      <c r="IBK875" t="s">
        <v>619</v>
      </c>
      <c r="IBL875">
        <v>160279</v>
      </c>
      <c r="IBM875">
        <v>166904</v>
      </c>
      <c r="IBN875">
        <v>911833</v>
      </c>
      <c r="IBO875">
        <v>1358719</v>
      </c>
      <c r="ILF875" t="s">
        <v>618</v>
      </c>
      <c r="ILG875" t="s">
        <v>619</v>
      </c>
      <c r="ILH875">
        <v>160279</v>
      </c>
      <c r="ILI875">
        <v>166904</v>
      </c>
      <c r="ILJ875">
        <v>911833</v>
      </c>
      <c r="ILK875">
        <v>1358719</v>
      </c>
      <c r="IVB875" t="s">
        <v>618</v>
      </c>
      <c r="IVC875" t="s">
        <v>619</v>
      </c>
      <c r="IVD875">
        <v>160279</v>
      </c>
      <c r="IVE875">
        <v>166904</v>
      </c>
      <c r="IVF875">
        <v>911833</v>
      </c>
      <c r="IVG875">
        <v>1358719</v>
      </c>
      <c r="JEX875" t="s">
        <v>618</v>
      </c>
      <c r="JEY875" t="s">
        <v>619</v>
      </c>
      <c r="JEZ875">
        <v>160279</v>
      </c>
      <c r="JFA875">
        <v>166904</v>
      </c>
      <c r="JFB875">
        <v>911833</v>
      </c>
      <c r="JFC875">
        <v>1358719</v>
      </c>
      <c r="JOT875" t="s">
        <v>618</v>
      </c>
      <c r="JOU875" t="s">
        <v>619</v>
      </c>
      <c r="JOV875">
        <v>160279</v>
      </c>
      <c r="JOW875">
        <v>166904</v>
      </c>
      <c r="JOX875">
        <v>911833</v>
      </c>
      <c r="JOY875">
        <v>1358719</v>
      </c>
      <c r="JYP875" t="s">
        <v>618</v>
      </c>
      <c r="JYQ875" t="s">
        <v>619</v>
      </c>
      <c r="JYR875">
        <v>160279</v>
      </c>
      <c r="JYS875">
        <v>166904</v>
      </c>
      <c r="JYT875">
        <v>911833</v>
      </c>
      <c r="JYU875">
        <v>1358719</v>
      </c>
      <c r="KIL875" t="s">
        <v>618</v>
      </c>
      <c r="KIM875" t="s">
        <v>619</v>
      </c>
      <c r="KIN875">
        <v>160279</v>
      </c>
      <c r="KIO875">
        <v>166904</v>
      </c>
      <c r="KIP875">
        <v>911833</v>
      </c>
      <c r="KIQ875">
        <v>1358719</v>
      </c>
      <c r="KSH875" t="s">
        <v>618</v>
      </c>
      <c r="KSI875" t="s">
        <v>619</v>
      </c>
      <c r="KSJ875">
        <v>160279</v>
      </c>
      <c r="KSK875">
        <v>166904</v>
      </c>
      <c r="KSL875">
        <v>911833</v>
      </c>
      <c r="KSM875">
        <v>1358719</v>
      </c>
      <c r="LCD875" t="s">
        <v>618</v>
      </c>
      <c r="LCE875" t="s">
        <v>619</v>
      </c>
      <c r="LCF875">
        <v>160279</v>
      </c>
      <c r="LCG875">
        <v>166904</v>
      </c>
      <c r="LCH875">
        <v>911833</v>
      </c>
      <c r="LCI875">
        <v>1358719</v>
      </c>
      <c r="LLZ875" t="s">
        <v>618</v>
      </c>
      <c r="LMA875" t="s">
        <v>619</v>
      </c>
      <c r="LMB875">
        <v>160279</v>
      </c>
      <c r="LMC875">
        <v>166904</v>
      </c>
      <c r="LMD875">
        <v>911833</v>
      </c>
      <c r="LME875">
        <v>1358719</v>
      </c>
      <c r="LVV875" t="s">
        <v>618</v>
      </c>
      <c r="LVW875" t="s">
        <v>619</v>
      </c>
      <c r="LVX875">
        <v>160279</v>
      </c>
      <c r="LVY875">
        <v>166904</v>
      </c>
      <c r="LVZ875">
        <v>911833</v>
      </c>
      <c r="LWA875">
        <v>1358719</v>
      </c>
      <c r="MFR875" t="s">
        <v>618</v>
      </c>
      <c r="MFS875" t="s">
        <v>619</v>
      </c>
      <c r="MFT875">
        <v>160279</v>
      </c>
      <c r="MFU875">
        <v>166904</v>
      </c>
      <c r="MFV875">
        <v>911833</v>
      </c>
      <c r="MFW875">
        <v>1358719</v>
      </c>
      <c r="MPN875" t="s">
        <v>618</v>
      </c>
      <c r="MPO875" t="s">
        <v>619</v>
      </c>
      <c r="MPP875">
        <v>160279</v>
      </c>
      <c r="MPQ875">
        <v>166904</v>
      </c>
      <c r="MPR875">
        <v>911833</v>
      </c>
      <c r="MPS875">
        <v>1358719</v>
      </c>
      <c r="MZJ875" t="s">
        <v>618</v>
      </c>
      <c r="MZK875" t="s">
        <v>619</v>
      </c>
      <c r="MZL875">
        <v>160279</v>
      </c>
      <c r="MZM875">
        <v>166904</v>
      </c>
      <c r="MZN875">
        <v>911833</v>
      </c>
      <c r="MZO875">
        <v>1358719</v>
      </c>
      <c r="NJF875" t="s">
        <v>618</v>
      </c>
      <c r="NJG875" t="s">
        <v>619</v>
      </c>
      <c r="NJH875">
        <v>160279</v>
      </c>
      <c r="NJI875">
        <v>166904</v>
      </c>
      <c r="NJJ875">
        <v>911833</v>
      </c>
      <c r="NJK875">
        <v>1358719</v>
      </c>
      <c r="NTB875" t="s">
        <v>618</v>
      </c>
      <c r="NTC875" t="s">
        <v>619</v>
      </c>
      <c r="NTD875">
        <v>160279</v>
      </c>
      <c r="NTE875">
        <v>166904</v>
      </c>
      <c r="NTF875">
        <v>911833</v>
      </c>
      <c r="NTG875">
        <v>1358719</v>
      </c>
      <c r="OCX875" t="s">
        <v>618</v>
      </c>
      <c r="OCY875" t="s">
        <v>619</v>
      </c>
      <c r="OCZ875">
        <v>160279</v>
      </c>
      <c r="ODA875">
        <v>166904</v>
      </c>
      <c r="ODB875">
        <v>911833</v>
      </c>
      <c r="ODC875">
        <v>1358719</v>
      </c>
      <c r="OMT875" t="s">
        <v>618</v>
      </c>
      <c r="OMU875" t="s">
        <v>619</v>
      </c>
      <c r="OMV875">
        <v>160279</v>
      </c>
      <c r="OMW875">
        <v>166904</v>
      </c>
      <c r="OMX875">
        <v>911833</v>
      </c>
      <c r="OMY875">
        <v>1358719</v>
      </c>
      <c r="OWP875" t="s">
        <v>618</v>
      </c>
      <c r="OWQ875" t="s">
        <v>619</v>
      </c>
      <c r="OWR875">
        <v>160279</v>
      </c>
      <c r="OWS875">
        <v>166904</v>
      </c>
      <c r="OWT875">
        <v>911833</v>
      </c>
      <c r="OWU875">
        <v>1358719</v>
      </c>
      <c r="PGL875" t="s">
        <v>618</v>
      </c>
      <c r="PGM875" t="s">
        <v>619</v>
      </c>
      <c r="PGN875">
        <v>160279</v>
      </c>
      <c r="PGO875">
        <v>166904</v>
      </c>
      <c r="PGP875">
        <v>911833</v>
      </c>
      <c r="PGQ875">
        <v>1358719</v>
      </c>
      <c r="PQH875" t="s">
        <v>618</v>
      </c>
      <c r="PQI875" t="s">
        <v>619</v>
      </c>
      <c r="PQJ875">
        <v>160279</v>
      </c>
      <c r="PQK875">
        <v>166904</v>
      </c>
      <c r="PQL875">
        <v>911833</v>
      </c>
      <c r="PQM875">
        <v>1358719</v>
      </c>
      <c r="QAD875" t="s">
        <v>618</v>
      </c>
      <c r="QAE875" t="s">
        <v>619</v>
      </c>
      <c r="QAF875">
        <v>160279</v>
      </c>
      <c r="QAG875">
        <v>166904</v>
      </c>
      <c r="QAH875">
        <v>911833</v>
      </c>
      <c r="QAI875">
        <v>1358719</v>
      </c>
      <c r="QJZ875" t="s">
        <v>618</v>
      </c>
      <c r="QKA875" t="s">
        <v>619</v>
      </c>
      <c r="QKB875">
        <v>160279</v>
      </c>
      <c r="QKC875">
        <v>166904</v>
      </c>
      <c r="QKD875">
        <v>911833</v>
      </c>
      <c r="QKE875">
        <v>1358719</v>
      </c>
      <c r="QTV875" t="s">
        <v>618</v>
      </c>
      <c r="QTW875" t="s">
        <v>619</v>
      </c>
      <c r="QTX875">
        <v>160279</v>
      </c>
      <c r="QTY875">
        <v>166904</v>
      </c>
      <c r="QTZ875">
        <v>911833</v>
      </c>
      <c r="QUA875">
        <v>1358719</v>
      </c>
      <c r="RDR875" t="s">
        <v>618</v>
      </c>
      <c r="RDS875" t="s">
        <v>619</v>
      </c>
      <c r="RDT875">
        <v>160279</v>
      </c>
      <c r="RDU875">
        <v>166904</v>
      </c>
      <c r="RDV875">
        <v>911833</v>
      </c>
      <c r="RDW875">
        <v>1358719</v>
      </c>
      <c r="RNN875" t="s">
        <v>618</v>
      </c>
      <c r="RNO875" t="s">
        <v>619</v>
      </c>
      <c r="RNP875">
        <v>160279</v>
      </c>
      <c r="RNQ875">
        <v>166904</v>
      </c>
      <c r="RNR875">
        <v>911833</v>
      </c>
      <c r="RNS875">
        <v>1358719</v>
      </c>
      <c r="RXJ875" t="s">
        <v>618</v>
      </c>
      <c r="RXK875" t="s">
        <v>619</v>
      </c>
      <c r="RXL875">
        <v>160279</v>
      </c>
      <c r="RXM875">
        <v>166904</v>
      </c>
      <c r="RXN875">
        <v>911833</v>
      </c>
      <c r="RXO875">
        <v>1358719</v>
      </c>
      <c r="SHF875" t="s">
        <v>618</v>
      </c>
      <c r="SHG875" t="s">
        <v>619</v>
      </c>
      <c r="SHH875">
        <v>160279</v>
      </c>
      <c r="SHI875">
        <v>166904</v>
      </c>
      <c r="SHJ875">
        <v>911833</v>
      </c>
      <c r="SHK875">
        <v>1358719</v>
      </c>
      <c r="SRB875" t="s">
        <v>618</v>
      </c>
      <c r="SRC875" t="s">
        <v>619</v>
      </c>
      <c r="SRD875">
        <v>160279</v>
      </c>
      <c r="SRE875">
        <v>166904</v>
      </c>
      <c r="SRF875">
        <v>911833</v>
      </c>
      <c r="SRG875">
        <v>1358719</v>
      </c>
      <c r="TAX875" t="s">
        <v>618</v>
      </c>
      <c r="TAY875" t="s">
        <v>619</v>
      </c>
      <c r="TAZ875">
        <v>160279</v>
      </c>
      <c r="TBA875">
        <v>166904</v>
      </c>
      <c r="TBB875">
        <v>911833</v>
      </c>
      <c r="TBC875">
        <v>1358719</v>
      </c>
      <c r="TKT875" t="s">
        <v>618</v>
      </c>
      <c r="TKU875" t="s">
        <v>619</v>
      </c>
      <c r="TKV875">
        <v>160279</v>
      </c>
      <c r="TKW875">
        <v>166904</v>
      </c>
      <c r="TKX875">
        <v>911833</v>
      </c>
      <c r="TKY875">
        <v>1358719</v>
      </c>
      <c r="TUP875" t="s">
        <v>618</v>
      </c>
      <c r="TUQ875" t="s">
        <v>619</v>
      </c>
      <c r="TUR875">
        <v>160279</v>
      </c>
      <c r="TUS875">
        <v>166904</v>
      </c>
      <c r="TUT875">
        <v>911833</v>
      </c>
      <c r="TUU875">
        <v>1358719</v>
      </c>
      <c r="UEL875" t="s">
        <v>618</v>
      </c>
      <c r="UEM875" t="s">
        <v>619</v>
      </c>
      <c r="UEN875">
        <v>160279</v>
      </c>
      <c r="UEO875">
        <v>166904</v>
      </c>
      <c r="UEP875">
        <v>911833</v>
      </c>
      <c r="UEQ875">
        <v>1358719</v>
      </c>
      <c r="UOH875" t="s">
        <v>618</v>
      </c>
      <c r="UOI875" t="s">
        <v>619</v>
      </c>
      <c r="UOJ875">
        <v>160279</v>
      </c>
      <c r="UOK875">
        <v>166904</v>
      </c>
      <c r="UOL875">
        <v>911833</v>
      </c>
      <c r="UOM875">
        <v>1358719</v>
      </c>
      <c r="UYD875" t="s">
        <v>618</v>
      </c>
      <c r="UYE875" t="s">
        <v>619</v>
      </c>
      <c r="UYF875">
        <v>160279</v>
      </c>
      <c r="UYG875">
        <v>166904</v>
      </c>
      <c r="UYH875">
        <v>911833</v>
      </c>
      <c r="UYI875">
        <v>1358719</v>
      </c>
      <c r="VHZ875" t="s">
        <v>618</v>
      </c>
      <c r="VIA875" t="s">
        <v>619</v>
      </c>
      <c r="VIB875">
        <v>160279</v>
      </c>
      <c r="VIC875">
        <v>166904</v>
      </c>
      <c r="VID875">
        <v>911833</v>
      </c>
      <c r="VIE875">
        <v>1358719</v>
      </c>
      <c r="VRV875" t="s">
        <v>618</v>
      </c>
      <c r="VRW875" t="s">
        <v>619</v>
      </c>
      <c r="VRX875">
        <v>160279</v>
      </c>
      <c r="VRY875">
        <v>166904</v>
      </c>
      <c r="VRZ875">
        <v>911833</v>
      </c>
      <c r="VSA875">
        <v>1358719</v>
      </c>
      <c r="WBR875" t="s">
        <v>618</v>
      </c>
      <c r="WBS875" t="s">
        <v>619</v>
      </c>
      <c r="WBT875">
        <v>160279</v>
      </c>
      <c r="WBU875">
        <v>166904</v>
      </c>
      <c r="WBV875">
        <v>911833</v>
      </c>
      <c r="WBW875">
        <v>1358719</v>
      </c>
      <c r="WLN875" t="s">
        <v>618</v>
      </c>
      <c r="WLO875" t="s">
        <v>619</v>
      </c>
      <c r="WLP875">
        <v>160279</v>
      </c>
      <c r="WLQ875">
        <v>166904</v>
      </c>
      <c r="WLR875">
        <v>911833</v>
      </c>
      <c r="WLS875">
        <v>1358719</v>
      </c>
      <c r="WVJ875" t="s">
        <v>618</v>
      </c>
      <c r="WVK875" t="s">
        <v>619</v>
      </c>
      <c r="WVL875">
        <v>160279</v>
      </c>
      <c r="WVM875">
        <v>166904</v>
      </c>
      <c r="WVN875">
        <v>911833</v>
      </c>
      <c r="WVO875">
        <v>1358719</v>
      </c>
    </row>
    <row r="876" spans="1:775 1026:1799 2050:2823 3074:3847 4098:4871 5122:5895 6146:6919 7170:7943 8194:8967 9218:9991 10242:11015 11266:12039 12290:13063 13314:14087 14338:15111 15362:16135">
      <c r="A876" s="96" t="s">
        <v>620</v>
      </c>
      <c r="C876" s="100">
        <v>-9722</v>
      </c>
      <c r="D876" s="100">
        <v>-64478</v>
      </c>
      <c r="E876" s="100">
        <v>-66030</v>
      </c>
      <c r="F876" s="100">
        <v>62510</v>
      </c>
      <c r="G876" s="100">
        <v>377775</v>
      </c>
      <c r="H876" s="100"/>
      <c r="IX876" t="s">
        <v>620</v>
      </c>
      <c r="IY876">
        <v>-9722</v>
      </c>
      <c r="IZ876">
        <v>-64478</v>
      </c>
      <c r="JA876">
        <v>-66030</v>
      </c>
      <c r="JB876">
        <v>62510</v>
      </c>
      <c r="JC876">
        <v>377775</v>
      </c>
      <c r="ST876" t="s">
        <v>620</v>
      </c>
      <c r="SU876">
        <v>-9722</v>
      </c>
      <c r="SV876">
        <v>-64478</v>
      </c>
      <c r="SW876">
        <v>-66030</v>
      </c>
      <c r="SX876">
        <v>62510</v>
      </c>
      <c r="SY876">
        <v>377775</v>
      </c>
      <c r="ACP876" t="s">
        <v>620</v>
      </c>
      <c r="ACQ876">
        <v>-9722</v>
      </c>
      <c r="ACR876">
        <v>-64478</v>
      </c>
      <c r="ACS876">
        <v>-66030</v>
      </c>
      <c r="ACT876">
        <v>62510</v>
      </c>
      <c r="ACU876">
        <v>377775</v>
      </c>
      <c r="AML876" t="s">
        <v>620</v>
      </c>
      <c r="AMM876">
        <v>-9722</v>
      </c>
      <c r="AMN876">
        <v>-64478</v>
      </c>
      <c r="AMO876">
        <v>-66030</v>
      </c>
      <c r="AMP876">
        <v>62510</v>
      </c>
      <c r="AMQ876">
        <v>377775</v>
      </c>
      <c r="AWH876" t="s">
        <v>620</v>
      </c>
      <c r="AWI876">
        <v>-9722</v>
      </c>
      <c r="AWJ876">
        <v>-64478</v>
      </c>
      <c r="AWK876">
        <v>-66030</v>
      </c>
      <c r="AWL876">
        <v>62510</v>
      </c>
      <c r="AWM876">
        <v>377775</v>
      </c>
      <c r="BGD876" t="s">
        <v>620</v>
      </c>
      <c r="BGE876">
        <v>-9722</v>
      </c>
      <c r="BGF876">
        <v>-64478</v>
      </c>
      <c r="BGG876">
        <v>-66030</v>
      </c>
      <c r="BGH876">
        <v>62510</v>
      </c>
      <c r="BGI876">
        <v>377775</v>
      </c>
      <c r="BPZ876" t="s">
        <v>620</v>
      </c>
      <c r="BQA876">
        <v>-9722</v>
      </c>
      <c r="BQB876">
        <v>-64478</v>
      </c>
      <c r="BQC876">
        <v>-66030</v>
      </c>
      <c r="BQD876">
        <v>62510</v>
      </c>
      <c r="BQE876">
        <v>377775</v>
      </c>
      <c r="BZV876" t="s">
        <v>620</v>
      </c>
      <c r="BZW876">
        <v>-9722</v>
      </c>
      <c r="BZX876">
        <v>-64478</v>
      </c>
      <c r="BZY876">
        <v>-66030</v>
      </c>
      <c r="BZZ876">
        <v>62510</v>
      </c>
      <c r="CAA876">
        <v>377775</v>
      </c>
      <c r="CJR876" t="s">
        <v>620</v>
      </c>
      <c r="CJS876">
        <v>-9722</v>
      </c>
      <c r="CJT876">
        <v>-64478</v>
      </c>
      <c r="CJU876">
        <v>-66030</v>
      </c>
      <c r="CJV876">
        <v>62510</v>
      </c>
      <c r="CJW876">
        <v>377775</v>
      </c>
      <c r="CTN876" t="s">
        <v>620</v>
      </c>
      <c r="CTO876">
        <v>-9722</v>
      </c>
      <c r="CTP876">
        <v>-64478</v>
      </c>
      <c r="CTQ876">
        <v>-66030</v>
      </c>
      <c r="CTR876">
        <v>62510</v>
      </c>
      <c r="CTS876">
        <v>377775</v>
      </c>
      <c r="DDJ876" t="s">
        <v>620</v>
      </c>
      <c r="DDK876">
        <v>-9722</v>
      </c>
      <c r="DDL876">
        <v>-64478</v>
      </c>
      <c r="DDM876">
        <v>-66030</v>
      </c>
      <c r="DDN876">
        <v>62510</v>
      </c>
      <c r="DDO876">
        <v>377775</v>
      </c>
      <c r="DNF876" t="s">
        <v>620</v>
      </c>
      <c r="DNG876">
        <v>-9722</v>
      </c>
      <c r="DNH876">
        <v>-64478</v>
      </c>
      <c r="DNI876">
        <v>-66030</v>
      </c>
      <c r="DNJ876">
        <v>62510</v>
      </c>
      <c r="DNK876">
        <v>377775</v>
      </c>
      <c r="DXB876" t="s">
        <v>620</v>
      </c>
      <c r="DXC876">
        <v>-9722</v>
      </c>
      <c r="DXD876">
        <v>-64478</v>
      </c>
      <c r="DXE876">
        <v>-66030</v>
      </c>
      <c r="DXF876">
        <v>62510</v>
      </c>
      <c r="DXG876">
        <v>377775</v>
      </c>
      <c r="EGX876" t="s">
        <v>620</v>
      </c>
      <c r="EGY876">
        <v>-9722</v>
      </c>
      <c r="EGZ876">
        <v>-64478</v>
      </c>
      <c r="EHA876">
        <v>-66030</v>
      </c>
      <c r="EHB876">
        <v>62510</v>
      </c>
      <c r="EHC876">
        <v>377775</v>
      </c>
      <c r="EQT876" t="s">
        <v>620</v>
      </c>
      <c r="EQU876">
        <v>-9722</v>
      </c>
      <c r="EQV876">
        <v>-64478</v>
      </c>
      <c r="EQW876">
        <v>-66030</v>
      </c>
      <c r="EQX876">
        <v>62510</v>
      </c>
      <c r="EQY876">
        <v>377775</v>
      </c>
      <c r="FAP876" t="s">
        <v>620</v>
      </c>
      <c r="FAQ876">
        <v>-9722</v>
      </c>
      <c r="FAR876">
        <v>-64478</v>
      </c>
      <c r="FAS876">
        <v>-66030</v>
      </c>
      <c r="FAT876">
        <v>62510</v>
      </c>
      <c r="FAU876">
        <v>377775</v>
      </c>
      <c r="FKL876" t="s">
        <v>620</v>
      </c>
      <c r="FKM876">
        <v>-9722</v>
      </c>
      <c r="FKN876">
        <v>-64478</v>
      </c>
      <c r="FKO876">
        <v>-66030</v>
      </c>
      <c r="FKP876">
        <v>62510</v>
      </c>
      <c r="FKQ876">
        <v>377775</v>
      </c>
      <c r="FUH876" t="s">
        <v>620</v>
      </c>
      <c r="FUI876">
        <v>-9722</v>
      </c>
      <c r="FUJ876">
        <v>-64478</v>
      </c>
      <c r="FUK876">
        <v>-66030</v>
      </c>
      <c r="FUL876">
        <v>62510</v>
      </c>
      <c r="FUM876">
        <v>377775</v>
      </c>
      <c r="GED876" t="s">
        <v>620</v>
      </c>
      <c r="GEE876">
        <v>-9722</v>
      </c>
      <c r="GEF876">
        <v>-64478</v>
      </c>
      <c r="GEG876">
        <v>-66030</v>
      </c>
      <c r="GEH876">
        <v>62510</v>
      </c>
      <c r="GEI876">
        <v>377775</v>
      </c>
      <c r="GNZ876" t="s">
        <v>620</v>
      </c>
      <c r="GOA876">
        <v>-9722</v>
      </c>
      <c r="GOB876">
        <v>-64478</v>
      </c>
      <c r="GOC876">
        <v>-66030</v>
      </c>
      <c r="GOD876">
        <v>62510</v>
      </c>
      <c r="GOE876">
        <v>377775</v>
      </c>
      <c r="GXV876" t="s">
        <v>620</v>
      </c>
      <c r="GXW876">
        <v>-9722</v>
      </c>
      <c r="GXX876">
        <v>-64478</v>
      </c>
      <c r="GXY876">
        <v>-66030</v>
      </c>
      <c r="GXZ876">
        <v>62510</v>
      </c>
      <c r="GYA876">
        <v>377775</v>
      </c>
      <c r="HHR876" t="s">
        <v>620</v>
      </c>
      <c r="HHS876">
        <v>-9722</v>
      </c>
      <c r="HHT876">
        <v>-64478</v>
      </c>
      <c r="HHU876">
        <v>-66030</v>
      </c>
      <c r="HHV876">
        <v>62510</v>
      </c>
      <c r="HHW876">
        <v>377775</v>
      </c>
      <c r="HRN876" t="s">
        <v>620</v>
      </c>
      <c r="HRO876">
        <v>-9722</v>
      </c>
      <c r="HRP876">
        <v>-64478</v>
      </c>
      <c r="HRQ876">
        <v>-66030</v>
      </c>
      <c r="HRR876">
        <v>62510</v>
      </c>
      <c r="HRS876">
        <v>377775</v>
      </c>
      <c r="IBJ876" t="s">
        <v>620</v>
      </c>
      <c r="IBK876">
        <v>-9722</v>
      </c>
      <c r="IBL876">
        <v>-64478</v>
      </c>
      <c r="IBM876">
        <v>-66030</v>
      </c>
      <c r="IBN876">
        <v>62510</v>
      </c>
      <c r="IBO876">
        <v>377775</v>
      </c>
      <c r="ILF876" t="s">
        <v>620</v>
      </c>
      <c r="ILG876">
        <v>-9722</v>
      </c>
      <c r="ILH876">
        <v>-64478</v>
      </c>
      <c r="ILI876">
        <v>-66030</v>
      </c>
      <c r="ILJ876">
        <v>62510</v>
      </c>
      <c r="ILK876">
        <v>377775</v>
      </c>
      <c r="IVB876" t="s">
        <v>620</v>
      </c>
      <c r="IVC876">
        <v>-9722</v>
      </c>
      <c r="IVD876">
        <v>-64478</v>
      </c>
      <c r="IVE876">
        <v>-66030</v>
      </c>
      <c r="IVF876">
        <v>62510</v>
      </c>
      <c r="IVG876">
        <v>377775</v>
      </c>
      <c r="JEX876" t="s">
        <v>620</v>
      </c>
      <c r="JEY876">
        <v>-9722</v>
      </c>
      <c r="JEZ876">
        <v>-64478</v>
      </c>
      <c r="JFA876">
        <v>-66030</v>
      </c>
      <c r="JFB876">
        <v>62510</v>
      </c>
      <c r="JFC876">
        <v>377775</v>
      </c>
      <c r="JOT876" t="s">
        <v>620</v>
      </c>
      <c r="JOU876">
        <v>-9722</v>
      </c>
      <c r="JOV876">
        <v>-64478</v>
      </c>
      <c r="JOW876">
        <v>-66030</v>
      </c>
      <c r="JOX876">
        <v>62510</v>
      </c>
      <c r="JOY876">
        <v>377775</v>
      </c>
      <c r="JYP876" t="s">
        <v>620</v>
      </c>
      <c r="JYQ876">
        <v>-9722</v>
      </c>
      <c r="JYR876">
        <v>-64478</v>
      </c>
      <c r="JYS876">
        <v>-66030</v>
      </c>
      <c r="JYT876">
        <v>62510</v>
      </c>
      <c r="JYU876">
        <v>377775</v>
      </c>
      <c r="KIL876" t="s">
        <v>620</v>
      </c>
      <c r="KIM876">
        <v>-9722</v>
      </c>
      <c r="KIN876">
        <v>-64478</v>
      </c>
      <c r="KIO876">
        <v>-66030</v>
      </c>
      <c r="KIP876">
        <v>62510</v>
      </c>
      <c r="KIQ876">
        <v>377775</v>
      </c>
      <c r="KSH876" t="s">
        <v>620</v>
      </c>
      <c r="KSI876">
        <v>-9722</v>
      </c>
      <c r="KSJ876">
        <v>-64478</v>
      </c>
      <c r="KSK876">
        <v>-66030</v>
      </c>
      <c r="KSL876">
        <v>62510</v>
      </c>
      <c r="KSM876">
        <v>377775</v>
      </c>
      <c r="LCD876" t="s">
        <v>620</v>
      </c>
      <c r="LCE876">
        <v>-9722</v>
      </c>
      <c r="LCF876">
        <v>-64478</v>
      </c>
      <c r="LCG876">
        <v>-66030</v>
      </c>
      <c r="LCH876">
        <v>62510</v>
      </c>
      <c r="LCI876">
        <v>377775</v>
      </c>
      <c r="LLZ876" t="s">
        <v>620</v>
      </c>
      <c r="LMA876">
        <v>-9722</v>
      </c>
      <c r="LMB876">
        <v>-64478</v>
      </c>
      <c r="LMC876">
        <v>-66030</v>
      </c>
      <c r="LMD876">
        <v>62510</v>
      </c>
      <c r="LME876">
        <v>377775</v>
      </c>
      <c r="LVV876" t="s">
        <v>620</v>
      </c>
      <c r="LVW876">
        <v>-9722</v>
      </c>
      <c r="LVX876">
        <v>-64478</v>
      </c>
      <c r="LVY876">
        <v>-66030</v>
      </c>
      <c r="LVZ876">
        <v>62510</v>
      </c>
      <c r="LWA876">
        <v>377775</v>
      </c>
      <c r="MFR876" t="s">
        <v>620</v>
      </c>
      <c r="MFS876">
        <v>-9722</v>
      </c>
      <c r="MFT876">
        <v>-64478</v>
      </c>
      <c r="MFU876">
        <v>-66030</v>
      </c>
      <c r="MFV876">
        <v>62510</v>
      </c>
      <c r="MFW876">
        <v>377775</v>
      </c>
      <c r="MPN876" t="s">
        <v>620</v>
      </c>
      <c r="MPO876">
        <v>-9722</v>
      </c>
      <c r="MPP876">
        <v>-64478</v>
      </c>
      <c r="MPQ876">
        <v>-66030</v>
      </c>
      <c r="MPR876">
        <v>62510</v>
      </c>
      <c r="MPS876">
        <v>377775</v>
      </c>
      <c r="MZJ876" t="s">
        <v>620</v>
      </c>
      <c r="MZK876">
        <v>-9722</v>
      </c>
      <c r="MZL876">
        <v>-64478</v>
      </c>
      <c r="MZM876">
        <v>-66030</v>
      </c>
      <c r="MZN876">
        <v>62510</v>
      </c>
      <c r="MZO876">
        <v>377775</v>
      </c>
      <c r="NJF876" t="s">
        <v>620</v>
      </c>
      <c r="NJG876">
        <v>-9722</v>
      </c>
      <c r="NJH876">
        <v>-64478</v>
      </c>
      <c r="NJI876">
        <v>-66030</v>
      </c>
      <c r="NJJ876">
        <v>62510</v>
      </c>
      <c r="NJK876">
        <v>377775</v>
      </c>
      <c r="NTB876" t="s">
        <v>620</v>
      </c>
      <c r="NTC876">
        <v>-9722</v>
      </c>
      <c r="NTD876">
        <v>-64478</v>
      </c>
      <c r="NTE876">
        <v>-66030</v>
      </c>
      <c r="NTF876">
        <v>62510</v>
      </c>
      <c r="NTG876">
        <v>377775</v>
      </c>
      <c r="OCX876" t="s">
        <v>620</v>
      </c>
      <c r="OCY876">
        <v>-9722</v>
      </c>
      <c r="OCZ876">
        <v>-64478</v>
      </c>
      <c r="ODA876">
        <v>-66030</v>
      </c>
      <c r="ODB876">
        <v>62510</v>
      </c>
      <c r="ODC876">
        <v>377775</v>
      </c>
      <c r="OMT876" t="s">
        <v>620</v>
      </c>
      <c r="OMU876">
        <v>-9722</v>
      </c>
      <c r="OMV876">
        <v>-64478</v>
      </c>
      <c r="OMW876">
        <v>-66030</v>
      </c>
      <c r="OMX876">
        <v>62510</v>
      </c>
      <c r="OMY876">
        <v>377775</v>
      </c>
      <c r="OWP876" t="s">
        <v>620</v>
      </c>
      <c r="OWQ876">
        <v>-9722</v>
      </c>
      <c r="OWR876">
        <v>-64478</v>
      </c>
      <c r="OWS876">
        <v>-66030</v>
      </c>
      <c r="OWT876">
        <v>62510</v>
      </c>
      <c r="OWU876">
        <v>377775</v>
      </c>
      <c r="PGL876" t="s">
        <v>620</v>
      </c>
      <c r="PGM876">
        <v>-9722</v>
      </c>
      <c r="PGN876">
        <v>-64478</v>
      </c>
      <c r="PGO876">
        <v>-66030</v>
      </c>
      <c r="PGP876">
        <v>62510</v>
      </c>
      <c r="PGQ876">
        <v>377775</v>
      </c>
      <c r="PQH876" t="s">
        <v>620</v>
      </c>
      <c r="PQI876">
        <v>-9722</v>
      </c>
      <c r="PQJ876">
        <v>-64478</v>
      </c>
      <c r="PQK876">
        <v>-66030</v>
      </c>
      <c r="PQL876">
        <v>62510</v>
      </c>
      <c r="PQM876">
        <v>377775</v>
      </c>
      <c r="QAD876" t="s">
        <v>620</v>
      </c>
      <c r="QAE876">
        <v>-9722</v>
      </c>
      <c r="QAF876">
        <v>-64478</v>
      </c>
      <c r="QAG876">
        <v>-66030</v>
      </c>
      <c r="QAH876">
        <v>62510</v>
      </c>
      <c r="QAI876">
        <v>377775</v>
      </c>
      <c r="QJZ876" t="s">
        <v>620</v>
      </c>
      <c r="QKA876">
        <v>-9722</v>
      </c>
      <c r="QKB876">
        <v>-64478</v>
      </c>
      <c r="QKC876">
        <v>-66030</v>
      </c>
      <c r="QKD876">
        <v>62510</v>
      </c>
      <c r="QKE876">
        <v>377775</v>
      </c>
      <c r="QTV876" t="s">
        <v>620</v>
      </c>
      <c r="QTW876">
        <v>-9722</v>
      </c>
      <c r="QTX876">
        <v>-64478</v>
      </c>
      <c r="QTY876">
        <v>-66030</v>
      </c>
      <c r="QTZ876">
        <v>62510</v>
      </c>
      <c r="QUA876">
        <v>377775</v>
      </c>
      <c r="RDR876" t="s">
        <v>620</v>
      </c>
      <c r="RDS876">
        <v>-9722</v>
      </c>
      <c r="RDT876">
        <v>-64478</v>
      </c>
      <c r="RDU876">
        <v>-66030</v>
      </c>
      <c r="RDV876">
        <v>62510</v>
      </c>
      <c r="RDW876">
        <v>377775</v>
      </c>
      <c r="RNN876" t="s">
        <v>620</v>
      </c>
      <c r="RNO876">
        <v>-9722</v>
      </c>
      <c r="RNP876">
        <v>-64478</v>
      </c>
      <c r="RNQ876">
        <v>-66030</v>
      </c>
      <c r="RNR876">
        <v>62510</v>
      </c>
      <c r="RNS876">
        <v>377775</v>
      </c>
      <c r="RXJ876" t="s">
        <v>620</v>
      </c>
      <c r="RXK876">
        <v>-9722</v>
      </c>
      <c r="RXL876">
        <v>-64478</v>
      </c>
      <c r="RXM876">
        <v>-66030</v>
      </c>
      <c r="RXN876">
        <v>62510</v>
      </c>
      <c r="RXO876">
        <v>377775</v>
      </c>
      <c r="SHF876" t="s">
        <v>620</v>
      </c>
      <c r="SHG876">
        <v>-9722</v>
      </c>
      <c r="SHH876">
        <v>-64478</v>
      </c>
      <c r="SHI876">
        <v>-66030</v>
      </c>
      <c r="SHJ876">
        <v>62510</v>
      </c>
      <c r="SHK876">
        <v>377775</v>
      </c>
      <c r="SRB876" t="s">
        <v>620</v>
      </c>
      <c r="SRC876">
        <v>-9722</v>
      </c>
      <c r="SRD876">
        <v>-64478</v>
      </c>
      <c r="SRE876">
        <v>-66030</v>
      </c>
      <c r="SRF876">
        <v>62510</v>
      </c>
      <c r="SRG876">
        <v>377775</v>
      </c>
      <c r="TAX876" t="s">
        <v>620</v>
      </c>
      <c r="TAY876">
        <v>-9722</v>
      </c>
      <c r="TAZ876">
        <v>-64478</v>
      </c>
      <c r="TBA876">
        <v>-66030</v>
      </c>
      <c r="TBB876">
        <v>62510</v>
      </c>
      <c r="TBC876">
        <v>377775</v>
      </c>
      <c r="TKT876" t="s">
        <v>620</v>
      </c>
      <c r="TKU876">
        <v>-9722</v>
      </c>
      <c r="TKV876">
        <v>-64478</v>
      </c>
      <c r="TKW876">
        <v>-66030</v>
      </c>
      <c r="TKX876">
        <v>62510</v>
      </c>
      <c r="TKY876">
        <v>377775</v>
      </c>
      <c r="TUP876" t="s">
        <v>620</v>
      </c>
      <c r="TUQ876">
        <v>-9722</v>
      </c>
      <c r="TUR876">
        <v>-64478</v>
      </c>
      <c r="TUS876">
        <v>-66030</v>
      </c>
      <c r="TUT876">
        <v>62510</v>
      </c>
      <c r="TUU876">
        <v>377775</v>
      </c>
      <c r="UEL876" t="s">
        <v>620</v>
      </c>
      <c r="UEM876">
        <v>-9722</v>
      </c>
      <c r="UEN876">
        <v>-64478</v>
      </c>
      <c r="UEO876">
        <v>-66030</v>
      </c>
      <c r="UEP876">
        <v>62510</v>
      </c>
      <c r="UEQ876">
        <v>377775</v>
      </c>
      <c r="UOH876" t="s">
        <v>620</v>
      </c>
      <c r="UOI876">
        <v>-9722</v>
      </c>
      <c r="UOJ876">
        <v>-64478</v>
      </c>
      <c r="UOK876">
        <v>-66030</v>
      </c>
      <c r="UOL876">
        <v>62510</v>
      </c>
      <c r="UOM876">
        <v>377775</v>
      </c>
      <c r="UYD876" t="s">
        <v>620</v>
      </c>
      <c r="UYE876">
        <v>-9722</v>
      </c>
      <c r="UYF876">
        <v>-64478</v>
      </c>
      <c r="UYG876">
        <v>-66030</v>
      </c>
      <c r="UYH876">
        <v>62510</v>
      </c>
      <c r="UYI876">
        <v>377775</v>
      </c>
      <c r="VHZ876" t="s">
        <v>620</v>
      </c>
      <c r="VIA876">
        <v>-9722</v>
      </c>
      <c r="VIB876">
        <v>-64478</v>
      </c>
      <c r="VIC876">
        <v>-66030</v>
      </c>
      <c r="VID876">
        <v>62510</v>
      </c>
      <c r="VIE876">
        <v>377775</v>
      </c>
      <c r="VRV876" t="s">
        <v>620</v>
      </c>
      <c r="VRW876">
        <v>-9722</v>
      </c>
      <c r="VRX876">
        <v>-64478</v>
      </c>
      <c r="VRY876">
        <v>-66030</v>
      </c>
      <c r="VRZ876">
        <v>62510</v>
      </c>
      <c r="VSA876">
        <v>377775</v>
      </c>
      <c r="WBR876" t="s">
        <v>620</v>
      </c>
      <c r="WBS876">
        <v>-9722</v>
      </c>
      <c r="WBT876">
        <v>-64478</v>
      </c>
      <c r="WBU876">
        <v>-66030</v>
      </c>
      <c r="WBV876">
        <v>62510</v>
      </c>
      <c r="WBW876">
        <v>377775</v>
      </c>
      <c r="WLN876" t="s">
        <v>620</v>
      </c>
      <c r="WLO876">
        <v>-9722</v>
      </c>
      <c r="WLP876">
        <v>-64478</v>
      </c>
      <c r="WLQ876">
        <v>-66030</v>
      </c>
      <c r="WLR876">
        <v>62510</v>
      </c>
      <c r="WLS876">
        <v>377775</v>
      </c>
      <c r="WVJ876" t="s">
        <v>620</v>
      </c>
      <c r="WVK876">
        <v>-9722</v>
      </c>
      <c r="WVL876">
        <v>-64478</v>
      </c>
      <c r="WVM876">
        <v>-66030</v>
      </c>
      <c r="WVN876">
        <v>62510</v>
      </c>
      <c r="WVO876">
        <v>377775</v>
      </c>
    </row>
    <row r="877" spans="1:775 1026:1799 2050:2823 3074:3847 4098:4871 5122:5895 6146:6919 7170:7943 8194:8967 9218:9991 10242:11015 11266:12039 12290:13063 13314:14087 14338:15111 15362:16135">
      <c r="A877" s="96" t="s">
        <v>621</v>
      </c>
      <c r="C877" s="100">
        <v>-21346</v>
      </c>
      <c r="D877" s="100">
        <v>66160</v>
      </c>
      <c r="E877" s="100">
        <v>-364928</v>
      </c>
      <c r="F877" s="100">
        <v>184686</v>
      </c>
      <c r="G877" s="100">
        <v>-282952</v>
      </c>
      <c r="H877" s="98"/>
      <c r="IX877" t="s">
        <v>621</v>
      </c>
      <c r="IY877">
        <v>-21346</v>
      </c>
      <c r="IZ877">
        <v>66160</v>
      </c>
      <c r="JA877" t="s">
        <v>619</v>
      </c>
      <c r="JB877" t="s">
        <v>619</v>
      </c>
      <c r="JC877" t="s">
        <v>619</v>
      </c>
      <c r="ST877" t="s">
        <v>621</v>
      </c>
      <c r="SU877">
        <v>-21346</v>
      </c>
      <c r="SV877">
        <v>66160</v>
      </c>
      <c r="SW877" t="s">
        <v>619</v>
      </c>
      <c r="SX877" t="s">
        <v>619</v>
      </c>
      <c r="SY877" t="s">
        <v>619</v>
      </c>
      <c r="ACP877" t="s">
        <v>621</v>
      </c>
      <c r="ACQ877">
        <v>-21346</v>
      </c>
      <c r="ACR877">
        <v>66160</v>
      </c>
      <c r="ACS877" t="s">
        <v>619</v>
      </c>
      <c r="ACT877" t="s">
        <v>619</v>
      </c>
      <c r="ACU877" t="s">
        <v>619</v>
      </c>
      <c r="AML877" t="s">
        <v>621</v>
      </c>
      <c r="AMM877">
        <v>-21346</v>
      </c>
      <c r="AMN877">
        <v>66160</v>
      </c>
      <c r="AMO877" t="s">
        <v>619</v>
      </c>
      <c r="AMP877" t="s">
        <v>619</v>
      </c>
      <c r="AMQ877" t="s">
        <v>619</v>
      </c>
      <c r="AWH877" t="s">
        <v>621</v>
      </c>
      <c r="AWI877">
        <v>-21346</v>
      </c>
      <c r="AWJ877">
        <v>66160</v>
      </c>
      <c r="AWK877" t="s">
        <v>619</v>
      </c>
      <c r="AWL877" t="s">
        <v>619</v>
      </c>
      <c r="AWM877" t="s">
        <v>619</v>
      </c>
      <c r="BGD877" t="s">
        <v>621</v>
      </c>
      <c r="BGE877">
        <v>-21346</v>
      </c>
      <c r="BGF877">
        <v>66160</v>
      </c>
      <c r="BGG877" t="s">
        <v>619</v>
      </c>
      <c r="BGH877" t="s">
        <v>619</v>
      </c>
      <c r="BGI877" t="s">
        <v>619</v>
      </c>
      <c r="BPZ877" t="s">
        <v>621</v>
      </c>
      <c r="BQA877">
        <v>-21346</v>
      </c>
      <c r="BQB877">
        <v>66160</v>
      </c>
      <c r="BQC877" t="s">
        <v>619</v>
      </c>
      <c r="BQD877" t="s">
        <v>619</v>
      </c>
      <c r="BQE877" t="s">
        <v>619</v>
      </c>
      <c r="BZV877" t="s">
        <v>621</v>
      </c>
      <c r="BZW877">
        <v>-21346</v>
      </c>
      <c r="BZX877">
        <v>66160</v>
      </c>
      <c r="BZY877" t="s">
        <v>619</v>
      </c>
      <c r="BZZ877" t="s">
        <v>619</v>
      </c>
      <c r="CAA877" t="s">
        <v>619</v>
      </c>
      <c r="CJR877" t="s">
        <v>621</v>
      </c>
      <c r="CJS877">
        <v>-21346</v>
      </c>
      <c r="CJT877">
        <v>66160</v>
      </c>
      <c r="CJU877" t="s">
        <v>619</v>
      </c>
      <c r="CJV877" t="s">
        <v>619</v>
      </c>
      <c r="CJW877" t="s">
        <v>619</v>
      </c>
      <c r="CTN877" t="s">
        <v>621</v>
      </c>
      <c r="CTO877">
        <v>-21346</v>
      </c>
      <c r="CTP877">
        <v>66160</v>
      </c>
      <c r="CTQ877" t="s">
        <v>619</v>
      </c>
      <c r="CTR877" t="s">
        <v>619</v>
      </c>
      <c r="CTS877" t="s">
        <v>619</v>
      </c>
      <c r="DDJ877" t="s">
        <v>621</v>
      </c>
      <c r="DDK877">
        <v>-21346</v>
      </c>
      <c r="DDL877">
        <v>66160</v>
      </c>
      <c r="DDM877" t="s">
        <v>619</v>
      </c>
      <c r="DDN877" t="s">
        <v>619</v>
      </c>
      <c r="DDO877" t="s">
        <v>619</v>
      </c>
      <c r="DNF877" t="s">
        <v>621</v>
      </c>
      <c r="DNG877">
        <v>-21346</v>
      </c>
      <c r="DNH877">
        <v>66160</v>
      </c>
      <c r="DNI877" t="s">
        <v>619</v>
      </c>
      <c r="DNJ877" t="s">
        <v>619</v>
      </c>
      <c r="DNK877" t="s">
        <v>619</v>
      </c>
      <c r="DXB877" t="s">
        <v>621</v>
      </c>
      <c r="DXC877">
        <v>-21346</v>
      </c>
      <c r="DXD877">
        <v>66160</v>
      </c>
      <c r="DXE877" t="s">
        <v>619</v>
      </c>
      <c r="DXF877" t="s">
        <v>619</v>
      </c>
      <c r="DXG877" t="s">
        <v>619</v>
      </c>
      <c r="EGX877" t="s">
        <v>621</v>
      </c>
      <c r="EGY877">
        <v>-21346</v>
      </c>
      <c r="EGZ877">
        <v>66160</v>
      </c>
      <c r="EHA877" t="s">
        <v>619</v>
      </c>
      <c r="EHB877" t="s">
        <v>619</v>
      </c>
      <c r="EHC877" t="s">
        <v>619</v>
      </c>
      <c r="EQT877" t="s">
        <v>621</v>
      </c>
      <c r="EQU877">
        <v>-21346</v>
      </c>
      <c r="EQV877">
        <v>66160</v>
      </c>
      <c r="EQW877" t="s">
        <v>619</v>
      </c>
      <c r="EQX877" t="s">
        <v>619</v>
      </c>
      <c r="EQY877" t="s">
        <v>619</v>
      </c>
      <c r="FAP877" t="s">
        <v>621</v>
      </c>
      <c r="FAQ877">
        <v>-21346</v>
      </c>
      <c r="FAR877">
        <v>66160</v>
      </c>
      <c r="FAS877" t="s">
        <v>619</v>
      </c>
      <c r="FAT877" t="s">
        <v>619</v>
      </c>
      <c r="FAU877" t="s">
        <v>619</v>
      </c>
      <c r="FKL877" t="s">
        <v>621</v>
      </c>
      <c r="FKM877">
        <v>-21346</v>
      </c>
      <c r="FKN877">
        <v>66160</v>
      </c>
      <c r="FKO877" t="s">
        <v>619</v>
      </c>
      <c r="FKP877" t="s">
        <v>619</v>
      </c>
      <c r="FKQ877" t="s">
        <v>619</v>
      </c>
      <c r="FUH877" t="s">
        <v>621</v>
      </c>
      <c r="FUI877">
        <v>-21346</v>
      </c>
      <c r="FUJ877">
        <v>66160</v>
      </c>
      <c r="FUK877" t="s">
        <v>619</v>
      </c>
      <c r="FUL877" t="s">
        <v>619</v>
      </c>
      <c r="FUM877" t="s">
        <v>619</v>
      </c>
      <c r="GED877" t="s">
        <v>621</v>
      </c>
      <c r="GEE877">
        <v>-21346</v>
      </c>
      <c r="GEF877">
        <v>66160</v>
      </c>
      <c r="GEG877" t="s">
        <v>619</v>
      </c>
      <c r="GEH877" t="s">
        <v>619</v>
      </c>
      <c r="GEI877" t="s">
        <v>619</v>
      </c>
      <c r="GNZ877" t="s">
        <v>621</v>
      </c>
      <c r="GOA877">
        <v>-21346</v>
      </c>
      <c r="GOB877">
        <v>66160</v>
      </c>
      <c r="GOC877" t="s">
        <v>619</v>
      </c>
      <c r="GOD877" t="s">
        <v>619</v>
      </c>
      <c r="GOE877" t="s">
        <v>619</v>
      </c>
      <c r="GXV877" t="s">
        <v>621</v>
      </c>
      <c r="GXW877">
        <v>-21346</v>
      </c>
      <c r="GXX877">
        <v>66160</v>
      </c>
      <c r="GXY877" t="s">
        <v>619</v>
      </c>
      <c r="GXZ877" t="s">
        <v>619</v>
      </c>
      <c r="GYA877" t="s">
        <v>619</v>
      </c>
      <c r="HHR877" t="s">
        <v>621</v>
      </c>
      <c r="HHS877">
        <v>-21346</v>
      </c>
      <c r="HHT877">
        <v>66160</v>
      </c>
      <c r="HHU877" t="s">
        <v>619</v>
      </c>
      <c r="HHV877" t="s">
        <v>619</v>
      </c>
      <c r="HHW877" t="s">
        <v>619</v>
      </c>
      <c r="HRN877" t="s">
        <v>621</v>
      </c>
      <c r="HRO877">
        <v>-21346</v>
      </c>
      <c r="HRP877">
        <v>66160</v>
      </c>
      <c r="HRQ877" t="s">
        <v>619</v>
      </c>
      <c r="HRR877" t="s">
        <v>619</v>
      </c>
      <c r="HRS877" t="s">
        <v>619</v>
      </c>
      <c r="IBJ877" t="s">
        <v>621</v>
      </c>
      <c r="IBK877">
        <v>-21346</v>
      </c>
      <c r="IBL877">
        <v>66160</v>
      </c>
      <c r="IBM877" t="s">
        <v>619</v>
      </c>
      <c r="IBN877" t="s">
        <v>619</v>
      </c>
      <c r="IBO877" t="s">
        <v>619</v>
      </c>
      <c r="ILF877" t="s">
        <v>621</v>
      </c>
      <c r="ILG877">
        <v>-21346</v>
      </c>
      <c r="ILH877">
        <v>66160</v>
      </c>
      <c r="ILI877" t="s">
        <v>619</v>
      </c>
      <c r="ILJ877" t="s">
        <v>619</v>
      </c>
      <c r="ILK877" t="s">
        <v>619</v>
      </c>
      <c r="IVB877" t="s">
        <v>621</v>
      </c>
      <c r="IVC877">
        <v>-21346</v>
      </c>
      <c r="IVD877">
        <v>66160</v>
      </c>
      <c r="IVE877" t="s">
        <v>619</v>
      </c>
      <c r="IVF877" t="s">
        <v>619</v>
      </c>
      <c r="IVG877" t="s">
        <v>619</v>
      </c>
      <c r="JEX877" t="s">
        <v>621</v>
      </c>
      <c r="JEY877">
        <v>-21346</v>
      </c>
      <c r="JEZ877">
        <v>66160</v>
      </c>
      <c r="JFA877" t="s">
        <v>619</v>
      </c>
      <c r="JFB877" t="s">
        <v>619</v>
      </c>
      <c r="JFC877" t="s">
        <v>619</v>
      </c>
      <c r="JOT877" t="s">
        <v>621</v>
      </c>
      <c r="JOU877">
        <v>-21346</v>
      </c>
      <c r="JOV877">
        <v>66160</v>
      </c>
      <c r="JOW877" t="s">
        <v>619</v>
      </c>
      <c r="JOX877" t="s">
        <v>619</v>
      </c>
      <c r="JOY877" t="s">
        <v>619</v>
      </c>
      <c r="JYP877" t="s">
        <v>621</v>
      </c>
      <c r="JYQ877">
        <v>-21346</v>
      </c>
      <c r="JYR877">
        <v>66160</v>
      </c>
      <c r="JYS877" t="s">
        <v>619</v>
      </c>
      <c r="JYT877" t="s">
        <v>619</v>
      </c>
      <c r="JYU877" t="s">
        <v>619</v>
      </c>
      <c r="KIL877" t="s">
        <v>621</v>
      </c>
      <c r="KIM877">
        <v>-21346</v>
      </c>
      <c r="KIN877">
        <v>66160</v>
      </c>
      <c r="KIO877" t="s">
        <v>619</v>
      </c>
      <c r="KIP877" t="s">
        <v>619</v>
      </c>
      <c r="KIQ877" t="s">
        <v>619</v>
      </c>
      <c r="KSH877" t="s">
        <v>621</v>
      </c>
      <c r="KSI877">
        <v>-21346</v>
      </c>
      <c r="KSJ877">
        <v>66160</v>
      </c>
      <c r="KSK877" t="s">
        <v>619</v>
      </c>
      <c r="KSL877" t="s">
        <v>619</v>
      </c>
      <c r="KSM877" t="s">
        <v>619</v>
      </c>
      <c r="LCD877" t="s">
        <v>621</v>
      </c>
      <c r="LCE877">
        <v>-21346</v>
      </c>
      <c r="LCF877">
        <v>66160</v>
      </c>
      <c r="LCG877" t="s">
        <v>619</v>
      </c>
      <c r="LCH877" t="s">
        <v>619</v>
      </c>
      <c r="LCI877" t="s">
        <v>619</v>
      </c>
      <c r="LLZ877" t="s">
        <v>621</v>
      </c>
      <c r="LMA877">
        <v>-21346</v>
      </c>
      <c r="LMB877">
        <v>66160</v>
      </c>
      <c r="LMC877" t="s">
        <v>619</v>
      </c>
      <c r="LMD877" t="s">
        <v>619</v>
      </c>
      <c r="LME877" t="s">
        <v>619</v>
      </c>
      <c r="LVV877" t="s">
        <v>621</v>
      </c>
      <c r="LVW877">
        <v>-21346</v>
      </c>
      <c r="LVX877">
        <v>66160</v>
      </c>
      <c r="LVY877" t="s">
        <v>619</v>
      </c>
      <c r="LVZ877" t="s">
        <v>619</v>
      </c>
      <c r="LWA877" t="s">
        <v>619</v>
      </c>
      <c r="MFR877" t="s">
        <v>621</v>
      </c>
      <c r="MFS877">
        <v>-21346</v>
      </c>
      <c r="MFT877">
        <v>66160</v>
      </c>
      <c r="MFU877" t="s">
        <v>619</v>
      </c>
      <c r="MFV877" t="s">
        <v>619</v>
      </c>
      <c r="MFW877" t="s">
        <v>619</v>
      </c>
      <c r="MPN877" t="s">
        <v>621</v>
      </c>
      <c r="MPO877">
        <v>-21346</v>
      </c>
      <c r="MPP877">
        <v>66160</v>
      </c>
      <c r="MPQ877" t="s">
        <v>619</v>
      </c>
      <c r="MPR877" t="s">
        <v>619</v>
      </c>
      <c r="MPS877" t="s">
        <v>619</v>
      </c>
      <c r="MZJ877" t="s">
        <v>621</v>
      </c>
      <c r="MZK877">
        <v>-21346</v>
      </c>
      <c r="MZL877">
        <v>66160</v>
      </c>
      <c r="MZM877" t="s">
        <v>619</v>
      </c>
      <c r="MZN877" t="s">
        <v>619</v>
      </c>
      <c r="MZO877" t="s">
        <v>619</v>
      </c>
      <c r="NJF877" t="s">
        <v>621</v>
      </c>
      <c r="NJG877">
        <v>-21346</v>
      </c>
      <c r="NJH877">
        <v>66160</v>
      </c>
      <c r="NJI877" t="s">
        <v>619</v>
      </c>
      <c r="NJJ877" t="s">
        <v>619</v>
      </c>
      <c r="NJK877" t="s">
        <v>619</v>
      </c>
      <c r="NTB877" t="s">
        <v>621</v>
      </c>
      <c r="NTC877">
        <v>-21346</v>
      </c>
      <c r="NTD877">
        <v>66160</v>
      </c>
      <c r="NTE877" t="s">
        <v>619</v>
      </c>
      <c r="NTF877" t="s">
        <v>619</v>
      </c>
      <c r="NTG877" t="s">
        <v>619</v>
      </c>
      <c r="OCX877" t="s">
        <v>621</v>
      </c>
      <c r="OCY877">
        <v>-21346</v>
      </c>
      <c r="OCZ877">
        <v>66160</v>
      </c>
      <c r="ODA877" t="s">
        <v>619</v>
      </c>
      <c r="ODB877" t="s">
        <v>619</v>
      </c>
      <c r="ODC877" t="s">
        <v>619</v>
      </c>
      <c r="OMT877" t="s">
        <v>621</v>
      </c>
      <c r="OMU877">
        <v>-21346</v>
      </c>
      <c r="OMV877">
        <v>66160</v>
      </c>
      <c r="OMW877" t="s">
        <v>619</v>
      </c>
      <c r="OMX877" t="s">
        <v>619</v>
      </c>
      <c r="OMY877" t="s">
        <v>619</v>
      </c>
      <c r="OWP877" t="s">
        <v>621</v>
      </c>
      <c r="OWQ877">
        <v>-21346</v>
      </c>
      <c r="OWR877">
        <v>66160</v>
      </c>
      <c r="OWS877" t="s">
        <v>619</v>
      </c>
      <c r="OWT877" t="s">
        <v>619</v>
      </c>
      <c r="OWU877" t="s">
        <v>619</v>
      </c>
      <c r="PGL877" t="s">
        <v>621</v>
      </c>
      <c r="PGM877">
        <v>-21346</v>
      </c>
      <c r="PGN877">
        <v>66160</v>
      </c>
      <c r="PGO877" t="s">
        <v>619</v>
      </c>
      <c r="PGP877" t="s">
        <v>619</v>
      </c>
      <c r="PGQ877" t="s">
        <v>619</v>
      </c>
      <c r="PQH877" t="s">
        <v>621</v>
      </c>
      <c r="PQI877">
        <v>-21346</v>
      </c>
      <c r="PQJ877">
        <v>66160</v>
      </c>
      <c r="PQK877" t="s">
        <v>619</v>
      </c>
      <c r="PQL877" t="s">
        <v>619</v>
      </c>
      <c r="PQM877" t="s">
        <v>619</v>
      </c>
      <c r="QAD877" t="s">
        <v>621</v>
      </c>
      <c r="QAE877">
        <v>-21346</v>
      </c>
      <c r="QAF877">
        <v>66160</v>
      </c>
      <c r="QAG877" t="s">
        <v>619</v>
      </c>
      <c r="QAH877" t="s">
        <v>619</v>
      </c>
      <c r="QAI877" t="s">
        <v>619</v>
      </c>
      <c r="QJZ877" t="s">
        <v>621</v>
      </c>
      <c r="QKA877">
        <v>-21346</v>
      </c>
      <c r="QKB877">
        <v>66160</v>
      </c>
      <c r="QKC877" t="s">
        <v>619</v>
      </c>
      <c r="QKD877" t="s">
        <v>619</v>
      </c>
      <c r="QKE877" t="s">
        <v>619</v>
      </c>
      <c r="QTV877" t="s">
        <v>621</v>
      </c>
      <c r="QTW877">
        <v>-21346</v>
      </c>
      <c r="QTX877">
        <v>66160</v>
      </c>
      <c r="QTY877" t="s">
        <v>619</v>
      </c>
      <c r="QTZ877" t="s">
        <v>619</v>
      </c>
      <c r="QUA877" t="s">
        <v>619</v>
      </c>
      <c r="RDR877" t="s">
        <v>621</v>
      </c>
      <c r="RDS877">
        <v>-21346</v>
      </c>
      <c r="RDT877">
        <v>66160</v>
      </c>
      <c r="RDU877" t="s">
        <v>619</v>
      </c>
      <c r="RDV877" t="s">
        <v>619</v>
      </c>
      <c r="RDW877" t="s">
        <v>619</v>
      </c>
      <c r="RNN877" t="s">
        <v>621</v>
      </c>
      <c r="RNO877">
        <v>-21346</v>
      </c>
      <c r="RNP877">
        <v>66160</v>
      </c>
      <c r="RNQ877" t="s">
        <v>619</v>
      </c>
      <c r="RNR877" t="s">
        <v>619</v>
      </c>
      <c r="RNS877" t="s">
        <v>619</v>
      </c>
      <c r="RXJ877" t="s">
        <v>621</v>
      </c>
      <c r="RXK877">
        <v>-21346</v>
      </c>
      <c r="RXL877">
        <v>66160</v>
      </c>
      <c r="RXM877" t="s">
        <v>619</v>
      </c>
      <c r="RXN877" t="s">
        <v>619</v>
      </c>
      <c r="RXO877" t="s">
        <v>619</v>
      </c>
      <c r="SHF877" t="s">
        <v>621</v>
      </c>
      <c r="SHG877">
        <v>-21346</v>
      </c>
      <c r="SHH877">
        <v>66160</v>
      </c>
      <c r="SHI877" t="s">
        <v>619</v>
      </c>
      <c r="SHJ877" t="s">
        <v>619</v>
      </c>
      <c r="SHK877" t="s">
        <v>619</v>
      </c>
      <c r="SRB877" t="s">
        <v>621</v>
      </c>
      <c r="SRC877">
        <v>-21346</v>
      </c>
      <c r="SRD877">
        <v>66160</v>
      </c>
      <c r="SRE877" t="s">
        <v>619</v>
      </c>
      <c r="SRF877" t="s">
        <v>619</v>
      </c>
      <c r="SRG877" t="s">
        <v>619</v>
      </c>
      <c r="TAX877" t="s">
        <v>621</v>
      </c>
      <c r="TAY877">
        <v>-21346</v>
      </c>
      <c r="TAZ877">
        <v>66160</v>
      </c>
      <c r="TBA877" t="s">
        <v>619</v>
      </c>
      <c r="TBB877" t="s">
        <v>619</v>
      </c>
      <c r="TBC877" t="s">
        <v>619</v>
      </c>
      <c r="TKT877" t="s">
        <v>621</v>
      </c>
      <c r="TKU877">
        <v>-21346</v>
      </c>
      <c r="TKV877">
        <v>66160</v>
      </c>
      <c r="TKW877" t="s">
        <v>619</v>
      </c>
      <c r="TKX877" t="s">
        <v>619</v>
      </c>
      <c r="TKY877" t="s">
        <v>619</v>
      </c>
      <c r="TUP877" t="s">
        <v>621</v>
      </c>
      <c r="TUQ877">
        <v>-21346</v>
      </c>
      <c r="TUR877">
        <v>66160</v>
      </c>
      <c r="TUS877" t="s">
        <v>619</v>
      </c>
      <c r="TUT877" t="s">
        <v>619</v>
      </c>
      <c r="TUU877" t="s">
        <v>619</v>
      </c>
      <c r="UEL877" t="s">
        <v>621</v>
      </c>
      <c r="UEM877">
        <v>-21346</v>
      </c>
      <c r="UEN877">
        <v>66160</v>
      </c>
      <c r="UEO877" t="s">
        <v>619</v>
      </c>
      <c r="UEP877" t="s">
        <v>619</v>
      </c>
      <c r="UEQ877" t="s">
        <v>619</v>
      </c>
      <c r="UOH877" t="s">
        <v>621</v>
      </c>
      <c r="UOI877">
        <v>-21346</v>
      </c>
      <c r="UOJ877">
        <v>66160</v>
      </c>
      <c r="UOK877" t="s">
        <v>619</v>
      </c>
      <c r="UOL877" t="s">
        <v>619</v>
      </c>
      <c r="UOM877" t="s">
        <v>619</v>
      </c>
      <c r="UYD877" t="s">
        <v>621</v>
      </c>
      <c r="UYE877">
        <v>-21346</v>
      </c>
      <c r="UYF877">
        <v>66160</v>
      </c>
      <c r="UYG877" t="s">
        <v>619</v>
      </c>
      <c r="UYH877" t="s">
        <v>619</v>
      </c>
      <c r="UYI877" t="s">
        <v>619</v>
      </c>
      <c r="VHZ877" t="s">
        <v>621</v>
      </c>
      <c r="VIA877">
        <v>-21346</v>
      </c>
      <c r="VIB877">
        <v>66160</v>
      </c>
      <c r="VIC877" t="s">
        <v>619</v>
      </c>
      <c r="VID877" t="s">
        <v>619</v>
      </c>
      <c r="VIE877" t="s">
        <v>619</v>
      </c>
      <c r="VRV877" t="s">
        <v>621</v>
      </c>
      <c r="VRW877">
        <v>-21346</v>
      </c>
      <c r="VRX877">
        <v>66160</v>
      </c>
      <c r="VRY877" t="s">
        <v>619</v>
      </c>
      <c r="VRZ877" t="s">
        <v>619</v>
      </c>
      <c r="VSA877" t="s">
        <v>619</v>
      </c>
      <c r="WBR877" t="s">
        <v>621</v>
      </c>
      <c r="WBS877">
        <v>-21346</v>
      </c>
      <c r="WBT877">
        <v>66160</v>
      </c>
      <c r="WBU877" t="s">
        <v>619</v>
      </c>
      <c r="WBV877" t="s">
        <v>619</v>
      </c>
      <c r="WBW877" t="s">
        <v>619</v>
      </c>
      <c r="WLN877" t="s">
        <v>621</v>
      </c>
      <c r="WLO877">
        <v>-21346</v>
      </c>
      <c r="WLP877">
        <v>66160</v>
      </c>
      <c r="WLQ877" t="s">
        <v>619</v>
      </c>
      <c r="WLR877" t="s">
        <v>619</v>
      </c>
      <c r="WLS877" t="s">
        <v>619</v>
      </c>
      <c r="WVJ877" t="s">
        <v>621</v>
      </c>
      <c r="WVK877">
        <v>-21346</v>
      </c>
      <c r="WVL877">
        <v>66160</v>
      </c>
      <c r="WVM877" t="s">
        <v>619</v>
      </c>
      <c r="WVN877" t="s">
        <v>619</v>
      </c>
      <c r="WVO877" t="s">
        <v>619</v>
      </c>
    </row>
    <row r="878" spans="1:775 1026:1799 2050:2823 3074:3847 4098:4871 5122:5895 6146:6919 7170:7943 8194:8967 9218:9991 10242:11015 11266:12039 12290:13063 13314:14087 14338:15111 15362:16135">
      <c r="A878" s="96" t="s">
        <v>622</v>
      </c>
      <c r="C878" s="98">
        <v>0</v>
      </c>
      <c r="D878" s="98">
        <v>0</v>
      </c>
      <c r="E878" s="98">
        <v>0</v>
      </c>
      <c r="F878" s="98">
        <v>0</v>
      </c>
      <c r="G878" s="100">
        <v>138332</v>
      </c>
      <c r="H878" s="100"/>
      <c r="IX878" t="s">
        <v>622</v>
      </c>
      <c r="IY878" t="s">
        <v>619</v>
      </c>
      <c r="IZ878" t="s">
        <v>619</v>
      </c>
      <c r="JA878" t="s">
        <v>619</v>
      </c>
      <c r="JB878" t="s">
        <v>619</v>
      </c>
      <c r="JC878">
        <v>138332</v>
      </c>
      <c r="ST878" t="s">
        <v>622</v>
      </c>
      <c r="SU878" t="s">
        <v>619</v>
      </c>
      <c r="SV878" t="s">
        <v>619</v>
      </c>
      <c r="SW878" t="s">
        <v>619</v>
      </c>
      <c r="SX878" t="s">
        <v>619</v>
      </c>
      <c r="SY878">
        <v>138332</v>
      </c>
      <c r="ACP878" t="s">
        <v>622</v>
      </c>
      <c r="ACQ878" t="s">
        <v>619</v>
      </c>
      <c r="ACR878" t="s">
        <v>619</v>
      </c>
      <c r="ACS878" t="s">
        <v>619</v>
      </c>
      <c r="ACT878" t="s">
        <v>619</v>
      </c>
      <c r="ACU878">
        <v>138332</v>
      </c>
      <c r="AML878" t="s">
        <v>622</v>
      </c>
      <c r="AMM878" t="s">
        <v>619</v>
      </c>
      <c r="AMN878" t="s">
        <v>619</v>
      </c>
      <c r="AMO878" t="s">
        <v>619</v>
      </c>
      <c r="AMP878" t="s">
        <v>619</v>
      </c>
      <c r="AMQ878">
        <v>138332</v>
      </c>
      <c r="AWH878" t="s">
        <v>622</v>
      </c>
      <c r="AWI878" t="s">
        <v>619</v>
      </c>
      <c r="AWJ878" t="s">
        <v>619</v>
      </c>
      <c r="AWK878" t="s">
        <v>619</v>
      </c>
      <c r="AWL878" t="s">
        <v>619</v>
      </c>
      <c r="AWM878">
        <v>138332</v>
      </c>
      <c r="BGD878" t="s">
        <v>622</v>
      </c>
      <c r="BGE878" t="s">
        <v>619</v>
      </c>
      <c r="BGF878" t="s">
        <v>619</v>
      </c>
      <c r="BGG878" t="s">
        <v>619</v>
      </c>
      <c r="BGH878" t="s">
        <v>619</v>
      </c>
      <c r="BGI878">
        <v>138332</v>
      </c>
      <c r="BPZ878" t="s">
        <v>622</v>
      </c>
      <c r="BQA878" t="s">
        <v>619</v>
      </c>
      <c r="BQB878" t="s">
        <v>619</v>
      </c>
      <c r="BQC878" t="s">
        <v>619</v>
      </c>
      <c r="BQD878" t="s">
        <v>619</v>
      </c>
      <c r="BQE878">
        <v>138332</v>
      </c>
      <c r="BZV878" t="s">
        <v>622</v>
      </c>
      <c r="BZW878" t="s">
        <v>619</v>
      </c>
      <c r="BZX878" t="s">
        <v>619</v>
      </c>
      <c r="BZY878" t="s">
        <v>619</v>
      </c>
      <c r="BZZ878" t="s">
        <v>619</v>
      </c>
      <c r="CAA878">
        <v>138332</v>
      </c>
      <c r="CJR878" t="s">
        <v>622</v>
      </c>
      <c r="CJS878" t="s">
        <v>619</v>
      </c>
      <c r="CJT878" t="s">
        <v>619</v>
      </c>
      <c r="CJU878" t="s">
        <v>619</v>
      </c>
      <c r="CJV878" t="s">
        <v>619</v>
      </c>
      <c r="CJW878">
        <v>138332</v>
      </c>
      <c r="CTN878" t="s">
        <v>622</v>
      </c>
      <c r="CTO878" t="s">
        <v>619</v>
      </c>
      <c r="CTP878" t="s">
        <v>619</v>
      </c>
      <c r="CTQ878" t="s">
        <v>619</v>
      </c>
      <c r="CTR878" t="s">
        <v>619</v>
      </c>
      <c r="CTS878">
        <v>138332</v>
      </c>
      <c r="DDJ878" t="s">
        <v>622</v>
      </c>
      <c r="DDK878" t="s">
        <v>619</v>
      </c>
      <c r="DDL878" t="s">
        <v>619</v>
      </c>
      <c r="DDM878" t="s">
        <v>619</v>
      </c>
      <c r="DDN878" t="s">
        <v>619</v>
      </c>
      <c r="DDO878">
        <v>138332</v>
      </c>
      <c r="DNF878" t="s">
        <v>622</v>
      </c>
      <c r="DNG878" t="s">
        <v>619</v>
      </c>
      <c r="DNH878" t="s">
        <v>619</v>
      </c>
      <c r="DNI878" t="s">
        <v>619</v>
      </c>
      <c r="DNJ878" t="s">
        <v>619</v>
      </c>
      <c r="DNK878">
        <v>138332</v>
      </c>
      <c r="DXB878" t="s">
        <v>622</v>
      </c>
      <c r="DXC878" t="s">
        <v>619</v>
      </c>
      <c r="DXD878" t="s">
        <v>619</v>
      </c>
      <c r="DXE878" t="s">
        <v>619</v>
      </c>
      <c r="DXF878" t="s">
        <v>619</v>
      </c>
      <c r="DXG878">
        <v>138332</v>
      </c>
      <c r="EGX878" t="s">
        <v>622</v>
      </c>
      <c r="EGY878" t="s">
        <v>619</v>
      </c>
      <c r="EGZ878" t="s">
        <v>619</v>
      </c>
      <c r="EHA878" t="s">
        <v>619</v>
      </c>
      <c r="EHB878" t="s">
        <v>619</v>
      </c>
      <c r="EHC878">
        <v>138332</v>
      </c>
      <c r="EQT878" t="s">
        <v>622</v>
      </c>
      <c r="EQU878" t="s">
        <v>619</v>
      </c>
      <c r="EQV878" t="s">
        <v>619</v>
      </c>
      <c r="EQW878" t="s">
        <v>619</v>
      </c>
      <c r="EQX878" t="s">
        <v>619</v>
      </c>
      <c r="EQY878">
        <v>138332</v>
      </c>
      <c r="FAP878" t="s">
        <v>622</v>
      </c>
      <c r="FAQ878" t="s">
        <v>619</v>
      </c>
      <c r="FAR878" t="s">
        <v>619</v>
      </c>
      <c r="FAS878" t="s">
        <v>619</v>
      </c>
      <c r="FAT878" t="s">
        <v>619</v>
      </c>
      <c r="FAU878">
        <v>138332</v>
      </c>
      <c r="FKL878" t="s">
        <v>622</v>
      </c>
      <c r="FKM878" t="s">
        <v>619</v>
      </c>
      <c r="FKN878" t="s">
        <v>619</v>
      </c>
      <c r="FKO878" t="s">
        <v>619</v>
      </c>
      <c r="FKP878" t="s">
        <v>619</v>
      </c>
      <c r="FKQ878">
        <v>138332</v>
      </c>
      <c r="FUH878" t="s">
        <v>622</v>
      </c>
      <c r="FUI878" t="s">
        <v>619</v>
      </c>
      <c r="FUJ878" t="s">
        <v>619</v>
      </c>
      <c r="FUK878" t="s">
        <v>619</v>
      </c>
      <c r="FUL878" t="s">
        <v>619</v>
      </c>
      <c r="FUM878">
        <v>138332</v>
      </c>
      <c r="GED878" t="s">
        <v>622</v>
      </c>
      <c r="GEE878" t="s">
        <v>619</v>
      </c>
      <c r="GEF878" t="s">
        <v>619</v>
      </c>
      <c r="GEG878" t="s">
        <v>619</v>
      </c>
      <c r="GEH878" t="s">
        <v>619</v>
      </c>
      <c r="GEI878">
        <v>138332</v>
      </c>
      <c r="GNZ878" t="s">
        <v>622</v>
      </c>
      <c r="GOA878" t="s">
        <v>619</v>
      </c>
      <c r="GOB878" t="s">
        <v>619</v>
      </c>
      <c r="GOC878" t="s">
        <v>619</v>
      </c>
      <c r="GOD878" t="s">
        <v>619</v>
      </c>
      <c r="GOE878">
        <v>138332</v>
      </c>
      <c r="GXV878" t="s">
        <v>622</v>
      </c>
      <c r="GXW878" t="s">
        <v>619</v>
      </c>
      <c r="GXX878" t="s">
        <v>619</v>
      </c>
      <c r="GXY878" t="s">
        <v>619</v>
      </c>
      <c r="GXZ878" t="s">
        <v>619</v>
      </c>
      <c r="GYA878">
        <v>138332</v>
      </c>
      <c r="HHR878" t="s">
        <v>622</v>
      </c>
      <c r="HHS878" t="s">
        <v>619</v>
      </c>
      <c r="HHT878" t="s">
        <v>619</v>
      </c>
      <c r="HHU878" t="s">
        <v>619</v>
      </c>
      <c r="HHV878" t="s">
        <v>619</v>
      </c>
      <c r="HHW878">
        <v>138332</v>
      </c>
      <c r="HRN878" t="s">
        <v>622</v>
      </c>
      <c r="HRO878" t="s">
        <v>619</v>
      </c>
      <c r="HRP878" t="s">
        <v>619</v>
      </c>
      <c r="HRQ878" t="s">
        <v>619</v>
      </c>
      <c r="HRR878" t="s">
        <v>619</v>
      </c>
      <c r="HRS878">
        <v>138332</v>
      </c>
      <c r="IBJ878" t="s">
        <v>622</v>
      </c>
      <c r="IBK878" t="s">
        <v>619</v>
      </c>
      <c r="IBL878" t="s">
        <v>619</v>
      </c>
      <c r="IBM878" t="s">
        <v>619</v>
      </c>
      <c r="IBN878" t="s">
        <v>619</v>
      </c>
      <c r="IBO878">
        <v>138332</v>
      </c>
      <c r="ILF878" t="s">
        <v>622</v>
      </c>
      <c r="ILG878" t="s">
        <v>619</v>
      </c>
      <c r="ILH878" t="s">
        <v>619</v>
      </c>
      <c r="ILI878" t="s">
        <v>619</v>
      </c>
      <c r="ILJ878" t="s">
        <v>619</v>
      </c>
      <c r="ILK878">
        <v>138332</v>
      </c>
      <c r="IVB878" t="s">
        <v>622</v>
      </c>
      <c r="IVC878" t="s">
        <v>619</v>
      </c>
      <c r="IVD878" t="s">
        <v>619</v>
      </c>
      <c r="IVE878" t="s">
        <v>619</v>
      </c>
      <c r="IVF878" t="s">
        <v>619</v>
      </c>
      <c r="IVG878">
        <v>138332</v>
      </c>
      <c r="JEX878" t="s">
        <v>622</v>
      </c>
      <c r="JEY878" t="s">
        <v>619</v>
      </c>
      <c r="JEZ878" t="s">
        <v>619</v>
      </c>
      <c r="JFA878" t="s">
        <v>619</v>
      </c>
      <c r="JFB878" t="s">
        <v>619</v>
      </c>
      <c r="JFC878">
        <v>138332</v>
      </c>
      <c r="JOT878" t="s">
        <v>622</v>
      </c>
      <c r="JOU878" t="s">
        <v>619</v>
      </c>
      <c r="JOV878" t="s">
        <v>619</v>
      </c>
      <c r="JOW878" t="s">
        <v>619</v>
      </c>
      <c r="JOX878" t="s">
        <v>619</v>
      </c>
      <c r="JOY878">
        <v>138332</v>
      </c>
      <c r="JYP878" t="s">
        <v>622</v>
      </c>
      <c r="JYQ878" t="s">
        <v>619</v>
      </c>
      <c r="JYR878" t="s">
        <v>619</v>
      </c>
      <c r="JYS878" t="s">
        <v>619</v>
      </c>
      <c r="JYT878" t="s">
        <v>619</v>
      </c>
      <c r="JYU878">
        <v>138332</v>
      </c>
      <c r="KIL878" t="s">
        <v>622</v>
      </c>
      <c r="KIM878" t="s">
        <v>619</v>
      </c>
      <c r="KIN878" t="s">
        <v>619</v>
      </c>
      <c r="KIO878" t="s">
        <v>619</v>
      </c>
      <c r="KIP878" t="s">
        <v>619</v>
      </c>
      <c r="KIQ878">
        <v>138332</v>
      </c>
      <c r="KSH878" t="s">
        <v>622</v>
      </c>
      <c r="KSI878" t="s">
        <v>619</v>
      </c>
      <c r="KSJ878" t="s">
        <v>619</v>
      </c>
      <c r="KSK878" t="s">
        <v>619</v>
      </c>
      <c r="KSL878" t="s">
        <v>619</v>
      </c>
      <c r="KSM878">
        <v>138332</v>
      </c>
      <c r="LCD878" t="s">
        <v>622</v>
      </c>
      <c r="LCE878" t="s">
        <v>619</v>
      </c>
      <c r="LCF878" t="s">
        <v>619</v>
      </c>
      <c r="LCG878" t="s">
        <v>619</v>
      </c>
      <c r="LCH878" t="s">
        <v>619</v>
      </c>
      <c r="LCI878">
        <v>138332</v>
      </c>
      <c r="LLZ878" t="s">
        <v>622</v>
      </c>
      <c r="LMA878" t="s">
        <v>619</v>
      </c>
      <c r="LMB878" t="s">
        <v>619</v>
      </c>
      <c r="LMC878" t="s">
        <v>619</v>
      </c>
      <c r="LMD878" t="s">
        <v>619</v>
      </c>
      <c r="LME878">
        <v>138332</v>
      </c>
      <c r="LVV878" t="s">
        <v>622</v>
      </c>
      <c r="LVW878" t="s">
        <v>619</v>
      </c>
      <c r="LVX878" t="s">
        <v>619</v>
      </c>
      <c r="LVY878" t="s">
        <v>619</v>
      </c>
      <c r="LVZ878" t="s">
        <v>619</v>
      </c>
      <c r="LWA878">
        <v>138332</v>
      </c>
      <c r="MFR878" t="s">
        <v>622</v>
      </c>
      <c r="MFS878" t="s">
        <v>619</v>
      </c>
      <c r="MFT878" t="s">
        <v>619</v>
      </c>
      <c r="MFU878" t="s">
        <v>619</v>
      </c>
      <c r="MFV878" t="s">
        <v>619</v>
      </c>
      <c r="MFW878">
        <v>138332</v>
      </c>
      <c r="MPN878" t="s">
        <v>622</v>
      </c>
      <c r="MPO878" t="s">
        <v>619</v>
      </c>
      <c r="MPP878" t="s">
        <v>619</v>
      </c>
      <c r="MPQ878" t="s">
        <v>619</v>
      </c>
      <c r="MPR878" t="s">
        <v>619</v>
      </c>
      <c r="MPS878">
        <v>138332</v>
      </c>
      <c r="MZJ878" t="s">
        <v>622</v>
      </c>
      <c r="MZK878" t="s">
        <v>619</v>
      </c>
      <c r="MZL878" t="s">
        <v>619</v>
      </c>
      <c r="MZM878" t="s">
        <v>619</v>
      </c>
      <c r="MZN878" t="s">
        <v>619</v>
      </c>
      <c r="MZO878">
        <v>138332</v>
      </c>
      <c r="NJF878" t="s">
        <v>622</v>
      </c>
      <c r="NJG878" t="s">
        <v>619</v>
      </c>
      <c r="NJH878" t="s">
        <v>619</v>
      </c>
      <c r="NJI878" t="s">
        <v>619</v>
      </c>
      <c r="NJJ878" t="s">
        <v>619</v>
      </c>
      <c r="NJK878">
        <v>138332</v>
      </c>
      <c r="NTB878" t="s">
        <v>622</v>
      </c>
      <c r="NTC878" t="s">
        <v>619</v>
      </c>
      <c r="NTD878" t="s">
        <v>619</v>
      </c>
      <c r="NTE878" t="s">
        <v>619</v>
      </c>
      <c r="NTF878" t="s">
        <v>619</v>
      </c>
      <c r="NTG878">
        <v>138332</v>
      </c>
      <c r="OCX878" t="s">
        <v>622</v>
      </c>
      <c r="OCY878" t="s">
        <v>619</v>
      </c>
      <c r="OCZ878" t="s">
        <v>619</v>
      </c>
      <c r="ODA878" t="s">
        <v>619</v>
      </c>
      <c r="ODB878" t="s">
        <v>619</v>
      </c>
      <c r="ODC878">
        <v>138332</v>
      </c>
      <c r="OMT878" t="s">
        <v>622</v>
      </c>
      <c r="OMU878" t="s">
        <v>619</v>
      </c>
      <c r="OMV878" t="s">
        <v>619</v>
      </c>
      <c r="OMW878" t="s">
        <v>619</v>
      </c>
      <c r="OMX878" t="s">
        <v>619</v>
      </c>
      <c r="OMY878">
        <v>138332</v>
      </c>
      <c r="OWP878" t="s">
        <v>622</v>
      </c>
      <c r="OWQ878" t="s">
        <v>619</v>
      </c>
      <c r="OWR878" t="s">
        <v>619</v>
      </c>
      <c r="OWS878" t="s">
        <v>619</v>
      </c>
      <c r="OWT878" t="s">
        <v>619</v>
      </c>
      <c r="OWU878">
        <v>138332</v>
      </c>
      <c r="PGL878" t="s">
        <v>622</v>
      </c>
      <c r="PGM878" t="s">
        <v>619</v>
      </c>
      <c r="PGN878" t="s">
        <v>619</v>
      </c>
      <c r="PGO878" t="s">
        <v>619</v>
      </c>
      <c r="PGP878" t="s">
        <v>619</v>
      </c>
      <c r="PGQ878">
        <v>138332</v>
      </c>
      <c r="PQH878" t="s">
        <v>622</v>
      </c>
      <c r="PQI878" t="s">
        <v>619</v>
      </c>
      <c r="PQJ878" t="s">
        <v>619</v>
      </c>
      <c r="PQK878" t="s">
        <v>619</v>
      </c>
      <c r="PQL878" t="s">
        <v>619</v>
      </c>
      <c r="PQM878">
        <v>138332</v>
      </c>
      <c r="QAD878" t="s">
        <v>622</v>
      </c>
      <c r="QAE878" t="s">
        <v>619</v>
      </c>
      <c r="QAF878" t="s">
        <v>619</v>
      </c>
      <c r="QAG878" t="s">
        <v>619</v>
      </c>
      <c r="QAH878" t="s">
        <v>619</v>
      </c>
      <c r="QAI878">
        <v>138332</v>
      </c>
      <c r="QJZ878" t="s">
        <v>622</v>
      </c>
      <c r="QKA878" t="s">
        <v>619</v>
      </c>
      <c r="QKB878" t="s">
        <v>619</v>
      </c>
      <c r="QKC878" t="s">
        <v>619</v>
      </c>
      <c r="QKD878" t="s">
        <v>619</v>
      </c>
      <c r="QKE878">
        <v>138332</v>
      </c>
      <c r="QTV878" t="s">
        <v>622</v>
      </c>
      <c r="QTW878" t="s">
        <v>619</v>
      </c>
      <c r="QTX878" t="s">
        <v>619</v>
      </c>
      <c r="QTY878" t="s">
        <v>619</v>
      </c>
      <c r="QTZ878" t="s">
        <v>619</v>
      </c>
      <c r="QUA878">
        <v>138332</v>
      </c>
      <c r="RDR878" t="s">
        <v>622</v>
      </c>
      <c r="RDS878" t="s">
        <v>619</v>
      </c>
      <c r="RDT878" t="s">
        <v>619</v>
      </c>
      <c r="RDU878" t="s">
        <v>619</v>
      </c>
      <c r="RDV878" t="s">
        <v>619</v>
      </c>
      <c r="RDW878">
        <v>138332</v>
      </c>
      <c r="RNN878" t="s">
        <v>622</v>
      </c>
      <c r="RNO878" t="s">
        <v>619</v>
      </c>
      <c r="RNP878" t="s">
        <v>619</v>
      </c>
      <c r="RNQ878" t="s">
        <v>619</v>
      </c>
      <c r="RNR878" t="s">
        <v>619</v>
      </c>
      <c r="RNS878">
        <v>138332</v>
      </c>
      <c r="RXJ878" t="s">
        <v>622</v>
      </c>
      <c r="RXK878" t="s">
        <v>619</v>
      </c>
      <c r="RXL878" t="s">
        <v>619</v>
      </c>
      <c r="RXM878" t="s">
        <v>619</v>
      </c>
      <c r="RXN878" t="s">
        <v>619</v>
      </c>
      <c r="RXO878">
        <v>138332</v>
      </c>
      <c r="SHF878" t="s">
        <v>622</v>
      </c>
      <c r="SHG878" t="s">
        <v>619</v>
      </c>
      <c r="SHH878" t="s">
        <v>619</v>
      </c>
      <c r="SHI878" t="s">
        <v>619</v>
      </c>
      <c r="SHJ878" t="s">
        <v>619</v>
      </c>
      <c r="SHK878">
        <v>138332</v>
      </c>
      <c r="SRB878" t="s">
        <v>622</v>
      </c>
      <c r="SRC878" t="s">
        <v>619</v>
      </c>
      <c r="SRD878" t="s">
        <v>619</v>
      </c>
      <c r="SRE878" t="s">
        <v>619</v>
      </c>
      <c r="SRF878" t="s">
        <v>619</v>
      </c>
      <c r="SRG878">
        <v>138332</v>
      </c>
      <c r="TAX878" t="s">
        <v>622</v>
      </c>
      <c r="TAY878" t="s">
        <v>619</v>
      </c>
      <c r="TAZ878" t="s">
        <v>619</v>
      </c>
      <c r="TBA878" t="s">
        <v>619</v>
      </c>
      <c r="TBB878" t="s">
        <v>619</v>
      </c>
      <c r="TBC878">
        <v>138332</v>
      </c>
      <c r="TKT878" t="s">
        <v>622</v>
      </c>
      <c r="TKU878" t="s">
        <v>619</v>
      </c>
      <c r="TKV878" t="s">
        <v>619</v>
      </c>
      <c r="TKW878" t="s">
        <v>619</v>
      </c>
      <c r="TKX878" t="s">
        <v>619</v>
      </c>
      <c r="TKY878">
        <v>138332</v>
      </c>
      <c r="TUP878" t="s">
        <v>622</v>
      </c>
      <c r="TUQ878" t="s">
        <v>619</v>
      </c>
      <c r="TUR878" t="s">
        <v>619</v>
      </c>
      <c r="TUS878" t="s">
        <v>619</v>
      </c>
      <c r="TUT878" t="s">
        <v>619</v>
      </c>
      <c r="TUU878">
        <v>138332</v>
      </c>
      <c r="UEL878" t="s">
        <v>622</v>
      </c>
      <c r="UEM878" t="s">
        <v>619</v>
      </c>
      <c r="UEN878" t="s">
        <v>619</v>
      </c>
      <c r="UEO878" t="s">
        <v>619</v>
      </c>
      <c r="UEP878" t="s">
        <v>619</v>
      </c>
      <c r="UEQ878">
        <v>138332</v>
      </c>
      <c r="UOH878" t="s">
        <v>622</v>
      </c>
      <c r="UOI878" t="s">
        <v>619</v>
      </c>
      <c r="UOJ878" t="s">
        <v>619</v>
      </c>
      <c r="UOK878" t="s">
        <v>619</v>
      </c>
      <c r="UOL878" t="s">
        <v>619</v>
      </c>
      <c r="UOM878">
        <v>138332</v>
      </c>
      <c r="UYD878" t="s">
        <v>622</v>
      </c>
      <c r="UYE878" t="s">
        <v>619</v>
      </c>
      <c r="UYF878" t="s">
        <v>619</v>
      </c>
      <c r="UYG878" t="s">
        <v>619</v>
      </c>
      <c r="UYH878" t="s">
        <v>619</v>
      </c>
      <c r="UYI878">
        <v>138332</v>
      </c>
      <c r="VHZ878" t="s">
        <v>622</v>
      </c>
      <c r="VIA878" t="s">
        <v>619</v>
      </c>
      <c r="VIB878" t="s">
        <v>619</v>
      </c>
      <c r="VIC878" t="s">
        <v>619</v>
      </c>
      <c r="VID878" t="s">
        <v>619</v>
      </c>
      <c r="VIE878">
        <v>138332</v>
      </c>
      <c r="VRV878" t="s">
        <v>622</v>
      </c>
      <c r="VRW878" t="s">
        <v>619</v>
      </c>
      <c r="VRX878" t="s">
        <v>619</v>
      </c>
      <c r="VRY878" t="s">
        <v>619</v>
      </c>
      <c r="VRZ878" t="s">
        <v>619</v>
      </c>
      <c r="VSA878">
        <v>138332</v>
      </c>
      <c r="WBR878" t="s">
        <v>622</v>
      </c>
      <c r="WBS878" t="s">
        <v>619</v>
      </c>
      <c r="WBT878" t="s">
        <v>619</v>
      </c>
      <c r="WBU878" t="s">
        <v>619</v>
      </c>
      <c r="WBV878" t="s">
        <v>619</v>
      </c>
      <c r="WBW878">
        <v>138332</v>
      </c>
      <c r="WLN878" t="s">
        <v>622</v>
      </c>
      <c r="WLO878" t="s">
        <v>619</v>
      </c>
      <c r="WLP878" t="s">
        <v>619</v>
      </c>
      <c r="WLQ878" t="s">
        <v>619</v>
      </c>
      <c r="WLR878" t="s">
        <v>619</v>
      </c>
      <c r="WLS878">
        <v>138332</v>
      </c>
      <c r="WVJ878" t="s">
        <v>622</v>
      </c>
      <c r="WVK878" t="s">
        <v>619</v>
      </c>
      <c r="WVL878" t="s">
        <v>619</v>
      </c>
      <c r="WVM878" t="s">
        <v>619</v>
      </c>
      <c r="WVN878" t="s">
        <v>619</v>
      </c>
      <c r="WVO878">
        <v>138332</v>
      </c>
    </row>
    <row r="879" spans="1:775 1026:1799 2050:2823 3074:3847 4098:4871 5122:5895 6146:6919 7170:7943 8194:8967 9218:9991 10242:11015 11266:12039 12290:13063 13314:14087 14338:15111 15362:16135">
      <c r="A879" s="96" t="s">
        <v>621</v>
      </c>
      <c r="C879" s="1634">
        <f>SUM(C874:C878)</f>
        <v>102316</v>
      </c>
      <c r="D879" s="1634">
        <f>SUM(D874:D878)</f>
        <v>161961</v>
      </c>
      <c r="E879" s="1634">
        <f>SUM(E874:E878)</f>
        <v>-264054</v>
      </c>
      <c r="F879" s="1634">
        <f>SUM(F874:F878)</f>
        <v>1159029</v>
      </c>
      <c r="G879" s="1634">
        <f>SUM(G874:G878)</f>
        <v>1591874</v>
      </c>
      <c r="H879" s="100"/>
    </row>
    <row r="880" spans="1:775 1026:1799 2050:2823 3074:3847 4098:4871 5122:5895 6146:6919 7170:7943 8194:8967 9218:9991 10242:11015 11266:12039 12290:13063 13314:14087 14338:15111 15362:16135" s="1467" customFormat="1">
      <c r="A880" s="1482" t="s">
        <v>679</v>
      </c>
      <c r="C880" s="1483">
        <v>-9616935</v>
      </c>
      <c r="D880" s="1483">
        <v>-11287764</v>
      </c>
      <c r="E880" s="1483">
        <v>-5297714</v>
      </c>
      <c r="F880" s="1483">
        <v>-3974684</v>
      </c>
      <c r="G880" s="1483">
        <v>-14382001</v>
      </c>
      <c r="H880" s="1483"/>
      <c r="IX880" s="1467" t="s">
        <v>679</v>
      </c>
      <c r="IY880" s="1467">
        <v>-9616935</v>
      </c>
      <c r="IZ880" s="1467">
        <v>-11287764</v>
      </c>
      <c r="JA880" s="1467">
        <v>-5297714</v>
      </c>
      <c r="JB880" s="1467">
        <v>-3974684</v>
      </c>
      <c r="JC880" s="1467">
        <v>-14382001</v>
      </c>
      <c r="ST880" s="1467" t="s">
        <v>679</v>
      </c>
      <c r="SU880" s="1467">
        <v>-9616935</v>
      </c>
      <c r="SV880" s="1467">
        <v>-11287764</v>
      </c>
      <c r="SW880" s="1467">
        <v>-5297714</v>
      </c>
      <c r="SX880" s="1467">
        <v>-3974684</v>
      </c>
      <c r="SY880" s="1467">
        <v>-14382001</v>
      </c>
      <c r="ACP880" s="1467" t="s">
        <v>679</v>
      </c>
      <c r="ACQ880" s="1467">
        <v>-9616935</v>
      </c>
      <c r="ACR880" s="1467">
        <v>-11287764</v>
      </c>
      <c r="ACS880" s="1467">
        <v>-5297714</v>
      </c>
      <c r="ACT880" s="1467">
        <v>-3974684</v>
      </c>
      <c r="ACU880" s="1467">
        <v>-14382001</v>
      </c>
      <c r="AML880" s="1467" t="s">
        <v>679</v>
      </c>
      <c r="AMM880" s="1467">
        <v>-9616935</v>
      </c>
      <c r="AMN880" s="1467">
        <v>-11287764</v>
      </c>
      <c r="AMO880" s="1467">
        <v>-5297714</v>
      </c>
      <c r="AMP880" s="1467">
        <v>-3974684</v>
      </c>
      <c r="AMQ880" s="1467">
        <v>-14382001</v>
      </c>
      <c r="AWH880" s="1467" t="s">
        <v>679</v>
      </c>
      <c r="AWI880" s="1467">
        <v>-9616935</v>
      </c>
      <c r="AWJ880" s="1467">
        <v>-11287764</v>
      </c>
      <c r="AWK880" s="1467">
        <v>-5297714</v>
      </c>
      <c r="AWL880" s="1467">
        <v>-3974684</v>
      </c>
      <c r="AWM880" s="1467">
        <v>-14382001</v>
      </c>
      <c r="BGD880" s="1467" t="s">
        <v>679</v>
      </c>
      <c r="BGE880" s="1467">
        <v>-9616935</v>
      </c>
      <c r="BGF880" s="1467">
        <v>-11287764</v>
      </c>
      <c r="BGG880" s="1467">
        <v>-5297714</v>
      </c>
      <c r="BGH880" s="1467">
        <v>-3974684</v>
      </c>
      <c r="BGI880" s="1467">
        <v>-14382001</v>
      </c>
      <c r="BPZ880" s="1467" t="s">
        <v>679</v>
      </c>
      <c r="BQA880" s="1467">
        <v>-9616935</v>
      </c>
      <c r="BQB880" s="1467">
        <v>-11287764</v>
      </c>
      <c r="BQC880" s="1467">
        <v>-5297714</v>
      </c>
      <c r="BQD880" s="1467">
        <v>-3974684</v>
      </c>
      <c r="BQE880" s="1467">
        <v>-14382001</v>
      </c>
      <c r="BZV880" s="1467" t="s">
        <v>679</v>
      </c>
      <c r="BZW880" s="1467">
        <v>-9616935</v>
      </c>
      <c r="BZX880" s="1467">
        <v>-11287764</v>
      </c>
      <c r="BZY880" s="1467">
        <v>-5297714</v>
      </c>
      <c r="BZZ880" s="1467">
        <v>-3974684</v>
      </c>
      <c r="CAA880" s="1467">
        <v>-14382001</v>
      </c>
      <c r="CJR880" s="1467" t="s">
        <v>679</v>
      </c>
      <c r="CJS880" s="1467">
        <v>-9616935</v>
      </c>
      <c r="CJT880" s="1467">
        <v>-11287764</v>
      </c>
      <c r="CJU880" s="1467">
        <v>-5297714</v>
      </c>
      <c r="CJV880" s="1467">
        <v>-3974684</v>
      </c>
      <c r="CJW880" s="1467">
        <v>-14382001</v>
      </c>
      <c r="CTN880" s="1467" t="s">
        <v>679</v>
      </c>
      <c r="CTO880" s="1467">
        <v>-9616935</v>
      </c>
      <c r="CTP880" s="1467">
        <v>-11287764</v>
      </c>
      <c r="CTQ880" s="1467">
        <v>-5297714</v>
      </c>
      <c r="CTR880" s="1467">
        <v>-3974684</v>
      </c>
      <c r="CTS880" s="1467">
        <v>-14382001</v>
      </c>
      <c r="DDJ880" s="1467" t="s">
        <v>679</v>
      </c>
      <c r="DDK880" s="1467">
        <v>-9616935</v>
      </c>
      <c r="DDL880" s="1467">
        <v>-11287764</v>
      </c>
      <c r="DDM880" s="1467">
        <v>-5297714</v>
      </c>
      <c r="DDN880" s="1467">
        <v>-3974684</v>
      </c>
      <c r="DDO880" s="1467">
        <v>-14382001</v>
      </c>
      <c r="DNF880" s="1467" t="s">
        <v>679</v>
      </c>
      <c r="DNG880" s="1467">
        <v>-9616935</v>
      </c>
      <c r="DNH880" s="1467">
        <v>-11287764</v>
      </c>
      <c r="DNI880" s="1467">
        <v>-5297714</v>
      </c>
      <c r="DNJ880" s="1467">
        <v>-3974684</v>
      </c>
      <c r="DNK880" s="1467">
        <v>-14382001</v>
      </c>
      <c r="DXB880" s="1467" t="s">
        <v>679</v>
      </c>
      <c r="DXC880" s="1467">
        <v>-9616935</v>
      </c>
      <c r="DXD880" s="1467">
        <v>-11287764</v>
      </c>
      <c r="DXE880" s="1467">
        <v>-5297714</v>
      </c>
      <c r="DXF880" s="1467">
        <v>-3974684</v>
      </c>
      <c r="DXG880" s="1467">
        <v>-14382001</v>
      </c>
      <c r="EGX880" s="1467" t="s">
        <v>679</v>
      </c>
      <c r="EGY880" s="1467">
        <v>-9616935</v>
      </c>
      <c r="EGZ880" s="1467">
        <v>-11287764</v>
      </c>
      <c r="EHA880" s="1467">
        <v>-5297714</v>
      </c>
      <c r="EHB880" s="1467">
        <v>-3974684</v>
      </c>
      <c r="EHC880" s="1467">
        <v>-14382001</v>
      </c>
      <c r="EQT880" s="1467" t="s">
        <v>679</v>
      </c>
      <c r="EQU880" s="1467">
        <v>-9616935</v>
      </c>
      <c r="EQV880" s="1467">
        <v>-11287764</v>
      </c>
      <c r="EQW880" s="1467">
        <v>-5297714</v>
      </c>
      <c r="EQX880" s="1467">
        <v>-3974684</v>
      </c>
      <c r="EQY880" s="1467">
        <v>-14382001</v>
      </c>
      <c r="FAP880" s="1467" t="s">
        <v>679</v>
      </c>
      <c r="FAQ880" s="1467">
        <v>-9616935</v>
      </c>
      <c r="FAR880" s="1467">
        <v>-11287764</v>
      </c>
      <c r="FAS880" s="1467">
        <v>-5297714</v>
      </c>
      <c r="FAT880" s="1467">
        <v>-3974684</v>
      </c>
      <c r="FAU880" s="1467">
        <v>-14382001</v>
      </c>
      <c r="FKL880" s="1467" t="s">
        <v>679</v>
      </c>
      <c r="FKM880" s="1467">
        <v>-9616935</v>
      </c>
      <c r="FKN880" s="1467">
        <v>-11287764</v>
      </c>
      <c r="FKO880" s="1467">
        <v>-5297714</v>
      </c>
      <c r="FKP880" s="1467">
        <v>-3974684</v>
      </c>
      <c r="FKQ880" s="1467">
        <v>-14382001</v>
      </c>
      <c r="FUH880" s="1467" t="s">
        <v>679</v>
      </c>
      <c r="FUI880" s="1467">
        <v>-9616935</v>
      </c>
      <c r="FUJ880" s="1467">
        <v>-11287764</v>
      </c>
      <c r="FUK880" s="1467">
        <v>-5297714</v>
      </c>
      <c r="FUL880" s="1467">
        <v>-3974684</v>
      </c>
      <c r="FUM880" s="1467">
        <v>-14382001</v>
      </c>
      <c r="GED880" s="1467" t="s">
        <v>679</v>
      </c>
      <c r="GEE880" s="1467">
        <v>-9616935</v>
      </c>
      <c r="GEF880" s="1467">
        <v>-11287764</v>
      </c>
      <c r="GEG880" s="1467">
        <v>-5297714</v>
      </c>
      <c r="GEH880" s="1467">
        <v>-3974684</v>
      </c>
      <c r="GEI880" s="1467">
        <v>-14382001</v>
      </c>
      <c r="GNZ880" s="1467" t="s">
        <v>679</v>
      </c>
      <c r="GOA880" s="1467">
        <v>-9616935</v>
      </c>
      <c r="GOB880" s="1467">
        <v>-11287764</v>
      </c>
      <c r="GOC880" s="1467">
        <v>-5297714</v>
      </c>
      <c r="GOD880" s="1467">
        <v>-3974684</v>
      </c>
      <c r="GOE880" s="1467">
        <v>-14382001</v>
      </c>
      <c r="GXV880" s="1467" t="s">
        <v>679</v>
      </c>
      <c r="GXW880" s="1467">
        <v>-9616935</v>
      </c>
      <c r="GXX880" s="1467">
        <v>-11287764</v>
      </c>
      <c r="GXY880" s="1467">
        <v>-5297714</v>
      </c>
      <c r="GXZ880" s="1467">
        <v>-3974684</v>
      </c>
      <c r="GYA880" s="1467">
        <v>-14382001</v>
      </c>
      <c r="HHR880" s="1467" t="s">
        <v>679</v>
      </c>
      <c r="HHS880" s="1467">
        <v>-9616935</v>
      </c>
      <c r="HHT880" s="1467">
        <v>-11287764</v>
      </c>
      <c r="HHU880" s="1467">
        <v>-5297714</v>
      </c>
      <c r="HHV880" s="1467">
        <v>-3974684</v>
      </c>
      <c r="HHW880" s="1467">
        <v>-14382001</v>
      </c>
      <c r="HRN880" s="1467" t="s">
        <v>679</v>
      </c>
      <c r="HRO880" s="1467">
        <v>-9616935</v>
      </c>
      <c r="HRP880" s="1467">
        <v>-11287764</v>
      </c>
      <c r="HRQ880" s="1467">
        <v>-5297714</v>
      </c>
      <c r="HRR880" s="1467">
        <v>-3974684</v>
      </c>
      <c r="HRS880" s="1467">
        <v>-14382001</v>
      </c>
      <c r="IBJ880" s="1467" t="s">
        <v>679</v>
      </c>
      <c r="IBK880" s="1467">
        <v>-9616935</v>
      </c>
      <c r="IBL880" s="1467">
        <v>-11287764</v>
      </c>
      <c r="IBM880" s="1467">
        <v>-5297714</v>
      </c>
      <c r="IBN880" s="1467">
        <v>-3974684</v>
      </c>
      <c r="IBO880" s="1467">
        <v>-14382001</v>
      </c>
      <c r="ILF880" s="1467" t="s">
        <v>679</v>
      </c>
      <c r="ILG880" s="1467">
        <v>-9616935</v>
      </c>
      <c r="ILH880" s="1467">
        <v>-11287764</v>
      </c>
      <c r="ILI880" s="1467">
        <v>-5297714</v>
      </c>
      <c r="ILJ880" s="1467">
        <v>-3974684</v>
      </c>
      <c r="ILK880" s="1467">
        <v>-14382001</v>
      </c>
      <c r="IVB880" s="1467" t="s">
        <v>679</v>
      </c>
      <c r="IVC880" s="1467">
        <v>-9616935</v>
      </c>
      <c r="IVD880" s="1467">
        <v>-11287764</v>
      </c>
      <c r="IVE880" s="1467">
        <v>-5297714</v>
      </c>
      <c r="IVF880" s="1467">
        <v>-3974684</v>
      </c>
      <c r="IVG880" s="1467">
        <v>-14382001</v>
      </c>
      <c r="JEX880" s="1467" t="s">
        <v>679</v>
      </c>
      <c r="JEY880" s="1467">
        <v>-9616935</v>
      </c>
      <c r="JEZ880" s="1467">
        <v>-11287764</v>
      </c>
      <c r="JFA880" s="1467">
        <v>-5297714</v>
      </c>
      <c r="JFB880" s="1467">
        <v>-3974684</v>
      </c>
      <c r="JFC880" s="1467">
        <v>-14382001</v>
      </c>
      <c r="JOT880" s="1467" t="s">
        <v>679</v>
      </c>
      <c r="JOU880" s="1467">
        <v>-9616935</v>
      </c>
      <c r="JOV880" s="1467">
        <v>-11287764</v>
      </c>
      <c r="JOW880" s="1467">
        <v>-5297714</v>
      </c>
      <c r="JOX880" s="1467">
        <v>-3974684</v>
      </c>
      <c r="JOY880" s="1467">
        <v>-14382001</v>
      </c>
      <c r="JYP880" s="1467" t="s">
        <v>679</v>
      </c>
      <c r="JYQ880" s="1467">
        <v>-9616935</v>
      </c>
      <c r="JYR880" s="1467">
        <v>-11287764</v>
      </c>
      <c r="JYS880" s="1467">
        <v>-5297714</v>
      </c>
      <c r="JYT880" s="1467">
        <v>-3974684</v>
      </c>
      <c r="JYU880" s="1467">
        <v>-14382001</v>
      </c>
      <c r="KIL880" s="1467" t="s">
        <v>679</v>
      </c>
      <c r="KIM880" s="1467">
        <v>-9616935</v>
      </c>
      <c r="KIN880" s="1467">
        <v>-11287764</v>
      </c>
      <c r="KIO880" s="1467">
        <v>-5297714</v>
      </c>
      <c r="KIP880" s="1467">
        <v>-3974684</v>
      </c>
      <c r="KIQ880" s="1467">
        <v>-14382001</v>
      </c>
      <c r="KSH880" s="1467" t="s">
        <v>679</v>
      </c>
      <c r="KSI880" s="1467">
        <v>-9616935</v>
      </c>
      <c r="KSJ880" s="1467">
        <v>-11287764</v>
      </c>
      <c r="KSK880" s="1467">
        <v>-5297714</v>
      </c>
      <c r="KSL880" s="1467">
        <v>-3974684</v>
      </c>
      <c r="KSM880" s="1467">
        <v>-14382001</v>
      </c>
      <c r="LCD880" s="1467" t="s">
        <v>679</v>
      </c>
      <c r="LCE880" s="1467">
        <v>-9616935</v>
      </c>
      <c r="LCF880" s="1467">
        <v>-11287764</v>
      </c>
      <c r="LCG880" s="1467">
        <v>-5297714</v>
      </c>
      <c r="LCH880" s="1467">
        <v>-3974684</v>
      </c>
      <c r="LCI880" s="1467">
        <v>-14382001</v>
      </c>
      <c r="LLZ880" s="1467" t="s">
        <v>679</v>
      </c>
      <c r="LMA880" s="1467">
        <v>-9616935</v>
      </c>
      <c r="LMB880" s="1467">
        <v>-11287764</v>
      </c>
      <c r="LMC880" s="1467">
        <v>-5297714</v>
      </c>
      <c r="LMD880" s="1467">
        <v>-3974684</v>
      </c>
      <c r="LME880" s="1467">
        <v>-14382001</v>
      </c>
      <c r="LVV880" s="1467" t="s">
        <v>679</v>
      </c>
      <c r="LVW880" s="1467">
        <v>-9616935</v>
      </c>
      <c r="LVX880" s="1467">
        <v>-11287764</v>
      </c>
      <c r="LVY880" s="1467">
        <v>-5297714</v>
      </c>
      <c r="LVZ880" s="1467">
        <v>-3974684</v>
      </c>
      <c r="LWA880" s="1467">
        <v>-14382001</v>
      </c>
      <c r="MFR880" s="1467" t="s">
        <v>679</v>
      </c>
      <c r="MFS880" s="1467">
        <v>-9616935</v>
      </c>
      <c r="MFT880" s="1467">
        <v>-11287764</v>
      </c>
      <c r="MFU880" s="1467">
        <v>-5297714</v>
      </c>
      <c r="MFV880" s="1467">
        <v>-3974684</v>
      </c>
      <c r="MFW880" s="1467">
        <v>-14382001</v>
      </c>
      <c r="MPN880" s="1467" t="s">
        <v>679</v>
      </c>
      <c r="MPO880" s="1467">
        <v>-9616935</v>
      </c>
      <c r="MPP880" s="1467">
        <v>-11287764</v>
      </c>
      <c r="MPQ880" s="1467">
        <v>-5297714</v>
      </c>
      <c r="MPR880" s="1467">
        <v>-3974684</v>
      </c>
      <c r="MPS880" s="1467">
        <v>-14382001</v>
      </c>
      <c r="MZJ880" s="1467" t="s">
        <v>679</v>
      </c>
      <c r="MZK880" s="1467">
        <v>-9616935</v>
      </c>
      <c r="MZL880" s="1467">
        <v>-11287764</v>
      </c>
      <c r="MZM880" s="1467">
        <v>-5297714</v>
      </c>
      <c r="MZN880" s="1467">
        <v>-3974684</v>
      </c>
      <c r="MZO880" s="1467">
        <v>-14382001</v>
      </c>
      <c r="NJF880" s="1467" t="s">
        <v>679</v>
      </c>
      <c r="NJG880" s="1467">
        <v>-9616935</v>
      </c>
      <c r="NJH880" s="1467">
        <v>-11287764</v>
      </c>
      <c r="NJI880" s="1467">
        <v>-5297714</v>
      </c>
      <c r="NJJ880" s="1467">
        <v>-3974684</v>
      </c>
      <c r="NJK880" s="1467">
        <v>-14382001</v>
      </c>
      <c r="NTB880" s="1467" t="s">
        <v>679</v>
      </c>
      <c r="NTC880" s="1467">
        <v>-9616935</v>
      </c>
      <c r="NTD880" s="1467">
        <v>-11287764</v>
      </c>
      <c r="NTE880" s="1467">
        <v>-5297714</v>
      </c>
      <c r="NTF880" s="1467">
        <v>-3974684</v>
      </c>
      <c r="NTG880" s="1467">
        <v>-14382001</v>
      </c>
      <c r="OCX880" s="1467" t="s">
        <v>679</v>
      </c>
      <c r="OCY880" s="1467">
        <v>-9616935</v>
      </c>
      <c r="OCZ880" s="1467">
        <v>-11287764</v>
      </c>
      <c r="ODA880" s="1467">
        <v>-5297714</v>
      </c>
      <c r="ODB880" s="1467">
        <v>-3974684</v>
      </c>
      <c r="ODC880" s="1467">
        <v>-14382001</v>
      </c>
      <c r="OMT880" s="1467" t="s">
        <v>679</v>
      </c>
      <c r="OMU880" s="1467">
        <v>-9616935</v>
      </c>
      <c r="OMV880" s="1467">
        <v>-11287764</v>
      </c>
      <c r="OMW880" s="1467">
        <v>-5297714</v>
      </c>
      <c r="OMX880" s="1467">
        <v>-3974684</v>
      </c>
      <c r="OMY880" s="1467">
        <v>-14382001</v>
      </c>
      <c r="OWP880" s="1467" t="s">
        <v>679</v>
      </c>
      <c r="OWQ880" s="1467">
        <v>-9616935</v>
      </c>
      <c r="OWR880" s="1467">
        <v>-11287764</v>
      </c>
      <c r="OWS880" s="1467">
        <v>-5297714</v>
      </c>
      <c r="OWT880" s="1467">
        <v>-3974684</v>
      </c>
      <c r="OWU880" s="1467">
        <v>-14382001</v>
      </c>
      <c r="PGL880" s="1467" t="s">
        <v>679</v>
      </c>
      <c r="PGM880" s="1467">
        <v>-9616935</v>
      </c>
      <c r="PGN880" s="1467">
        <v>-11287764</v>
      </c>
      <c r="PGO880" s="1467">
        <v>-5297714</v>
      </c>
      <c r="PGP880" s="1467">
        <v>-3974684</v>
      </c>
      <c r="PGQ880" s="1467">
        <v>-14382001</v>
      </c>
      <c r="PQH880" s="1467" t="s">
        <v>679</v>
      </c>
      <c r="PQI880" s="1467">
        <v>-9616935</v>
      </c>
      <c r="PQJ880" s="1467">
        <v>-11287764</v>
      </c>
      <c r="PQK880" s="1467">
        <v>-5297714</v>
      </c>
      <c r="PQL880" s="1467">
        <v>-3974684</v>
      </c>
      <c r="PQM880" s="1467">
        <v>-14382001</v>
      </c>
      <c r="QAD880" s="1467" t="s">
        <v>679</v>
      </c>
      <c r="QAE880" s="1467">
        <v>-9616935</v>
      </c>
      <c r="QAF880" s="1467">
        <v>-11287764</v>
      </c>
      <c r="QAG880" s="1467">
        <v>-5297714</v>
      </c>
      <c r="QAH880" s="1467">
        <v>-3974684</v>
      </c>
      <c r="QAI880" s="1467">
        <v>-14382001</v>
      </c>
      <c r="QJZ880" s="1467" t="s">
        <v>679</v>
      </c>
      <c r="QKA880" s="1467">
        <v>-9616935</v>
      </c>
      <c r="QKB880" s="1467">
        <v>-11287764</v>
      </c>
      <c r="QKC880" s="1467">
        <v>-5297714</v>
      </c>
      <c r="QKD880" s="1467">
        <v>-3974684</v>
      </c>
      <c r="QKE880" s="1467">
        <v>-14382001</v>
      </c>
      <c r="QTV880" s="1467" t="s">
        <v>679</v>
      </c>
      <c r="QTW880" s="1467">
        <v>-9616935</v>
      </c>
      <c r="QTX880" s="1467">
        <v>-11287764</v>
      </c>
      <c r="QTY880" s="1467">
        <v>-5297714</v>
      </c>
      <c r="QTZ880" s="1467">
        <v>-3974684</v>
      </c>
      <c r="QUA880" s="1467">
        <v>-14382001</v>
      </c>
      <c r="RDR880" s="1467" t="s">
        <v>679</v>
      </c>
      <c r="RDS880" s="1467">
        <v>-9616935</v>
      </c>
      <c r="RDT880" s="1467">
        <v>-11287764</v>
      </c>
      <c r="RDU880" s="1467">
        <v>-5297714</v>
      </c>
      <c r="RDV880" s="1467">
        <v>-3974684</v>
      </c>
      <c r="RDW880" s="1467">
        <v>-14382001</v>
      </c>
      <c r="RNN880" s="1467" t="s">
        <v>679</v>
      </c>
      <c r="RNO880" s="1467">
        <v>-9616935</v>
      </c>
      <c r="RNP880" s="1467">
        <v>-11287764</v>
      </c>
      <c r="RNQ880" s="1467">
        <v>-5297714</v>
      </c>
      <c r="RNR880" s="1467">
        <v>-3974684</v>
      </c>
      <c r="RNS880" s="1467">
        <v>-14382001</v>
      </c>
      <c r="RXJ880" s="1467" t="s">
        <v>679</v>
      </c>
      <c r="RXK880" s="1467">
        <v>-9616935</v>
      </c>
      <c r="RXL880" s="1467">
        <v>-11287764</v>
      </c>
      <c r="RXM880" s="1467">
        <v>-5297714</v>
      </c>
      <c r="RXN880" s="1467">
        <v>-3974684</v>
      </c>
      <c r="RXO880" s="1467">
        <v>-14382001</v>
      </c>
      <c r="SHF880" s="1467" t="s">
        <v>679</v>
      </c>
      <c r="SHG880" s="1467">
        <v>-9616935</v>
      </c>
      <c r="SHH880" s="1467">
        <v>-11287764</v>
      </c>
      <c r="SHI880" s="1467">
        <v>-5297714</v>
      </c>
      <c r="SHJ880" s="1467">
        <v>-3974684</v>
      </c>
      <c r="SHK880" s="1467">
        <v>-14382001</v>
      </c>
      <c r="SRB880" s="1467" t="s">
        <v>679</v>
      </c>
      <c r="SRC880" s="1467">
        <v>-9616935</v>
      </c>
      <c r="SRD880" s="1467">
        <v>-11287764</v>
      </c>
      <c r="SRE880" s="1467">
        <v>-5297714</v>
      </c>
      <c r="SRF880" s="1467">
        <v>-3974684</v>
      </c>
      <c r="SRG880" s="1467">
        <v>-14382001</v>
      </c>
      <c r="TAX880" s="1467" t="s">
        <v>679</v>
      </c>
      <c r="TAY880" s="1467">
        <v>-9616935</v>
      </c>
      <c r="TAZ880" s="1467">
        <v>-11287764</v>
      </c>
      <c r="TBA880" s="1467">
        <v>-5297714</v>
      </c>
      <c r="TBB880" s="1467">
        <v>-3974684</v>
      </c>
      <c r="TBC880" s="1467">
        <v>-14382001</v>
      </c>
      <c r="TKT880" s="1467" t="s">
        <v>679</v>
      </c>
      <c r="TKU880" s="1467">
        <v>-9616935</v>
      </c>
      <c r="TKV880" s="1467">
        <v>-11287764</v>
      </c>
      <c r="TKW880" s="1467">
        <v>-5297714</v>
      </c>
      <c r="TKX880" s="1467">
        <v>-3974684</v>
      </c>
      <c r="TKY880" s="1467">
        <v>-14382001</v>
      </c>
      <c r="TUP880" s="1467" t="s">
        <v>679</v>
      </c>
      <c r="TUQ880" s="1467">
        <v>-9616935</v>
      </c>
      <c r="TUR880" s="1467">
        <v>-11287764</v>
      </c>
      <c r="TUS880" s="1467">
        <v>-5297714</v>
      </c>
      <c r="TUT880" s="1467">
        <v>-3974684</v>
      </c>
      <c r="TUU880" s="1467">
        <v>-14382001</v>
      </c>
      <c r="UEL880" s="1467" t="s">
        <v>679</v>
      </c>
      <c r="UEM880" s="1467">
        <v>-9616935</v>
      </c>
      <c r="UEN880" s="1467">
        <v>-11287764</v>
      </c>
      <c r="UEO880" s="1467">
        <v>-5297714</v>
      </c>
      <c r="UEP880" s="1467">
        <v>-3974684</v>
      </c>
      <c r="UEQ880" s="1467">
        <v>-14382001</v>
      </c>
      <c r="UOH880" s="1467" t="s">
        <v>679</v>
      </c>
      <c r="UOI880" s="1467">
        <v>-9616935</v>
      </c>
      <c r="UOJ880" s="1467">
        <v>-11287764</v>
      </c>
      <c r="UOK880" s="1467">
        <v>-5297714</v>
      </c>
      <c r="UOL880" s="1467">
        <v>-3974684</v>
      </c>
      <c r="UOM880" s="1467">
        <v>-14382001</v>
      </c>
      <c r="UYD880" s="1467" t="s">
        <v>679</v>
      </c>
      <c r="UYE880" s="1467">
        <v>-9616935</v>
      </c>
      <c r="UYF880" s="1467">
        <v>-11287764</v>
      </c>
      <c r="UYG880" s="1467">
        <v>-5297714</v>
      </c>
      <c r="UYH880" s="1467">
        <v>-3974684</v>
      </c>
      <c r="UYI880" s="1467">
        <v>-14382001</v>
      </c>
      <c r="VHZ880" s="1467" t="s">
        <v>679</v>
      </c>
      <c r="VIA880" s="1467">
        <v>-9616935</v>
      </c>
      <c r="VIB880" s="1467">
        <v>-11287764</v>
      </c>
      <c r="VIC880" s="1467">
        <v>-5297714</v>
      </c>
      <c r="VID880" s="1467">
        <v>-3974684</v>
      </c>
      <c r="VIE880" s="1467">
        <v>-14382001</v>
      </c>
      <c r="VRV880" s="1467" t="s">
        <v>679</v>
      </c>
      <c r="VRW880" s="1467">
        <v>-9616935</v>
      </c>
      <c r="VRX880" s="1467">
        <v>-11287764</v>
      </c>
      <c r="VRY880" s="1467">
        <v>-5297714</v>
      </c>
      <c r="VRZ880" s="1467">
        <v>-3974684</v>
      </c>
      <c r="VSA880" s="1467">
        <v>-14382001</v>
      </c>
      <c r="WBR880" s="1467" t="s">
        <v>679</v>
      </c>
      <c r="WBS880" s="1467">
        <v>-9616935</v>
      </c>
      <c r="WBT880" s="1467">
        <v>-11287764</v>
      </c>
      <c r="WBU880" s="1467">
        <v>-5297714</v>
      </c>
      <c r="WBV880" s="1467">
        <v>-3974684</v>
      </c>
      <c r="WBW880" s="1467">
        <v>-14382001</v>
      </c>
      <c r="WLN880" s="1467" t="s">
        <v>679</v>
      </c>
      <c r="WLO880" s="1467">
        <v>-9616935</v>
      </c>
      <c r="WLP880" s="1467">
        <v>-11287764</v>
      </c>
      <c r="WLQ880" s="1467">
        <v>-5297714</v>
      </c>
      <c r="WLR880" s="1467">
        <v>-3974684</v>
      </c>
      <c r="WLS880" s="1467">
        <v>-14382001</v>
      </c>
      <c r="WVJ880" s="1467" t="s">
        <v>679</v>
      </c>
      <c r="WVK880" s="1467">
        <v>-9616935</v>
      </c>
      <c r="WVL880" s="1467">
        <v>-11287764</v>
      </c>
      <c r="WVM880" s="1467">
        <v>-5297714</v>
      </c>
      <c r="WVN880" s="1467">
        <v>-3974684</v>
      </c>
      <c r="WVO880" s="1467">
        <v>-14382001</v>
      </c>
    </row>
    <row r="881" spans="1:775 1026:1799 2050:2823 3074:3847 4098:4871 5122:5895 6146:6919 7170:7943 8194:8967 9218:9991 10242:11015 11266:12039 12290:13063 13314:14087 14338:15111 15362:16135">
      <c r="A881" s="99" t="s">
        <v>680</v>
      </c>
      <c r="C881" s="96"/>
      <c r="D881" s="96"/>
      <c r="E881" s="96"/>
      <c r="F881" s="96"/>
      <c r="G881" s="96"/>
      <c r="H881" s="96"/>
      <c r="IX881" t="s">
        <v>680</v>
      </c>
      <c r="ST881" t="s">
        <v>680</v>
      </c>
      <c r="ACP881" t="s">
        <v>680</v>
      </c>
      <c r="AML881" t="s">
        <v>680</v>
      </c>
      <c r="AWH881" t="s">
        <v>680</v>
      </c>
      <c r="BGD881" t="s">
        <v>680</v>
      </c>
      <c r="BPZ881" t="s">
        <v>680</v>
      </c>
      <c r="BZV881" t="s">
        <v>680</v>
      </c>
      <c r="CJR881" t="s">
        <v>680</v>
      </c>
      <c r="CTN881" t="s">
        <v>680</v>
      </c>
      <c r="DDJ881" t="s">
        <v>680</v>
      </c>
      <c r="DNF881" t="s">
        <v>680</v>
      </c>
      <c r="DXB881" t="s">
        <v>680</v>
      </c>
      <c r="EGX881" t="s">
        <v>680</v>
      </c>
      <c r="EQT881" t="s">
        <v>680</v>
      </c>
      <c r="FAP881" t="s">
        <v>680</v>
      </c>
      <c r="FKL881" t="s">
        <v>680</v>
      </c>
      <c r="FUH881" t="s">
        <v>680</v>
      </c>
      <c r="GED881" t="s">
        <v>680</v>
      </c>
      <c r="GNZ881" t="s">
        <v>680</v>
      </c>
      <c r="GXV881" t="s">
        <v>680</v>
      </c>
      <c r="HHR881" t="s">
        <v>680</v>
      </c>
      <c r="HRN881" t="s">
        <v>680</v>
      </c>
      <c r="IBJ881" t="s">
        <v>680</v>
      </c>
      <c r="ILF881" t="s">
        <v>680</v>
      </c>
      <c r="IVB881" t="s">
        <v>680</v>
      </c>
      <c r="JEX881" t="s">
        <v>680</v>
      </c>
      <c r="JOT881" t="s">
        <v>680</v>
      </c>
      <c r="JYP881" t="s">
        <v>680</v>
      </c>
      <c r="KIL881" t="s">
        <v>680</v>
      </c>
      <c r="KSH881" t="s">
        <v>680</v>
      </c>
      <c r="LCD881" t="s">
        <v>680</v>
      </c>
      <c r="LLZ881" t="s">
        <v>680</v>
      </c>
      <c r="LVV881" t="s">
        <v>680</v>
      </c>
      <c r="MFR881" t="s">
        <v>680</v>
      </c>
      <c r="MPN881" t="s">
        <v>680</v>
      </c>
      <c r="MZJ881" t="s">
        <v>680</v>
      </c>
      <c r="NJF881" t="s">
        <v>680</v>
      </c>
      <c r="NTB881" t="s">
        <v>680</v>
      </c>
      <c r="OCX881" t="s">
        <v>680</v>
      </c>
      <c r="OMT881" t="s">
        <v>680</v>
      </c>
      <c r="OWP881" t="s">
        <v>680</v>
      </c>
      <c r="PGL881" t="s">
        <v>680</v>
      </c>
      <c r="PQH881" t="s">
        <v>680</v>
      </c>
      <c r="QAD881" t="s">
        <v>680</v>
      </c>
      <c r="QJZ881" t="s">
        <v>680</v>
      </c>
      <c r="QTV881" t="s">
        <v>680</v>
      </c>
      <c r="RDR881" t="s">
        <v>680</v>
      </c>
      <c r="RNN881" t="s">
        <v>680</v>
      </c>
      <c r="RXJ881" t="s">
        <v>680</v>
      </c>
      <c r="SHF881" t="s">
        <v>680</v>
      </c>
      <c r="SRB881" t="s">
        <v>680</v>
      </c>
      <c r="TAX881" t="s">
        <v>680</v>
      </c>
      <c r="TKT881" t="s">
        <v>680</v>
      </c>
      <c r="TUP881" t="s">
        <v>680</v>
      </c>
      <c r="UEL881" t="s">
        <v>680</v>
      </c>
      <c r="UOH881" t="s">
        <v>680</v>
      </c>
      <c r="UYD881" t="s">
        <v>680</v>
      </c>
      <c r="VHZ881" t="s">
        <v>680</v>
      </c>
      <c r="VRV881" t="s">
        <v>680</v>
      </c>
      <c r="WBR881" t="s">
        <v>680</v>
      </c>
      <c r="WLN881" t="s">
        <v>680</v>
      </c>
      <c r="WVJ881" t="s">
        <v>680</v>
      </c>
    </row>
    <row r="882" spans="1:775 1026:1799 2050:2823 3074:3847 4098:4871 5122:5895 6146:6919 7170:7943 8194:8967 9218:9991 10242:11015 11266:12039 12290:13063 13314:14087 14338:15111 15362:16135">
      <c r="A882" s="96" t="s">
        <v>681</v>
      </c>
      <c r="C882" s="100">
        <v>-22044</v>
      </c>
      <c r="D882" s="100">
        <v>-7888</v>
      </c>
      <c r="E882" s="100">
        <v>-6368</v>
      </c>
      <c r="F882" s="100">
        <v>-42265</v>
      </c>
      <c r="G882" s="100">
        <v>-55103</v>
      </c>
      <c r="H882" s="100"/>
      <c r="IX882" t="s">
        <v>681</v>
      </c>
      <c r="IY882">
        <v>-22044</v>
      </c>
      <c r="IZ882">
        <v>-7888</v>
      </c>
      <c r="JA882">
        <v>-6368</v>
      </c>
      <c r="JB882">
        <v>-42265</v>
      </c>
      <c r="JC882">
        <v>-55103</v>
      </c>
      <c r="ST882" t="s">
        <v>681</v>
      </c>
      <c r="SU882">
        <v>-22044</v>
      </c>
      <c r="SV882">
        <v>-7888</v>
      </c>
      <c r="SW882">
        <v>-6368</v>
      </c>
      <c r="SX882">
        <v>-42265</v>
      </c>
      <c r="SY882">
        <v>-55103</v>
      </c>
      <c r="ACP882" t="s">
        <v>681</v>
      </c>
      <c r="ACQ882">
        <v>-22044</v>
      </c>
      <c r="ACR882">
        <v>-7888</v>
      </c>
      <c r="ACS882">
        <v>-6368</v>
      </c>
      <c r="ACT882">
        <v>-42265</v>
      </c>
      <c r="ACU882">
        <v>-55103</v>
      </c>
      <c r="AML882" t="s">
        <v>681</v>
      </c>
      <c r="AMM882">
        <v>-22044</v>
      </c>
      <c r="AMN882">
        <v>-7888</v>
      </c>
      <c r="AMO882">
        <v>-6368</v>
      </c>
      <c r="AMP882">
        <v>-42265</v>
      </c>
      <c r="AMQ882">
        <v>-55103</v>
      </c>
      <c r="AWH882" t="s">
        <v>681</v>
      </c>
      <c r="AWI882">
        <v>-22044</v>
      </c>
      <c r="AWJ882">
        <v>-7888</v>
      </c>
      <c r="AWK882">
        <v>-6368</v>
      </c>
      <c r="AWL882">
        <v>-42265</v>
      </c>
      <c r="AWM882">
        <v>-55103</v>
      </c>
      <c r="BGD882" t="s">
        <v>681</v>
      </c>
      <c r="BGE882">
        <v>-22044</v>
      </c>
      <c r="BGF882">
        <v>-7888</v>
      </c>
      <c r="BGG882">
        <v>-6368</v>
      </c>
      <c r="BGH882">
        <v>-42265</v>
      </c>
      <c r="BGI882">
        <v>-55103</v>
      </c>
      <c r="BPZ882" t="s">
        <v>681</v>
      </c>
      <c r="BQA882">
        <v>-22044</v>
      </c>
      <c r="BQB882">
        <v>-7888</v>
      </c>
      <c r="BQC882">
        <v>-6368</v>
      </c>
      <c r="BQD882">
        <v>-42265</v>
      </c>
      <c r="BQE882">
        <v>-55103</v>
      </c>
      <c r="BZV882" t="s">
        <v>681</v>
      </c>
      <c r="BZW882">
        <v>-22044</v>
      </c>
      <c r="BZX882">
        <v>-7888</v>
      </c>
      <c r="BZY882">
        <v>-6368</v>
      </c>
      <c r="BZZ882">
        <v>-42265</v>
      </c>
      <c r="CAA882">
        <v>-55103</v>
      </c>
      <c r="CJR882" t="s">
        <v>681</v>
      </c>
      <c r="CJS882">
        <v>-22044</v>
      </c>
      <c r="CJT882">
        <v>-7888</v>
      </c>
      <c r="CJU882">
        <v>-6368</v>
      </c>
      <c r="CJV882">
        <v>-42265</v>
      </c>
      <c r="CJW882">
        <v>-55103</v>
      </c>
      <c r="CTN882" t="s">
        <v>681</v>
      </c>
      <c r="CTO882">
        <v>-22044</v>
      </c>
      <c r="CTP882">
        <v>-7888</v>
      </c>
      <c r="CTQ882">
        <v>-6368</v>
      </c>
      <c r="CTR882">
        <v>-42265</v>
      </c>
      <c r="CTS882">
        <v>-55103</v>
      </c>
      <c r="DDJ882" t="s">
        <v>681</v>
      </c>
      <c r="DDK882">
        <v>-22044</v>
      </c>
      <c r="DDL882">
        <v>-7888</v>
      </c>
      <c r="DDM882">
        <v>-6368</v>
      </c>
      <c r="DDN882">
        <v>-42265</v>
      </c>
      <c r="DDO882">
        <v>-55103</v>
      </c>
      <c r="DNF882" t="s">
        <v>681</v>
      </c>
      <c r="DNG882">
        <v>-22044</v>
      </c>
      <c r="DNH882">
        <v>-7888</v>
      </c>
      <c r="DNI882">
        <v>-6368</v>
      </c>
      <c r="DNJ882">
        <v>-42265</v>
      </c>
      <c r="DNK882">
        <v>-55103</v>
      </c>
      <c r="DXB882" t="s">
        <v>681</v>
      </c>
      <c r="DXC882">
        <v>-22044</v>
      </c>
      <c r="DXD882">
        <v>-7888</v>
      </c>
      <c r="DXE882">
        <v>-6368</v>
      </c>
      <c r="DXF882">
        <v>-42265</v>
      </c>
      <c r="DXG882">
        <v>-55103</v>
      </c>
      <c r="EGX882" t="s">
        <v>681</v>
      </c>
      <c r="EGY882">
        <v>-22044</v>
      </c>
      <c r="EGZ882">
        <v>-7888</v>
      </c>
      <c r="EHA882">
        <v>-6368</v>
      </c>
      <c r="EHB882">
        <v>-42265</v>
      </c>
      <c r="EHC882">
        <v>-55103</v>
      </c>
      <c r="EQT882" t="s">
        <v>681</v>
      </c>
      <c r="EQU882">
        <v>-22044</v>
      </c>
      <c r="EQV882">
        <v>-7888</v>
      </c>
      <c r="EQW882">
        <v>-6368</v>
      </c>
      <c r="EQX882">
        <v>-42265</v>
      </c>
      <c r="EQY882">
        <v>-55103</v>
      </c>
      <c r="FAP882" t="s">
        <v>681</v>
      </c>
      <c r="FAQ882">
        <v>-22044</v>
      </c>
      <c r="FAR882">
        <v>-7888</v>
      </c>
      <c r="FAS882">
        <v>-6368</v>
      </c>
      <c r="FAT882">
        <v>-42265</v>
      </c>
      <c r="FAU882">
        <v>-55103</v>
      </c>
      <c r="FKL882" t="s">
        <v>681</v>
      </c>
      <c r="FKM882">
        <v>-22044</v>
      </c>
      <c r="FKN882">
        <v>-7888</v>
      </c>
      <c r="FKO882">
        <v>-6368</v>
      </c>
      <c r="FKP882">
        <v>-42265</v>
      </c>
      <c r="FKQ882">
        <v>-55103</v>
      </c>
      <c r="FUH882" t="s">
        <v>681</v>
      </c>
      <c r="FUI882">
        <v>-22044</v>
      </c>
      <c r="FUJ882">
        <v>-7888</v>
      </c>
      <c r="FUK882">
        <v>-6368</v>
      </c>
      <c r="FUL882">
        <v>-42265</v>
      </c>
      <c r="FUM882">
        <v>-55103</v>
      </c>
      <c r="GED882" t="s">
        <v>681</v>
      </c>
      <c r="GEE882">
        <v>-22044</v>
      </c>
      <c r="GEF882">
        <v>-7888</v>
      </c>
      <c r="GEG882">
        <v>-6368</v>
      </c>
      <c r="GEH882">
        <v>-42265</v>
      </c>
      <c r="GEI882">
        <v>-55103</v>
      </c>
      <c r="GNZ882" t="s">
        <v>681</v>
      </c>
      <c r="GOA882">
        <v>-22044</v>
      </c>
      <c r="GOB882">
        <v>-7888</v>
      </c>
      <c r="GOC882">
        <v>-6368</v>
      </c>
      <c r="GOD882">
        <v>-42265</v>
      </c>
      <c r="GOE882">
        <v>-55103</v>
      </c>
      <c r="GXV882" t="s">
        <v>681</v>
      </c>
      <c r="GXW882">
        <v>-22044</v>
      </c>
      <c r="GXX882">
        <v>-7888</v>
      </c>
      <c r="GXY882">
        <v>-6368</v>
      </c>
      <c r="GXZ882">
        <v>-42265</v>
      </c>
      <c r="GYA882">
        <v>-55103</v>
      </c>
      <c r="HHR882" t="s">
        <v>681</v>
      </c>
      <c r="HHS882">
        <v>-22044</v>
      </c>
      <c r="HHT882">
        <v>-7888</v>
      </c>
      <c r="HHU882">
        <v>-6368</v>
      </c>
      <c r="HHV882">
        <v>-42265</v>
      </c>
      <c r="HHW882">
        <v>-55103</v>
      </c>
      <c r="HRN882" t="s">
        <v>681</v>
      </c>
      <c r="HRO882">
        <v>-22044</v>
      </c>
      <c r="HRP882">
        <v>-7888</v>
      </c>
      <c r="HRQ882">
        <v>-6368</v>
      </c>
      <c r="HRR882">
        <v>-42265</v>
      </c>
      <c r="HRS882">
        <v>-55103</v>
      </c>
      <c r="IBJ882" t="s">
        <v>681</v>
      </c>
      <c r="IBK882">
        <v>-22044</v>
      </c>
      <c r="IBL882">
        <v>-7888</v>
      </c>
      <c r="IBM882">
        <v>-6368</v>
      </c>
      <c r="IBN882">
        <v>-42265</v>
      </c>
      <c r="IBO882">
        <v>-55103</v>
      </c>
      <c r="ILF882" t="s">
        <v>681</v>
      </c>
      <c r="ILG882">
        <v>-22044</v>
      </c>
      <c r="ILH882">
        <v>-7888</v>
      </c>
      <c r="ILI882">
        <v>-6368</v>
      </c>
      <c r="ILJ882">
        <v>-42265</v>
      </c>
      <c r="ILK882">
        <v>-55103</v>
      </c>
      <c r="IVB882" t="s">
        <v>681</v>
      </c>
      <c r="IVC882">
        <v>-22044</v>
      </c>
      <c r="IVD882">
        <v>-7888</v>
      </c>
      <c r="IVE882">
        <v>-6368</v>
      </c>
      <c r="IVF882">
        <v>-42265</v>
      </c>
      <c r="IVG882">
        <v>-55103</v>
      </c>
      <c r="JEX882" t="s">
        <v>681</v>
      </c>
      <c r="JEY882">
        <v>-22044</v>
      </c>
      <c r="JEZ882">
        <v>-7888</v>
      </c>
      <c r="JFA882">
        <v>-6368</v>
      </c>
      <c r="JFB882">
        <v>-42265</v>
      </c>
      <c r="JFC882">
        <v>-55103</v>
      </c>
      <c r="JOT882" t="s">
        <v>681</v>
      </c>
      <c r="JOU882">
        <v>-22044</v>
      </c>
      <c r="JOV882">
        <v>-7888</v>
      </c>
      <c r="JOW882">
        <v>-6368</v>
      </c>
      <c r="JOX882">
        <v>-42265</v>
      </c>
      <c r="JOY882">
        <v>-55103</v>
      </c>
      <c r="JYP882" t="s">
        <v>681</v>
      </c>
      <c r="JYQ882">
        <v>-22044</v>
      </c>
      <c r="JYR882">
        <v>-7888</v>
      </c>
      <c r="JYS882">
        <v>-6368</v>
      </c>
      <c r="JYT882">
        <v>-42265</v>
      </c>
      <c r="JYU882">
        <v>-55103</v>
      </c>
      <c r="KIL882" t="s">
        <v>681</v>
      </c>
      <c r="KIM882">
        <v>-22044</v>
      </c>
      <c r="KIN882">
        <v>-7888</v>
      </c>
      <c r="KIO882">
        <v>-6368</v>
      </c>
      <c r="KIP882">
        <v>-42265</v>
      </c>
      <c r="KIQ882">
        <v>-55103</v>
      </c>
      <c r="KSH882" t="s">
        <v>681</v>
      </c>
      <c r="KSI882">
        <v>-22044</v>
      </c>
      <c r="KSJ882">
        <v>-7888</v>
      </c>
      <c r="KSK882">
        <v>-6368</v>
      </c>
      <c r="KSL882">
        <v>-42265</v>
      </c>
      <c r="KSM882">
        <v>-55103</v>
      </c>
      <c r="LCD882" t="s">
        <v>681</v>
      </c>
      <c r="LCE882">
        <v>-22044</v>
      </c>
      <c r="LCF882">
        <v>-7888</v>
      </c>
      <c r="LCG882">
        <v>-6368</v>
      </c>
      <c r="LCH882">
        <v>-42265</v>
      </c>
      <c r="LCI882">
        <v>-55103</v>
      </c>
      <c r="LLZ882" t="s">
        <v>681</v>
      </c>
      <c r="LMA882">
        <v>-22044</v>
      </c>
      <c r="LMB882">
        <v>-7888</v>
      </c>
      <c r="LMC882">
        <v>-6368</v>
      </c>
      <c r="LMD882">
        <v>-42265</v>
      </c>
      <c r="LME882">
        <v>-55103</v>
      </c>
      <c r="LVV882" t="s">
        <v>681</v>
      </c>
      <c r="LVW882">
        <v>-22044</v>
      </c>
      <c r="LVX882">
        <v>-7888</v>
      </c>
      <c r="LVY882">
        <v>-6368</v>
      </c>
      <c r="LVZ882">
        <v>-42265</v>
      </c>
      <c r="LWA882">
        <v>-55103</v>
      </c>
      <c r="MFR882" t="s">
        <v>681</v>
      </c>
      <c r="MFS882">
        <v>-22044</v>
      </c>
      <c r="MFT882">
        <v>-7888</v>
      </c>
      <c r="MFU882">
        <v>-6368</v>
      </c>
      <c r="MFV882">
        <v>-42265</v>
      </c>
      <c r="MFW882">
        <v>-55103</v>
      </c>
      <c r="MPN882" t="s">
        <v>681</v>
      </c>
      <c r="MPO882">
        <v>-22044</v>
      </c>
      <c r="MPP882">
        <v>-7888</v>
      </c>
      <c r="MPQ882">
        <v>-6368</v>
      </c>
      <c r="MPR882">
        <v>-42265</v>
      </c>
      <c r="MPS882">
        <v>-55103</v>
      </c>
      <c r="MZJ882" t="s">
        <v>681</v>
      </c>
      <c r="MZK882">
        <v>-22044</v>
      </c>
      <c r="MZL882">
        <v>-7888</v>
      </c>
      <c r="MZM882">
        <v>-6368</v>
      </c>
      <c r="MZN882">
        <v>-42265</v>
      </c>
      <c r="MZO882">
        <v>-55103</v>
      </c>
      <c r="NJF882" t="s">
        <v>681</v>
      </c>
      <c r="NJG882">
        <v>-22044</v>
      </c>
      <c r="NJH882">
        <v>-7888</v>
      </c>
      <c r="NJI882">
        <v>-6368</v>
      </c>
      <c r="NJJ882">
        <v>-42265</v>
      </c>
      <c r="NJK882">
        <v>-55103</v>
      </c>
      <c r="NTB882" t="s">
        <v>681</v>
      </c>
      <c r="NTC882">
        <v>-22044</v>
      </c>
      <c r="NTD882">
        <v>-7888</v>
      </c>
      <c r="NTE882">
        <v>-6368</v>
      </c>
      <c r="NTF882">
        <v>-42265</v>
      </c>
      <c r="NTG882">
        <v>-55103</v>
      </c>
      <c r="OCX882" t="s">
        <v>681</v>
      </c>
      <c r="OCY882">
        <v>-22044</v>
      </c>
      <c r="OCZ882">
        <v>-7888</v>
      </c>
      <c r="ODA882">
        <v>-6368</v>
      </c>
      <c r="ODB882">
        <v>-42265</v>
      </c>
      <c r="ODC882">
        <v>-55103</v>
      </c>
      <c r="OMT882" t="s">
        <v>681</v>
      </c>
      <c r="OMU882">
        <v>-22044</v>
      </c>
      <c r="OMV882">
        <v>-7888</v>
      </c>
      <c r="OMW882">
        <v>-6368</v>
      </c>
      <c r="OMX882">
        <v>-42265</v>
      </c>
      <c r="OMY882">
        <v>-55103</v>
      </c>
      <c r="OWP882" t="s">
        <v>681</v>
      </c>
      <c r="OWQ882">
        <v>-22044</v>
      </c>
      <c r="OWR882">
        <v>-7888</v>
      </c>
      <c r="OWS882">
        <v>-6368</v>
      </c>
      <c r="OWT882">
        <v>-42265</v>
      </c>
      <c r="OWU882">
        <v>-55103</v>
      </c>
      <c r="PGL882" t="s">
        <v>681</v>
      </c>
      <c r="PGM882">
        <v>-22044</v>
      </c>
      <c r="PGN882">
        <v>-7888</v>
      </c>
      <c r="PGO882">
        <v>-6368</v>
      </c>
      <c r="PGP882">
        <v>-42265</v>
      </c>
      <c r="PGQ882">
        <v>-55103</v>
      </c>
      <c r="PQH882" t="s">
        <v>681</v>
      </c>
      <c r="PQI882">
        <v>-22044</v>
      </c>
      <c r="PQJ882">
        <v>-7888</v>
      </c>
      <c r="PQK882">
        <v>-6368</v>
      </c>
      <c r="PQL882">
        <v>-42265</v>
      </c>
      <c r="PQM882">
        <v>-55103</v>
      </c>
      <c r="QAD882" t="s">
        <v>681</v>
      </c>
      <c r="QAE882">
        <v>-22044</v>
      </c>
      <c r="QAF882">
        <v>-7888</v>
      </c>
      <c r="QAG882">
        <v>-6368</v>
      </c>
      <c r="QAH882">
        <v>-42265</v>
      </c>
      <c r="QAI882">
        <v>-55103</v>
      </c>
      <c r="QJZ882" t="s">
        <v>681</v>
      </c>
      <c r="QKA882">
        <v>-22044</v>
      </c>
      <c r="QKB882">
        <v>-7888</v>
      </c>
      <c r="QKC882">
        <v>-6368</v>
      </c>
      <c r="QKD882">
        <v>-42265</v>
      </c>
      <c r="QKE882">
        <v>-55103</v>
      </c>
      <c r="QTV882" t="s">
        <v>681</v>
      </c>
      <c r="QTW882">
        <v>-22044</v>
      </c>
      <c r="QTX882">
        <v>-7888</v>
      </c>
      <c r="QTY882">
        <v>-6368</v>
      </c>
      <c r="QTZ882">
        <v>-42265</v>
      </c>
      <c r="QUA882">
        <v>-55103</v>
      </c>
      <c r="RDR882" t="s">
        <v>681</v>
      </c>
      <c r="RDS882">
        <v>-22044</v>
      </c>
      <c r="RDT882">
        <v>-7888</v>
      </c>
      <c r="RDU882">
        <v>-6368</v>
      </c>
      <c r="RDV882">
        <v>-42265</v>
      </c>
      <c r="RDW882">
        <v>-55103</v>
      </c>
      <c r="RNN882" t="s">
        <v>681</v>
      </c>
      <c r="RNO882">
        <v>-22044</v>
      </c>
      <c r="RNP882">
        <v>-7888</v>
      </c>
      <c r="RNQ882">
        <v>-6368</v>
      </c>
      <c r="RNR882">
        <v>-42265</v>
      </c>
      <c r="RNS882">
        <v>-55103</v>
      </c>
      <c r="RXJ882" t="s">
        <v>681</v>
      </c>
      <c r="RXK882">
        <v>-22044</v>
      </c>
      <c r="RXL882">
        <v>-7888</v>
      </c>
      <c r="RXM882">
        <v>-6368</v>
      </c>
      <c r="RXN882">
        <v>-42265</v>
      </c>
      <c r="RXO882">
        <v>-55103</v>
      </c>
      <c r="SHF882" t="s">
        <v>681</v>
      </c>
      <c r="SHG882">
        <v>-22044</v>
      </c>
      <c r="SHH882">
        <v>-7888</v>
      </c>
      <c r="SHI882">
        <v>-6368</v>
      </c>
      <c r="SHJ882">
        <v>-42265</v>
      </c>
      <c r="SHK882">
        <v>-55103</v>
      </c>
      <c r="SRB882" t="s">
        <v>681</v>
      </c>
      <c r="SRC882">
        <v>-22044</v>
      </c>
      <c r="SRD882">
        <v>-7888</v>
      </c>
      <c r="SRE882">
        <v>-6368</v>
      </c>
      <c r="SRF882">
        <v>-42265</v>
      </c>
      <c r="SRG882">
        <v>-55103</v>
      </c>
      <c r="TAX882" t="s">
        <v>681</v>
      </c>
      <c r="TAY882">
        <v>-22044</v>
      </c>
      <c r="TAZ882">
        <v>-7888</v>
      </c>
      <c r="TBA882">
        <v>-6368</v>
      </c>
      <c r="TBB882">
        <v>-42265</v>
      </c>
      <c r="TBC882">
        <v>-55103</v>
      </c>
      <c r="TKT882" t="s">
        <v>681</v>
      </c>
      <c r="TKU882">
        <v>-22044</v>
      </c>
      <c r="TKV882">
        <v>-7888</v>
      </c>
      <c r="TKW882">
        <v>-6368</v>
      </c>
      <c r="TKX882">
        <v>-42265</v>
      </c>
      <c r="TKY882">
        <v>-55103</v>
      </c>
      <c r="TUP882" t="s">
        <v>681</v>
      </c>
      <c r="TUQ882">
        <v>-22044</v>
      </c>
      <c r="TUR882">
        <v>-7888</v>
      </c>
      <c r="TUS882">
        <v>-6368</v>
      </c>
      <c r="TUT882">
        <v>-42265</v>
      </c>
      <c r="TUU882">
        <v>-55103</v>
      </c>
      <c r="UEL882" t="s">
        <v>681</v>
      </c>
      <c r="UEM882">
        <v>-22044</v>
      </c>
      <c r="UEN882">
        <v>-7888</v>
      </c>
      <c r="UEO882">
        <v>-6368</v>
      </c>
      <c r="UEP882">
        <v>-42265</v>
      </c>
      <c r="UEQ882">
        <v>-55103</v>
      </c>
      <c r="UOH882" t="s">
        <v>681</v>
      </c>
      <c r="UOI882">
        <v>-22044</v>
      </c>
      <c r="UOJ882">
        <v>-7888</v>
      </c>
      <c r="UOK882">
        <v>-6368</v>
      </c>
      <c r="UOL882">
        <v>-42265</v>
      </c>
      <c r="UOM882">
        <v>-55103</v>
      </c>
      <c r="UYD882" t="s">
        <v>681</v>
      </c>
      <c r="UYE882">
        <v>-22044</v>
      </c>
      <c r="UYF882">
        <v>-7888</v>
      </c>
      <c r="UYG882">
        <v>-6368</v>
      </c>
      <c r="UYH882">
        <v>-42265</v>
      </c>
      <c r="UYI882">
        <v>-55103</v>
      </c>
      <c r="VHZ882" t="s">
        <v>681</v>
      </c>
      <c r="VIA882">
        <v>-22044</v>
      </c>
      <c r="VIB882">
        <v>-7888</v>
      </c>
      <c r="VIC882">
        <v>-6368</v>
      </c>
      <c r="VID882">
        <v>-42265</v>
      </c>
      <c r="VIE882">
        <v>-55103</v>
      </c>
      <c r="VRV882" t="s">
        <v>681</v>
      </c>
      <c r="VRW882">
        <v>-22044</v>
      </c>
      <c r="VRX882">
        <v>-7888</v>
      </c>
      <c r="VRY882">
        <v>-6368</v>
      </c>
      <c r="VRZ882">
        <v>-42265</v>
      </c>
      <c r="VSA882">
        <v>-55103</v>
      </c>
      <c r="WBR882" t="s">
        <v>681</v>
      </c>
      <c r="WBS882">
        <v>-22044</v>
      </c>
      <c r="WBT882">
        <v>-7888</v>
      </c>
      <c r="WBU882">
        <v>-6368</v>
      </c>
      <c r="WBV882">
        <v>-42265</v>
      </c>
      <c r="WBW882">
        <v>-55103</v>
      </c>
      <c r="WLN882" t="s">
        <v>681</v>
      </c>
      <c r="WLO882">
        <v>-22044</v>
      </c>
      <c r="WLP882">
        <v>-7888</v>
      </c>
      <c r="WLQ882">
        <v>-6368</v>
      </c>
      <c r="WLR882">
        <v>-42265</v>
      </c>
      <c r="WLS882">
        <v>-55103</v>
      </c>
      <c r="WVJ882" t="s">
        <v>681</v>
      </c>
      <c r="WVK882">
        <v>-22044</v>
      </c>
      <c r="WVL882">
        <v>-7888</v>
      </c>
      <c r="WVM882">
        <v>-6368</v>
      </c>
      <c r="WVN882">
        <v>-42265</v>
      </c>
      <c r="WVO882">
        <v>-55103</v>
      </c>
    </row>
    <row r="883" spans="1:775 1026:1799 2050:2823 3074:3847 4098:4871 5122:5895 6146:6919 7170:7943 8194:8967 9218:9991 10242:11015 11266:12039 12290:13063 13314:14087 14338:15111 15362:16135">
      <c r="A883" s="96" t="s">
        <v>1315</v>
      </c>
      <c r="C883" s="100">
        <v>-13667291</v>
      </c>
      <c r="D883" s="98">
        <v>0</v>
      </c>
      <c r="E883" s="98">
        <v>0</v>
      </c>
      <c r="F883" s="98">
        <v>0</v>
      </c>
      <c r="G883" s="98">
        <v>0</v>
      </c>
      <c r="H883" s="98"/>
      <c r="IX883" t="s">
        <v>1315</v>
      </c>
      <c r="IY883">
        <v>-13667291</v>
      </c>
      <c r="IZ883" t="s">
        <v>619</v>
      </c>
      <c r="JA883" t="s">
        <v>619</v>
      </c>
      <c r="JB883" t="s">
        <v>619</v>
      </c>
      <c r="JC883" t="s">
        <v>619</v>
      </c>
      <c r="ST883" t="s">
        <v>1315</v>
      </c>
      <c r="SU883">
        <v>-13667291</v>
      </c>
      <c r="SV883" t="s">
        <v>619</v>
      </c>
      <c r="SW883" t="s">
        <v>619</v>
      </c>
      <c r="SX883" t="s">
        <v>619</v>
      </c>
      <c r="SY883" t="s">
        <v>619</v>
      </c>
      <c r="ACP883" t="s">
        <v>1315</v>
      </c>
      <c r="ACQ883">
        <v>-13667291</v>
      </c>
      <c r="ACR883" t="s">
        <v>619</v>
      </c>
      <c r="ACS883" t="s">
        <v>619</v>
      </c>
      <c r="ACT883" t="s">
        <v>619</v>
      </c>
      <c r="ACU883" t="s">
        <v>619</v>
      </c>
      <c r="AML883" t="s">
        <v>1315</v>
      </c>
      <c r="AMM883">
        <v>-13667291</v>
      </c>
      <c r="AMN883" t="s">
        <v>619</v>
      </c>
      <c r="AMO883" t="s">
        <v>619</v>
      </c>
      <c r="AMP883" t="s">
        <v>619</v>
      </c>
      <c r="AMQ883" t="s">
        <v>619</v>
      </c>
      <c r="AWH883" t="s">
        <v>1315</v>
      </c>
      <c r="AWI883">
        <v>-13667291</v>
      </c>
      <c r="AWJ883" t="s">
        <v>619</v>
      </c>
      <c r="AWK883" t="s">
        <v>619</v>
      </c>
      <c r="AWL883" t="s">
        <v>619</v>
      </c>
      <c r="AWM883" t="s">
        <v>619</v>
      </c>
      <c r="BGD883" t="s">
        <v>1315</v>
      </c>
      <c r="BGE883">
        <v>-13667291</v>
      </c>
      <c r="BGF883" t="s">
        <v>619</v>
      </c>
      <c r="BGG883" t="s">
        <v>619</v>
      </c>
      <c r="BGH883" t="s">
        <v>619</v>
      </c>
      <c r="BGI883" t="s">
        <v>619</v>
      </c>
      <c r="BPZ883" t="s">
        <v>1315</v>
      </c>
      <c r="BQA883">
        <v>-13667291</v>
      </c>
      <c r="BQB883" t="s">
        <v>619</v>
      </c>
      <c r="BQC883" t="s">
        <v>619</v>
      </c>
      <c r="BQD883" t="s">
        <v>619</v>
      </c>
      <c r="BQE883" t="s">
        <v>619</v>
      </c>
      <c r="BZV883" t="s">
        <v>1315</v>
      </c>
      <c r="BZW883">
        <v>-13667291</v>
      </c>
      <c r="BZX883" t="s">
        <v>619</v>
      </c>
      <c r="BZY883" t="s">
        <v>619</v>
      </c>
      <c r="BZZ883" t="s">
        <v>619</v>
      </c>
      <c r="CAA883" t="s">
        <v>619</v>
      </c>
      <c r="CJR883" t="s">
        <v>1315</v>
      </c>
      <c r="CJS883">
        <v>-13667291</v>
      </c>
      <c r="CJT883" t="s">
        <v>619</v>
      </c>
      <c r="CJU883" t="s">
        <v>619</v>
      </c>
      <c r="CJV883" t="s">
        <v>619</v>
      </c>
      <c r="CJW883" t="s">
        <v>619</v>
      </c>
      <c r="CTN883" t="s">
        <v>1315</v>
      </c>
      <c r="CTO883">
        <v>-13667291</v>
      </c>
      <c r="CTP883" t="s">
        <v>619</v>
      </c>
      <c r="CTQ883" t="s">
        <v>619</v>
      </c>
      <c r="CTR883" t="s">
        <v>619</v>
      </c>
      <c r="CTS883" t="s">
        <v>619</v>
      </c>
      <c r="DDJ883" t="s">
        <v>1315</v>
      </c>
      <c r="DDK883">
        <v>-13667291</v>
      </c>
      <c r="DDL883" t="s">
        <v>619</v>
      </c>
      <c r="DDM883" t="s">
        <v>619</v>
      </c>
      <c r="DDN883" t="s">
        <v>619</v>
      </c>
      <c r="DDO883" t="s">
        <v>619</v>
      </c>
      <c r="DNF883" t="s">
        <v>1315</v>
      </c>
      <c r="DNG883">
        <v>-13667291</v>
      </c>
      <c r="DNH883" t="s">
        <v>619</v>
      </c>
      <c r="DNI883" t="s">
        <v>619</v>
      </c>
      <c r="DNJ883" t="s">
        <v>619</v>
      </c>
      <c r="DNK883" t="s">
        <v>619</v>
      </c>
      <c r="DXB883" t="s">
        <v>1315</v>
      </c>
      <c r="DXC883">
        <v>-13667291</v>
      </c>
      <c r="DXD883" t="s">
        <v>619</v>
      </c>
      <c r="DXE883" t="s">
        <v>619</v>
      </c>
      <c r="DXF883" t="s">
        <v>619</v>
      </c>
      <c r="DXG883" t="s">
        <v>619</v>
      </c>
      <c r="EGX883" t="s">
        <v>1315</v>
      </c>
      <c r="EGY883">
        <v>-13667291</v>
      </c>
      <c r="EGZ883" t="s">
        <v>619</v>
      </c>
      <c r="EHA883" t="s">
        <v>619</v>
      </c>
      <c r="EHB883" t="s">
        <v>619</v>
      </c>
      <c r="EHC883" t="s">
        <v>619</v>
      </c>
      <c r="EQT883" t="s">
        <v>1315</v>
      </c>
      <c r="EQU883">
        <v>-13667291</v>
      </c>
      <c r="EQV883" t="s">
        <v>619</v>
      </c>
      <c r="EQW883" t="s">
        <v>619</v>
      </c>
      <c r="EQX883" t="s">
        <v>619</v>
      </c>
      <c r="EQY883" t="s">
        <v>619</v>
      </c>
      <c r="FAP883" t="s">
        <v>1315</v>
      </c>
      <c r="FAQ883">
        <v>-13667291</v>
      </c>
      <c r="FAR883" t="s">
        <v>619</v>
      </c>
      <c r="FAS883" t="s">
        <v>619</v>
      </c>
      <c r="FAT883" t="s">
        <v>619</v>
      </c>
      <c r="FAU883" t="s">
        <v>619</v>
      </c>
      <c r="FKL883" t="s">
        <v>1315</v>
      </c>
      <c r="FKM883">
        <v>-13667291</v>
      </c>
      <c r="FKN883" t="s">
        <v>619</v>
      </c>
      <c r="FKO883" t="s">
        <v>619</v>
      </c>
      <c r="FKP883" t="s">
        <v>619</v>
      </c>
      <c r="FKQ883" t="s">
        <v>619</v>
      </c>
      <c r="FUH883" t="s">
        <v>1315</v>
      </c>
      <c r="FUI883">
        <v>-13667291</v>
      </c>
      <c r="FUJ883" t="s">
        <v>619</v>
      </c>
      <c r="FUK883" t="s">
        <v>619</v>
      </c>
      <c r="FUL883" t="s">
        <v>619</v>
      </c>
      <c r="FUM883" t="s">
        <v>619</v>
      </c>
      <c r="GED883" t="s">
        <v>1315</v>
      </c>
      <c r="GEE883">
        <v>-13667291</v>
      </c>
      <c r="GEF883" t="s">
        <v>619</v>
      </c>
      <c r="GEG883" t="s">
        <v>619</v>
      </c>
      <c r="GEH883" t="s">
        <v>619</v>
      </c>
      <c r="GEI883" t="s">
        <v>619</v>
      </c>
      <c r="GNZ883" t="s">
        <v>1315</v>
      </c>
      <c r="GOA883">
        <v>-13667291</v>
      </c>
      <c r="GOB883" t="s">
        <v>619</v>
      </c>
      <c r="GOC883" t="s">
        <v>619</v>
      </c>
      <c r="GOD883" t="s">
        <v>619</v>
      </c>
      <c r="GOE883" t="s">
        <v>619</v>
      </c>
      <c r="GXV883" t="s">
        <v>1315</v>
      </c>
      <c r="GXW883">
        <v>-13667291</v>
      </c>
      <c r="GXX883" t="s">
        <v>619</v>
      </c>
      <c r="GXY883" t="s">
        <v>619</v>
      </c>
      <c r="GXZ883" t="s">
        <v>619</v>
      </c>
      <c r="GYA883" t="s">
        <v>619</v>
      </c>
      <c r="HHR883" t="s">
        <v>1315</v>
      </c>
      <c r="HHS883">
        <v>-13667291</v>
      </c>
      <c r="HHT883" t="s">
        <v>619</v>
      </c>
      <c r="HHU883" t="s">
        <v>619</v>
      </c>
      <c r="HHV883" t="s">
        <v>619</v>
      </c>
      <c r="HHW883" t="s">
        <v>619</v>
      </c>
      <c r="HRN883" t="s">
        <v>1315</v>
      </c>
      <c r="HRO883">
        <v>-13667291</v>
      </c>
      <c r="HRP883" t="s">
        <v>619</v>
      </c>
      <c r="HRQ883" t="s">
        <v>619</v>
      </c>
      <c r="HRR883" t="s">
        <v>619</v>
      </c>
      <c r="HRS883" t="s">
        <v>619</v>
      </c>
      <c r="IBJ883" t="s">
        <v>1315</v>
      </c>
      <c r="IBK883">
        <v>-13667291</v>
      </c>
      <c r="IBL883" t="s">
        <v>619</v>
      </c>
      <c r="IBM883" t="s">
        <v>619</v>
      </c>
      <c r="IBN883" t="s">
        <v>619</v>
      </c>
      <c r="IBO883" t="s">
        <v>619</v>
      </c>
      <c r="ILF883" t="s">
        <v>1315</v>
      </c>
      <c r="ILG883">
        <v>-13667291</v>
      </c>
      <c r="ILH883" t="s">
        <v>619</v>
      </c>
      <c r="ILI883" t="s">
        <v>619</v>
      </c>
      <c r="ILJ883" t="s">
        <v>619</v>
      </c>
      <c r="ILK883" t="s">
        <v>619</v>
      </c>
      <c r="IVB883" t="s">
        <v>1315</v>
      </c>
      <c r="IVC883">
        <v>-13667291</v>
      </c>
      <c r="IVD883" t="s">
        <v>619</v>
      </c>
      <c r="IVE883" t="s">
        <v>619</v>
      </c>
      <c r="IVF883" t="s">
        <v>619</v>
      </c>
      <c r="IVG883" t="s">
        <v>619</v>
      </c>
      <c r="JEX883" t="s">
        <v>1315</v>
      </c>
      <c r="JEY883">
        <v>-13667291</v>
      </c>
      <c r="JEZ883" t="s">
        <v>619</v>
      </c>
      <c r="JFA883" t="s">
        <v>619</v>
      </c>
      <c r="JFB883" t="s">
        <v>619</v>
      </c>
      <c r="JFC883" t="s">
        <v>619</v>
      </c>
      <c r="JOT883" t="s">
        <v>1315</v>
      </c>
      <c r="JOU883">
        <v>-13667291</v>
      </c>
      <c r="JOV883" t="s">
        <v>619</v>
      </c>
      <c r="JOW883" t="s">
        <v>619</v>
      </c>
      <c r="JOX883" t="s">
        <v>619</v>
      </c>
      <c r="JOY883" t="s">
        <v>619</v>
      </c>
      <c r="JYP883" t="s">
        <v>1315</v>
      </c>
      <c r="JYQ883">
        <v>-13667291</v>
      </c>
      <c r="JYR883" t="s">
        <v>619</v>
      </c>
      <c r="JYS883" t="s">
        <v>619</v>
      </c>
      <c r="JYT883" t="s">
        <v>619</v>
      </c>
      <c r="JYU883" t="s">
        <v>619</v>
      </c>
      <c r="KIL883" t="s">
        <v>1315</v>
      </c>
      <c r="KIM883">
        <v>-13667291</v>
      </c>
      <c r="KIN883" t="s">
        <v>619</v>
      </c>
      <c r="KIO883" t="s">
        <v>619</v>
      </c>
      <c r="KIP883" t="s">
        <v>619</v>
      </c>
      <c r="KIQ883" t="s">
        <v>619</v>
      </c>
      <c r="KSH883" t="s">
        <v>1315</v>
      </c>
      <c r="KSI883">
        <v>-13667291</v>
      </c>
      <c r="KSJ883" t="s">
        <v>619</v>
      </c>
      <c r="KSK883" t="s">
        <v>619</v>
      </c>
      <c r="KSL883" t="s">
        <v>619</v>
      </c>
      <c r="KSM883" t="s">
        <v>619</v>
      </c>
      <c r="LCD883" t="s">
        <v>1315</v>
      </c>
      <c r="LCE883">
        <v>-13667291</v>
      </c>
      <c r="LCF883" t="s">
        <v>619</v>
      </c>
      <c r="LCG883" t="s">
        <v>619</v>
      </c>
      <c r="LCH883" t="s">
        <v>619</v>
      </c>
      <c r="LCI883" t="s">
        <v>619</v>
      </c>
      <c r="LLZ883" t="s">
        <v>1315</v>
      </c>
      <c r="LMA883">
        <v>-13667291</v>
      </c>
      <c r="LMB883" t="s">
        <v>619</v>
      </c>
      <c r="LMC883" t="s">
        <v>619</v>
      </c>
      <c r="LMD883" t="s">
        <v>619</v>
      </c>
      <c r="LME883" t="s">
        <v>619</v>
      </c>
      <c r="LVV883" t="s">
        <v>1315</v>
      </c>
      <c r="LVW883">
        <v>-13667291</v>
      </c>
      <c r="LVX883" t="s">
        <v>619</v>
      </c>
      <c r="LVY883" t="s">
        <v>619</v>
      </c>
      <c r="LVZ883" t="s">
        <v>619</v>
      </c>
      <c r="LWA883" t="s">
        <v>619</v>
      </c>
      <c r="MFR883" t="s">
        <v>1315</v>
      </c>
      <c r="MFS883">
        <v>-13667291</v>
      </c>
      <c r="MFT883" t="s">
        <v>619</v>
      </c>
      <c r="MFU883" t="s">
        <v>619</v>
      </c>
      <c r="MFV883" t="s">
        <v>619</v>
      </c>
      <c r="MFW883" t="s">
        <v>619</v>
      </c>
      <c r="MPN883" t="s">
        <v>1315</v>
      </c>
      <c r="MPO883">
        <v>-13667291</v>
      </c>
      <c r="MPP883" t="s">
        <v>619</v>
      </c>
      <c r="MPQ883" t="s">
        <v>619</v>
      </c>
      <c r="MPR883" t="s">
        <v>619</v>
      </c>
      <c r="MPS883" t="s">
        <v>619</v>
      </c>
      <c r="MZJ883" t="s">
        <v>1315</v>
      </c>
      <c r="MZK883">
        <v>-13667291</v>
      </c>
      <c r="MZL883" t="s">
        <v>619</v>
      </c>
      <c r="MZM883" t="s">
        <v>619</v>
      </c>
      <c r="MZN883" t="s">
        <v>619</v>
      </c>
      <c r="MZO883" t="s">
        <v>619</v>
      </c>
      <c r="NJF883" t="s">
        <v>1315</v>
      </c>
      <c r="NJG883">
        <v>-13667291</v>
      </c>
      <c r="NJH883" t="s">
        <v>619</v>
      </c>
      <c r="NJI883" t="s">
        <v>619</v>
      </c>
      <c r="NJJ883" t="s">
        <v>619</v>
      </c>
      <c r="NJK883" t="s">
        <v>619</v>
      </c>
      <c r="NTB883" t="s">
        <v>1315</v>
      </c>
      <c r="NTC883">
        <v>-13667291</v>
      </c>
      <c r="NTD883" t="s">
        <v>619</v>
      </c>
      <c r="NTE883" t="s">
        <v>619</v>
      </c>
      <c r="NTF883" t="s">
        <v>619</v>
      </c>
      <c r="NTG883" t="s">
        <v>619</v>
      </c>
      <c r="OCX883" t="s">
        <v>1315</v>
      </c>
      <c r="OCY883">
        <v>-13667291</v>
      </c>
      <c r="OCZ883" t="s">
        <v>619</v>
      </c>
      <c r="ODA883" t="s">
        <v>619</v>
      </c>
      <c r="ODB883" t="s">
        <v>619</v>
      </c>
      <c r="ODC883" t="s">
        <v>619</v>
      </c>
      <c r="OMT883" t="s">
        <v>1315</v>
      </c>
      <c r="OMU883">
        <v>-13667291</v>
      </c>
      <c r="OMV883" t="s">
        <v>619</v>
      </c>
      <c r="OMW883" t="s">
        <v>619</v>
      </c>
      <c r="OMX883" t="s">
        <v>619</v>
      </c>
      <c r="OMY883" t="s">
        <v>619</v>
      </c>
      <c r="OWP883" t="s">
        <v>1315</v>
      </c>
      <c r="OWQ883">
        <v>-13667291</v>
      </c>
      <c r="OWR883" t="s">
        <v>619</v>
      </c>
      <c r="OWS883" t="s">
        <v>619</v>
      </c>
      <c r="OWT883" t="s">
        <v>619</v>
      </c>
      <c r="OWU883" t="s">
        <v>619</v>
      </c>
      <c r="PGL883" t="s">
        <v>1315</v>
      </c>
      <c r="PGM883">
        <v>-13667291</v>
      </c>
      <c r="PGN883" t="s">
        <v>619</v>
      </c>
      <c r="PGO883" t="s">
        <v>619</v>
      </c>
      <c r="PGP883" t="s">
        <v>619</v>
      </c>
      <c r="PGQ883" t="s">
        <v>619</v>
      </c>
      <c r="PQH883" t="s">
        <v>1315</v>
      </c>
      <c r="PQI883">
        <v>-13667291</v>
      </c>
      <c r="PQJ883" t="s">
        <v>619</v>
      </c>
      <c r="PQK883" t="s">
        <v>619</v>
      </c>
      <c r="PQL883" t="s">
        <v>619</v>
      </c>
      <c r="PQM883" t="s">
        <v>619</v>
      </c>
      <c r="QAD883" t="s">
        <v>1315</v>
      </c>
      <c r="QAE883">
        <v>-13667291</v>
      </c>
      <c r="QAF883" t="s">
        <v>619</v>
      </c>
      <c r="QAG883" t="s">
        <v>619</v>
      </c>
      <c r="QAH883" t="s">
        <v>619</v>
      </c>
      <c r="QAI883" t="s">
        <v>619</v>
      </c>
      <c r="QJZ883" t="s">
        <v>1315</v>
      </c>
      <c r="QKA883">
        <v>-13667291</v>
      </c>
      <c r="QKB883" t="s">
        <v>619</v>
      </c>
      <c r="QKC883" t="s">
        <v>619</v>
      </c>
      <c r="QKD883" t="s">
        <v>619</v>
      </c>
      <c r="QKE883" t="s">
        <v>619</v>
      </c>
      <c r="QTV883" t="s">
        <v>1315</v>
      </c>
      <c r="QTW883">
        <v>-13667291</v>
      </c>
      <c r="QTX883" t="s">
        <v>619</v>
      </c>
      <c r="QTY883" t="s">
        <v>619</v>
      </c>
      <c r="QTZ883" t="s">
        <v>619</v>
      </c>
      <c r="QUA883" t="s">
        <v>619</v>
      </c>
      <c r="RDR883" t="s">
        <v>1315</v>
      </c>
      <c r="RDS883">
        <v>-13667291</v>
      </c>
      <c r="RDT883" t="s">
        <v>619</v>
      </c>
      <c r="RDU883" t="s">
        <v>619</v>
      </c>
      <c r="RDV883" t="s">
        <v>619</v>
      </c>
      <c r="RDW883" t="s">
        <v>619</v>
      </c>
      <c r="RNN883" t="s">
        <v>1315</v>
      </c>
      <c r="RNO883">
        <v>-13667291</v>
      </c>
      <c r="RNP883" t="s">
        <v>619</v>
      </c>
      <c r="RNQ883" t="s">
        <v>619</v>
      </c>
      <c r="RNR883" t="s">
        <v>619</v>
      </c>
      <c r="RNS883" t="s">
        <v>619</v>
      </c>
      <c r="RXJ883" t="s">
        <v>1315</v>
      </c>
      <c r="RXK883">
        <v>-13667291</v>
      </c>
      <c r="RXL883" t="s">
        <v>619</v>
      </c>
      <c r="RXM883" t="s">
        <v>619</v>
      </c>
      <c r="RXN883" t="s">
        <v>619</v>
      </c>
      <c r="RXO883" t="s">
        <v>619</v>
      </c>
      <c r="SHF883" t="s">
        <v>1315</v>
      </c>
      <c r="SHG883">
        <v>-13667291</v>
      </c>
      <c r="SHH883" t="s">
        <v>619</v>
      </c>
      <c r="SHI883" t="s">
        <v>619</v>
      </c>
      <c r="SHJ883" t="s">
        <v>619</v>
      </c>
      <c r="SHK883" t="s">
        <v>619</v>
      </c>
      <c r="SRB883" t="s">
        <v>1315</v>
      </c>
      <c r="SRC883">
        <v>-13667291</v>
      </c>
      <c r="SRD883" t="s">
        <v>619</v>
      </c>
      <c r="SRE883" t="s">
        <v>619</v>
      </c>
      <c r="SRF883" t="s">
        <v>619</v>
      </c>
      <c r="SRG883" t="s">
        <v>619</v>
      </c>
      <c r="TAX883" t="s">
        <v>1315</v>
      </c>
      <c r="TAY883">
        <v>-13667291</v>
      </c>
      <c r="TAZ883" t="s">
        <v>619</v>
      </c>
      <c r="TBA883" t="s">
        <v>619</v>
      </c>
      <c r="TBB883" t="s">
        <v>619</v>
      </c>
      <c r="TBC883" t="s">
        <v>619</v>
      </c>
      <c r="TKT883" t="s">
        <v>1315</v>
      </c>
      <c r="TKU883">
        <v>-13667291</v>
      </c>
      <c r="TKV883" t="s">
        <v>619</v>
      </c>
      <c r="TKW883" t="s">
        <v>619</v>
      </c>
      <c r="TKX883" t="s">
        <v>619</v>
      </c>
      <c r="TKY883" t="s">
        <v>619</v>
      </c>
      <c r="TUP883" t="s">
        <v>1315</v>
      </c>
      <c r="TUQ883">
        <v>-13667291</v>
      </c>
      <c r="TUR883" t="s">
        <v>619</v>
      </c>
      <c r="TUS883" t="s">
        <v>619</v>
      </c>
      <c r="TUT883" t="s">
        <v>619</v>
      </c>
      <c r="TUU883" t="s">
        <v>619</v>
      </c>
      <c r="UEL883" t="s">
        <v>1315</v>
      </c>
      <c r="UEM883">
        <v>-13667291</v>
      </c>
      <c r="UEN883" t="s">
        <v>619</v>
      </c>
      <c r="UEO883" t="s">
        <v>619</v>
      </c>
      <c r="UEP883" t="s">
        <v>619</v>
      </c>
      <c r="UEQ883" t="s">
        <v>619</v>
      </c>
      <c r="UOH883" t="s">
        <v>1315</v>
      </c>
      <c r="UOI883">
        <v>-13667291</v>
      </c>
      <c r="UOJ883" t="s">
        <v>619</v>
      </c>
      <c r="UOK883" t="s">
        <v>619</v>
      </c>
      <c r="UOL883" t="s">
        <v>619</v>
      </c>
      <c r="UOM883" t="s">
        <v>619</v>
      </c>
      <c r="UYD883" t="s">
        <v>1315</v>
      </c>
      <c r="UYE883">
        <v>-13667291</v>
      </c>
      <c r="UYF883" t="s">
        <v>619</v>
      </c>
      <c r="UYG883" t="s">
        <v>619</v>
      </c>
      <c r="UYH883" t="s">
        <v>619</v>
      </c>
      <c r="UYI883" t="s">
        <v>619</v>
      </c>
      <c r="VHZ883" t="s">
        <v>1315</v>
      </c>
      <c r="VIA883">
        <v>-13667291</v>
      </c>
      <c r="VIB883" t="s">
        <v>619</v>
      </c>
      <c r="VIC883" t="s">
        <v>619</v>
      </c>
      <c r="VID883" t="s">
        <v>619</v>
      </c>
      <c r="VIE883" t="s">
        <v>619</v>
      </c>
      <c r="VRV883" t="s">
        <v>1315</v>
      </c>
      <c r="VRW883">
        <v>-13667291</v>
      </c>
      <c r="VRX883" t="s">
        <v>619</v>
      </c>
      <c r="VRY883" t="s">
        <v>619</v>
      </c>
      <c r="VRZ883" t="s">
        <v>619</v>
      </c>
      <c r="VSA883" t="s">
        <v>619</v>
      </c>
      <c r="WBR883" t="s">
        <v>1315</v>
      </c>
      <c r="WBS883">
        <v>-13667291</v>
      </c>
      <c r="WBT883" t="s">
        <v>619</v>
      </c>
      <c r="WBU883" t="s">
        <v>619</v>
      </c>
      <c r="WBV883" t="s">
        <v>619</v>
      </c>
      <c r="WBW883" t="s">
        <v>619</v>
      </c>
      <c r="WLN883" t="s">
        <v>1315</v>
      </c>
      <c r="WLO883">
        <v>-13667291</v>
      </c>
      <c r="WLP883" t="s">
        <v>619</v>
      </c>
      <c r="WLQ883" t="s">
        <v>619</v>
      </c>
      <c r="WLR883" t="s">
        <v>619</v>
      </c>
      <c r="WLS883" t="s">
        <v>619</v>
      </c>
      <c r="WVJ883" t="s">
        <v>1315</v>
      </c>
      <c r="WVK883">
        <v>-13667291</v>
      </c>
      <c r="WVL883" t="s">
        <v>619</v>
      </c>
      <c r="WVM883" t="s">
        <v>619</v>
      </c>
      <c r="WVN883" t="s">
        <v>619</v>
      </c>
      <c r="WVO883" t="s">
        <v>619</v>
      </c>
    </row>
    <row r="884" spans="1:775 1026:1799 2050:2823 3074:3847 4098:4871 5122:5895 6146:6919 7170:7943 8194:8967 9218:9991 10242:11015 11266:12039 12290:13063 13314:14087 14338:15111 15362:16135">
      <c r="A884" s="96" t="s">
        <v>1316</v>
      </c>
      <c r="C884" s="100">
        <v>-63297</v>
      </c>
      <c r="D884" s="100">
        <v>-126590</v>
      </c>
      <c r="E884" s="100">
        <v>-311670</v>
      </c>
      <c r="F884" s="100">
        <v>-6586579</v>
      </c>
      <c r="G884" s="100">
        <v>-279355</v>
      </c>
      <c r="H884" s="100"/>
      <c r="IX884" t="s">
        <v>1316</v>
      </c>
      <c r="IY884">
        <v>-63297</v>
      </c>
      <c r="IZ884">
        <v>-126590</v>
      </c>
      <c r="JA884">
        <v>-311670</v>
      </c>
      <c r="JB884">
        <v>-6586579</v>
      </c>
      <c r="JC884">
        <v>-279355</v>
      </c>
      <c r="ST884" t="s">
        <v>1316</v>
      </c>
      <c r="SU884">
        <v>-63297</v>
      </c>
      <c r="SV884">
        <v>-126590</v>
      </c>
      <c r="SW884">
        <v>-311670</v>
      </c>
      <c r="SX884">
        <v>-6586579</v>
      </c>
      <c r="SY884">
        <v>-279355</v>
      </c>
      <c r="ACP884" t="s">
        <v>1316</v>
      </c>
      <c r="ACQ884">
        <v>-63297</v>
      </c>
      <c r="ACR884">
        <v>-126590</v>
      </c>
      <c r="ACS884">
        <v>-311670</v>
      </c>
      <c r="ACT884">
        <v>-6586579</v>
      </c>
      <c r="ACU884">
        <v>-279355</v>
      </c>
      <c r="AML884" t="s">
        <v>1316</v>
      </c>
      <c r="AMM884">
        <v>-63297</v>
      </c>
      <c r="AMN884">
        <v>-126590</v>
      </c>
      <c r="AMO884">
        <v>-311670</v>
      </c>
      <c r="AMP884">
        <v>-6586579</v>
      </c>
      <c r="AMQ884">
        <v>-279355</v>
      </c>
      <c r="AWH884" t="s">
        <v>1316</v>
      </c>
      <c r="AWI884">
        <v>-63297</v>
      </c>
      <c r="AWJ884">
        <v>-126590</v>
      </c>
      <c r="AWK884">
        <v>-311670</v>
      </c>
      <c r="AWL884">
        <v>-6586579</v>
      </c>
      <c r="AWM884">
        <v>-279355</v>
      </c>
      <c r="BGD884" t="s">
        <v>1316</v>
      </c>
      <c r="BGE884">
        <v>-63297</v>
      </c>
      <c r="BGF884">
        <v>-126590</v>
      </c>
      <c r="BGG884">
        <v>-311670</v>
      </c>
      <c r="BGH884">
        <v>-6586579</v>
      </c>
      <c r="BGI884">
        <v>-279355</v>
      </c>
      <c r="BPZ884" t="s">
        <v>1316</v>
      </c>
      <c r="BQA884">
        <v>-63297</v>
      </c>
      <c r="BQB884">
        <v>-126590</v>
      </c>
      <c r="BQC884">
        <v>-311670</v>
      </c>
      <c r="BQD884">
        <v>-6586579</v>
      </c>
      <c r="BQE884">
        <v>-279355</v>
      </c>
      <c r="BZV884" t="s">
        <v>1316</v>
      </c>
      <c r="BZW884">
        <v>-63297</v>
      </c>
      <c r="BZX884">
        <v>-126590</v>
      </c>
      <c r="BZY884">
        <v>-311670</v>
      </c>
      <c r="BZZ884">
        <v>-6586579</v>
      </c>
      <c r="CAA884">
        <v>-279355</v>
      </c>
      <c r="CJR884" t="s">
        <v>1316</v>
      </c>
      <c r="CJS884">
        <v>-63297</v>
      </c>
      <c r="CJT884">
        <v>-126590</v>
      </c>
      <c r="CJU884">
        <v>-311670</v>
      </c>
      <c r="CJV884">
        <v>-6586579</v>
      </c>
      <c r="CJW884">
        <v>-279355</v>
      </c>
      <c r="CTN884" t="s">
        <v>1316</v>
      </c>
      <c r="CTO884">
        <v>-63297</v>
      </c>
      <c r="CTP884">
        <v>-126590</v>
      </c>
      <c r="CTQ884">
        <v>-311670</v>
      </c>
      <c r="CTR884">
        <v>-6586579</v>
      </c>
      <c r="CTS884">
        <v>-279355</v>
      </c>
      <c r="DDJ884" t="s">
        <v>1316</v>
      </c>
      <c r="DDK884">
        <v>-63297</v>
      </c>
      <c r="DDL884">
        <v>-126590</v>
      </c>
      <c r="DDM884">
        <v>-311670</v>
      </c>
      <c r="DDN884">
        <v>-6586579</v>
      </c>
      <c r="DDO884">
        <v>-279355</v>
      </c>
      <c r="DNF884" t="s">
        <v>1316</v>
      </c>
      <c r="DNG884">
        <v>-63297</v>
      </c>
      <c r="DNH884">
        <v>-126590</v>
      </c>
      <c r="DNI884">
        <v>-311670</v>
      </c>
      <c r="DNJ884">
        <v>-6586579</v>
      </c>
      <c r="DNK884">
        <v>-279355</v>
      </c>
      <c r="DXB884" t="s">
        <v>1316</v>
      </c>
      <c r="DXC884">
        <v>-63297</v>
      </c>
      <c r="DXD884">
        <v>-126590</v>
      </c>
      <c r="DXE884">
        <v>-311670</v>
      </c>
      <c r="DXF884">
        <v>-6586579</v>
      </c>
      <c r="DXG884">
        <v>-279355</v>
      </c>
      <c r="EGX884" t="s">
        <v>1316</v>
      </c>
      <c r="EGY884">
        <v>-63297</v>
      </c>
      <c r="EGZ884">
        <v>-126590</v>
      </c>
      <c r="EHA884">
        <v>-311670</v>
      </c>
      <c r="EHB884">
        <v>-6586579</v>
      </c>
      <c r="EHC884">
        <v>-279355</v>
      </c>
      <c r="EQT884" t="s">
        <v>1316</v>
      </c>
      <c r="EQU884">
        <v>-63297</v>
      </c>
      <c r="EQV884">
        <v>-126590</v>
      </c>
      <c r="EQW884">
        <v>-311670</v>
      </c>
      <c r="EQX884">
        <v>-6586579</v>
      </c>
      <c r="EQY884">
        <v>-279355</v>
      </c>
      <c r="FAP884" t="s">
        <v>1316</v>
      </c>
      <c r="FAQ884">
        <v>-63297</v>
      </c>
      <c r="FAR884">
        <v>-126590</v>
      </c>
      <c r="FAS884">
        <v>-311670</v>
      </c>
      <c r="FAT884">
        <v>-6586579</v>
      </c>
      <c r="FAU884">
        <v>-279355</v>
      </c>
      <c r="FKL884" t="s">
        <v>1316</v>
      </c>
      <c r="FKM884">
        <v>-63297</v>
      </c>
      <c r="FKN884">
        <v>-126590</v>
      </c>
      <c r="FKO884">
        <v>-311670</v>
      </c>
      <c r="FKP884">
        <v>-6586579</v>
      </c>
      <c r="FKQ884">
        <v>-279355</v>
      </c>
      <c r="FUH884" t="s">
        <v>1316</v>
      </c>
      <c r="FUI884">
        <v>-63297</v>
      </c>
      <c r="FUJ884">
        <v>-126590</v>
      </c>
      <c r="FUK884">
        <v>-311670</v>
      </c>
      <c r="FUL884">
        <v>-6586579</v>
      </c>
      <c r="FUM884">
        <v>-279355</v>
      </c>
      <c r="GED884" t="s">
        <v>1316</v>
      </c>
      <c r="GEE884">
        <v>-63297</v>
      </c>
      <c r="GEF884">
        <v>-126590</v>
      </c>
      <c r="GEG884">
        <v>-311670</v>
      </c>
      <c r="GEH884">
        <v>-6586579</v>
      </c>
      <c r="GEI884">
        <v>-279355</v>
      </c>
      <c r="GNZ884" t="s">
        <v>1316</v>
      </c>
      <c r="GOA884">
        <v>-63297</v>
      </c>
      <c r="GOB884">
        <v>-126590</v>
      </c>
      <c r="GOC884">
        <v>-311670</v>
      </c>
      <c r="GOD884">
        <v>-6586579</v>
      </c>
      <c r="GOE884">
        <v>-279355</v>
      </c>
      <c r="GXV884" t="s">
        <v>1316</v>
      </c>
      <c r="GXW884">
        <v>-63297</v>
      </c>
      <c r="GXX884">
        <v>-126590</v>
      </c>
      <c r="GXY884">
        <v>-311670</v>
      </c>
      <c r="GXZ884">
        <v>-6586579</v>
      </c>
      <c r="GYA884">
        <v>-279355</v>
      </c>
      <c r="HHR884" t="s">
        <v>1316</v>
      </c>
      <c r="HHS884">
        <v>-63297</v>
      </c>
      <c r="HHT884">
        <v>-126590</v>
      </c>
      <c r="HHU884">
        <v>-311670</v>
      </c>
      <c r="HHV884">
        <v>-6586579</v>
      </c>
      <c r="HHW884">
        <v>-279355</v>
      </c>
      <c r="HRN884" t="s">
        <v>1316</v>
      </c>
      <c r="HRO884">
        <v>-63297</v>
      </c>
      <c r="HRP884">
        <v>-126590</v>
      </c>
      <c r="HRQ884">
        <v>-311670</v>
      </c>
      <c r="HRR884">
        <v>-6586579</v>
      </c>
      <c r="HRS884">
        <v>-279355</v>
      </c>
      <c r="IBJ884" t="s">
        <v>1316</v>
      </c>
      <c r="IBK884">
        <v>-63297</v>
      </c>
      <c r="IBL884">
        <v>-126590</v>
      </c>
      <c r="IBM884">
        <v>-311670</v>
      </c>
      <c r="IBN884">
        <v>-6586579</v>
      </c>
      <c r="IBO884">
        <v>-279355</v>
      </c>
      <c r="ILF884" t="s">
        <v>1316</v>
      </c>
      <c r="ILG884">
        <v>-63297</v>
      </c>
      <c r="ILH884">
        <v>-126590</v>
      </c>
      <c r="ILI884">
        <v>-311670</v>
      </c>
      <c r="ILJ884">
        <v>-6586579</v>
      </c>
      <c r="ILK884">
        <v>-279355</v>
      </c>
      <c r="IVB884" t="s">
        <v>1316</v>
      </c>
      <c r="IVC884">
        <v>-63297</v>
      </c>
      <c r="IVD884">
        <v>-126590</v>
      </c>
      <c r="IVE884">
        <v>-311670</v>
      </c>
      <c r="IVF884">
        <v>-6586579</v>
      </c>
      <c r="IVG884">
        <v>-279355</v>
      </c>
      <c r="JEX884" t="s">
        <v>1316</v>
      </c>
      <c r="JEY884">
        <v>-63297</v>
      </c>
      <c r="JEZ884">
        <v>-126590</v>
      </c>
      <c r="JFA884">
        <v>-311670</v>
      </c>
      <c r="JFB884">
        <v>-6586579</v>
      </c>
      <c r="JFC884">
        <v>-279355</v>
      </c>
      <c r="JOT884" t="s">
        <v>1316</v>
      </c>
      <c r="JOU884">
        <v>-63297</v>
      </c>
      <c r="JOV884">
        <v>-126590</v>
      </c>
      <c r="JOW884">
        <v>-311670</v>
      </c>
      <c r="JOX884">
        <v>-6586579</v>
      </c>
      <c r="JOY884">
        <v>-279355</v>
      </c>
      <c r="JYP884" t="s">
        <v>1316</v>
      </c>
      <c r="JYQ884">
        <v>-63297</v>
      </c>
      <c r="JYR884">
        <v>-126590</v>
      </c>
      <c r="JYS884">
        <v>-311670</v>
      </c>
      <c r="JYT884">
        <v>-6586579</v>
      </c>
      <c r="JYU884">
        <v>-279355</v>
      </c>
      <c r="KIL884" t="s">
        <v>1316</v>
      </c>
      <c r="KIM884">
        <v>-63297</v>
      </c>
      <c r="KIN884">
        <v>-126590</v>
      </c>
      <c r="KIO884">
        <v>-311670</v>
      </c>
      <c r="KIP884">
        <v>-6586579</v>
      </c>
      <c r="KIQ884">
        <v>-279355</v>
      </c>
      <c r="KSH884" t="s">
        <v>1316</v>
      </c>
      <c r="KSI884">
        <v>-63297</v>
      </c>
      <c r="KSJ884">
        <v>-126590</v>
      </c>
      <c r="KSK884">
        <v>-311670</v>
      </c>
      <c r="KSL884">
        <v>-6586579</v>
      </c>
      <c r="KSM884">
        <v>-279355</v>
      </c>
      <c r="LCD884" t="s">
        <v>1316</v>
      </c>
      <c r="LCE884">
        <v>-63297</v>
      </c>
      <c r="LCF884">
        <v>-126590</v>
      </c>
      <c r="LCG884">
        <v>-311670</v>
      </c>
      <c r="LCH884">
        <v>-6586579</v>
      </c>
      <c r="LCI884">
        <v>-279355</v>
      </c>
      <c r="LLZ884" t="s">
        <v>1316</v>
      </c>
      <c r="LMA884">
        <v>-63297</v>
      </c>
      <c r="LMB884">
        <v>-126590</v>
      </c>
      <c r="LMC884">
        <v>-311670</v>
      </c>
      <c r="LMD884">
        <v>-6586579</v>
      </c>
      <c r="LME884">
        <v>-279355</v>
      </c>
      <c r="LVV884" t="s">
        <v>1316</v>
      </c>
      <c r="LVW884">
        <v>-63297</v>
      </c>
      <c r="LVX884">
        <v>-126590</v>
      </c>
      <c r="LVY884">
        <v>-311670</v>
      </c>
      <c r="LVZ884">
        <v>-6586579</v>
      </c>
      <c r="LWA884">
        <v>-279355</v>
      </c>
      <c r="MFR884" t="s">
        <v>1316</v>
      </c>
      <c r="MFS884">
        <v>-63297</v>
      </c>
      <c r="MFT884">
        <v>-126590</v>
      </c>
      <c r="MFU884">
        <v>-311670</v>
      </c>
      <c r="MFV884">
        <v>-6586579</v>
      </c>
      <c r="MFW884">
        <v>-279355</v>
      </c>
      <c r="MPN884" t="s">
        <v>1316</v>
      </c>
      <c r="MPO884">
        <v>-63297</v>
      </c>
      <c r="MPP884">
        <v>-126590</v>
      </c>
      <c r="MPQ884">
        <v>-311670</v>
      </c>
      <c r="MPR884">
        <v>-6586579</v>
      </c>
      <c r="MPS884">
        <v>-279355</v>
      </c>
      <c r="MZJ884" t="s">
        <v>1316</v>
      </c>
      <c r="MZK884">
        <v>-63297</v>
      </c>
      <c r="MZL884">
        <v>-126590</v>
      </c>
      <c r="MZM884">
        <v>-311670</v>
      </c>
      <c r="MZN884">
        <v>-6586579</v>
      </c>
      <c r="MZO884">
        <v>-279355</v>
      </c>
      <c r="NJF884" t="s">
        <v>1316</v>
      </c>
      <c r="NJG884">
        <v>-63297</v>
      </c>
      <c r="NJH884">
        <v>-126590</v>
      </c>
      <c r="NJI884">
        <v>-311670</v>
      </c>
      <c r="NJJ884">
        <v>-6586579</v>
      </c>
      <c r="NJK884">
        <v>-279355</v>
      </c>
      <c r="NTB884" t="s">
        <v>1316</v>
      </c>
      <c r="NTC884">
        <v>-63297</v>
      </c>
      <c r="NTD884">
        <v>-126590</v>
      </c>
      <c r="NTE884">
        <v>-311670</v>
      </c>
      <c r="NTF884">
        <v>-6586579</v>
      </c>
      <c r="NTG884">
        <v>-279355</v>
      </c>
      <c r="OCX884" t="s">
        <v>1316</v>
      </c>
      <c r="OCY884">
        <v>-63297</v>
      </c>
      <c r="OCZ884">
        <v>-126590</v>
      </c>
      <c r="ODA884">
        <v>-311670</v>
      </c>
      <c r="ODB884">
        <v>-6586579</v>
      </c>
      <c r="ODC884">
        <v>-279355</v>
      </c>
      <c r="OMT884" t="s">
        <v>1316</v>
      </c>
      <c r="OMU884">
        <v>-63297</v>
      </c>
      <c r="OMV884">
        <v>-126590</v>
      </c>
      <c r="OMW884">
        <v>-311670</v>
      </c>
      <c r="OMX884">
        <v>-6586579</v>
      </c>
      <c r="OMY884">
        <v>-279355</v>
      </c>
      <c r="OWP884" t="s">
        <v>1316</v>
      </c>
      <c r="OWQ884">
        <v>-63297</v>
      </c>
      <c r="OWR884">
        <v>-126590</v>
      </c>
      <c r="OWS884">
        <v>-311670</v>
      </c>
      <c r="OWT884">
        <v>-6586579</v>
      </c>
      <c r="OWU884">
        <v>-279355</v>
      </c>
      <c r="PGL884" t="s">
        <v>1316</v>
      </c>
      <c r="PGM884">
        <v>-63297</v>
      </c>
      <c r="PGN884">
        <v>-126590</v>
      </c>
      <c r="PGO884">
        <v>-311670</v>
      </c>
      <c r="PGP884">
        <v>-6586579</v>
      </c>
      <c r="PGQ884">
        <v>-279355</v>
      </c>
      <c r="PQH884" t="s">
        <v>1316</v>
      </c>
      <c r="PQI884">
        <v>-63297</v>
      </c>
      <c r="PQJ884">
        <v>-126590</v>
      </c>
      <c r="PQK884">
        <v>-311670</v>
      </c>
      <c r="PQL884">
        <v>-6586579</v>
      </c>
      <c r="PQM884">
        <v>-279355</v>
      </c>
      <c r="QAD884" t="s">
        <v>1316</v>
      </c>
      <c r="QAE884">
        <v>-63297</v>
      </c>
      <c r="QAF884">
        <v>-126590</v>
      </c>
      <c r="QAG884">
        <v>-311670</v>
      </c>
      <c r="QAH884">
        <v>-6586579</v>
      </c>
      <c r="QAI884">
        <v>-279355</v>
      </c>
      <c r="QJZ884" t="s">
        <v>1316</v>
      </c>
      <c r="QKA884">
        <v>-63297</v>
      </c>
      <c r="QKB884">
        <v>-126590</v>
      </c>
      <c r="QKC884">
        <v>-311670</v>
      </c>
      <c r="QKD884">
        <v>-6586579</v>
      </c>
      <c r="QKE884">
        <v>-279355</v>
      </c>
      <c r="QTV884" t="s">
        <v>1316</v>
      </c>
      <c r="QTW884">
        <v>-63297</v>
      </c>
      <c r="QTX884">
        <v>-126590</v>
      </c>
      <c r="QTY884">
        <v>-311670</v>
      </c>
      <c r="QTZ884">
        <v>-6586579</v>
      </c>
      <c r="QUA884">
        <v>-279355</v>
      </c>
      <c r="RDR884" t="s">
        <v>1316</v>
      </c>
      <c r="RDS884">
        <v>-63297</v>
      </c>
      <c r="RDT884">
        <v>-126590</v>
      </c>
      <c r="RDU884">
        <v>-311670</v>
      </c>
      <c r="RDV884">
        <v>-6586579</v>
      </c>
      <c r="RDW884">
        <v>-279355</v>
      </c>
      <c r="RNN884" t="s">
        <v>1316</v>
      </c>
      <c r="RNO884">
        <v>-63297</v>
      </c>
      <c r="RNP884">
        <v>-126590</v>
      </c>
      <c r="RNQ884">
        <v>-311670</v>
      </c>
      <c r="RNR884">
        <v>-6586579</v>
      </c>
      <c r="RNS884">
        <v>-279355</v>
      </c>
      <c r="RXJ884" t="s">
        <v>1316</v>
      </c>
      <c r="RXK884">
        <v>-63297</v>
      </c>
      <c r="RXL884">
        <v>-126590</v>
      </c>
      <c r="RXM884">
        <v>-311670</v>
      </c>
      <c r="RXN884">
        <v>-6586579</v>
      </c>
      <c r="RXO884">
        <v>-279355</v>
      </c>
      <c r="SHF884" t="s">
        <v>1316</v>
      </c>
      <c r="SHG884">
        <v>-63297</v>
      </c>
      <c r="SHH884">
        <v>-126590</v>
      </c>
      <c r="SHI884">
        <v>-311670</v>
      </c>
      <c r="SHJ884">
        <v>-6586579</v>
      </c>
      <c r="SHK884">
        <v>-279355</v>
      </c>
      <c r="SRB884" t="s">
        <v>1316</v>
      </c>
      <c r="SRC884">
        <v>-63297</v>
      </c>
      <c r="SRD884">
        <v>-126590</v>
      </c>
      <c r="SRE884">
        <v>-311670</v>
      </c>
      <c r="SRF884">
        <v>-6586579</v>
      </c>
      <c r="SRG884">
        <v>-279355</v>
      </c>
      <c r="TAX884" t="s">
        <v>1316</v>
      </c>
      <c r="TAY884">
        <v>-63297</v>
      </c>
      <c r="TAZ884">
        <v>-126590</v>
      </c>
      <c r="TBA884">
        <v>-311670</v>
      </c>
      <c r="TBB884">
        <v>-6586579</v>
      </c>
      <c r="TBC884">
        <v>-279355</v>
      </c>
      <c r="TKT884" t="s">
        <v>1316</v>
      </c>
      <c r="TKU884">
        <v>-63297</v>
      </c>
      <c r="TKV884">
        <v>-126590</v>
      </c>
      <c r="TKW884">
        <v>-311670</v>
      </c>
      <c r="TKX884">
        <v>-6586579</v>
      </c>
      <c r="TKY884">
        <v>-279355</v>
      </c>
      <c r="TUP884" t="s">
        <v>1316</v>
      </c>
      <c r="TUQ884">
        <v>-63297</v>
      </c>
      <c r="TUR884">
        <v>-126590</v>
      </c>
      <c r="TUS884">
        <v>-311670</v>
      </c>
      <c r="TUT884">
        <v>-6586579</v>
      </c>
      <c r="TUU884">
        <v>-279355</v>
      </c>
      <c r="UEL884" t="s">
        <v>1316</v>
      </c>
      <c r="UEM884">
        <v>-63297</v>
      </c>
      <c r="UEN884">
        <v>-126590</v>
      </c>
      <c r="UEO884">
        <v>-311670</v>
      </c>
      <c r="UEP884">
        <v>-6586579</v>
      </c>
      <c r="UEQ884">
        <v>-279355</v>
      </c>
      <c r="UOH884" t="s">
        <v>1316</v>
      </c>
      <c r="UOI884">
        <v>-63297</v>
      </c>
      <c r="UOJ884">
        <v>-126590</v>
      </c>
      <c r="UOK884">
        <v>-311670</v>
      </c>
      <c r="UOL884">
        <v>-6586579</v>
      </c>
      <c r="UOM884">
        <v>-279355</v>
      </c>
      <c r="UYD884" t="s">
        <v>1316</v>
      </c>
      <c r="UYE884">
        <v>-63297</v>
      </c>
      <c r="UYF884">
        <v>-126590</v>
      </c>
      <c r="UYG884">
        <v>-311670</v>
      </c>
      <c r="UYH884">
        <v>-6586579</v>
      </c>
      <c r="UYI884">
        <v>-279355</v>
      </c>
      <c r="VHZ884" t="s">
        <v>1316</v>
      </c>
      <c r="VIA884">
        <v>-63297</v>
      </c>
      <c r="VIB884">
        <v>-126590</v>
      </c>
      <c r="VIC884">
        <v>-311670</v>
      </c>
      <c r="VID884">
        <v>-6586579</v>
      </c>
      <c r="VIE884">
        <v>-279355</v>
      </c>
      <c r="VRV884" t="s">
        <v>1316</v>
      </c>
      <c r="VRW884">
        <v>-63297</v>
      </c>
      <c r="VRX884">
        <v>-126590</v>
      </c>
      <c r="VRY884">
        <v>-311670</v>
      </c>
      <c r="VRZ884">
        <v>-6586579</v>
      </c>
      <c r="VSA884">
        <v>-279355</v>
      </c>
      <c r="WBR884" t="s">
        <v>1316</v>
      </c>
      <c r="WBS884">
        <v>-63297</v>
      </c>
      <c r="WBT884">
        <v>-126590</v>
      </c>
      <c r="WBU884">
        <v>-311670</v>
      </c>
      <c r="WBV884">
        <v>-6586579</v>
      </c>
      <c r="WBW884">
        <v>-279355</v>
      </c>
      <c r="WLN884" t="s">
        <v>1316</v>
      </c>
      <c r="WLO884">
        <v>-63297</v>
      </c>
      <c r="WLP884">
        <v>-126590</v>
      </c>
      <c r="WLQ884">
        <v>-311670</v>
      </c>
      <c r="WLR884">
        <v>-6586579</v>
      </c>
      <c r="WLS884">
        <v>-279355</v>
      </c>
      <c r="WVJ884" t="s">
        <v>1316</v>
      </c>
      <c r="WVK884">
        <v>-63297</v>
      </c>
      <c r="WVL884">
        <v>-126590</v>
      </c>
      <c r="WVM884">
        <v>-311670</v>
      </c>
      <c r="WVN884">
        <v>-6586579</v>
      </c>
      <c r="WVO884">
        <v>-279355</v>
      </c>
    </row>
    <row r="885" spans="1:775 1026:1799 2050:2823 3074:3847 4098:4871 5122:5895 6146:6919 7170:7943 8194:8967 9218:9991 10242:11015 11266:12039 12290:13063 13314:14087 14338:15111 15362:16135">
      <c r="A885" s="96" t="s">
        <v>682</v>
      </c>
      <c r="C885" s="100">
        <v>41705</v>
      </c>
      <c r="D885" s="100">
        <v>9141</v>
      </c>
      <c r="E885" s="100">
        <v>4962</v>
      </c>
      <c r="F885" s="100">
        <v>31219</v>
      </c>
      <c r="G885" s="100">
        <v>157014</v>
      </c>
      <c r="H885" s="100"/>
      <c r="IX885" t="s">
        <v>682</v>
      </c>
      <c r="IY885">
        <v>41705</v>
      </c>
      <c r="IZ885">
        <v>9141</v>
      </c>
      <c r="JA885">
        <v>4962</v>
      </c>
      <c r="JB885">
        <v>31219</v>
      </c>
      <c r="JC885">
        <v>157014</v>
      </c>
      <c r="ST885" t="s">
        <v>682</v>
      </c>
      <c r="SU885">
        <v>41705</v>
      </c>
      <c r="SV885">
        <v>9141</v>
      </c>
      <c r="SW885">
        <v>4962</v>
      </c>
      <c r="SX885">
        <v>31219</v>
      </c>
      <c r="SY885">
        <v>157014</v>
      </c>
      <c r="ACP885" t="s">
        <v>682</v>
      </c>
      <c r="ACQ885">
        <v>41705</v>
      </c>
      <c r="ACR885">
        <v>9141</v>
      </c>
      <c r="ACS885">
        <v>4962</v>
      </c>
      <c r="ACT885">
        <v>31219</v>
      </c>
      <c r="ACU885">
        <v>157014</v>
      </c>
      <c r="AML885" t="s">
        <v>682</v>
      </c>
      <c r="AMM885">
        <v>41705</v>
      </c>
      <c r="AMN885">
        <v>9141</v>
      </c>
      <c r="AMO885">
        <v>4962</v>
      </c>
      <c r="AMP885">
        <v>31219</v>
      </c>
      <c r="AMQ885">
        <v>157014</v>
      </c>
      <c r="AWH885" t="s">
        <v>682</v>
      </c>
      <c r="AWI885">
        <v>41705</v>
      </c>
      <c r="AWJ885">
        <v>9141</v>
      </c>
      <c r="AWK885">
        <v>4962</v>
      </c>
      <c r="AWL885">
        <v>31219</v>
      </c>
      <c r="AWM885">
        <v>157014</v>
      </c>
      <c r="BGD885" t="s">
        <v>682</v>
      </c>
      <c r="BGE885">
        <v>41705</v>
      </c>
      <c r="BGF885">
        <v>9141</v>
      </c>
      <c r="BGG885">
        <v>4962</v>
      </c>
      <c r="BGH885">
        <v>31219</v>
      </c>
      <c r="BGI885">
        <v>157014</v>
      </c>
      <c r="BPZ885" t="s">
        <v>682</v>
      </c>
      <c r="BQA885">
        <v>41705</v>
      </c>
      <c r="BQB885">
        <v>9141</v>
      </c>
      <c r="BQC885">
        <v>4962</v>
      </c>
      <c r="BQD885">
        <v>31219</v>
      </c>
      <c r="BQE885">
        <v>157014</v>
      </c>
      <c r="BZV885" t="s">
        <v>682</v>
      </c>
      <c r="BZW885">
        <v>41705</v>
      </c>
      <c r="BZX885">
        <v>9141</v>
      </c>
      <c r="BZY885">
        <v>4962</v>
      </c>
      <c r="BZZ885">
        <v>31219</v>
      </c>
      <c r="CAA885">
        <v>157014</v>
      </c>
      <c r="CJR885" t="s">
        <v>682</v>
      </c>
      <c r="CJS885">
        <v>41705</v>
      </c>
      <c r="CJT885">
        <v>9141</v>
      </c>
      <c r="CJU885">
        <v>4962</v>
      </c>
      <c r="CJV885">
        <v>31219</v>
      </c>
      <c r="CJW885">
        <v>157014</v>
      </c>
      <c r="CTN885" t="s">
        <v>682</v>
      </c>
      <c r="CTO885">
        <v>41705</v>
      </c>
      <c r="CTP885">
        <v>9141</v>
      </c>
      <c r="CTQ885">
        <v>4962</v>
      </c>
      <c r="CTR885">
        <v>31219</v>
      </c>
      <c r="CTS885">
        <v>157014</v>
      </c>
      <c r="DDJ885" t="s">
        <v>682</v>
      </c>
      <c r="DDK885">
        <v>41705</v>
      </c>
      <c r="DDL885">
        <v>9141</v>
      </c>
      <c r="DDM885">
        <v>4962</v>
      </c>
      <c r="DDN885">
        <v>31219</v>
      </c>
      <c r="DDO885">
        <v>157014</v>
      </c>
      <c r="DNF885" t="s">
        <v>682</v>
      </c>
      <c r="DNG885">
        <v>41705</v>
      </c>
      <c r="DNH885">
        <v>9141</v>
      </c>
      <c r="DNI885">
        <v>4962</v>
      </c>
      <c r="DNJ885">
        <v>31219</v>
      </c>
      <c r="DNK885">
        <v>157014</v>
      </c>
      <c r="DXB885" t="s">
        <v>682</v>
      </c>
      <c r="DXC885">
        <v>41705</v>
      </c>
      <c r="DXD885">
        <v>9141</v>
      </c>
      <c r="DXE885">
        <v>4962</v>
      </c>
      <c r="DXF885">
        <v>31219</v>
      </c>
      <c r="DXG885">
        <v>157014</v>
      </c>
      <c r="EGX885" t="s">
        <v>682</v>
      </c>
      <c r="EGY885">
        <v>41705</v>
      </c>
      <c r="EGZ885">
        <v>9141</v>
      </c>
      <c r="EHA885">
        <v>4962</v>
      </c>
      <c r="EHB885">
        <v>31219</v>
      </c>
      <c r="EHC885">
        <v>157014</v>
      </c>
      <c r="EQT885" t="s">
        <v>682</v>
      </c>
      <c r="EQU885">
        <v>41705</v>
      </c>
      <c r="EQV885">
        <v>9141</v>
      </c>
      <c r="EQW885">
        <v>4962</v>
      </c>
      <c r="EQX885">
        <v>31219</v>
      </c>
      <c r="EQY885">
        <v>157014</v>
      </c>
      <c r="FAP885" t="s">
        <v>682</v>
      </c>
      <c r="FAQ885">
        <v>41705</v>
      </c>
      <c r="FAR885">
        <v>9141</v>
      </c>
      <c r="FAS885">
        <v>4962</v>
      </c>
      <c r="FAT885">
        <v>31219</v>
      </c>
      <c r="FAU885">
        <v>157014</v>
      </c>
      <c r="FKL885" t="s">
        <v>682</v>
      </c>
      <c r="FKM885">
        <v>41705</v>
      </c>
      <c r="FKN885">
        <v>9141</v>
      </c>
      <c r="FKO885">
        <v>4962</v>
      </c>
      <c r="FKP885">
        <v>31219</v>
      </c>
      <c r="FKQ885">
        <v>157014</v>
      </c>
      <c r="FUH885" t="s">
        <v>682</v>
      </c>
      <c r="FUI885">
        <v>41705</v>
      </c>
      <c r="FUJ885">
        <v>9141</v>
      </c>
      <c r="FUK885">
        <v>4962</v>
      </c>
      <c r="FUL885">
        <v>31219</v>
      </c>
      <c r="FUM885">
        <v>157014</v>
      </c>
      <c r="GED885" t="s">
        <v>682</v>
      </c>
      <c r="GEE885">
        <v>41705</v>
      </c>
      <c r="GEF885">
        <v>9141</v>
      </c>
      <c r="GEG885">
        <v>4962</v>
      </c>
      <c r="GEH885">
        <v>31219</v>
      </c>
      <c r="GEI885">
        <v>157014</v>
      </c>
      <c r="GNZ885" t="s">
        <v>682</v>
      </c>
      <c r="GOA885">
        <v>41705</v>
      </c>
      <c r="GOB885">
        <v>9141</v>
      </c>
      <c r="GOC885">
        <v>4962</v>
      </c>
      <c r="GOD885">
        <v>31219</v>
      </c>
      <c r="GOE885">
        <v>157014</v>
      </c>
      <c r="GXV885" t="s">
        <v>682</v>
      </c>
      <c r="GXW885">
        <v>41705</v>
      </c>
      <c r="GXX885">
        <v>9141</v>
      </c>
      <c r="GXY885">
        <v>4962</v>
      </c>
      <c r="GXZ885">
        <v>31219</v>
      </c>
      <c r="GYA885">
        <v>157014</v>
      </c>
      <c r="HHR885" t="s">
        <v>682</v>
      </c>
      <c r="HHS885">
        <v>41705</v>
      </c>
      <c r="HHT885">
        <v>9141</v>
      </c>
      <c r="HHU885">
        <v>4962</v>
      </c>
      <c r="HHV885">
        <v>31219</v>
      </c>
      <c r="HHW885">
        <v>157014</v>
      </c>
      <c r="HRN885" t="s">
        <v>682</v>
      </c>
      <c r="HRO885">
        <v>41705</v>
      </c>
      <c r="HRP885">
        <v>9141</v>
      </c>
      <c r="HRQ885">
        <v>4962</v>
      </c>
      <c r="HRR885">
        <v>31219</v>
      </c>
      <c r="HRS885">
        <v>157014</v>
      </c>
      <c r="IBJ885" t="s">
        <v>682</v>
      </c>
      <c r="IBK885">
        <v>41705</v>
      </c>
      <c r="IBL885">
        <v>9141</v>
      </c>
      <c r="IBM885">
        <v>4962</v>
      </c>
      <c r="IBN885">
        <v>31219</v>
      </c>
      <c r="IBO885">
        <v>157014</v>
      </c>
      <c r="ILF885" t="s">
        <v>682</v>
      </c>
      <c r="ILG885">
        <v>41705</v>
      </c>
      <c r="ILH885">
        <v>9141</v>
      </c>
      <c r="ILI885">
        <v>4962</v>
      </c>
      <c r="ILJ885">
        <v>31219</v>
      </c>
      <c r="ILK885">
        <v>157014</v>
      </c>
      <c r="IVB885" t="s">
        <v>682</v>
      </c>
      <c r="IVC885">
        <v>41705</v>
      </c>
      <c r="IVD885">
        <v>9141</v>
      </c>
      <c r="IVE885">
        <v>4962</v>
      </c>
      <c r="IVF885">
        <v>31219</v>
      </c>
      <c r="IVG885">
        <v>157014</v>
      </c>
      <c r="JEX885" t="s">
        <v>682</v>
      </c>
      <c r="JEY885">
        <v>41705</v>
      </c>
      <c r="JEZ885">
        <v>9141</v>
      </c>
      <c r="JFA885">
        <v>4962</v>
      </c>
      <c r="JFB885">
        <v>31219</v>
      </c>
      <c r="JFC885">
        <v>157014</v>
      </c>
      <c r="JOT885" t="s">
        <v>682</v>
      </c>
      <c r="JOU885">
        <v>41705</v>
      </c>
      <c r="JOV885">
        <v>9141</v>
      </c>
      <c r="JOW885">
        <v>4962</v>
      </c>
      <c r="JOX885">
        <v>31219</v>
      </c>
      <c r="JOY885">
        <v>157014</v>
      </c>
      <c r="JYP885" t="s">
        <v>682</v>
      </c>
      <c r="JYQ885">
        <v>41705</v>
      </c>
      <c r="JYR885">
        <v>9141</v>
      </c>
      <c r="JYS885">
        <v>4962</v>
      </c>
      <c r="JYT885">
        <v>31219</v>
      </c>
      <c r="JYU885">
        <v>157014</v>
      </c>
      <c r="KIL885" t="s">
        <v>682</v>
      </c>
      <c r="KIM885">
        <v>41705</v>
      </c>
      <c r="KIN885">
        <v>9141</v>
      </c>
      <c r="KIO885">
        <v>4962</v>
      </c>
      <c r="KIP885">
        <v>31219</v>
      </c>
      <c r="KIQ885">
        <v>157014</v>
      </c>
      <c r="KSH885" t="s">
        <v>682</v>
      </c>
      <c r="KSI885">
        <v>41705</v>
      </c>
      <c r="KSJ885">
        <v>9141</v>
      </c>
      <c r="KSK885">
        <v>4962</v>
      </c>
      <c r="KSL885">
        <v>31219</v>
      </c>
      <c r="KSM885">
        <v>157014</v>
      </c>
      <c r="LCD885" t="s">
        <v>682</v>
      </c>
      <c r="LCE885">
        <v>41705</v>
      </c>
      <c r="LCF885">
        <v>9141</v>
      </c>
      <c r="LCG885">
        <v>4962</v>
      </c>
      <c r="LCH885">
        <v>31219</v>
      </c>
      <c r="LCI885">
        <v>157014</v>
      </c>
      <c r="LLZ885" t="s">
        <v>682</v>
      </c>
      <c r="LMA885">
        <v>41705</v>
      </c>
      <c r="LMB885">
        <v>9141</v>
      </c>
      <c r="LMC885">
        <v>4962</v>
      </c>
      <c r="LMD885">
        <v>31219</v>
      </c>
      <c r="LME885">
        <v>157014</v>
      </c>
      <c r="LVV885" t="s">
        <v>682</v>
      </c>
      <c r="LVW885">
        <v>41705</v>
      </c>
      <c r="LVX885">
        <v>9141</v>
      </c>
      <c r="LVY885">
        <v>4962</v>
      </c>
      <c r="LVZ885">
        <v>31219</v>
      </c>
      <c r="LWA885">
        <v>157014</v>
      </c>
      <c r="MFR885" t="s">
        <v>682</v>
      </c>
      <c r="MFS885">
        <v>41705</v>
      </c>
      <c r="MFT885">
        <v>9141</v>
      </c>
      <c r="MFU885">
        <v>4962</v>
      </c>
      <c r="MFV885">
        <v>31219</v>
      </c>
      <c r="MFW885">
        <v>157014</v>
      </c>
      <c r="MPN885" t="s">
        <v>682</v>
      </c>
      <c r="MPO885">
        <v>41705</v>
      </c>
      <c r="MPP885">
        <v>9141</v>
      </c>
      <c r="MPQ885">
        <v>4962</v>
      </c>
      <c r="MPR885">
        <v>31219</v>
      </c>
      <c r="MPS885">
        <v>157014</v>
      </c>
      <c r="MZJ885" t="s">
        <v>682</v>
      </c>
      <c r="MZK885">
        <v>41705</v>
      </c>
      <c r="MZL885">
        <v>9141</v>
      </c>
      <c r="MZM885">
        <v>4962</v>
      </c>
      <c r="MZN885">
        <v>31219</v>
      </c>
      <c r="MZO885">
        <v>157014</v>
      </c>
      <c r="NJF885" t="s">
        <v>682</v>
      </c>
      <c r="NJG885">
        <v>41705</v>
      </c>
      <c r="NJH885">
        <v>9141</v>
      </c>
      <c r="NJI885">
        <v>4962</v>
      </c>
      <c r="NJJ885">
        <v>31219</v>
      </c>
      <c r="NJK885">
        <v>157014</v>
      </c>
      <c r="NTB885" t="s">
        <v>682</v>
      </c>
      <c r="NTC885">
        <v>41705</v>
      </c>
      <c r="NTD885">
        <v>9141</v>
      </c>
      <c r="NTE885">
        <v>4962</v>
      </c>
      <c r="NTF885">
        <v>31219</v>
      </c>
      <c r="NTG885">
        <v>157014</v>
      </c>
      <c r="OCX885" t="s">
        <v>682</v>
      </c>
      <c r="OCY885">
        <v>41705</v>
      </c>
      <c r="OCZ885">
        <v>9141</v>
      </c>
      <c r="ODA885">
        <v>4962</v>
      </c>
      <c r="ODB885">
        <v>31219</v>
      </c>
      <c r="ODC885">
        <v>157014</v>
      </c>
      <c r="OMT885" t="s">
        <v>682</v>
      </c>
      <c r="OMU885">
        <v>41705</v>
      </c>
      <c r="OMV885">
        <v>9141</v>
      </c>
      <c r="OMW885">
        <v>4962</v>
      </c>
      <c r="OMX885">
        <v>31219</v>
      </c>
      <c r="OMY885">
        <v>157014</v>
      </c>
      <c r="OWP885" t="s">
        <v>682</v>
      </c>
      <c r="OWQ885">
        <v>41705</v>
      </c>
      <c r="OWR885">
        <v>9141</v>
      </c>
      <c r="OWS885">
        <v>4962</v>
      </c>
      <c r="OWT885">
        <v>31219</v>
      </c>
      <c r="OWU885">
        <v>157014</v>
      </c>
      <c r="PGL885" t="s">
        <v>682</v>
      </c>
      <c r="PGM885">
        <v>41705</v>
      </c>
      <c r="PGN885">
        <v>9141</v>
      </c>
      <c r="PGO885">
        <v>4962</v>
      </c>
      <c r="PGP885">
        <v>31219</v>
      </c>
      <c r="PGQ885">
        <v>157014</v>
      </c>
      <c r="PQH885" t="s">
        <v>682</v>
      </c>
      <c r="PQI885">
        <v>41705</v>
      </c>
      <c r="PQJ885">
        <v>9141</v>
      </c>
      <c r="PQK885">
        <v>4962</v>
      </c>
      <c r="PQL885">
        <v>31219</v>
      </c>
      <c r="PQM885">
        <v>157014</v>
      </c>
      <c r="QAD885" t="s">
        <v>682</v>
      </c>
      <c r="QAE885">
        <v>41705</v>
      </c>
      <c r="QAF885">
        <v>9141</v>
      </c>
      <c r="QAG885">
        <v>4962</v>
      </c>
      <c r="QAH885">
        <v>31219</v>
      </c>
      <c r="QAI885">
        <v>157014</v>
      </c>
      <c r="QJZ885" t="s">
        <v>682</v>
      </c>
      <c r="QKA885">
        <v>41705</v>
      </c>
      <c r="QKB885">
        <v>9141</v>
      </c>
      <c r="QKC885">
        <v>4962</v>
      </c>
      <c r="QKD885">
        <v>31219</v>
      </c>
      <c r="QKE885">
        <v>157014</v>
      </c>
      <c r="QTV885" t="s">
        <v>682</v>
      </c>
      <c r="QTW885">
        <v>41705</v>
      </c>
      <c r="QTX885">
        <v>9141</v>
      </c>
      <c r="QTY885">
        <v>4962</v>
      </c>
      <c r="QTZ885">
        <v>31219</v>
      </c>
      <c r="QUA885">
        <v>157014</v>
      </c>
      <c r="RDR885" t="s">
        <v>682</v>
      </c>
      <c r="RDS885">
        <v>41705</v>
      </c>
      <c r="RDT885">
        <v>9141</v>
      </c>
      <c r="RDU885">
        <v>4962</v>
      </c>
      <c r="RDV885">
        <v>31219</v>
      </c>
      <c r="RDW885">
        <v>157014</v>
      </c>
      <c r="RNN885" t="s">
        <v>682</v>
      </c>
      <c r="RNO885">
        <v>41705</v>
      </c>
      <c r="RNP885">
        <v>9141</v>
      </c>
      <c r="RNQ885">
        <v>4962</v>
      </c>
      <c r="RNR885">
        <v>31219</v>
      </c>
      <c r="RNS885">
        <v>157014</v>
      </c>
      <c r="RXJ885" t="s">
        <v>682</v>
      </c>
      <c r="RXK885">
        <v>41705</v>
      </c>
      <c r="RXL885">
        <v>9141</v>
      </c>
      <c r="RXM885">
        <v>4962</v>
      </c>
      <c r="RXN885">
        <v>31219</v>
      </c>
      <c r="RXO885">
        <v>157014</v>
      </c>
      <c r="SHF885" t="s">
        <v>682</v>
      </c>
      <c r="SHG885">
        <v>41705</v>
      </c>
      <c r="SHH885">
        <v>9141</v>
      </c>
      <c r="SHI885">
        <v>4962</v>
      </c>
      <c r="SHJ885">
        <v>31219</v>
      </c>
      <c r="SHK885">
        <v>157014</v>
      </c>
      <c r="SRB885" t="s">
        <v>682</v>
      </c>
      <c r="SRC885">
        <v>41705</v>
      </c>
      <c r="SRD885">
        <v>9141</v>
      </c>
      <c r="SRE885">
        <v>4962</v>
      </c>
      <c r="SRF885">
        <v>31219</v>
      </c>
      <c r="SRG885">
        <v>157014</v>
      </c>
      <c r="TAX885" t="s">
        <v>682</v>
      </c>
      <c r="TAY885">
        <v>41705</v>
      </c>
      <c r="TAZ885">
        <v>9141</v>
      </c>
      <c r="TBA885">
        <v>4962</v>
      </c>
      <c r="TBB885">
        <v>31219</v>
      </c>
      <c r="TBC885">
        <v>157014</v>
      </c>
      <c r="TKT885" t="s">
        <v>682</v>
      </c>
      <c r="TKU885">
        <v>41705</v>
      </c>
      <c r="TKV885">
        <v>9141</v>
      </c>
      <c r="TKW885">
        <v>4962</v>
      </c>
      <c r="TKX885">
        <v>31219</v>
      </c>
      <c r="TKY885">
        <v>157014</v>
      </c>
      <c r="TUP885" t="s">
        <v>682</v>
      </c>
      <c r="TUQ885">
        <v>41705</v>
      </c>
      <c r="TUR885">
        <v>9141</v>
      </c>
      <c r="TUS885">
        <v>4962</v>
      </c>
      <c r="TUT885">
        <v>31219</v>
      </c>
      <c r="TUU885">
        <v>157014</v>
      </c>
      <c r="UEL885" t="s">
        <v>682</v>
      </c>
      <c r="UEM885">
        <v>41705</v>
      </c>
      <c r="UEN885">
        <v>9141</v>
      </c>
      <c r="UEO885">
        <v>4962</v>
      </c>
      <c r="UEP885">
        <v>31219</v>
      </c>
      <c r="UEQ885">
        <v>157014</v>
      </c>
      <c r="UOH885" t="s">
        <v>682</v>
      </c>
      <c r="UOI885">
        <v>41705</v>
      </c>
      <c r="UOJ885">
        <v>9141</v>
      </c>
      <c r="UOK885">
        <v>4962</v>
      </c>
      <c r="UOL885">
        <v>31219</v>
      </c>
      <c r="UOM885">
        <v>157014</v>
      </c>
      <c r="UYD885" t="s">
        <v>682</v>
      </c>
      <c r="UYE885">
        <v>41705</v>
      </c>
      <c r="UYF885">
        <v>9141</v>
      </c>
      <c r="UYG885">
        <v>4962</v>
      </c>
      <c r="UYH885">
        <v>31219</v>
      </c>
      <c r="UYI885">
        <v>157014</v>
      </c>
      <c r="VHZ885" t="s">
        <v>682</v>
      </c>
      <c r="VIA885">
        <v>41705</v>
      </c>
      <c r="VIB885">
        <v>9141</v>
      </c>
      <c r="VIC885">
        <v>4962</v>
      </c>
      <c r="VID885">
        <v>31219</v>
      </c>
      <c r="VIE885">
        <v>157014</v>
      </c>
      <c r="VRV885" t="s">
        <v>682</v>
      </c>
      <c r="VRW885">
        <v>41705</v>
      </c>
      <c r="VRX885">
        <v>9141</v>
      </c>
      <c r="VRY885">
        <v>4962</v>
      </c>
      <c r="VRZ885">
        <v>31219</v>
      </c>
      <c r="VSA885">
        <v>157014</v>
      </c>
      <c r="WBR885" t="s">
        <v>682</v>
      </c>
      <c r="WBS885">
        <v>41705</v>
      </c>
      <c r="WBT885">
        <v>9141</v>
      </c>
      <c r="WBU885">
        <v>4962</v>
      </c>
      <c r="WBV885">
        <v>31219</v>
      </c>
      <c r="WBW885">
        <v>157014</v>
      </c>
      <c r="WLN885" t="s">
        <v>682</v>
      </c>
      <c r="WLO885">
        <v>41705</v>
      </c>
      <c r="WLP885">
        <v>9141</v>
      </c>
      <c r="WLQ885">
        <v>4962</v>
      </c>
      <c r="WLR885">
        <v>31219</v>
      </c>
      <c r="WLS885">
        <v>157014</v>
      </c>
      <c r="WVJ885" t="s">
        <v>682</v>
      </c>
      <c r="WVK885">
        <v>41705</v>
      </c>
      <c r="WVL885">
        <v>9141</v>
      </c>
      <c r="WVM885">
        <v>4962</v>
      </c>
      <c r="WVN885">
        <v>31219</v>
      </c>
      <c r="WVO885">
        <v>157014</v>
      </c>
    </row>
    <row r="886" spans="1:775 1026:1799 2050:2823 3074:3847 4098:4871 5122:5895 6146:6919 7170:7943 8194:8967 9218:9991 10242:11015 11266:12039 12290:13063 13314:14087 14338:15111 15362:16135">
      <c r="A886" s="96" t="s">
        <v>683</v>
      </c>
      <c r="C886" s="100">
        <v>-23327862</v>
      </c>
      <c r="D886" s="100">
        <v>-11413101</v>
      </c>
      <c r="E886" s="100">
        <v>-5610790</v>
      </c>
      <c r="F886" s="100">
        <v>-10572309</v>
      </c>
      <c r="G886" s="100">
        <v>-14559445</v>
      </c>
      <c r="H886" s="100"/>
      <c r="IX886" t="s">
        <v>683</v>
      </c>
      <c r="IY886">
        <v>-23327862</v>
      </c>
      <c r="IZ886">
        <v>-11413101</v>
      </c>
      <c r="JA886">
        <v>-5610790</v>
      </c>
      <c r="JB886">
        <v>-10572309</v>
      </c>
      <c r="JC886">
        <v>-14559445</v>
      </c>
      <c r="ST886" t="s">
        <v>683</v>
      </c>
      <c r="SU886">
        <v>-23327862</v>
      </c>
      <c r="SV886">
        <v>-11413101</v>
      </c>
      <c r="SW886">
        <v>-5610790</v>
      </c>
      <c r="SX886">
        <v>-10572309</v>
      </c>
      <c r="SY886">
        <v>-14559445</v>
      </c>
      <c r="ACP886" t="s">
        <v>683</v>
      </c>
      <c r="ACQ886">
        <v>-23327862</v>
      </c>
      <c r="ACR886">
        <v>-11413101</v>
      </c>
      <c r="ACS886">
        <v>-5610790</v>
      </c>
      <c r="ACT886">
        <v>-10572309</v>
      </c>
      <c r="ACU886">
        <v>-14559445</v>
      </c>
      <c r="AML886" t="s">
        <v>683</v>
      </c>
      <c r="AMM886">
        <v>-23327862</v>
      </c>
      <c r="AMN886">
        <v>-11413101</v>
      </c>
      <c r="AMO886">
        <v>-5610790</v>
      </c>
      <c r="AMP886">
        <v>-10572309</v>
      </c>
      <c r="AMQ886">
        <v>-14559445</v>
      </c>
      <c r="AWH886" t="s">
        <v>683</v>
      </c>
      <c r="AWI886">
        <v>-23327862</v>
      </c>
      <c r="AWJ886">
        <v>-11413101</v>
      </c>
      <c r="AWK886">
        <v>-5610790</v>
      </c>
      <c r="AWL886">
        <v>-10572309</v>
      </c>
      <c r="AWM886">
        <v>-14559445</v>
      </c>
      <c r="BGD886" t="s">
        <v>683</v>
      </c>
      <c r="BGE886">
        <v>-23327862</v>
      </c>
      <c r="BGF886">
        <v>-11413101</v>
      </c>
      <c r="BGG886">
        <v>-5610790</v>
      </c>
      <c r="BGH886">
        <v>-10572309</v>
      </c>
      <c r="BGI886">
        <v>-14559445</v>
      </c>
      <c r="BPZ886" t="s">
        <v>683</v>
      </c>
      <c r="BQA886">
        <v>-23327862</v>
      </c>
      <c r="BQB886">
        <v>-11413101</v>
      </c>
      <c r="BQC886">
        <v>-5610790</v>
      </c>
      <c r="BQD886">
        <v>-10572309</v>
      </c>
      <c r="BQE886">
        <v>-14559445</v>
      </c>
      <c r="BZV886" t="s">
        <v>683</v>
      </c>
      <c r="BZW886">
        <v>-23327862</v>
      </c>
      <c r="BZX886">
        <v>-11413101</v>
      </c>
      <c r="BZY886">
        <v>-5610790</v>
      </c>
      <c r="BZZ886">
        <v>-10572309</v>
      </c>
      <c r="CAA886">
        <v>-14559445</v>
      </c>
      <c r="CJR886" t="s">
        <v>683</v>
      </c>
      <c r="CJS886">
        <v>-23327862</v>
      </c>
      <c r="CJT886">
        <v>-11413101</v>
      </c>
      <c r="CJU886">
        <v>-5610790</v>
      </c>
      <c r="CJV886">
        <v>-10572309</v>
      </c>
      <c r="CJW886">
        <v>-14559445</v>
      </c>
      <c r="CTN886" t="s">
        <v>683</v>
      </c>
      <c r="CTO886">
        <v>-23327862</v>
      </c>
      <c r="CTP886">
        <v>-11413101</v>
      </c>
      <c r="CTQ886">
        <v>-5610790</v>
      </c>
      <c r="CTR886">
        <v>-10572309</v>
      </c>
      <c r="CTS886">
        <v>-14559445</v>
      </c>
      <c r="DDJ886" t="s">
        <v>683</v>
      </c>
      <c r="DDK886">
        <v>-23327862</v>
      </c>
      <c r="DDL886">
        <v>-11413101</v>
      </c>
      <c r="DDM886">
        <v>-5610790</v>
      </c>
      <c r="DDN886">
        <v>-10572309</v>
      </c>
      <c r="DDO886">
        <v>-14559445</v>
      </c>
      <c r="DNF886" t="s">
        <v>683</v>
      </c>
      <c r="DNG886">
        <v>-23327862</v>
      </c>
      <c r="DNH886">
        <v>-11413101</v>
      </c>
      <c r="DNI886">
        <v>-5610790</v>
      </c>
      <c r="DNJ886">
        <v>-10572309</v>
      </c>
      <c r="DNK886">
        <v>-14559445</v>
      </c>
      <c r="DXB886" t="s">
        <v>683</v>
      </c>
      <c r="DXC886">
        <v>-23327862</v>
      </c>
      <c r="DXD886">
        <v>-11413101</v>
      </c>
      <c r="DXE886">
        <v>-5610790</v>
      </c>
      <c r="DXF886">
        <v>-10572309</v>
      </c>
      <c r="DXG886">
        <v>-14559445</v>
      </c>
      <c r="EGX886" t="s">
        <v>683</v>
      </c>
      <c r="EGY886">
        <v>-23327862</v>
      </c>
      <c r="EGZ886">
        <v>-11413101</v>
      </c>
      <c r="EHA886">
        <v>-5610790</v>
      </c>
      <c r="EHB886">
        <v>-10572309</v>
      </c>
      <c r="EHC886">
        <v>-14559445</v>
      </c>
      <c r="EQT886" t="s">
        <v>683</v>
      </c>
      <c r="EQU886">
        <v>-23327862</v>
      </c>
      <c r="EQV886">
        <v>-11413101</v>
      </c>
      <c r="EQW886">
        <v>-5610790</v>
      </c>
      <c r="EQX886">
        <v>-10572309</v>
      </c>
      <c r="EQY886">
        <v>-14559445</v>
      </c>
      <c r="FAP886" t="s">
        <v>683</v>
      </c>
      <c r="FAQ886">
        <v>-23327862</v>
      </c>
      <c r="FAR886">
        <v>-11413101</v>
      </c>
      <c r="FAS886">
        <v>-5610790</v>
      </c>
      <c r="FAT886">
        <v>-10572309</v>
      </c>
      <c r="FAU886">
        <v>-14559445</v>
      </c>
      <c r="FKL886" t="s">
        <v>683</v>
      </c>
      <c r="FKM886">
        <v>-23327862</v>
      </c>
      <c r="FKN886">
        <v>-11413101</v>
      </c>
      <c r="FKO886">
        <v>-5610790</v>
      </c>
      <c r="FKP886">
        <v>-10572309</v>
      </c>
      <c r="FKQ886">
        <v>-14559445</v>
      </c>
      <c r="FUH886" t="s">
        <v>683</v>
      </c>
      <c r="FUI886">
        <v>-23327862</v>
      </c>
      <c r="FUJ886">
        <v>-11413101</v>
      </c>
      <c r="FUK886">
        <v>-5610790</v>
      </c>
      <c r="FUL886">
        <v>-10572309</v>
      </c>
      <c r="FUM886">
        <v>-14559445</v>
      </c>
      <c r="GED886" t="s">
        <v>683</v>
      </c>
      <c r="GEE886">
        <v>-23327862</v>
      </c>
      <c r="GEF886">
        <v>-11413101</v>
      </c>
      <c r="GEG886">
        <v>-5610790</v>
      </c>
      <c r="GEH886">
        <v>-10572309</v>
      </c>
      <c r="GEI886">
        <v>-14559445</v>
      </c>
      <c r="GNZ886" t="s">
        <v>683</v>
      </c>
      <c r="GOA886">
        <v>-23327862</v>
      </c>
      <c r="GOB886">
        <v>-11413101</v>
      </c>
      <c r="GOC886">
        <v>-5610790</v>
      </c>
      <c r="GOD886">
        <v>-10572309</v>
      </c>
      <c r="GOE886">
        <v>-14559445</v>
      </c>
      <c r="GXV886" t="s">
        <v>683</v>
      </c>
      <c r="GXW886">
        <v>-23327862</v>
      </c>
      <c r="GXX886">
        <v>-11413101</v>
      </c>
      <c r="GXY886">
        <v>-5610790</v>
      </c>
      <c r="GXZ886">
        <v>-10572309</v>
      </c>
      <c r="GYA886">
        <v>-14559445</v>
      </c>
      <c r="HHR886" t="s">
        <v>683</v>
      </c>
      <c r="HHS886">
        <v>-23327862</v>
      </c>
      <c r="HHT886">
        <v>-11413101</v>
      </c>
      <c r="HHU886">
        <v>-5610790</v>
      </c>
      <c r="HHV886">
        <v>-10572309</v>
      </c>
      <c r="HHW886">
        <v>-14559445</v>
      </c>
      <c r="HRN886" t="s">
        <v>683</v>
      </c>
      <c r="HRO886">
        <v>-23327862</v>
      </c>
      <c r="HRP886">
        <v>-11413101</v>
      </c>
      <c r="HRQ886">
        <v>-5610790</v>
      </c>
      <c r="HRR886">
        <v>-10572309</v>
      </c>
      <c r="HRS886">
        <v>-14559445</v>
      </c>
      <c r="IBJ886" t="s">
        <v>683</v>
      </c>
      <c r="IBK886">
        <v>-23327862</v>
      </c>
      <c r="IBL886">
        <v>-11413101</v>
      </c>
      <c r="IBM886">
        <v>-5610790</v>
      </c>
      <c r="IBN886">
        <v>-10572309</v>
      </c>
      <c r="IBO886">
        <v>-14559445</v>
      </c>
      <c r="ILF886" t="s">
        <v>683</v>
      </c>
      <c r="ILG886">
        <v>-23327862</v>
      </c>
      <c r="ILH886">
        <v>-11413101</v>
      </c>
      <c r="ILI886">
        <v>-5610790</v>
      </c>
      <c r="ILJ886">
        <v>-10572309</v>
      </c>
      <c r="ILK886">
        <v>-14559445</v>
      </c>
      <c r="IVB886" t="s">
        <v>683</v>
      </c>
      <c r="IVC886">
        <v>-23327862</v>
      </c>
      <c r="IVD886">
        <v>-11413101</v>
      </c>
      <c r="IVE886">
        <v>-5610790</v>
      </c>
      <c r="IVF886">
        <v>-10572309</v>
      </c>
      <c r="IVG886">
        <v>-14559445</v>
      </c>
      <c r="JEX886" t="s">
        <v>683</v>
      </c>
      <c r="JEY886">
        <v>-23327862</v>
      </c>
      <c r="JEZ886">
        <v>-11413101</v>
      </c>
      <c r="JFA886">
        <v>-5610790</v>
      </c>
      <c r="JFB886">
        <v>-10572309</v>
      </c>
      <c r="JFC886">
        <v>-14559445</v>
      </c>
      <c r="JOT886" t="s">
        <v>683</v>
      </c>
      <c r="JOU886">
        <v>-23327862</v>
      </c>
      <c r="JOV886">
        <v>-11413101</v>
      </c>
      <c r="JOW886">
        <v>-5610790</v>
      </c>
      <c r="JOX886">
        <v>-10572309</v>
      </c>
      <c r="JOY886">
        <v>-14559445</v>
      </c>
      <c r="JYP886" t="s">
        <v>683</v>
      </c>
      <c r="JYQ886">
        <v>-23327862</v>
      </c>
      <c r="JYR886">
        <v>-11413101</v>
      </c>
      <c r="JYS886">
        <v>-5610790</v>
      </c>
      <c r="JYT886">
        <v>-10572309</v>
      </c>
      <c r="JYU886">
        <v>-14559445</v>
      </c>
      <c r="KIL886" t="s">
        <v>683</v>
      </c>
      <c r="KIM886">
        <v>-23327862</v>
      </c>
      <c r="KIN886">
        <v>-11413101</v>
      </c>
      <c r="KIO886">
        <v>-5610790</v>
      </c>
      <c r="KIP886">
        <v>-10572309</v>
      </c>
      <c r="KIQ886">
        <v>-14559445</v>
      </c>
      <c r="KSH886" t="s">
        <v>683</v>
      </c>
      <c r="KSI886">
        <v>-23327862</v>
      </c>
      <c r="KSJ886">
        <v>-11413101</v>
      </c>
      <c r="KSK886">
        <v>-5610790</v>
      </c>
      <c r="KSL886">
        <v>-10572309</v>
      </c>
      <c r="KSM886">
        <v>-14559445</v>
      </c>
      <c r="LCD886" t="s">
        <v>683</v>
      </c>
      <c r="LCE886">
        <v>-23327862</v>
      </c>
      <c r="LCF886">
        <v>-11413101</v>
      </c>
      <c r="LCG886">
        <v>-5610790</v>
      </c>
      <c r="LCH886">
        <v>-10572309</v>
      </c>
      <c r="LCI886">
        <v>-14559445</v>
      </c>
      <c r="LLZ886" t="s">
        <v>683</v>
      </c>
      <c r="LMA886">
        <v>-23327862</v>
      </c>
      <c r="LMB886">
        <v>-11413101</v>
      </c>
      <c r="LMC886">
        <v>-5610790</v>
      </c>
      <c r="LMD886">
        <v>-10572309</v>
      </c>
      <c r="LME886">
        <v>-14559445</v>
      </c>
      <c r="LVV886" t="s">
        <v>683</v>
      </c>
      <c r="LVW886">
        <v>-23327862</v>
      </c>
      <c r="LVX886">
        <v>-11413101</v>
      </c>
      <c r="LVY886">
        <v>-5610790</v>
      </c>
      <c r="LVZ886">
        <v>-10572309</v>
      </c>
      <c r="LWA886">
        <v>-14559445</v>
      </c>
      <c r="MFR886" t="s">
        <v>683</v>
      </c>
      <c r="MFS886">
        <v>-23327862</v>
      </c>
      <c r="MFT886">
        <v>-11413101</v>
      </c>
      <c r="MFU886">
        <v>-5610790</v>
      </c>
      <c r="MFV886">
        <v>-10572309</v>
      </c>
      <c r="MFW886">
        <v>-14559445</v>
      </c>
      <c r="MPN886" t="s">
        <v>683</v>
      </c>
      <c r="MPO886">
        <v>-23327862</v>
      </c>
      <c r="MPP886">
        <v>-11413101</v>
      </c>
      <c r="MPQ886">
        <v>-5610790</v>
      </c>
      <c r="MPR886">
        <v>-10572309</v>
      </c>
      <c r="MPS886">
        <v>-14559445</v>
      </c>
      <c r="MZJ886" t="s">
        <v>683</v>
      </c>
      <c r="MZK886">
        <v>-23327862</v>
      </c>
      <c r="MZL886">
        <v>-11413101</v>
      </c>
      <c r="MZM886">
        <v>-5610790</v>
      </c>
      <c r="MZN886">
        <v>-10572309</v>
      </c>
      <c r="MZO886">
        <v>-14559445</v>
      </c>
      <c r="NJF886" t="s">
        <v>683</v>
      </c>
      <c r="NJG886">
        <v>-23327862</v>
      </c>
      <c r="NJH886">
        <v>-11413101</v>
      </c>
      <c r="NJI886">
        <v>-5610790</v>
      </c>
      <c r="NJJ886">
        <v>-10572309</v>
      </c>
      <c r="NJK886">
        <v>-14559445</v>
      </c>
      <c r="NTB886" t="s">
        <v>683</v>
      </c>
      <c r="NTC886">
        <v>-23327862</v>
      </c>
      <c r="NTD886">
        <v>-11413101</v>
      </c>
      <c r="NTE886">
        <v>-5610790</v>
      </c>
      <c r="NTF886">
        <v>-10572309</v>
      </c>
      <c r="NTG886">
        <v>-14559445</v>
      </c>
      <c r="OCX886" t="s">
        <v>683</v>
      </c>
      <c r="OCY886">
        <v>-23327862</v>
      </c>
      <c r="OCZ886">
        <v>-11413101</v>
      </c>
      <c r="ODA886">
        <v>-5610790</v>
      </c>
      <c r="ODB886">
        <v>-10572309</v>
      </c>
      <c r="ODC886">
        <v>-14559445</v>
      </c>
      <c r="OMT886" t="s">
        <v>683</v>
      </c>
      <c r="OMU886">
        <v>-23327862</v>
      </c>
      <c r="OMV886">
        <v>-11413101</v>
      </c>
      <c r="OMW886">
        <v>-5610790</v>
      </c>
      <c r="OMX886">
        <v>-10572309</v>
      </c>
      <c r="OMY886">
        <v>-14559445</v>
      </c>
      <c r="OWP886" t="s">
        <v>683</v>
      </c>
      <c r="OWQ886">
        <v>-23327862</v>
      </c>
      <c r="OWR886">
        <v>-11413101</v>
      </c>
      <c r="OWS886">
        <v>-5610790</v>
      </c>
      <c r="OWT886">
        <v>-10572309</v>
      </c>
      <c r="OWU886">
        <v>-14559445</v>
      </c>
      <c r="PGL886" t="s">
        <v>683</v>
      </c>
      <c r="PGM886">
        <v>-23327862</v>
      </c>
      <c r="PGN886">
        <v>-11413101</v>
      </c>
      <c r="PGO886">
        <v>-5610790</v>
      </c>
      <c r="PGP886">
        <v>-10572309</v>
      </c>
      <c r="PGQ886">
        <v>-14559445</v>
      </c>
      <c r="PQH886" t="s">
        <v>683</v>
      </c>
      <c r="PQI886">
        <v>-23327862</v>
      </c>
      <c r="PQJ886">
        <v>-11413101</v>
      </c>
      <c r="PQK886">
        <v>-5610790</v>
      </c>
      <c r="PQL886">
        <v>-10572309</v>
      </c>
      <c r="PQM886">
        <v>-14559445</v>
      </c>
      <c r="QAD886" t="s">
        <v>683</v>
      </c>
      <c r="QAE886">
        <v>-23327862</v>
      </c>
      <c r="QAF886">
        <v>-11413101</v>
      </c>
      <c r="QAG886">
        <v>-5610790</v>
      </c>
      <c r="QAH886">
        <v>-10572309</v>
      </c>
      <c r="QAI886">
        <v>-14559445</v>
      </c>
      <c r="QJZ886" t="s">
        <v>683</v>
      </c>
      <c r="QKA886">
        <v>-23327862</v>
      </c>
      <c r="QKB886">
        <v>-11413101</v>
      </c>
      <c r="QKC886">
        <v>-5610790</v>
      </c>
      <c r="QKD886">
        <v>-10572309</v>
      </c>
      <c r="QKE886">
        <v>-14559445</v>
      </c>
      <c r="QTV886" t="s">
        <v>683</v>
      </c>
      <c r="QTW886">
        <v>-23327862</v>
      </c>
      <c r="QTX886">
        <v>-11413101</v>
      </c>
      <c r="QTY886">
        <v>-5610790</v>
      </c>
      <c r="QTZ886">
        <v>-10572309</v>
      </c>
      <c r="QUA886">
        <v>-14559445</v>
      </c>
      <c r="RDR886" t="s">
        <v>683</v>
      </c>
      <c r="RDS886">
        <v>-23327862</v>
      </c>
      <c r="RDT886">
        <v>-11413101</v>
      </c>
      <c r="RDU886">
        <v>-5610790</v>
      </c>
      <c r="RDV886">
        <v>-10572309</v>
      </c>
      <c r="RDW886">
        <v>-14559445</v>
      </c>
      <c r="RNN886" t="s">
        <v>683</v>
      </c>
      <c r="RNO886">
        <v>-23327862</v>
      </c>
      <c r="RNP886">
        <v>-11413101</v>
      </c>
      <c r="RNQ886">
        <v>-5610790</v>
      </c>
      <c r="RNR886">
        <v>-10572309</v>
      </c>
      <c r="RNS886">
        <v>-14559445</v>
      </c>
      <c r="RXJ886" t="s">
        <v>683</v>
      </c>
      <c r="RXK886">
        <v>-23327862</v>
      </c>
      <c r="RXL886">
        <v>-11413101</v>
      </c>
      <c r="RXM886">
        <v>-5610790</v>
      </c>
      <c r="RXN886">
        <v>-10572309</v>
      </c>
      <c r="RXO886">
        <v>-14559445</v>
      </c>
      <c r="SHF886" t="s">
        <v>683</v>
      </c>
      <c r="SHG886">
        <v>-23327862</v>
      </c>
      <c r="SHH886">
        <v>-11413101</v>
      </c>
      <c r="SHI886">
        <v>-5610790</v>
      </c>
      <c r="SHJ886">
        <v>-10572309</v>
      </c>
      <c r="SHK886">
        <v>-14559445</v>
      </c>
      <c r="SRB886" t="s">
        <v>683</v>
      </c>
      <c r="SRC886">
        <v>-23327862</v>
      </c>
      <c r="SRD886">
        <v>-11413101</v>
      </c>
      <c r="SRE886">
        <v>-5610790</v>
      </c>
      <c r="SRF886">
        <v>-10572309</v>
      </c>
      <c r="SRG886">
        <v>-14559445</v>
      </c>
      <c r="TAX886" t="s">
        <v>683</v>
      </c>
      <c r="TAY886">
        <v>-23327862</v>
      </c>
      <c r="TAZ886">
        <v>-11413101</v>
      </c>
      <c r="TBA886">
        <v>-5610790</v>
      </c>
      <c r="TBB886">
        <v>-10572309</v>
      </c>
      <c r="TBC886">
        <v>-14559445</v>
      </c>
      <c r="TKT886" t="s">
        <v>683</v>
      </c>
      <c r="TKU886">
        <v>-23327862</v>
      </c>
      <c r="TKV886">
        <v>-11413101</v>
      </c>
      <c r="TKW886">
        <v>-5610790</v>
      </c>
      <c r="TKX886">
        <v>-10572309</v>
      </c>
      <c r="TKY886">
        <v>-14559445</v>
      </c>
      <c r="TUP886" t="s">
        <v>683</v>
      </c>
      <c r="TUQ886">
        <v>-23327862</v>
      </c>
      <c r="TUR886">
        <v>-11413101</v>
      </c>
      <c r="TUS886">
        <v>-5610790</v>
      </c>
      <c r="TUT886">
        <v>-10572309</v>
      </c>
      <c r="TUU886">
        <v>-14559445</v>
      </c>
      <c r="UEL886" t="s">
        <v>683</v>
      </c>
      <c r="UEM886">
        <v>-23327862</v>
      </c>
      <c r="UEN886">
        <v>-11413101</v>
      </c>
      <c r="UEO886">
        <v>-5610790</v>
      </c>
      <c r="UEP886">
        <v>-10572309</v>
      </c>
      <c r="UEQ886">
        <v>-14559445</v>
      </c>
      <c r="UOH886" t="s">
        <v>683</v>
      </c>
      <c r="UOI886">
        <v>-23327862</v>
      </c>
      <c r="UOJ886">
        <v>-11413101</v>
      </c>
      <c r="UOK886">
        <v>-5610790</v>
      </c>
      <c r="UOL886">
        <v>-10572309</v>
      </c>
      <c r="UOM886">
        <v>-14559445</v>
      </c>
      <c r="UYD886" t="s">
        <v>683</v>
      </c>
      <c r="UYE886">
        <v>-23327862</v>
      </c>
      <c r="UYF886">
        <v>-11413101</v>
      </c>
      <c r="UYG886">
        <v>-5610790</v>
      </c>
      <c r="UYH886">
        <v>-10572309</v>
      </c>
      <c r="UYI886">
        <v>-14559445</v>
      </c>
      <c r="VHZ886" t="s">
        <v>683</v>
      </c>
      <c r="VIA886">
        <v>-23327862</v>
      </c>
      <c r="VIB886">
        <v>-11413101</v>
      </c>
      <c r="VIC886">
        <v>-5610790</v>
      </c>
      <c r="VID886">
        <v>-10572309</v>
      </c>
      <c r="VIE886">
        <v>-14559445</v>
      </c>
      <c r="VRV886" t="s">
        <v>683</v>
      </c>
      <c r="VRW886">
        <v>-23327862</v>
      </c>
      <c r="VRX886">
        <v>-11413101</v>
      </c>
      <c r="VRY886">
        <v>-5610790</v>
      </c>
      <c r="VRZ886">
        <v>-10572309</v>
      </c>
      <c r="VSA886">
        <v>-14559445</v>
      </c>
      <c r="WBR886" t="s">
        <v>683</v>
      </c>
      <c r="WBS886">
        <v>-23327862</v>
      </c>
      <c r="WBT886">
        <v>-11413101</v>
      </c>
      <c r="WBU886">
        <v>-5610790</v>
      </c>
      <c r="WBV886">
        <v>-10572309</v>
      </c>
      <c r="WBW886">
        <v>-14559445</v>
      </c>
      <c r="WLN886" t="s">
        <v>683</v>
      </c>
      <c r="WLO886">
        <v>-23327862</v>
      </c>
      <c r="WLP886">
        <v>-11413101</v>
      </c>
      <c r="WLQ886">
        <v>-5610790</v>
      </c>
      <c r="WLR886">
        <v>-10572309</v>
      </c>
      <c r="WLS886">
        <v>-14559445</v>
      </c>
      <c r="WVJ886" t="s">
        <v>683</v>
      </c>
      <c r="WVK886">
        <v>-23327862</v>
      </c>
      <c r="WVL886">
        <v>-11413101</v>
      </c>
      <c r="WVM886">
        <v>-5610790</v>
      </c>
      <c r="WVN886">
        <v>-10572309</v>
      </c>
      <c r="WVO886">
        <v>-14559445</v>
      </c>
    </row>
    <row r="887" spans="1:775 1026:1799 2050:2823 3074:3847 4098:4871 5122:5895 6146:6919 7170:7943 8194:8967 9218:9991 10242:11015 11266:12039 12290:13063 13314:14087 14338:15111 15362:16135">
      <c r="A887" s="99" t="s">
        <v>687</v>
      </c>
      <c r="C887" s="96"/>
      <c r="D887" s="96"/>
      <c r="E887" s="96"/>
      <c r="F887" s="96"/>
      <c r="G887" s="96"/>
      <c r="H887" s="96"/>
      <c r="IX887" t="s">
        <v>687</v>
      </c>
      <c r="ST887" t="s">
        <v>687</v>
      </c>
      <c r="ACP887" t="s">
        <v>687</v>
      </c>
      <c r="AML887" t="s">
        <v>687</v>
      </c>
      <c r="AWH887" t="s">
        <v>687</v>
      </c>
      <c r="BGD887" t="s">
        <v>687</v>
      </c>
      <c r="BPZ887" t="s">
        <v>687</v>
      </c>
      <c r="BZV887" t="s">
        <v>687</v>
      </c>
      <c r="CJR887" t="s">
        <v>687</v>
      </c>
      <c r="CTN887" t="s">
        <v>687</v>
      </c>
      <c r="DDJ887" t="s">
        <v>687</v>
      </c>
      <c r="DNF887" t="s">
        <v>687</v>
      </c>
      <c r="DXB887" t="s">
        <v>687</v>
      </c>
      <c r="EGX887" t="s">
        <v>687</v>
      </c>
      <c r="EQT887" t="s">
        <v>687</v>
      </c>
      <c r="FAP887" t="s">
        <v>687</v>
      </c>
      <c r="FKL887" t="s">
        <v>687</v>
      </c>
      <c r="FUH887" t="s">
        <v>687</v>
      </c>
      <c r="GED887" t="s">
        <v>687</v>
      </c>
      <c r="GNZ887" t="s">
        <v>687</v>
      </c>
      <c r="GXV887" t="s">
        <v>687</v>
      </c>
      <c r="HHR887" t="s">
        <v>687</v>
      </c>
      <c r="HRN887" t="s">
        <v>687</v>
      </c>
      <c r="IBJ887" t="s">
        <v>687</v>
      </c>
      <c r="ILF887" t="s">
        <v>687</v>
      </c>
      <c r="IVB887" t="s">
        <v>687</v>
      </c>
      <c r="JEX887" t="s">
        <v>687</v>
      </c>
      <c r="JOT887" t="s">
        <v>687</v>
      </c>
      <c r="JYP887" t="s">
        <v>687</v>
      </c>
      <c r="KIL887" t="s">
        <v>687</v>
      </c>
      <c r="KSH887" t="s">
        <v>687</v>
      </c>
      <c r="LCD887" t="s">
        <v>687</v>
      </c>
      <c r="LLZ887" t="s">
        <v>687</v>
      </c>
      <c r="LVV887" t="s">
        <v>687</v>
      </c>
      <c r="MFR887" t="s">
        <v>687</v>
      </c>
      <c r="MPN887" t="s">
        <v>687</v>
      </c>
      <c r="MZJ887" t="s">
        <v>687</v>
      </c>
      <c r="NJF887" t="s">
        <v>687</v>
      </c>
      <c r="NTB887" t="s">
        <v>687</v>
      </c>
      <c r="OCX887" t="s">
        <v>687</v>
      </c>
      <c r="OMT887" t="s">
        <v>687</v>
      </c>
      <c r="OWP887" t="s">
        <v>687</v>
      </c>
      <c r="PGL887" t="s">
        <v>687</v>
      </c>
      <c r="PQH887" t="s">
        <v>687</v>
      </c>
      <c r="QAD887" t="s">
        <v>687</v>
      </c>
      <c r="QJZ887" t="s">
        <v>687</v>
      </c>
      <c r="QTV887" t="s">
        <v>687</v>
      </c>
      <c r="RDR887" t="s">
        <v>687</v>
      </c>
      <c r="RNN887" t="s">
        <v>687</v>
      </c>
      <c r="RXJ887" t="s">
        <v>687</v>
      </c>
      <c r="SHF887" t="s">
        <v>687</v>
      </c>
      <c r="SRB887" t="s">
        <v>687</v>
      </c>
      <c r="TAX887" t="s">
        <v>687</v>
      </c>
      <c r="TKT887" t="s">
        <v>687</v>
      </c>
      <c r="TUP887" t="s">
        <v>687</v>
      </c>
      <c r="UEL887" t="s">
        <v>687</v>
      </c>
      <c r="UOH887" t="s">
        <v>687</v>
      </c>
      <c r="UYD887" t="s">
        <v>687</v>
      </c>
      <c r="VHZ887" t="s">
        <v>687</v>
      </c>
      <c r="VRV887" t="s">
        <v>687</v>
      </c>
      <c r="WBR887" t="s">
        <v>687</v>
      </c>
      <c r="WLN887" t="s">
        <v>687</v>
      </c>
      <c r="WVJ887" t="s">
        <v>687</v>
      </c>
    </row>
    <row r="888" spans="1:775 1026:1799 2050:2823 3074:3847 4098:4871 5122:5895 6146:6919 7170:7943 8194:8967 9218:9991 10242:11015 11266:12039 12290:13063 13314:14087 14338:15111 15362:16135">
      <c r="A888" s="96" t="s">
        <v>688</v>
      </c>
      <c r="C888" s="100">
        <v>-255876</v>
      </c>
      <c r="D888" s="100">
        <v>-1198822</v>
      </c>
      <c r="E888" s="100">
        <v>-1873419</v>
      </c>
      <c r="F888" s="100">
        <v>-6821433</v>
      </c>
      <c r="G888" s="100">
        <v>-5143993</v>
      </c>
      <c r="H888" s="100"/>
      <c r="IX888" t="s">
        <v>688</v>
      </c>
      <c r="IY888">
        <v>-255876</v>
      </c>
      <c r="IZ888">
        <v>-1198822</v>
      </c>
      <c r="JA888">
        <v>-1873419</v>
      </c>
      <c r="JB888">
        <v>-6821433</v>
      </c>
      <c r="JC888">
        <v>-5143993</v>
      </c>
      <c r="ST888" t="s">
        <v>688</v>
      </c>
      <c r="SU888">
        <v>-255876</v>
      </c>
      <c r="SV888">
        <v>-1198822</v>
      </c>
      <c r="SW888">
        <v>-1873419</v>
      </c>
      <c r="SX888">
        <v>-6821433</v>
      </c>
      <c r="SY888">
        <v>-5143993</v>
      </c>
      <c r="ACP888" t="s">
        <v>688</v>
      </c>
      <c r="ACQ888">
        <v>-255876</v>
      </c>
      <c r="ACR888">
        <v>-1198822</v>
      </c>
      <c r="ACS888">
        <v>-1873419</v>
      </c>
      <c r="ACT888">
        <v>-6821433</v>
      </c>
      <c r="ACU888">
        <v>-5143993</v>
      </c>
      <c r="AML888" t="s">
        <v>688</v>
      </c>
      <c r="AMM888">
        <v>-255876</v>
      </c>
      <c r="AMN888">
        <v>-1198822</v>
      </c>
      <c r="AMO888">
        <v>-1873419</v>
      </c>
      <c r="AMP888">
        <v>-6821433</v>
      </c>
      <c r="AMQ888">
        <v>-5143993</v>
      </c>
      <c r="AWH888" t="s">
        <v>688</v>
      </c>
      <c r="AWI888">
        <v>-255876</v>
      </c>
      <c r="AWJ888">
        <v>-1198822</v>
      </c>
      <c r="AWK888">
        <v>-1873419</v>
      </c>
      <c r="AWL888">
        <v>-6821433</v>
      </c>
      <c r="AWM888">
        <v>-5143993</v>
      </c>
      <c r="BGD888" t="s">
        <v>688</v>
      </c>
      <c r="BGE888">
        <v>-255876</v>
      </c>
      <c r="BGF888">
        <v>-1198822</v>
      </c>
      <c r="BGG888">
        <v>-1873419</v>
      </c>
      <c r="BGH888">
        <v>-6821433</v>
      </c>
      <c r="BGI888">
        <v>-5143993</v>
      </c>
      <c r="BPZ888" t="s">
        <v>688</v>
      </c>
      <c r="BQA888">
        <v>-255876</v>
      </c>
      <c r="BQB888">
        <v>-1198822</v>
      </c>
      <c r="BQC888">
        <v>-1873419</v>
      </c>
      <c r="BQD888">
        <v>-6821433</v>
      </c>
      <c r="BQE888">
        <v>-5143993</v>
      </c>
      <c r="BZV888" t="s">
        <v>688</v>
      </c>
      <c r="BZW888">
        <v>-255876</v>
      </c>
      <c r="BZX888">
        <v>-1198822</v>
      </c>
      <c r="BZY888">
        <v>-1873419</v>
      </c>
      <c r="BZZ888">
        <v>-6821433</v>
      </c>
      <c r="CAA888">
        <v>-5143993</v>
      </c>
      <c r="CJR888" t="s">
        <v>688</v>
      </c>
      <c r="CJS888">
        <v>-255876</v>
      </c>
      <c r="CJT888">
        <v>-1198822</v>
      </c>
      <c r="CJU888">
        <v>-1873419</v>
      </c>
      <c r="CJV888">
        <v>-6821433</v>
      </c>
      <c r="CJW888">
        <v>-5143993</v>
      </c>
      <c r="CTN888" t="s">
        <v>688</v>
      </c>
      <c r="CTO888">
        <v>-255876</v>
      </c>
      <c r="CTP888">
        <v>-1198822</v>
      </c>
      <c r="CTQ888">
        <v>-1873419</v>
      </c>
      <c r="CTR888">
        <v>-6821433</v>
      </c>
      <c r="CTS888">
        <v>-5143993</v>
      </c>
      <c r="DDJ888" t="s">
        <v>688</v>
      </c>
      <c r="DDK888">
        <v>-255876</v>
      </c>
      <c r="DDL888">
        <v>-1198822</v>
      </c>
      <c r="DDM888">
        <v>-1873419</v>
      </c>
      <c r="DDN888">
        <v>-6821433</v>
      </c>
      <c r="DDO888">
        <v>-5143993</v>
      </c>
      <c r="DNF888" t="s">
        <v>688</v>
      </c>
      <c r="DNG888">
        <v>-255876</v>
      </c>
      <c r="DNH888">
        <v>-1198822</v>
      </c>
      <c r="DNI888">
        <v>-1873419</v>
      </c>
      <c r="DNJ888">
        <v>-6821433</v>
      </c>
      <c r="DNK888">
        <v>-5143993</v>
      </c>
      <c r="DXB888" t="s">
        <v>688</v>
      </c>
      <c r="DXC888">
        <v>-255876</v>
      </c>
      <c r="DXD888">
        <v>-1198822</v>
      </c>
      <c r="DXE888">
        <v>-1873419</v>
      </c>
      <c r="DXF888">
        <v>-6821433</v>
      </c>
      <c r="DXG888">
        <v>-5143993</v>
      </c>
      <c r="EGX888" t="s">
        <v>688</v>
      </c>
      <c r="EGY888">
        <v>-255876</v>
      </c>
      <c r="EGZ888">
        <v>-1198822</v>
      </c>
      <c r="EHA888">
        <v>-1873419</v>
      </c>
      <c r="EHB888">
        <v>-6821433</v>
      </c>
      <c r="EHC888">
        <v>-5143993</v>
      </c>
      <c r="EQT888" t="s">
        <v>688</v>
      </c>
      <c r="EQU888">
        <v>-255876</v>
      </c>
      <c r="EQV888">
        <v>-1198822</v>
      </c>
      <c r="EQW888">
        <v>-1873419</v>
      </c>
      <c r="EQX888">
        <v>-6821433</v>
      </c>
      <c r="EQY888">
        <v>-5143993</v>
      </c>
      <c r="FAP888" t="s">
        <v>688</v>
      </c>
      <c r="FAQ888">
        <v>-255876</v>
      </c>
      <c r="FAR888">
        <v>-1198822</v>
      </c>
      <c r="FAS888">
        <v>-1873419</v>
      </c>
      <c r="FAT888">
        <v>-6821433</v>
      </c>
      <c r="FAU888">
        <v>-5143993</v>
      </c>
      <c r="FKL888" t="s">
        <v>688</v>
      </c>
      <c r="FKM888">
        <v>-255876</v>
      </c>
      <c r="FKN888">
        <v>-1198822</v>
      </c>
      <c r="FKO888">
        <v>-1873419</v>
      </c>
      <c r="FKP888">
        <v>-6821433</v>
      </c>
      <c r="FKQ888">
        <v>-5143993</v>
      </c>
      <c r="FUH888" t="s">
        <v>688</v>
      </c>
      <c r="FUI888">
        <v>-255876</v>
      </c>
      <c r="FUJ888">
        <v>-1198822</v>
      </c>
      <c r="FUK888">
        <v>-1873419</v>
      </c>
      <c r="FUL888">
        <v>-6821433</v>
      </c>
      <c r="FUM888">
        <v>-5143993</v>
      </c>
      <c r="GED888" t="s">
        <v>688</v>
      </c>
      <c r="GEE888">
        <v>-255876</v>
      </c>
      <c r="GEF888">
        <v>-1198822</v>
      </c>
      <c r="GEG888">
        <v>-1873419</v>
      </c>
      <c r="GEH888">
        <v>-6821433</v>
      </c>
      <c r="GEI888">
        <v>-5143993</v>
      </c>
      <c r="GNZ888" t="s">
        <v>688</v>
      </c>
      <c r="GOA888">
        <v>-255876</v>
      </c>
      <c r="GOB888">
        <v>-1198822</v>
      </c>
      <c r="GOC888">
        <v>-1873419</v>
      </c>
      <c r="GOD888">
        <v>-6821433</v>
      </c>
      <c r="GOE888">
        <v>-5143993</v>
      </c>
      <c r="GXV888" t="s">
        <v>688</v>
      </c>
      <c r="GXW888">
        <v>-255876</v>
      </c>
      <c r="GXX888">
        <v>-1198822</v>
      </c>
      <c r="GXY888">
        <v>-1873419</v>
      </c>
      <c r="GXZ888">
        <v>-6821433</v>
      </c>
      <c r="GYA888">
        <v>-5143993</v>
      </c>
      <c r="HHR888" t="s">
        <v>688</v>
      </c>
      <c r="HHS888">
        <v>-255876</v>
      </c>
      <c r="HHT888">
        <v>-1198822</v>
      </c>
      <c r="HHU888">
        <v>-1873419</v>
      </c>
      <c r="HHV888">
        <v>-6821433</v>
      </c>
      <c r="HHW888">
        <v>-5143993</v>
      </c>
      <c r="HRN888" t="s">
        <v>688</v>
      </c>
      <c r="HRO888">
        <v>-255876</v>
      </c>
      <c r="HRP888">
        <v>-1198822</v>
      </c>
      <c r="HRQ888">
        <v>-1873419</v>
      </c>
      <c r="HRR888">
        <v>-6821433</v>
      </c>
      <c r="HRS888">
        <v>-5143993</v>
      </c>
      <c r="IBJ888" t="s">
        <v>688</v>
      </c>
      <c r="IBK888">
        <v>-255876</v>
      </c>
      <c r="IBL888">
        <v>-1198822</v>
      </c>
      <c r="IBM888">
        <v>-1873419</v>
      </c>
      <c r="IBN888">
        <v>-6821433</v>
      </c>
      <c r="IBO888">
        <v>-5143993</v>
      </c>
      <c r="ILF888" t="s">
        <v>688</v>
      </c>
      <c r="ILG888">
        <v>-255876</v>
      </c>
      <c r="ILH888">
        <v>-1198822</v>
      </c>
      <c r="ILI888">
        <v>-1873419</v>
      </c>
      <c r="ILJ888">
        <v>-6821433</v>
      </c>
      <c r="ILK888">
        <v>-5143993</v>
      </c>
      <c r="IVB888" t="s">
        <v>688</v>
      </c>
      <c r="IVC888">
        <v>-255876</v>
      </c>
      <c r="IVD888">
        <v>-1198822</v>
      </c>
      <c r="IVE888">
        <v>-1873419</v>
      </c>
      <c r="IVF888">
        <v>-6821433</v>
      </c>
      <c r="IVG888">
        <v>-5143993</v>
      </c>
      <c r="JEX888" t="s">
        <v>688</v>
      </c>
      <c r="JEY888">
        <v>-255876</v>
      </c>
      <c r="JEZ888">
        <v>-1198822</v>
      </c>
      <c r="JFA888">
        <v>-1873419</v>
      </c>
      <c r="JFB888">
        <v>-6821433</v>
      </c>
      <c r="JFC888">
        <v>-5143993</v>
      </c>
      <c r="JOT888" t="s">
        <v>688</v>
      </c>
      <c r="JOU888">
        <v>-255876</v>
      </c>
      <c r="JOV888">
        <v>-1198822</v>
      </c>
      <c r="JOW888">
        <v>-1873419</v>
      </c>
      <c r="JOX888">
        <v>-6821433</v>
      </c>
      <c r="JOY888">
        <v>-5143993</v>
      </c>
      <c r="JYP888" t="s">
        <v>688</v>
      </c>
      <c r="JYQ888">
        <v>-255876</v>
      </c>
      <c r="JYR888">
        <v>-1198822</v>
      </c>
      <c r="JYS888">
        <v>-1873419</v>
      </c>
      <c r="JYT888">
        <v>-6821433</v>
      </c>
      <c r="JYU888">
        <v>-5143993</v>
      </c>
      <c r="KIL888" t="s">
        <v>688</v>
      </c>
      <c r="KIM888">
        <v>-255876</v>
      </c>
      <c r="KIN888">
        <v>-1198822</v>
      </c>
      <c r="KIO888">
        <v>-1873419</v>
      </c>
      <c r="KIP888">
        <v>-6821433</v>
      </c>
      <c r="KIQ888">
        <v>-5143993</v>
      </c>
      <c r="KSH888" t="s">
        <v>688</v>
      </c>
      <c r="KSI888">
        <v>-255876</v>
      </c>
      <c r="KSJ888">
        <v>-1198822</v>
      </c>
      <c r="KSK888">
        <v>-1873419</v>
      </c>
      <c r="KSL888">
        <v>-6821433</v>
      </c>
      <c r="KSM888">
        <v>-5143993</v>
      </c>
      <c r="LCD888" t="s">
        <v>688</v>
      </c>
      <c r="LCE888">
        <v>-255876</v>
      </c>
      <c r="LCF888">
        <v>-1198822</v>
      </c>
      <c r="LCG888">
        <v>-1873419</v>
      </c>
      <c r="LCH888">
        <v>-6821433</v>
      </c>
      <c r="LCI888">
        <v>-5143993</v>
      </c>
      <c r="LLZ888" t="s">
        <v>688</v>
      </c>
      <c r="LMA888">
        <v>-255876</v>
      </c>
      <c r="LMB888">
        <v>-1198822</v>
      </c>
      <c r="LMC888">
        <v>-1873419</v>
      </c>
      <c r="LMD888">
        <v>-6821433</v>
      </c>
      <c r="LME888">
        <v>-5143993</v>
      </c>
      <c r="LVV888" t="s">
        <v>688</v>
      </c>
      <c r="LVW888">
        <v>-255876</v>
      </c>
      <c r="LVX888">
        <v>-1198822</v>
      </c>
      <c r="LVY888">
        <v>-1873419</v>
      </c>
      <c r="LVZ888">
        <v>-6821433</v>
      </c>
      <c r="LWA888">
        <v>-5143993</v>
      </c>
      <c r="MFR888" t="s">
        <v>688</v>
      </c>
      <c r="MFS888">
        <v>-255876</v>
      </c>
      <c r="MFT888">
        <v>-1198822</v>
      </c>
      <c r="MFU888">
        <v>-1873419</v>
      </c>
      <c r="MFV888">
        <v>-6821433</v>
      </c>
      <c r="MFW888">
        <v>-5143993</v>
      </c>
      <c r="MPN888" t="s">
        <v>688</v>
      </c>
      <c r="MPO888">
        <v>-255876</v>
      </c>
      <c r="MPP888">
        <v>-1198822</v>
      </c>
      <c r="MPQ888">
        <v>-1873419</v>
      </c>
      <c r="MPR888">
        <v>-6821433</v>
      </c>
      <c r="MPS888">
        <v>-5143993</v>
      </c>
      <c r="MZJ888" t="s">
        <v>688</v>
      </c>
      <c r="MZK888">
        <v>-255876</v>
      </c>
      <c r="MZL888">
        <v>-1198822</v>
      </c>
      <c r="MZM888">
        <v>-1873419</v>
      </c>
      <c r="MZN888">
        <v>-6821433</v>
      </c>
      <c r="MZO888">
        <v>-5143993</v>
      </c>
      <c r="NJF888" t="s">
        <v>688</v>
      </c>
      <c r="NJG888">
        <v>-255876</v>
      </c>
      <c r="NJH888">
        <v>-1198822</v>
      </c>
      <c r="NJI888">
        <v>-1873419</v>
      </c>
      <c r="NJJ888">
        <v>-6821433</v>
      </c>
      <c r="NJK888">
        <v>-5143993</v>
      </c>
      <c r="NTB888" t="s">
        <v>688</v>
      </c>
      <c r="NTC888">
        <v>-255876</v>
      </c>
      <c r="NTD888">
        <v>-1198822</v>
      </c>
      <c r="NTE888">
        <v>-1873419</v>
      </c>
      <c r="NTF888">
        <v>-6821433</v>
      </c>
      <c r="NTG888">
        <v>-5143993</v>
      </c>
      <c r="OCX888" t="s">
        <v>688</v>
      </c>
      <c r="OCY888">
        <v>-255876</v>
      </c>
      <c r="OCZ888">
        <v>-1198822</v>
      </c>
      <c r="ODA888">
        <v>-1873419</v>
      </c>
      <c r="ODB888">
        <v>-6821433</v>
      </c>
      <c r="ODC888">
        <v>-5143993</v>
      </c>
      <c r="OMT888" t="s">
        <v>688</v>
      </c>
      <c r="OMU888">
        <v>-255876</v>
      </c>
      <c r="OMV888">
        <v>-1198822</v>
      </c>
      <c r="OMW888">
        <v>-1873419</v>
      </c>
      <c r="OMX888">
        <v>-6821433</v>
      </c>
      <c r="OMY888">
        <v>-5143993</v>
      </c>
      <c r="OWP888" t="s">
        <v>688</v>
      </c>
      <c r="OWQ888">
        <v>-255876</v>
      </c>
      <c r="OWR888">
        <v>-1198822</v>
      </c>
      <c r="OWS888">
        <v>-1873419</v>
      </c>
      <c r="OWT888">
        <v>-6821433</v>
      </c>
      <c r="OWU888">
        <v>-5143993</v>
      </c>
      <c r="PGL888" t="s">
        <v>688</v>
      </c>
      <c r="PGM888">
        <v>-255876</v>
      </c>
      <c r="PGN888">
        <v>-1198822</v>
      </c>
      <c r="PGO888">
        <v>-1873419</v>
      </c>
      <c r="PGP888">
        <v>-6821433</v>
      </c>
      <c r="PGQ888">
        <v>-5143993</v>
      </c>
      <c r="PQH888" t="s">
        <v>688</v>
      </c>
      <c r="PQI888">
        <v>-255876</v>
      </c>
      <c r="PQJ888">
        <v>-1198822</v>
      </c>
      <c r="PQK888">
        <v>-1873419</v>
      </c>
      <c r="PQL888">
        <v>-6821433</v>
      </c>
      <c r="PQM888">
        <v>-5143993</v>
      </c>
      <c r="QAD888" t="s">
        <v>688</v>
      </c>
      <c r="QAE888">
        <v>-255876</v>
      </c>
      <c r="QAF888">
        <v>-1198822</v>
      </c>
      <c r="QAG888">
        <v>-1873419</v>
      </c>
      <c r="QAH888">
        <v>-6821433</v>
      </c>
      <c r="QAI888">
        <v>-5143993</v>
      </c>
      <c r="QJZ888" t="s">
        <v>688</v>
      </c>
      <c r="QKA888">
        <v>-255876</v>
      </c>
      <c r="QKB888">
        <v>-1198822</v>
      </c>
      <c r="QKC888">
        <v>-1873419</v>
      </c>
      <c r="QKD888">
        <v>-6821433</v>
      </c>
      <c r="QKE888">
        <v>-5143993</v>
      </c>
      <c r="QTV888" t="s">
        <v>688</v>
      </c>
      <c r="QTW888">
        <v>-255876</v>
      </c>
      <c r="QTX888">
        <v>-1198822</v>
      </c>
      <c r="QTY888">
        <v>-1873419</v>
      </c>
      <c r="QTZ888">
        <v>-6821433</v>
      </c>
      <c r="QUA888">
        <v>-5143993</v>
      </c>
      <c r="RDR888" t="s">
        <v>688</v>
      </c>
      <c r="RDS888">
        <v>-255876</v>
      </c>
      <c r="RDT888">
        <v>-1198822</v>
      </c>
      <c r="RDU888">
        <v>-1873419</v>
      </c>
      <c r="RDV888">
        <v>-6821433</v>
      </c>
      <c r="RDW888">
        <v>-5143993</v>
      </c>
      <c r="RNN888" t="s">
        <v>688</v>
      </c>
      <c r="RNO888">
        <v>-255876</v>
      </c>
      <c r="RNP888">
        <v>-1198822</v>
      </c>
      <c r="RNQ888">
        <v>-1873419</v>
      </c>
      <c r="RNR888">
        <v>-6821433</v>
      </c>
      <c r="RNS888">
        <v>-5143993</v>
      </c>
      <c r="RXJ888" t="s">
        <v>688</v>
      </c>
      <c r="RXK888">
        <v>-255876</v>
      </c>
      <c r="RXL888">
        <v>-1198822</v>
      </c>
      <c r="RXM888">
        <v>-1873419</v>
      </c>
      <c r="RXN888">
        <v>-6821433</v>
      </c>
      <c r="RXO888">
        <v>-5143993</v>
      </c>
      <c r="SHF888" t="s">
        <v>688</v>
      </c>
      <c r="SHG888">
        <v>-255876</v>
      </c>
      <c r="SHH888">
        <v>-1198822</v>
      </c>
      <c r="SHI888">
        <v>-1873419</v>
      </c>
      <c r="SHJ888">
        <v>-6821433</v>
      </c>
      <c r="SHK888">
        <v>-5143993</v>
      </c>
      <c r="SRB888" t="s">
        <v>688</v>
      </c>
      <c r="SRC888">
        <v>-255876</v>
      </c>
      <c r="SRD888">
        <v>-1198822</v>
      </c>
      <c r="SRE888">
        <v>-1873419</v>
      </c>
      <c r="SRF888">
        <v>-6821433</v>
      </c>
      <c r="SRG888">
        <v>-5143993</v>
      </c>
      <c r="TAX888" t="s">
        <v>688</v>
      </c>
      <c r="TAY888">
        <v>-255876</v>
      </c>
      <c r="TAZ888">
        <v>-1198822</v>
      </c>
      <c r="TBA888">
        <v>-1873419</v>
      </c>
      <c r="TBB888">
        <v>-6821433</v>
      </c>
      <c r="TBC888">
        <v>-5143993</v>
      </c>
      <c r="TKT888" t="s">
        <v>688</v>
      </c>
      <c r="TKU888">
        <v>-255876</v>
      </c>
      <c r="TKV888">
        <v>-1198822</v>
      </c>
      <c r="TKW888">
        <v>-1873419</v>
      </c>
      <c r="TKX888">
        <v>-6821433</v>
      </c>
      <c r="TKY888">
        <v>-5143993</v>
      </c>
      <c r="TUP888" t="s">
        <v>688</v>
      </c>
      <c r="TUQ888">
        <v>-255876</v>
      </c>
      <c r="TUR888">
        <v>-1198822</v>
      </c>
      <c r="TUS888">
        <v>-1873419</v>
      </c>
      <c r="TUT888">
        <v>-6821433</v>
      </c>
      <c r="TUU888">
        <v>-5143993</v>
      </c>
      <c r="UEL888" t="s">
        <v>688</v>
      </c>
      <c r="UEM888">
        <v>-255876</v>
      </c>
      <c r="UEN888">
        <v>-1198822</v>
      </c>
      <c r="UEO888">
        <v>-1873419</v>
      </c>
      <c r="UEP888">
        <v>-6821433</v>
      </c>
      <c r="UEQ888">
        <v>-5143993</v>
      </c>
      <c r="UOH888" t="s">
        <v>688</v>
      </c>
      <c r="UOI888">
        <v>-255876</v>
      </c>
      <c r="UOJ888">
        <v>-1198822</v>
      </c>
      <c r="UOK888">
        <v>-1873419</v>
      </c>
      <c r="UOL888">
        <v>-6821433</v>
      </c>
      <c r="UOM888">
        <v>-5143993</v>
      </c>
      <c r="UYD888" t="s">
        <v>688</v>
      </c>
      <c r="UYE888">
        <v>-255876</v>
      </c>
      <c r="UYF888">
        <v>-1198822</v>
      </c>
      <c r="UYG888">
        <v>-1873419</v>
      </c>
      <c r="UYH888">
        <v>-6821433</v>
      </c>
      <c r="UYI888">
        <v>-5143993</v>
      </c>
      <c r="VHZ888" t="s">
        <v>688</v>
      </c>
      <c r="VIA888">
        <v>-255876</v>
      </c>
      <c r="VIB888">
        <v>-1198822</v>
      </c>
      <c r="VIC888">
        <v>-1873419</v>
      </c>
      <c r="VID888">
        <v>-6821433</v>
      </c>
      <c r="VIE888">
        <v>-5143993</v>
      </c>
      <c r="VRV888" t="s">
        <v>688</v>
      </c>
      <c r="VRW888">
        <v>-255876</v>
      </c>
      <c r="VRX888">
        <v>-1198822</v>
      </c>
      <c r="VRY888">
        <v>-1873419</v>
      </c>
      <c r="VRZ888">
        <v>-6821433</v>
      </c>
      <c r="VSA888">
        <v>-5143993</v>
      </c>
      <c r="WBR888" t="s">
        <v>688</v>
      </c>
      <c r="WBS888">
        <v>-255876</v>
      </c>
      <c r="WBT888">
        <v>-1198822</v>
      </c>
      <c r="WBU888">
        <v>-1873419</v>
      </c>
      <c r="WBV888">
        <v>-6821433</v>
      </c>
      <c r="WBW888">
        <v>-5143993</v>
      </c>
      <c r="WLN888" t="s">
        <v>688</v>
      </c>
      <c r="WLO888">
        <v>-255876</v>
      </c>
      <c r="WLP888">
        <v>-1198822</v>
      </c>
      <c r="WLQ888">
        <v>-1873419</v>
      </c>
      <c r="WLR888">
        <v>-6821433</v>
      </c>
      <c r="WLS888">
        <v>-5143993</v>
      </c>
      <c r="WVJ888" t="s">
        <v>688</v>
      </c>
      <c r="WVK888">
        <v>-255876</v>
      </c>
      <c r="WVL888">
        <v>-1198822</v>
      </c>
      <c r="WVM888">
        <v>-1873419</v>
      </c>
      <c r="WVN888">
        <v>-6821433</v>
      </c>
      <c r="WVO888">
        <v>-5143993</v>
      </c>
    </row>
    <row r="889" spans="1:775 1026:1799 2050:2823 3074:3847 4098:4871 5122:5895 6146:6919 7170:7943 8194:8967 9218:9991 10242:11015 11266:12039 12290:13063 13314:14087 14338:15111 15362:16135">
      <c r="A889" s="96" t="s">
        <v>689</v>
      </c>
      <c r="C889" s="100">
        <v>-9595608</v>
      </c>
      <c r="D889" s="100">
        <v>-11079189</v>
      </c>
      <c r="E889" s="100">
        <v>-4607645</v>
      </c>
      <c r="F889" s="100">
        <v>-4496303</v>
      </c>
      <c r="G889" s="100">
        <v>-15640659</v>
      </c>
      <c r="H889" s="100"/>
      <c r="IX889" t="s">
        <v>689</v>
      </c>
      <c r="IY889">
        <v>-9595608</v>
      </c>
      <c r="IZ889">
        <v>-11079189</v>
      </c>
      <c r="JA889">
        <v>-4607645</v>
      </c>
      <c r="JB889">
        <v>-4496303</v>
      </c>
      <c r="JC889">
        <v>-15640659</v>
      </c>
      <c r="ST889" t="s">
        <v>689</v>
      </c>
      <c r="SU889">
        <v>-9595608</v>
      </c>
      <c r="SV889">
        <v>-11079189</v>
      </c>
      <c r="SW889">
        <v>-4607645</v>
      </c>
      <c r="SX889">
        <v>-4496303</v>
      </c>
      <c r="SY889">
        <v>-15640659</v>
      </c>
      <c r="ACP889" t="s">
        <v>689</v>
      </c>
      <c r="ACQ889">
        <v>-9595608</v>
      </c>
      <c r="ACR889">
        <v>-11079189</v>
      </c>
      <c r="ACS889">
        <v>-4607645</v>
      </c>
      <c r="ACT889">
        <v>-4496303</v>
      </c>
      <c r="ACU889">
        <v>-15640659</v>
      </c>
      <c r="AML889" t="s">
        <v>689</v>
      </c>
      <c r="AMM889">
        <v>-9595608</v>
      </c>
      <c r="AMN889">
        <v>-11079189</v>
      </c>
      <c r="AMO889">
        <v>-4607645</v>
      </c>
      <c r="AMP889">
        <v>-4496303</v>
      </c>
      <c r="AMQ889">
        <v>-15640659</v>
      </c>
      <c r="AWH889" t="s">
        <v>689</v>
      </c>
      <c r="AWI889">
        <v>-9595608</v>
      </c>
      <c r="AWJ889">
        <v>-11079189</v>
      </c>
      <c r="AWK889">
        <v>-4607645</v>
      </c>
      <c r="AWL889">
        <v>-4496303</v>
      </c>
      <c r="AWM889">
        <v>-15640659</v>
      </c>
      <c r="BGD889" t="s">
        <v>689</v>
      </c>
      <c r="BGE889">
        <v>-9595608</v>
      </c>
      <c r="BGF889">
        <v>-11079189</v>
      </c>
      <c r="BGG889">
        <v>-4607645</v>
      </c>
      <c r="BGH889">
        <v>-4496303</v>
      </c>
      <c r="BGI889">
        <v>-15640659</v>
      </c>
      <c r="BPZ889" t="s">
        <v>689</v>
      </c>
      <c r="BQA889">
        <v>-9595608</v>
      </c>
      <c r="BQB889">
        <v>-11079189</v>
      </c>
      <c r="BQC889">
        <v>-4607645</v>
      </c>
      <c r="BQD889">
        <v>-4496303</v>
      </c>
      <c r="BQE889">
        <v>-15640659</v>
      </c>
      <c r="BZV889" t="s">
        <v>689</v>
      </c>
      <c r="BZW889">
        <v>-9595608</v>
      </c>
      <c r="BZX889">
        <v>-11079189</v>
      </c>
      <c r="BZY889">
        <v>-4607645</v>
      </c>
      <c r="BZZ889">
        <v>-4496303</v>
      </c>
      <c r="CAA889">
        <v>-15640659</v>
      </c>
      <c r="CJR889" t="s">
        <v>689</v>
      </c>
      <c r="CJS889">
        <v>-9595608</v>
      </c>
      <c r="CJT889">
        <v>-11079189</v>
      </c>
      <c r="CJU889">
        <v>-4607645</v>
      </c>
      <c r="CJV889">
        <v>-4496303</v>
      </c>
      <c r="CJW889">
        <v>-15640659</v>
      </c>
      <c r="CTN889" t="s">
        <v>689</v>
      </c>
      <c r="CTO889">
        <v>-9595608</v>
      </c>
      <c r="CTP889">
        <v>-11079189</v>
      </c>
      <c r="CTQ889">
        <v>-4607645</v>
      </c>
      <c r="CTR889">
        <v>-4496303</v>
      </c>
      <c r="CTS889">
        <v>-15640659</v>
      </c>
      <c r="DDJ889" t="s">
        <v>689</v>
      </c>
      <c r="DDK889">
        <v>-9595608</v>
      </c>
      <c r="DDL889">
        <v>-11079189</v>
      </c>
      <c r="DDM889">
        <v>-4607645</v>
      </c>
      <c r="DDN889">
        <v>-4496303</v>
      </c>
      <c r="DDO889">
        <v>-15640659</v>
      </c>
      <c r="DNF889" t="s">
        <v>689</v>
      </c>
      <c r="DNG889">
        <v>-9595608</v>
      </c>
      <c r="DNH889">
        <v>-11079189</v>
      </c>
      <c r="DNI889">
        <v>-4607645</v>
      </c>
      <c r="DNJ889">
        <v>-4496303</v>
      </c>
      <c r="DNK889">
        <v>-15640659</v>
      </c>
      <c r="DXB889" t="s">
        <v>689</v>
      </c>
      <c r="DXC889">
        <v>-9595608</v>
      </c>
      <c r="DXD889">
        <v>-11079189</v>
      </c>
      <c r="DXE889">
        <v>-4607645</v>
      </c>
      <c r="DXF889">
        <v>-4496303</v>
      </c>
      <c r="DXG889">
        <v>-15640659</v>
      </c>
      <c r="EGX889" t="s">
        <v>689</v>
      </c>
      <c r="EGY889">
        <v>-9595608</v>
      </c>
      <c r="EGZ889">
        <v>-11079189</v>
      </c>
      <c r="EHA889">
        <v>-4607645</v>
      </c>
      <c r="EHB889">
        <v>-4496303</v>
      </c>
      <c r="EHC889">
        <v>-15640659</v>
      </c>
      <c r="EQT889" t="s">
        <v>689</v>
      </c>
      <c r="EQU889">
        <v>-9595608</v>
      </c>
      <c r="EQV889">
        <v>-11079189</v>
      </c>
      <c r="EQW889">
        <v>-4607645</v>
      </c>
      <c r="EQX889">
        <v>-4496303</v>
      </c>
      <c r="EQY889">
        <v>-15640659</v>
      </c>
      <c r="FAP889" t="s">
        <v>689</v>
      </c>
      <c r="FAQ889">
        <v>-9595608</v>
      </c>
      <c r="FAR889">
        <v>-11079189</v>
      </c>
      <c r="FAS889">
        <v>-4607645</v>
      </c>
      <c r="FAT889">
        <v>-4496303</v>
      </c>
      <c r="FAU889">
        <v>-15640659</v>
      </c>
      <c r="FKL889" t="s">
        <v>689</v>
      </c>
      <c r="FKM889">
        <v>-9595608</v>
      </c>
      <c r="FKN889">
        <v>-11079189</v>
      </c>
      <c r="FKO889">
        <v>-4607645</v>
      </c>
      <c r="FKP889">
        <v>-4496303</v>
      </c>
      <c r="FKQ889">
        <v>-15640659</v>
      </c>
      <c r="FUH889" t="s">
        <v>689</v>
      </c>
      <c r="FUI889">
        <v>-9595608</v>
      </c>
      <c r="FUJ889">
        <v>-11079189</v>
      </c>
      <c r="FUK889">
        <v>-4607645</v>
      </c>
      <c r="FUL889">
        <v>-4496303</v>
      </c>
      <c r="FUM889">
        <v>-15640659</v>
      </c>
      <c r="GED889" t="s">
        <v>689</v>
      </c>
      <c r="GEE889">
        <v>-9595608</v>
      </c>
      <c r="GEF889">
        <v>-11079189</v>
      </c>
      <c r="GEG889">
        <v>-4607645</v>
      </c>
      <c r="GEH889">
        <v>-4496303</v>
      </c>
      <c r="GEI889">
        <v>-15640659</v>
      </c>
      <c r="GNZ889" t="s">
        <v>689</v>
      </c>
      <c r="GOA889">
        <v>-9595608</v>
      </c>
      <c r="GOB889">
        <v>-11079189</v>
      </c>
      <c r="GOC889">
        <v>-4607645</v>
      </c>
      <c r="GOD889">
        <v>-4496303</v>
      </c>
      <c r="GOE889">
        <v>-15640659</v>
      </c>
      <c r="GXV889" t="s">
        <v>689</v>
      </c>
      <c r="GXW889">
        <v>-9595608</v>
      </c>
      <c r="GXX889">
        <v>-11079189</v>
      </c>
      <c r="GXY889">
        <v>-4607645</v>
      </c>
      <c r="GXZ889">
        <v>-4496303</v>
      </c>
      <c r="GYA889">
        <v>-15640659</v>
      </c>
      <c r="HHR889" t="s">
        <v>689</v>
      </c>
      <c r="HHS889">
        <v>-9595608</v>
      </c>
      <c r="HHT889">
        <v>-11079189</v>
      </c>
      <c r="HHU889">
        <v>-4607645</v>
      </c>
      <c r="HHV889">
        <v>-4496303</v>
      </c>
      <c r="HHW889">
        <v>-15640659</v>
      </c>
      <c r="HRN889" t="s">
        <v>689</v>
      </c>
      <c r="HRO889">
        <v>-9595608</v>
      </c>
      <c r="HRP889">
        <v>-11079189</v>
      </c>
      <c r="HRQ889">
        <v>-4607645</v>
      </c>
      <c r="HRR889">
        <v>-4496303</v>
      </c>
      <c r="HRS889">
        <v>-15640659</v>
      </c>
      <c r="IBJ889" t="s">
        <v>689</v>
      </c>
      <c r="IBK889">
        <v>-9595608</v>
      </c>
      <c r="IBL889">
        <v>-11079189</v>
      </c>
      <c r="IBM889">
        <v>-4607645</v>
      </c>
      <c r="IBN889">
        <v>-4496303</v>
      </c>
      <c r="IBO889">
        <v>-15640659</v>
      </c>
      <c r="ILF889" t="s">
        <v>689</v>
      </c>
      <c r="ILG889">
        <v>-9595608</v>
      </c>
      <c r="ILH889">
        <v>-11079189</v>
      </c>
      <c r="ILI889">
        <v>-4607645</v>
      </c>
      <c r="ILJ889">
        <v>-4496303</v>
      </c>
      <c r="ILK889">
        <v>-15640659</v>
      </c>
      <c r="IVB889" t="s">
        <v>689</v>
      </c>
      <c r="IVC889">
        <v>-9595608</v>
      </c>
      <c r="IVD889">
        <v>-11079189</v>
      </c>
      <c r="IVE889">
        <v>-4607645</v>
      </c>
      <c r="IVF889">
        <v>-4496303</v>
      </c>
      <c r="IVG889">
        <v>-15640659</v>
      </c>
      <c r="JEX889" t="s">
        <v>689</v>
      </c>
      <c r="JEY889">
        <v>-9595608</v>
      </c>
      <c r="JEZ889">
        <v>-11079189</v>
      </c>
      <c r="JFA889">
        <v>-4607645</v>
      </c>
      <c r="JFB889">
        <v>-4496303</v>
      </c>
      <c r="JFC889">
        <v>-15640659</v>
      </c>
      <c r="JOT889" t="s">
        <v>689</v>
      </c>
      <c r="JOU889">
        <v>-9595608</v>
      </c>
      <c r="JOV889">
        <v>-11079189</v>
      </c>
      <c r="JOW889">
        <v>-4607645</v>
      </c>
      <c r="JOX889">
        <v>-4496303</v>
      </c>
      <c r="JOY889">
        <v>-15640659</v>
      </c>
      <c r="JYP889" t="s">
        <v>689</v>
      </c>
      <c r="JYQ889">
        <v>-9595608</v>
      </c>
      <c r="JYR889">
        <v>-11079189</v>
      </c>
      <c r="JYS889">
        <v>-4607645</v>
      </c>
      <c r="JYT889">
        <v>-4496303</v>
      </c>
      <c r="JYU889">
        <v>-15640659</v>
      </c>
      <c r="KIL889" t="s">
        <v>689</v>
      </c>
      <c r="KIM889">
        <v>-9595608</v>
      </c>
      <c r="KIN889">
        <v>-11079189</v>
      </c>
      <c r="KIO889">
        <v>-4607645</v>
      </c>
      <c r="KIP889">
        <v>-4496303</v>
      </c>
      <c r="KIQ889">
        <v>-15640659</v>
      </c>
      <c r="KSH889" t="s">
        <v>689</v>
      </c>
      <c r="KSI889">
        <v>-9595608</v>
      </c>
      <c r="KSJ889">
        <v>-11079189</v>
      </c>
      <c r="KSK889">
        <v>-4607645</v>
      </c>
      <c r="KSL889">
        <v>-4496303</v>
      </c>
      <c r="KSM889">
        <v>-15640659</v>
      </c>
      <c r="LCD889" t="s">
        <v>689</v>
      </c>
      <c r="LCE889">
        <v>-9595608</v>
      </c>
      <c r="LCF889">
        <v>-11079189</v>
      </c>
      <c r="LCG889">
        <v>-4607645</v>
      </c>
      <c r="LCH889">
        <v>-4496303</v>
      </c>
      <c r="LCI889">
        <v>-15640659</v>
      </c>
      <c r="LLZ889" t="s">
        <v>689</v>
      </c>
      <c r="LMA889">
        <v>-9595608</v>
      </c>
      <c r="LMB889">
        <v>-11079189</v>
      </c>
      <c r="LMC889">
        <v>-4607645</v>
      </c>
      <c r="LMD889">
        <v>-4496303</v>
      </c>
      <c r="LME889">
        <v>-15640659</v>
      </c>
      <c r="LVV889" t="s">
        <v>689</v>
      </c>
      <c r="LVW889">
        <v>-9595608</v>
      </c>
      <c r="LVX889">
        <v>-11079189</v>
      </c>
      <c r="LVY889">
        <v>-4607645</v>
      </c>
      <c r="LVZ889">
        <v>-4496303</v>
      </c>
      <c r="LWA889">
        <v>-15640659</v>
      </c>
      <c r="MFR889" t="s">
        <v>689</v>
      </c>
      <c r="MFS889">
        <v>-9595608</v>
      </c>
      <c r="MFT889">
        <v>-11079189</v>
      </c>
      <c r="MFU889">
        <v>-4607645</v>
      </c>
      <c r="MFV889">
        <v>-4496303</v>
      </c>
      <c r="MFW889">
        <v>-15640659</v>
      </c>
      <c r="MPN889" t="s">
        <v>689</v>
      </c>
      <c r="MPO889">
        <v>-9595608</v>
      </c>
      <c r="MPP889">
        <v>-11079189</v>
      </c>
      <c r="MPQ889">
        <v>-4607645</v>
      </c>
      <c r="MPR889">
        <v>-4496303</v>
      </c>
      <c r="MPS889">
        <v>-15640659</v>
      </c>
      <c r="MZJ889" t="s">
        <v>689</v>
      </c>
      <c r="MZK889">
        <v>-9595608</v>
      </c>
      <c r="MZL889">
        <v>-11079189</v>
      </c>
      <c r="MZM889">
        <v>-4607645</v>
      </c>
      <c r="MZN889">
        <v>-4496303</v>
      </c>
      <c r="MZO889">
        <v>-15640659</v>
      </c>
      <c r="NJF889" t="s">
        <v>689</v>
      </c>
      <c r="NJG889">
        <v>-9595608</v>
      </c>
      <c r="NJH889">
        <v>-11079189</v>
      </c>
      <c r="NJI889">
        <v>-4607645</v>
      </c>
      <c r="NJJ889">
        <v>-4496303</v>
      </c>
      <c r="NJK889">
        <v>-15640659</v>
      </c>
      <c r="NTB889" t="s">
        <v>689</v>
      </c>
      <c r="NTC889">
        <v>-9595608</v>
      </c>
      <c r="NTD889">
        <v>-11079189</v>
      </c>
      <c r="NTE889">
        <v>-4607645</v>
      </c>
      <c r="NTF889">
        <v>-4496303</v>
      </c>
      <c r="NTG889">
        <v>-15640659</v>
      </c>
      <c r="OCX889" t="s">
        <v>689</v>
      </c>
      <c r="OCY889">
        <v>-9595608</v>
      </c>
      <c r="OCZ889">
        <v>-11079189</v>
      </c>
      <c r="ODA889">
        <v>-4607645</v>
      </c>
      <c r="ODB889">
        <v>-4496303</v>
      </c>
      <c r="ODC889">
        <v>-15640659</v>
      </c>
      <c r="OMT889" t="s">
        <v>689</v>
      </c>
      <c r="OMU889">
        <v>-9595608</v>
      </c>
      <c r="OMV889">
        <v>-11079189</v>
      </c>
      <c r="OMW889">
        <v>-4607645</v>
      </c>
      <c r="OMX889">
        <v>-4496303</v>
      </c>
      <c r="OMY889">
        <v>-15640659</v>
      </c>
      <c r="OWP889" t="s">
        <v>689</v>
      </c>
      <c r="OWQ889">
        <v>-9595608</v>
      </c>
      <c r="OWR889">
        <v>-11079189</v>
      </c>
      <c r="OWS889">
        <v>-4607645</v>
      </c>
      <c r="OWT889">
        <v>-4496303</v>
      </c>
      <c r="OWU889">
        <v>-15640659</v>
      </c>
      <c r="PGL889" t="s">
        <v>689</v>
      </c>
      <c r="PGM889">
        <v>-9595608</v>
      </c>
      <c r="PGN889">
        <v>-11079189</v>
      </c>
      <c r="PGO889">
        <v>-4607645</v>
      </c>
      <c r="PGP889">
        <v>-4496303</v>
      </c>
      <c r="PGQ889">
        <v>-15640659</v>
      </c>
      <c r="PQH889" t="s">
        <v>689</v>
      </c>
      <c r="PQI889">
        <v>-9595608</v>
      </c>
      <c r="PQJ889">
        <v>-11079189</v>
      </c>
      <c r="PQK889">
        <v>-4607645</v>
      </c>
      <c r="PQL889">
        <v>-4496303</v>
      </c>
      <c r="PQM889">
        <v>-15640659</v>
      </c>
      <c r="QAD889" t="s">
        <v>689</v>
      </c>
      <c r="QAE889">
        <v>-9595608</v>
      </c>
      <c r="QAF889">
        <v>-11079189</v>
      </c>
      <c r="QAG889">
        <v>-4607645</v>
      </c>
      <c r="QAH889">
        <v>-4496303</v>
      </c>
      <c r="QAI889">
        <v>-15640659</v>
      </c>
      <c r="QJZ889" t="s">
        <v>689</v>
      </c>
      <c r="QKA889">
        <v>-9595608</v>
      </c>
      <c r="QKB889">
        <v>-11079189</v>
      </c>
      <c r="QKC889">
        <v>-4607645</v>
      </c>
      <c r="QKD889">
        <v>-4496303</v>
      </c>
      <c r="QKE889">
        <v>-15640659</v>
      </c>
      <c r="QTV889" t="s">
        <v>689</v>
      </c>
      <c r="QTW889">
        <v>-9595608</v>
      </c>
      <c r="QTX889">
        <v>-11079189</v>
      </c>
      <c r="QTY889">
        <v>-4607645</v>
      </c>
      <c r="QTZ889">
        <v>-4496303</v>
      </c>
      <c r="QUA889">
        <v>-15640659</v>
      </c>
      <c r="RDR889" t="s">
        <v>689</v>
      </c>
      <c r="RDS889">
        <v>-9595608</v>
      </c>
      <c r="RDT889">
        <v>-11079189</v>
      </c>
      <c r="RDU889">
        <v>-4607645</v>
      </c>
      <c r="RDV889">
        <v>-4496303</v>
      </c>
      <c r="RDW889">
        <v>-15640659</v>
      </c>
      <c r="RNN889" t="s">
        <v>689</v>
      </c>
      <c r="RNO889">
        <v>-9595608</v>
      </c>
      <c r="RNP889">
        <v>-11079189</v>
      </c>
      <c r="RNQ889">
        <v>-4607645</v>
      </c>
      <c r="RNR889">
        <v>-4496303</v>
      </c>
      <c r="RNS889">
        <v>-15640659</v>
      </c>
      <c r="RXJ889" t="s">
        <v>689</v>
      </c>
      <c r="RXK889">
        <v>-9595608</v>
      </c>
      <c r="RXL889">
        <v>-11079189</v>
      </c>
      <c r="RXM889">
        <v>-4607645</v>
      </c>
      <c r="RXN889">
        <v>-4496303</v>
      </c>
      <c r="RXO889">
        <v>-15640659</v>
      </c>
      <c r="SHF889" t="s">
        <v>689</v>
      </c>
      <c r="SHG889">
        <v>-9595608</v>
      </c>
      <c r="SHH889">
        <v>-11079189</v>
      </c>
      <c r="SHI889">
        <v>-4607645</v>
      </c>
      <c r="SHJ889">
        <v>-4496303</v>
      </c>
      <c r="SHK889">
        <v>-15640659</v>
      </c>
      <c r="SRB889" t="s">
        <v>689</v>
      </c>
      <c r="SRC889">
        <v>-9595608</v>
      </c>
      <c r="SRD889">
        <v>-11079189</v>
      </c>
      <c r="SRE889">
        <v>-4607645</v>
      </c>
      <c r="SRF889">
        <v>-4496303</v>
      </c>
      <c r="SRG889">
        <v>-15640659</v>
      </c>
      <c r="TAX889" t="s">
        <v>689</v>
      </c>
      <c r="TAY889">
        <v>-9595608</v>
      </c>
      <c r="TAZ889">
        <v>-11079189</v>
      </c>
      <c r="TBA889">
        <v>-4607645</v>
      </c>
      <c r="TBB889">
        <v>-4496303</v>
      </c>
      <c r="TBC889">
        <v>-15640659</v>
      </c>
      <c r="TKT889" t="s">
        <v>689</v>
      </c>
      <c r="TKU889">
        <v>-9595608</v>
      </c>
      <c r="TKV889">
        <v>-11079189</v>
      </c>
      <c r="TKW889">
        <v>-4607645</v>
      </c>
      <c r="TKX889">
        <v>-4496303</v>
      </c>
      <c r="TKY889">
        <v>-15640659</v>
      </c>
      <c r="TUP889" t="s">
        <v>689</v>
      </c>
      <c r="TUQ889">
        <v>-9595608</v>
      </c>
      <c r="TUR889">
        <v>-11079189</v>
      </c>
      <c r="TUS889">
        <v>-4607645</v>
      </c>
      <c r="TUT889">
        <v>-4496303</v>
      </c>
      <c r="TUU889">
        <v>-15640659</v>
      </c>
      <c r="UEL889" t="s">
        <v>689</v>
      </c>
      <c r="UEM889">
        <v>-9595608</v>
      </c>
      <c r="UEN889">
        <v>-11079189</v>
      </c>
      <c r="UEO889">
        <v>-4607645</v>
      </c>
      <c r="UEP889">
        <v>-4496303</v>
      </c>
      <c r="UEQ889">
        <v>-15640659</v>
      </c>
      <c r="UOH889" t="s">
        <v>689</v>
      </c>
      <c r="UOI889">
        <v>-9595608</v>
      </c>
      <c r="UOJ889">
        <v>-11079189</v>
      </c>
      <c r="UOK889">
        <v>-4607645</v>
      </c>
      <c r="UOL889">
        <v>-4496303</v>
      </c>
      <c r="UOM889">
        <v>-15640659</v>
      </c>
      <c r="UYD889" t="s">
        <v>689</v>
      </c>
      <c r="UYE889">
        <v>-9595608</v>
      </c>
      <c r="UYF889">
        <v>-11079189</v>
      </c>
      <c r="UYG889">
        <v>-4607645</v>
      </c>
      <c r="UYH889">
        <v>-4496303</v>
      </c>
      <c r="UYI889">
        <v>-15640659</v>
      </c>
      <c r="VHZ889" t="s">
        <v>689</v>
      </c>
      <c r="VIA889">
        <v>-9595608</v>
      </c>
      <c r="VIB889">
        <v>-11079189</v>
      </c>
      <c r="VIC889">
        <v>-4607645</v>
      </c>
      <c r="VID889">
        <v>-4496303</v>
      </c>
      <c r="VIE889">
        <v>-15640659</v>
      </c>
      <c r="VRV889" t="s">
        <v>689</v>
      </c>
      <c r="VRW889">
        <v>-9595608</v>
      </c>
      <c r="VRX889">
        <v>-11079189</v>
      </c>
      <c r="VRY889">
        <v>-4607645</v>
      </c>
      <c r="VRZ889">
        <v>-4496303</v>
      </c>
      <c r="VSA889">
        <v>-15640659</v>
      </c>
      <c r="WBR889" t="s">
        <v>689</v>
      </c>
      <c r="WBS889">
        <v>-9595608</v>
      </c>
      <c r="WBT889">
        <v>-11079189</v>
      </c>
      <c r="WBU889">
        <v>-4607645</v>
      </c>
      <c r="WBV889">
        <v>-4496303</v>
      </c>
      <c r="WBW889">
        <v>-15640659</v>
      </c>
      <c r="WLN889" t="s">
        <v>689</v>
      </c>
      <c r="WLO889">
        <v>-9595608</v>
      </c>
      <c r="WLP889">
        <v>-11079189</v>
      </c>
      <c r="WLQ889">
        <v>-4607645</v>
      </c>
      <c r="WLR889">
        <v>-4496303</v>
      </c>
      <c r="WLS889">
        <v>-15640659</v>
      </c>
      <c r="WVJ889" t="s">
        <v>689</v>
      </c>
      <c r="WVK889">
        <v>-9595608</v>
      </c>
      <c r="WVL889">
        <v>-11079189</v>
      </c>
      <c r="WVM889">
        <v>-4607645</v>
      </c>
      <c r="WVN889">
        <v>-4496303</v>
      </c>
      <c r="WVO889">
        <v>-15640659</v>
      </c>
    </row>
    <row r="890" spans="1:775 1026:1799 2050:2823 3074:3847 4098:4871 5122:5895 6146:6919 7170:7943 8194:8967 9218:9991 10242:11015 11266:12039 12290:13063 13314:14087 14338:15111 15362:16135">
      <c r="A890" s="96" t="s">
        <v>690</v>
      </c>
      <c r="C890" s="100">
        <v>-70.23</v>
      </c>
      <c r="D890" s="100">
        <v>-11.08</v>
      </c>
      <c r="E890" s="100">
        <v>-4.74</v>
      </c>
      <c r="F890" s="100">
        <v>-6.72</v>
      </c>
      <c r="G890" s="100">
        <v>-8.89</v>
      </c>
      <c r="H890" s="100"/>
      <c r="IX890" t="s">
        <v>690</v>
      </c>
      <c r="IY890">
        <v>-70.23</v>
      </c>
      <c r="IZ890">
        <v>-11.08</v>
      </c>
      <c r="JA890">
        <v>-4.74</v>
      </c>
      <c r="JB890">
        <v>-6.72</v>
      </c>
      <c r="JC890">
        <v>-8.89</v>
      </c>
      <c r="ST890" t="s">
        <v>690</v>
      </c>
      <c r="SU890">
        <v>-70.23</v>
      </c>
      <c r="SV890">
        <v>-11.08</v>
      </c>
      <c r="SW890">
        <v>-4.74</v>
      </c>
      <c r="SX890">
        <v>-6.72</v>
      </c>
      <c r="SY890">
        <v>-8.89</v>
      </c>
      <c r="ACP890" t="s">
        <v>690</v>
      </c>
      <c r="ACQ890">
        <v>-70.23</v>
      </c>
      <c r="ACR890">
        <v>-11.08</v>
      </c>
      <c r="ACS890">
        <v>-4.74</v>
      </c>
      <c r="ACT890">
        <v>-6.72</v>
      </c>
      <c r="ACU890">
        <v>-8.89</v>
      </c>
      <c r="AML890" t="s">
        <v>690</v>
      </c>
      <c r="AMM890">
        <v>-70.23</v>
      </c>
      <c r="AMN890">
        <v>-11.08</v>
      </c>
      <c r="AMO890">
        <v>-4.74</v>
      </c>
      <c r="AMP890">
        <v>-6.72</v>
      </c>
      <c r="AMQ890">
        <v>-8.89</v>
      </c>
      <c r="AWH890" t="s">
        <v>690</v>
      </c>
      <c r="AWI890">
        <v>-70.23</v>
      </c>
      <c r="AWJ890">
        <v>-11.08</v>
      </c>
      <c r="AWK890">
        <v>-4.74</v>
      </c>
      <c r="AWL890">
        <v>-6.72</v>
      </c>
      <c r="AWM890">
        <v>-8.89</v>
      </c>
      <c r="BGD890" t="s">
        <v>690</v>
      </c>
      <c r="BGE890">
        <v>-70.23</v>
      </c>
      <c r="BGF890">
        <v>-11.08</v>
      </c>
      <c r="BGG890">
        <v>-4.74</v>
      </c>
      <c r="BGH890">
        <v>-6.72</v>
      </c>
      <c r="BGI890">
        <v>-8.89</v>
      </c>
      <c r="BPZ890" t="s">
        <v>690</v>
      </c>
      <c r="BQA890">
        <v>-70.23</v>
      </c>
      <c r="BQB890">
        <v>-11.08</v>
      </c>
      <c r="BQC890">
        <v>-4.74</v>
      </c>
      <c r="BQD890">
        <v>-6.72</v>
      </c>
      <c r="BQE890">
        <v>-8.89</v>
      </c>
      <c r="BZV890" t="s">
        <v>690</v>
      </c>
      <c r="BZW890">
        <v>-70.23</v>
      </c>
      <c r="BZX890">
        <v>-11.08</v>
      </c>
      <c r="BZY890">
        <v>-4.74</v>
      </c>
      <c r="BZZ890">
        <v>-6.72</v>
      </c>
      <c r="CAA890">
        <v>-8.89</v>
      </c>
      <c r="CJR890" t="s">
        <v>690</v>
      </c>
      <c r="CJS890">
        <v>-70.23</v>
      </c>
      <c r="CJT890">
        <v>-11.08</v>
      </c>
      <c r="CJU890">
        <v>-4.74</v>
      </c>
      <c r="CJV890">
        <v>-6.72</v>
      </c>
      <c r="CJW890">
        <v>-8.89</v>
      </c>
      <c r="CTN890" t="s">
        <v>690</v>
      </c>
      <c r="CTO890">
        <v>-70.23</v>
      </c>
      <c r="CTP890">
        <v>-11.08</v>
      </c>
      <c r="CTQ890">
        <v>-4.74</v>
      </c>
      <c r="CTR890">
        <v>-6.72</v>
      </c>
      <c r="CTS890">
        <v>-8.89</v>
      </c>
      <c r="DDJ890" t="s">
        <v>690</v>
      </c>
      <c r="DDK890">
        <v>-70.23</v>
      </c>
      <c r="DDL890">
        <v>-11.08</v>
      </c>
      <c r="DDM890">
        <v>-4.74</v>
      </c>
      <c r="DDN890">
        <v>-6.72</v>
      </c>
      <c r="DDO890">
        <v>-8.89</v>
      </c>
      <c r="DNF890" t="s">
        <v>690</v>
      </c>
      <c r="DNG890">
        <v>-70.23</v>
      </c>
      <c r="DNH890">
        <v>-11.08</v>
      </c>
      <c r="DNI890">
        <v>-4.74</v>
      </c>
      <c r="DNJ890">
        <v>-6.72</v>
      </c>
      <c r="DNK890">
        <v>-8.89</v>
      </c>
      <c r="DXB890" t="s">
        <v>690</v>
      </c>
      <c r="DXC890">
        <v>-70.23</v>
      </c>
      <c r="DXD890">
        <v>-11.08</v>
      </c>
      <c r="DXE890">
        <v>-4.74</v>
      </c>
      <c r="DXF890">
        <v>-6.72</v>
      </c>
      <c r="DXG890">
        <v>-8.89</v>
      </c>
      <c r="EGX890" t="s">
        <v>690</v>
      </c>
      <c r="EGY890">
        <v>-70.23</v>
      </c>
      <c r="EGZ890">
        <v>-11.08</v>
      </c>
      <c r="EHA890">
        <v>-4.74</v>
      </c>
      <c r="EHB890">
        <v>-6.72</v>
      </c>
      <c r="EHC890">
        <v>-8.89</v>
      </c>
      <c r="EQT890" t="s">
        <v>690</v>
      </c>
      <c r="EQU890">
        <v>-70.23</v>
      </c>
      <c r="EQV890">
        <v>-11.08</v>
      </c>
      <c r="EQW890">
        <v>-4.74</v>
      </c>
      <c r="EQX890">
        <v>-6.72</v>
      </c>
      <c r="EQY890">
        <v>-8.89</v>
      </c>
      <c r="FAP890" t="s">
        <v>690</v>
      </c>
      <c r="FAQ890">
        <v>-70.23</v>
      </c>
      <c r="FAR890">
        <v>-11.08</v>
      </c>
      <c r="FAS890">
        <v>-4.74</v>
      </c>
      <c r="FAT890">
        <v>-6.72</v>
      </c>
      <c r="FAU890">
        <v>-8.89</v>
      </c>
      <c r="FKL890" t="s">
        <v>690</v>
      </c>
      <c r="FKM890">
        <v>-70.23</v>
      </c>
      <c r="FKN890">
        <v>-11.08</v>
      </c>
      <c r="FKO890">
        <v>-4.74</v>
      </c>
      <c r="FKP890">
        <v>-6.72</v>
      </c>
      <c r="FKQ890">
        <v>-8.89</v>
      </c>
      <c r="FUH890" t="s">
        <v>690</v>
      </c>
      <c r="FUI890">
        <v>-70.23</v>
      </c>
      <c r="FUJ890">
        <v>-11.08</v>
      </c>
      <c r="FUK890">
        <v>-4.74</v>
      </c>
      <c r="FUL890">
        <v>-6.72</v>
      </c>
      <c r="FUM890">
        <v>-8.89</v>
      </c>
      <c r="GED890" t="s">
        <v>690</v>
      </c>
      <c r="GEE890">
        <v>-70.23</v>
      </c>
      <c r="GEF890">
        <v>-11.08</v>
      </c>
      <c r="GEG890">
        <v>-4.74</v>
      </c>
      <c r="GEH890">
        <v>-6.72</v>
      </c>
      <c r="GEI890">
        <v>-8.89</v>
      </c>
      <c r="GNZ890" t="s">
        <v>690</v>
      </c>
      <c r="GOA890">
        <v>-70.23</v>
      </c>
      <c r="GOB890">
        <v>-11.08</v>
      </c>
      <c r="GOC890">
        <v>-4.74</v>
      </c>
      <c r="GOD890">
        <v>-6.72</v>
      </c>
      <c r="GOE890">
        <v>-8.89</v>
      </c>
      <c r="GXV890" t="s">
        <v>690</v>
      </c>
      <c r="GXW890">
        <v>-70.23</v>
      </c>
      <c r="GXX890">
        <v>-11.08</v>
      </c>
      <c r="GXY890">
        <v>-4.74</v>
      </c>
      <c r="GXZ890">
        <v>-6.72</v>
      </c>
      <c r="GYA890">
        <v>-8.89</v>
      </c>
      <c r="HHR890" t="s">
        <v>690</v>
      </c>
      <c r="HHS890">
        <v>-70.23</v>
      </c>
      <c r="HHT890">
        <v>-11.08</v>
      </c>
      <c r="HHU890">
        <v>-4.74</v>
      </c>
      <c r="HHV890">
        <v>-6.72</v>
      </c>
      <c r="HHW890">
        <v>-8.89</v>
      </c>
      <c r="HRN890" t="s">
        <v>690</v>
      </c>
      <c r="HRO890">
        <v>-70.23</v>
      </c>
      <c r="HRP890">
        <v>-11.08</v>
      </c>
      <c r="HRQ890">
        <v>-4.74</v>
      </c>
      <c r="HRR890">
        <v>-6.72</v>
      </c>
      <c r="HRS890">
        <v>-8.89</v>
      </c>
      <c r="IBJ890" t="s">
        <v>690</v>
      </c>
      <c r="IBK890">
        <v>-70.23</v>
      </c>
      <c r="IBL890">
        <v>-11.08</v>
      </c>
      <c r="IBM890">
        <v>-4.74</v>
      </c>
      <c r="IBN890">
        <v>-6.72</v>
      </c>
      <c r="IBO890">
        <v>-8.89</v>
      </c>
      <c r="ILF890" t="s">
        <v>690</v>
      </c>
      <c r="ILG890">
        <v>-70.23</v>
      </c>
      <c r="ILH890">
        <v>-11.08</v>
      </c>
      <c r="ILI890">
        <v>-4.74</v>
      </c>
      <c r="ILJ890">
        <v>-6.72</v>
      </c>
      <c r="ILK890">
        <v>-8.89</v>
      </c>
      <c r="IVB890" t="s">
        <v>690</v>
      </c>
      <c r="IVC890">
        <v>-70.23</v>
      </c>
      <c r="IVD890">
        <v>-11.08</v>
      </c>
      <c r="IVE890">
        <v>-4.74</v>
      </c>
      <c r="IVF890">
        <v>-6.72</v>
      </c>
      <c r="IVG890">
        <v>-8.89</v>
      </c>
      <c r="JEX890" t="s">
        <v>690</v>
      </c>
      <c r="JEY890">
        <v>-70.23</v>
      </c>
      <c r="JEZ890">
        <v>-11.08</v>
      </c>
      <c r="JFA890">
        <v>-4.74</v>
      </c>
      <c r="JFB890">
        <v>-6.72</v>
      </c>
      <c r="JFC890">
        <v>-8.89</v>
      </c>
      <c r="JOT890" t="s">
        <v>690</v>
      </c>
      <c r="JOU890">
        <v>-70.23</v>
      </c>
      <c r="JOV890">
        <v>-11.08</v>
      </c>
      <c r="JOW890">
        <v>-4.74</v>
      </c>
      <c r="JOX890">
        <v>-6.72</v>
      </c>
      <c r="JOY890">
        <v>-8.89</v>
      </c>
      <c r="JYP890" t="s">
        <v>690</v>
      </c>
      <c r="JYQ890">
        <v>-70.23</v>
      </c>
      <c r="JYR890">
        <v>-11.08</v>
      </c>
      <c r="JYS890">
        <v>-4.74</v>
      </c>
      <c r="JYT890">
        <v>-6.72</v>
      </c>
      <c r="JYU890">
        <v>-8.89</v>
      </c>
      <c r="KIL890" t="s">
        <v>690</v>
      </c>
      <c r="KIM890">
        <v>-70.23</v>
      </c>
      <c r="KIN890">
        <v>-11.08</v>
      </c>
      <c r="KIO890">
        <v>-4.74</v>
      </c>
      <c r="KIP890">
        <v>-6.72</v>
      </c>
      <c r="KIQ890">
        <v>-8.89</v>
      </c>
      <c r="KSH890" t="s">
        <v>690</v>
      </c>
      <c r="KSI890">
        <v>-70.23</v>
      </c>
      <c r="KSJ890">
        <v>-11.08</v>
      </c>
      <c r="KSK890">
        <v>-4.74</v>
      </c>
      <c r="KSL890">
        <v>-6.72</v>
      </c>
      <c r="KSM890">
        <v>-8.89</v>
      </c>
      <c r="LCD890" t="s">
        <v>690</v>
      </c>
      <c r="LCE890">
        <v>-70.23</v>
      </c>
      <c r="LCF890">
        <v>-11.08</v>
      </c>
      <c r="LCG890">
        <v>-4.74</v>
      </c>
      <c r="LCH890">
        <v>-6.72</v>
      </c>
      <c r="LCI890">
        <v>-8.89</v>
      </c>
      <c r="LLZ890" t="s">
        <v>690</v>
      </c>
      <c r="LMA890">
        <v>-70.23</v>
      </c>
      <c r="LMB890">
        <v>-11.08</v>
      </c>
      <c r="LMC890">
        <v>-4.74</v>
      </c>
      <c r="LMD890">
        <v>-6.72</v>
      </c>
      <c r="LME890">
        <v>-8.89</v>
      </c>
      <c r="LVV890" t="s">
        <v>690</v>
      </c>
      <c r="LVW890">
        <v>-70.23</v>
      </c>
      <c r="LVX890">
        <v>-11.08</v>
      </c>
      <c r="LVY890">
        <v>-4.74</v>
      </c>
      <c r="LVZ890">
        <v>-6.72</v>
      </c>
      <c r="LWA890">
        <v>-8.89</v>
      </c>
      <c r="MFR890" t="s">
        <v>690</v>
      </c>
      <c r="MFS890">
        <v>-70.23</v>
      </c>
      <c r="MFT890">
        <v>-11.08</v>
      </c>
      <c r="MFU890">
        <v>-4.74</v>
      </c>
      <c r="MFV890">
        <v>-6.72</v>
      </c>
      <c r="MFW890">
        <v>-8.89</v>
      </c>
      <c r="MPN890" t="s">
        <v>690</v>
      </c>
      <c r="MPO890">
        <v>-70.23</v>
      </c>
      <c r="MPP890">
        <v>-11.08</v>
      </c>
      <c r="MPQ890">
        <v>-4.74</v>
      </c>
      <c r="MPR890">
        <v>-6.72</v>
      </c>
      <c r="MPS890">
        <v>-8.89</v>
      </c>
      <c r="MZJ890" t="s">
        <v>690</v>
      </c>
      <c r="MZK890">
        <v>-70.23</v>
      </c>
      <c r="MZL890">
        <v>-11.08</v>
      </c>
      <c r="MZM890">
        <v>-4.74</v>
      </c>
      <c r="MZN890">
        <v>-6.72</v>
      </c>
      <c r="MZO890">
        <v>-8.89</v>
      </c>
      <c r="NJF890" t="s">
        <v>690</v>
      </c>
      <c r="NJG890">
        <v>-70.23</v>
      </c>
      <c r="NJH890">
        <v>-11.08</v>
      </c>
      <c r="NJI890">
        <v>-4.74</v>
      </c>
      <c r="NJJ890">
        <v>-6.72</v>
      </c>
      <c r="NJK890">
        <v>-8.89</v>
      </c>
      <c r="NTB890" t="s">
        <v>690</v>
      </c>
      <c r="NTC890">
        <v>-70.23</v>
      </c>
      <c r="NTD890">
        <v>-11.08</v>
      </c>
      <c r="NTE890">
        <v>-4.74</v>
      </c>
      <c r="NTF890">
        <v>-6.72</v>
      </c>
      <c r="NTG890">
        <v>-8.89</v>
      </c>
      <c r="OCX890" t="s">
        <v>690</v>
      </c>
      <c r="OCY890">
        <v>-70.23</v>
      </c>
      <c r="OCZ890">
        <v>-11.08</v>
      </c>
      <c r="ODA890">
        <v>-4.74</v>
      </c>
      <c r="ODB890">
        <v>-6.72</v>
      </c>
      <c r="ODC890">
        <v>-8.89</v>
      </c>
      <c r="OMT890" t="s">
        <v>690</v>
      </c>
      <c r="OMU890">
        <v>-70.23</v>
      </c>
      <c r="OMV890">
        <v>-11.08</v>
      </c>
      <c r="OMW890">
        <v>-4.74</v>
      </c>
      <c r="OMX890">
        <v>-6.72</v>
      </c>
      <c r="OMY890">
        <v>-8.89</v>
      </c>
      <c r="OWP890" t="s">
        <v>690</v>
      </c>
      <c r="OWQ890">
        <v>-70.23</v>
      </c>
      <c r="OWR890">
        <v>-11.08</v>
      </c>
      <c r="OWS890">
        <v>-4.74</v>
      </c>
      <c r="OWT890">
        <v>-6.72</v>
      </c>
      <c r="OWU890">
        <v>-8.89</v>
      </c>
      <c r="PGL890" t="s">
        <v>690</v>
      </c>
      <c r="PGM890">
        <v>-70.23</v>
      </c>
      <c r="PGN890">
        <v>-11.08</v>
      </c>
      <c r="PGO890">
        <v>-4.74</v>
      </c>
      <c r="PGP890">
        <v>-6.72</v>
      </c>
      <c r="PGQ890">
        <v>-8.89</v>
      </c>
      <c r="PQH890" t="s">
        <v>690</v>
      </c>
      <c r="PQI890">
        <v>-70.23</v>
      </c>
      <c r="PQJ890">
        <v>-11.08</v>
      </c>
      <c r="PQK890">
        <v>-4.74</v>
      </c>
      <c r="PQL890">
        <v>-6.72</v>
      </c>
      <c r="PQM890">
        <v>-8.89</v>
      </c>
      <c r="QAD890" t="s">
        <v>690</v>
      </c>
      <c r="QAE890">
        <v>-70.23</v>
      </c>
      <c r="QAF890">
        <v>-11.08</v>
      </c>
      <c r="QAG890">
        <v>-4.74</v>
      </c>
      <c r="QAH890">
        <v>-6.72</v>
      </c>
      <c r="QAI890">
        <v>-8.89</v>
      </c>
      <c r="QJZ890" t="s">
        <v>690</v>
      </c>
      <c r="QKA890">
        <v>-70.23</v>
      </c>
      <c r="QKB890">
        <v>-11.08</v>
      </c>
      <c r="QKC890">
        <v>-4.74</v>
      </c>
      <c r="QKD890">
        <v>-6.72</v>
      </c>
      <c r="QKE890">
        <v>-8.89</v>
      </c>
      <c r="QTV890" t="s">
        <v>690</v>
      </c>
      <c r="QTW890">
        <v>-70.23</v>
      </c>
      <c r="QTX890">
        <v>-11.08</v>
      </c>
      <c r="QTY890">
        <v>-4.74</v>
      </c>
      <c r="QTZ890">
        <v>-6.72</v>
      </c>
      <c r="QUA890">
        <v>-8.89</v>
      </c>
      <c r="RDR890" t="s">
        <v>690</v>
      </c>
      <c r="RDS890">
        <v>-70.23</v>
      </c>
      <c r="RDT890">
        <v>-11.08</v>
      </c>
      <c r="RDU890">
        <v>-4.74</v>
      </c>
      <c r="RDV890">
        <v>-6.72</v>
      </c>
      <c r="RDW890">
        <v>-8.89</v>
      </c>
      <c r="RNN890" t="s">
        <v>690</v>
      </c>
      <c r="RNO890">
        <v>-70.23</v>
      </c>
      <c r="RNP890">
        <v>-11.08</v>
      </c>
      <c r="RNQ890">
        <v>-4.74</v>
      </c>
      <c r="RNR890">
        <v>-6.72</v>
      </c>
      <c r="RNS890">
        <v>-8.89</v>
      </c>
      <c r="RXJ890" t="s">
        <v>690</v>
      </c>
      <c r="RXK890">
        <v>-70.23</v>
      </c>
      <c r="RXL890">
        <v>-11.08</v>
      </c>
      <c r="RXM890">
        <v>-4.74</v>
      </c>
      <c r="RXN890">
        <v>-6.72</v>
      </c>
      <c r="RXO890">
        <v>-8.89</v>
      </c>
      <c r="SHF890" t="s">
        <v>690</v>
      </c>
      <c r="SHG890">
        <v>-70.23</v>
      </c>
      <c r="SHH890">
        <v>-11.08</v>
      </c>
      <c r="SHI890">
        <v>-4.74</v>
      </c>
      <c r="SHJ890">
        <v>-6.72</v>
      </c>
      <c r="SHK890">
        <v>-8.89</v>
      </c>
      <c r="SRB890" t="s">
        <v>690</v>
      </c>
      <c r="SRC890">
        <v>-70.23</v>
      </c>
      <c r="SRD890">
        <v>-11.08</v>
      </c>
      <c r="SRE890">
        <v>-4.74</v>
      </c>
      <c r="SRF890">
        <v>-6.72</v>
      </c>
      <c r="SRG890">
        <v>-8.89</v>
      </c>
      <c r="TAX890" t="s">
        <v>690</v>
      </c>
      <c r="TAY890">
        <v>-70.23</v>
      </c>
      <c r="TAZ890">
        <v>-11.08</v>
      </c>
      <c r="TBA890">
        <v>-4.74</v>
      </c>
      <c r="TBB890">
        <v>-6.72</v>
      </c>
      <c r="TBC890">
        <v>-8.89</v>
      </c>
      <c r="TKT890" t="s">
        <v>690</v>
      </c>
      <c r="TKU890">
        <v>-70.23</v>
      </c>
      <c r="TKV890">
        <v>-11.08</v>
      </c>
      <c r="TKW890">
        <v>-4.74</v>
      </c>
      <c r="TKX890">
        <v>-6.72</v>
      </c>
      <c r="TKY890">
        <v>-8.89</v>
      </c>
      <c r="TUP890" t="s">
        <v>690</v>
      </c>
      <c r="TUQ890">
        <v>-70.23</v>
      </c>
      <c r="TUR890">
        <v>-11.08</v>
      </c>
      <c r="TUS890">
        <v>-4.74</v>
      </c>
      <c r="TUT890">
        <v>-6.72</v>
      </c>
      <c r="TUU890">
        <v>-8.89</v>
      </c>
      <c r="UEL890" t="s">
        <v>690</v>
      </c>
      <c r="UEM890">
        <v>-70.23</v>
      </c>
      <c r="UEN890">
        <v>-11.08</v>
      </c>
      <c r="UEO890">
        <v>-4.74</v>
      </c>
      <c r="UEP890">
        <v>-6.72</v>
      </c>
      <c r="UEQ890">
        <v>-8.89</v>
      </c>
      <c r="UOH890" t="s">
        <v>690</v>
      </c>
      <c r="UOI890">
        <v>-70.23</v>
      </c>
      <c r="UOJ890">
        <v>-11.08</v>
      </c>
      <c r="UOK890">
        <v>-4.74</v>
      </c>
      <c r="UOL890">
        <v>-6.72</v>
      </c>
      <c r="UOM890">
        <v>-8.89</v>
      </c>
      <c r="UYD890" t="s">
        <v>690</v>
      </c>
      <c r="UYE890">
        <v>-70.23</v>
      </c>
      <c r="UYF890">
        <v>-11.08</v>
      </c>
      <c r="UYG890">
        <v>-4.74</v>
      </c>
      <c r="UYH890">
        <v>-6.72</v>
      </c>
      <c r="UYI890">
        <v>-8.89</v>
      </c>
      <c r="VHZ890" t="s">
        <v>690</v>
      </c>
      <c r="VIA890">
        <v>-70.23</v>
      </c>
      <c r="VIB890">
        <v>-11.08</v>
      </c>
      <c r="VIC890">
        <v>-4.74</v>
      </c>
      <c r="VID890">
        <v>-6.72</v>
      </c>
      <c r="VIE890">
        <v>-8.89</v>
      </c>
      <c r="VRV890" t="s">
        <v>690</v>
      </c>
      <c r="VRW890">
        <v>-70.23</v>
      </c>
      <c r="VRX890">
        <v>-11.08</v>
      </c>
      <c r="VRY890">
        <v>-4.74</v>
      </c>
      <c r="VRZ890">
        <v>-6.72</v>
      </c>
      <c r="VSA890">
        <v>-8.89</v>
      </c>
      <c r="WBR890" t="s">
        <v>690</v>
      </c>
      <c r="WBS890">
        <v>-70.23</v>
      </c>
      <c r="WBT890">
        <v>-11.08</v>
      </c>
      <c r="WBU890">
        <v>-4.74</v>
      </c>
      <c r="WBV890">
        <v>-6.72</v>
      </c>
      <c r="WBW890">
        <v>-8.89</v>
      </c>
      <c r="WLN890" t="s">
        <v>690</v>
      </c>
      <c r="WLO890">
        <v>-70.23</v>
      </c>
      <c r="WLP890">
        <v>-11.08</v>
      </c>
      <c r="WLQ890">
        <v>-4.74</v>
      </c>
      <c r="WLR890">
        <v>-6.72</v>
      </c>
      <c r="WLS890">
        <v>-8.89</v>
      </c>
      <c r="WVJ890" t="s">
        <v>690</v>
      </c>
      <c r="WVK890">
        <v>-70.23</v>
      </c>
      <c r="WVL890">
        <v>-11.08</v>
      </c>
      <c r="WVM890">
        <v>-4.74</v>
      </c>
      <c r="WVN890">
        <v>-6.72</v>
      </c>
      <c r="WVO890">
        <v>-8.89</v>
      </c>
    </row>
    <row r="893" spans="1:775 1026:1799 2050:2823 3074:3847 4098:4871 5122:5895 6146:6919 7170:7943 8194:8967 9218:9991 10242:11015 11266:12039 12290:13063 13314:14087 14338:15111 15362:16135">
      <c r="A893" s="1421" t="s">
        <v>1317</v>
      </c>
      <c r="B893" s="1421"/>
      <c r="C893" s="1421"/>
      <c r="D893" s="1421"/>
      <c r="E893" s="1421"/>
      <c r="F893" s="1421"/>
      <c r="G893" s="1421"/>
      <c r="H893" s="1421"/>
      <c r="I893" s="1421"/>
      <c r="J893" s="1421"/>
      <c r="K893" s="1421"/>
      <c r="L893" s="1421"/>
      <c r="M893" s="1421"/>
      <c r="IX893" t="s">
        <v>1317</v>
      </c>
      <c r="ST893" t="s">
        <v>1317</v>
      </c>
      <c r="ACP893" t="s">
        <v>1317</v>
      </c>
      <c r="AML893" t="s">
        <v>1317</v>
      </c>
      <c r="AWH893" t="s">
        <v>1317</v>
      </c>
      <c r="BGD893" t="s">
        <v>1317</v>
      </c>
      <c r="BPZ893" t="s">
        <v>1317</v>
      </c>
      <c r="BZV893" t="s">
        <v>1317</v>
      </c>
      <c r="CJR893" t="s">
        <v>1317</v>
      </c>
      <c r="CTN893" t="s">
        <v>1317</v>
      </c>
      <c r="DDJ893" t="s">
        <v>1317</v>
      </c>
      <c r="DNF893" t="s">
        <v>1317</v>
      </c>
      <c r="DXB893" t="s">
        <v>1317</v>
      </c>
      <c r="EGX893" t="s">
        <v>1317</v>
      </c>
      <c r="EQT893" t="s">
        <v>1317</v>
      </c>
      <c r="FAP893" t="s">
        <v>1317</v>
      </c>
      <c r="FKL893" t="s">
        <v>1317</v>
      </c>
      <c r="FUH893" t="s">
        <v>1317</v>
      </c>
      <c r="GED893" t="s">
        <v>1317</v>
      </c>
      <c r="GNZ893" t="s">
        <v>1317</v>
      </c>
      <c r="GXV893" t="s">
        <v>1317</v>
      </c>
      <c r="HHR893" t="s">
        <v>1317</v>
      </c>
      <c r="HRN893" t="s">
        <v>1317</v>
      </c>
      <c r="IBJ893" t="s">
        <v>1317</v>
      </c>
      <c r="ILF893" t="s">
        <v>1317</v>
      </c>
      <c r="IVB893" t="s">
        <v>1317</v>
      </c>
      <c r="JEX893" t="s">
        <v>1317</v>
      </c>
      <c r="JOT893" t="s">
        <v>1317</v>
      </c>
      <c r="JYP893" t="s">
        <v>1317</v>
      </c>
      <c r="KIL893" t="s">
        <v>1317</v>
      </c>
      <c r="KSH893" t="s">
        <v>1317</v>
      </c>
      <c r="LCD893" t="s">
        <v>1317</v>
      </c>
      <c r="LLZ893" t="s">
        <v>1317</v>
      </c>
      <c r="LVV893" t="s">
        <v>1317</v>
      </c>
      <c r="MFR893" t="s">
        <v>1317</v>
      </c>
      <c r="MPN893" t="s">
        <v>1317</v>
      </c>
      <c r="MZJ893" t="s">
        <v>1317</v>
      </c>
      <c r="NJF893" t="s">
        <v>1317</v>
      </c>
      <c r="NTB893" t="s">
        <v>1317</v>
      </c>
      <c r="OCX893" t="s">
        <v>1317</v>
      </c>
      <c r="OMT893" t="s">
        <v>1317</v>
      </c>
      <c r="OWP893" t="s">
        <v>1317</v>
      </c>
      <c r="PGL893" t="s">
        <v>1317</v>
      </c>
      <c r="PQH893" t="s">
        <v>1317</v>
      </c>
      <c r="QAD893" t="s">
        <v>1317</v>
      </c>
      <c r="QJZ893" t="s">
        <v>1317</v>
      </c>
      <c r="QTV893" t="s">
        <v>1317</v>
      </c>
      <c r="RDR893" t="s">
        <v>1317</v>
      </c>
      <c r="RNN893" t="s">
        <v>1317</v>
      </c>
      <c r="RXJ893" t="s">
        <v>1317</v>
      </c>
      <c r="SHF893" t="s">
        <v>1317</v>
      </c>
      <c r="SRB893" t="s">
        <v>1317</v>
      </c>
      <c r="TAX893" t="s">
        <v>1317</v>
      </c>
      <c r="TKT893" t="s">
        <v>1317</v>
      </c>
      <c r="TUP893" t="s">
        <v>1317</v>
      </c>
      <c r="UEL893" t="s">
        <v>1317</v>
      </c>
      <c r="UOH893" t="s">
        <v>1317</v>
      </c>
      <c r="UYD893" t="s">
        <v>1317</v>
      </c>
      <c r="VHZ893" t="s">
        <v>1317</v>
      </c>
      <c r="VRV893" t="s">
        <v>1317</v>
      </c>
      <c r="WBR893" t="s">
        <v>1317</v>
      </c>
      <c r="WLN893" t="s">
        <v>1317</v>
      </c>
      <c r="WVJ893" t="s">
        <v>1317</v>
      </c>
    </row>
    <row r="894" spans="1:775 1026:1799 2050:2823 3074:3847 4098:4871 5122:5895 6146:6919 7170:7943 8194:8967 9218:9991 10242:11015 11266:12039 12290:13063 13314:14087 14338:15111 15362:16135" ht="15.5">
      <c r="A894" s="1419" t="s">
        <v>1019</v>
      </c>
      <c r="B894" s="1422"/>
      <c r="C894" s="1420" t="s">
        <v>657</v>
      </c>
      <c r="D894" s="1420" t="s">
        <v>658</v>
      </c>
      <c r="E894" s="1420" t="s">
        <v>659</v>
      </c>
      <c r="F894" s="1420" t="s">
        <v>660</v>
      </c>
      <c r="G894" s="1420" t="s">
        <v>661</v>
      </c>
      <c r="H894" s="1440"/>
      <c r="IX894" t="s">
        <v>1019</v>
      </c>
      <c r="IY894" t="s">
        <v>657</v>
      </c>
      <c r="IZ894" t="s">
        <v>658</v>
      </c>
      <c r="JA894" t="s">
        <v>659</v>
      </c>
      <c r="JB894" t="s">
        <v>660</v>
      </c>
      <c r="JC894" t="s">
        <v>661</v>
      </c>
      <c r="ST894" t="s">
        <v>1019</v>
      </c>
      <c r="SU894" t="s">
        <v>657</v>
      </c>
      <c r="SV894" t="s">
        <v>658</v>
      </c>
      <c r="SW894" t="s">
        <v>659</v>
      </c>
      <c r="SX894" t="s">
        <v>660</v>
      </c>
      <c r="SY894" t="s">
        <v>661</v>
      </c>
      <c r="ACP894" t="s">
        <v>1019</v>
      </c>
      <c r="ACQ894" t="s">
        <v>657</v>
      </c>
      <c r="ACR894" t="s">
        <v>658</v>
      </c>
      <c r="ACS894" t="s">
        <v>659</v>
      </c>
      <c r="ACT894" t="s">
        <v>660</v>
      </c>
      <c r="ACU894" t="s">
        <v>661</v>
      </c>
      <c r="AML894" t="s">
        <v>1019</v>
      </c>
      <c r="AMM894" t="s">
        <v>657</v>
      </c>
      <c r="AMN894" t="s">
        <v>658</v>
      </c>
      <c r="AMO894" t="s">
        <v>659</v>
      </c>
      <c r="AMP894" t="s">
        <v>660</v>
      </c>
      <c r="AMQ894" t="s">
        <v>661</v>
      </c>
      <c r="AWH894" t="s">
        <v>1019</v>
      </c>
      <c r="AWI894" t="s">
        <v>657</v>
      </c>
      <c r="AWJ894" t="s">
        <v>658</v>
      </c>
      <c r="AWK894" t="s">
        <v>659</v>
      </c>
      <c r="AWL894" t="s">
        <v>660</v>
      </c>
      <c r="AWM894" t="s">
        <v>661</v>
      </c>
      <c r="BGD894" t="s">
        <v>1019</v>
      </c>
      <c r="BGE894" t="s">
        <v>657</v>
      </c>
      <c r="BGF894" t="s">
        <v>658</v>
      </c>
      <c r="BGG894" t="s">
        <v>659</v>
      </c>
      <c r="BGH894" t="s">
        <v>660</v>
      </c>
      <c r="BGI894" t="s">
        <v>661</v>
      </c>
      <c r="BPZ894" t="s">
        <v>1019</v>
      </c>
      <c r="BQA894" t="s">
        <v>657</v>
      </c>
      <c r="BQB894" t="s">
        <v>658</v>
      </c>
      <c r="BQC894" t="s">
        <v>659</v>
      </c>
      <c r="BQD894" t="s">
        <v>660</v>
      </c>
      <c r="BQE894" t="s">
        <v>661</v>
      </c>
      <c r="BZV894" t="s">
        <v>1019</v>
      </c>
      <c r="BZW894" t="s">
        <v>657</v>
      </c>
      <c r="BZX894" t="s">
        <v>658</v>
      </c>
      <c r="BZY894" t="s">
        <v>659</v>
      </c>
      <c r="BZZ894" t="s">
        <v>660</v>
      </c>
      <c r="CAA894" t="s">
        <v>661</v>
      </c>
      <c r="CJR894" t="s">
        <v>1019</v>
      </c>
      <c r="CJS894" t="s">
        <v>657</v>
      </c>
      <c r="CJT894" t="s">
        <v>658</v>
      </c>
      <c r="CJU894" t="s">
        <v>659</v>
      </c>
      <c r="CJV894" t="s">
        <v>660</v>
      </c>
      <c r="CJW894" t="s">
        <v>661</v>
      </c>
      <c r="CTN894" t="s">
        <v>1019</v>
      </c>
      <c r="CTO894" t="s">
        <v>657</v>
      </c>
      <c r="CTP894" t="s">
        <v>658</v>
      </c>
      <c r="CTQ894" t="s">
        <v>659</v>
      </c>
      <c r="CTR894" t="s">
        <v>660</v>
      </c>
      <c r="CTS894" t="s">
        <v>661</v>
      </c>
      <c r="DDJ894" t="s">
        <v>1019</v>
      </c>
      <c r="DDK894" t="s">
        <v>657</v>
      </c>
      <c r="DDL894" t="s">
        <v>658</v>
      </c>
      <c r="DDM894" t="s">
        <v>659</v>
      </c>
      <c r="DDN894" t="s">
        <v>660</v>
      </c>
      <c r="DDO894" t="s">
        <v>661</v>
      </c>
      <c r="DNF894" t="s">
        <v>1019</v>
      </c>
      <c r="DNG894" t="s">
        <v>657</v>
      </c>
      <c r="DNH894" t="s">
        <v>658</v>
      </c>
      <c r="DNI894" t="s">
        <v>659</v>
      </c>
      <c r="DNJ894" t="s">
        <v>660</v>
      </c>
      <c r="DNK894" t="s">
        <v>661</v>
      </c>
      <c r="DXB894" t="s">
        <v>1019</v>
      </c>
      <c r="DXC894" t="s">
        <v>657</v>
      </c>
      <c r="DXD894" t="s">
        <v>658</v>
      </c>
      <c r="DXE894" t="s">
        <v>659</v>
      </c>
      <c r="DXF894" t="s">
        <v>660</v>
      </c>
      <c r="DXG894" t="s">
        <v>661</v>
      </c>
      <c r="EGX894" t="s">
        <v>1019</v>
      </c>
      <c r="EGY894" t="s">
        <v>657</v>
      </c>
      <c r="EGZ894" t="s">
        <v>658</v>
      </c>
      <c r="EHA894" t="s">
        <v>659</v>
      </c>
      <c r="EHB894" t="s">
        <v>660</v>
      </c>
      <c r="EHC894" t="s">
        <v>661</v>
      </c>
      <c r="EQT894" t="s">
        <v>1019</v>
      </c>
      <c r="EQU894" t="s">
        <v>657</v>
      </c>
      <c r="EQV894" t="s">
        <v>658</v>
      </c>
      <c r="EQW894" t="s">
        <v>659</v>
      </c>
      <c r="EQX894" t="s">
        <v>660</v>
      </c>
      <c r="EQY894" t="s">
        <v>661</v>
      </c>
      <c r="FAP894" t="s">
        <v>1019</v>
      </c>
      <c r="FAQ894" t="s">
        <v>657</v>
      </c>
      <c r="FAR894" t="s">
        <v>658</v>
      </c>
      <c r="FAS894" t="s">
        <v>659</v>
      </c>
      <c r="FAT894" t="s">
        <v>660</v>
      </c>
      <c r="FAU894" t="s">
        <v>661</v>
      </c>
      <c r="FKL894" t="s">
        <v>1019</v>
      </c>
      <c r="FKM894" t="s">
        <v>657</v>
      </c>
      <c r="FKN894" t="s">
        <v>658</v>
      </c>
      <c r="FKO894" t="s">
        <v>659</v>
      </c>
      <c r="FKP894" t="s">
        <v>660</v>
      </c>
      <c r="FKQ894" t="s">
        <v>661</v>
      </c>
      <c r="FUH894" t="s">
        <v>1019</v>
      </c>
      <c r="FUI894" t="s">
        <v>657</v>
      </c>
      <c r="FUJ894" t="s">
        <v>658</v>
      </c>
      <c r="FUK894" t="s">
        <v>659</v>
      </c>
      <c r="FUL894" t="s">
        <v>660</v>
      </c>
      <c r="FUM894" t="s">
        <v>661</v>
      </c>
      <c r="GED894" t="s">
        <v>1019</v>
      </c>
      <c r="GEE894" t="s">
        <v>657</v>
      </c>
      <c r="GEF894" t="s">
        <v>658</v>
      </c>
      <c r="GEG894" t="s">
        <v>659</v>
      </c>
      <c r="GEH894" t="s">
        <v>660</v>
      </c>
      <c r="GEI894" t="s">
        <v>661</v>
      </c>
      <c r="GNZ894" t="s">
        <v>1019</v>
      </c>
      <c r="GOA894" t="s">
        <v>657</v>
      </c>
      <c r="GOB894" t="s">
        <v>658</v>
      </c>
      <c r="GOC894" t="s">
        <v>659</v>
      </c>
      <c r="GOD894" t="s">
        <v>660</v>
      </c>
      <c r="GOE894" t="s">
        <v>661</v>
      </c>
      <c r="GXV894" t="s">
        <v>1019</v>
      </c>
      <c r="GXW894" t="s">
        <v>657</v>
      </c>
      <c r="GXX894" t="s">
        <v>658</v>
      </c>
      <c r="GXY894" t="s">
        <v>659</v>
      </c>
      <c r="GXZ894" t="s">
        <v>660</v>
      </c>
      <c r="GYA894" t="s">
        <v>661</v>
      </c>
      <c r="HHR894" t="s">
        <v>1019</v>
      </c>
      <c r="HHS894" t="s">
        <v>657</v>
      </c>
      <c r="HHT894" t="s">
        <v>658</v>
      </c>
      <c r="HHU894" t="s">
        <v>659</v>
      </c>
      <c r="HHV894" t="s">
        <v>660</v>
      </c>
      <c r="HHW894" t="s">
        <v>661</v>
      </c>
      <c r="HRN894" t="s">
        <v>1019</v>
      </c>
      <c r="HRO894" t="s">
        <v>657</v>
      </c>
      <c r="HRP894" t="s">
        <v>658</v>
      </c>
      <c r="HRQ894" t="s">
        <v>659</v>
      </c>
      <c r="HRR894" t="s">
        <v>660</v>
      </c>
      <c r="HRS894" t="s">
        <v>661</v>
      </c>
      <c r="IBJ894" t="s">
        <v>1019</v>
      </c>
      <c r="IBK894" t="s">
        <v>657</v>
      </c>
      <c r="IBL894" t="s">
        <v>658</v>
      </c>
      <c r="IBM894" t="s">
        <v>659</v>
      </c>
      <c r="IBN894" t="s">
        <v>660</v>
      </c>
      <c r="IBO894" t="s">
        <v>661</v>
      </c>
      <c r="ILF894" t="s">
        <v>1019</v>
      </c>
      <c r="ILG894" t="s">
        <v>657</v>
      </c>
      <c r="ILH894" t="s">
        <v>658</v>
      </c>
      <c r="ILI894" t="s">
        <v>659</v>
      </c>
      <c r="ILJ894" t="s">
        <v>660</v>
      </c>
      <c r="ILK894" t="s">
        <v>661</v>
      </c>
      <c r="IVB894" t="s">
        <v>1019</v>
      </c>
      <c r="IVC894" t="s">
        <v>657</v>
      </c>
      <c r="IVD894" t="s">
        <v>658</v>
      </c>
      <c r="IVE894" t="s">
        <v>659</v>
      </c>
      <c r="IVF894" t="s">
        <v>660</v>
      </c>
      <c r="IVG894" t="s">
        <v>661</v>
      </c>
      <c r="JEX894" t="s">
        <v>1019</v>
      </c>
      <c r="JEY894" t="s">
        <v>657</v>
      </c>
      <c r="JEZ894" t="s">
        <v>658</v>
      </c>
      <c r="JFA894" t="s">
        <v>659</v>
      </c>
      <c r="JFB894" t="s">
        <v>660</v>
      </c>
      <c r="JFC894" t="s">
        <v>661</v>
      </c>
      <c r="JOT894" t="s">
        <v>1019</v>
      </c>
      <c r="JOU894" t="s">
        <v>657</v>
      </c>
      <c r="JOV894" t="s">
        <v>658</v>
      </c>
      <c r="JOW894" t="s">
        <v>659</v>
      </c>
      <c r="JOX894" t="s">
        <v>660</v>
      </c>
      <c r="JOY894" t="s">
        <v>661</v>
      </c>
      <c r="JYP894" t="s">
        <v>1019</v>
      </c>
      <c r="JYQ894" t="s">
        <v>657</v>
      </c>
      <c r="JYR894" t="s">
        <v>658</v>
      </c>
      <c r="JYS894" t="s">
        <v>659</v>
      </c>
      <c r="JYT894" t="s">
        <v>660</v>
      </c>
      <c r="JYU894" t="s">
        <v>661</v>
      </c>
      <c r="KIL894" t="s">
        <v>1019</v>
      </c>
      <c r="KIM894" t="s">
        <v>657</v>
      </c>
      <c r="KIN894" t="s">
        <v>658</v>
      </c>
      <c r="KIO894" t="s">
        <v>659</v>
      </c>
      <c r="KIP894" t="s">
        <v>660</v>
      </c>
      <c r="KIQ894" t="s">
        <v>661</v>
      </c>
      <c r="KSH894" t="s">
        <v>1019</v>
      </c>
      <c r="KSI894" t="s">
        <v>657</v>
      </c>
      <c r="KSJ894" t="s">
        <v>658</v>
      </c>
      <c r="KSK894" t="s">
        <v>659</v>
      </c>
      <c r="KSL894" t="s">
        <v>660</v>
      </c>
      <c r="KSM894" t="s">
        <v>661</v>
      </c>
      <c r="LCD894" t="s">
        <v>1019</v>
      </c>
      <c r="LCE894" t="s">
        <v>657</v>
      </c>
      <c r="LCF894" t="s">
        <v>658</v>
      </c>
      <c r="LCG894" t="s">
        <v>659</v>
      </c>
      <c r="LCH894" t="s">
        <v>660</v>
      </c>
      <c r="LCI894" t="s">
        <v>661</v>
      </c>
      <c r="LLZ894" t="s">
        <v>1019</v>
      </c>
      <c r="LMA894" t="s">
        <v>657</v>
      </c>
      <c r="LMB894" t="s">
        <v>658</v>
      </c>
      <c r="LMC894" t="s">
        <v>659</v>
      </c>
      <c r="LMD894" t="s">
        <v>660</v>
      </c>
      <c r="LME894" t="s">
        <v>661</v>
      </c>
      <c r="LVV894" t="s">
        <v>1019</v>
      </c>
      <c r="LVW894" t="s">
        <v>657</v>
      </c>
      <c r="LVX894" t="s">
        <v>658</v>
      </c>
      <c r="LVY894" t="s">
        <v>659</v>
      </c>
      <c r="LVZ894" t="s">
        <v>660</v>
      </c>
      <c r="LWA894" t="s">
        <v>661</v>
      </c>
      <c r="MFR894" t="s">
        <v>1019</v>
      </c>
      <c r="MFS894" t="s">
        <v>657</v>
      </c>
      <c r="MFT894" t="s">
        <v>658</v>
      </c>
      <c r="MFU894" t="s">
        <v>659</v>
      </c>
      <c r="MFV894" t="s">
        <v>660</v>
      </c>
      <c r="MFW894" t="s">
        <v>661</v>
      </c>
      <c r="MPN894" t="s">
        <v>1019</v>
      </c>
      <c r="MPO894" t="s">
        <v>657</v>
      </c>
      <c r="MPP894" t="s">
        <v>658</v>
      </c>
      <c r="MPQ894" t="s">
        <v>659</v>
      </c>
      <c r="MPR894" t="s">
        <v>660</v>
      </c>
      <c r="MPS894" t="s">
        <v>661</v>
      </c>
      <c r="MZJ894" t="s">
        <v>1019</v>
      </c>
      <c r="MZK894" t="s">
        <v>657</v>
      </c>
      <c r="MZL894" t="s">
        <v>658</v>
      </c>
      <c r="MZM894" t="s">
        <v>659</v>
      </c>
      <c r="MZN894" t="s">
        <v>660</v>
      </c>
      <c r="MZO894" t="s">
        <v>661</v>
      </c>
      <c r="NJF894" t="s">
        <v>1019</v>
      </c>
      <c r="NJG894" t="s">
        <v>657</v>
      </c>
      <c r="NJH894" t="s">
        <v>658</v>
      </c>
      <c r="NJI894" t="s">
        <v>659</v>
      </c>
      <c r="NJJ894" t="s">
        <v>660</v>
      </c>
      <c r="NJK894" t="s">
        <v>661</v>
      </c>
      <c r="NTB894" t="s">
        <v>1019</v>
      </c>
      <c r="NTC894" t="s">
        <v>657</v>
      </c>
      <c r="NTD894" t="s">
        <v>658</v>
      </c>
      <c r="NTE894" t="s">
        <v>659</v>
      </c>
      <c r="NTF894" t="s">
        <v>660</v>
      </c>
      <c r="NTG894" t="s">
        <v>661</v>
      </c>
      <c r="OCX894" t="s">
        <v>1019</v>
      </c>
      <c r="OCY894" t="s">
        <v>657</v>
      </c>
      <c r="OCZ894" t="s">
        <v>658</v>
      </c>
      <c r="ODA894" t="s">
        <v>659</v>
      </c>
      <c r="ODB894" t="s">
        <v>660</v>
      </c>
      <c r="ODC894" t="s">
        <v>661</v>
      </c>
      <c r="OMT894" t="s">
        <v>1019</v>
      </c>
      <c r="OMU894" t="s">
        <v>657</v>
      </c>
      <c r="OMV894" t="s">
        <v>658</v>
      </c>
      <c r="OMW894" t="s">
        <v>659</v>
      </c>
      <c r="OMX894" t="s">
        <v>660</v>
      </c>
      <c r="OMY894" t="s">
        <v>661</v>
      </c>
      <c r="OWP894" t="s">
        <v>1019</v>
      </c>
      <c r="OWQ894" t="s">
        <v>657</v>
      </c>
      <c r="OWR894" t="s">
        <v>658</v>
      </c>
      <c r="OWS894" t="s">
        <v>659</v>
      </c>
      <c r="OWT894" t="s">
        <v>660</v>
      </c>
      <c r="OWU894" t="s">
        <v>661</v>
      </c>
      <c r="PGL894" t="s">
        <v>1019</v>
      </c>
      <c r="PGM894" t="s">
        <v>657</v>
      </c>
      <c r="PGN894" t="s">
        <v>658</v>
      </c>
      <c r="PGO894" t="s">
        <v>659</v>
      </c>
      <c r="PGP894" t="s">
        <v>660</v>
      </c>
      <c r="PGQ894" t="s">
        <v>661</v>
      </c>
      <c r="PQH894" t="s">
        <v>1019</v>
      </c>
      <c r="PQI894" t="s">
        <v>657</v>
      </c>
      <c r="PQJ894" t="s">
        <v>658</v>
      </c>
      <c r="PQK894" t="s">
        <v>659</v>
      </c>
      <c r="PQL894" t="s">
        <v>660</v>
      </c>
      <c r="PQM894" t="s">
        <v>661</v>
      </c>
      <c r="QAD894" t="s">
        <v>1019</v>
      </c>
      <c r="QAE894" t="s">
        <v>657</v>
      </c>
      <c r="QAF894" t="s">
        <v>658</v>
      </c>
      <c r="QAG894" t="s">
        <v>659</v>
      </c>
      <c r="QAH894" t="s">
        <v>660</v>
      </c>
      <c r="QAI894" t="s">
        <v>661</v>
      </c>
      <c r="QJZ894" t="s">
        <v>1019</v>
      </c>
      <c r="QKA894" t="s">
        <v>657</v>
      </c>
      <c r="QKB894" t="s">
        <v>658</v>
      </c>
      <c r="QKC894" t="s">
        <v>659</v>
      </c>
      <c r="QKD894" t="s">
        <v>660</v>
      </c>
      <c r="QKE894" t="s">
        <v>661</v>
      </c>
      <c r="QTV894" t="s">
        <v>1019</v>
      </c>
      <c r="QTW894" t="s">
        <v>657</v>
      </c>
      <c r="QTX894" t="s">
        <v>658</v>
      </c>
      <c r="QTY894" t="s">
        <v>659</v>
      </c>
      <c r="QTZ894" t="s">
        <v>660</v>
      </c>
      <c r="QUA894" t="s">
        <v>661</v>
      </c>
      <c r="RDR894" t="s">
        <v>1019</v>
      </c>
      <c r="RDS894" t="s">
        <v>657</v>
      </c>
      <c r="RDT894" t="s">
        <v>658</v>
      </c>
      <c r="RDU894" t="s">
        <v>659</v>
      </c>
      <c r="RDV894" t="s">
        <v>660</v>
      </c>
      <c r="RDW894" t="s">
        <v>661</v>
      </c>
      <c r="RNN894" t="s">
        <v>1019</v>
      </c>
      <c r="RNO894" t="s">
        <v>657</v>
      </c>
      <c r="RNP894" t="s">
        <v>658</v>
      </c>
      <c r="RNQ894" t="s">
        <v>659</v>
      </c>
      <c r="RNR894" t="s">
        <v>660</v>
      </c>
      <c r="RNS894" t="s">
        <v>661</v>
      </c>
      <c r="RXJ894" t="s">
        <v>1019</v>
      </c>
      <c r="RXK894" t="s">
        <v>657</v>
      </c>
      <c r="RXL894" t="s">
        <v>658</v>
      </c>
      <c r="RXM894" t="s">
        <v>659</v>
      </c>
      <c r="RXN894" t="s">
        <v>660</v>
      </c>
      <c r="RXO894" t="s">
        <v>661</v>
      </c>
      <c r="SHF894" t="s">
        <v>1019</v>
      </c>
      <c r="SHG894" t="s">
        <v>657</v>
      </c>
      <c r="SHH894" t="s">
        <v>658</v>
      </c>
      <c r="SHI894" t="s">
        <v>659</v>
      </c>
      <c r="SHJ894" t="s">
        <v>660</v>
      </c>
      <c r="SHK894" t="s">
        <v>661</v>
      </c>
      <c r="SRB894" t="s">
        <v>1019</v>
      </c>
      <c r="SRC894" t="s">
        <v>657</v>
      </c>
      <c r="SRD894" t="s">
        <v>658</v>
      </c>
      <c r="SRE894" t="s">
        <v>659</v>
      </c>
      <c r="SRF894" t="s">
        <v>660</v>
      </c>
      <c r="SRG894" t="s">
        <v>661</v>
      </c>
      <c r="TAX894" t="s">
        <v>1019</v>
      </c>
      <c r="TAY894" t="s">
        <v>657</v>
      </c>
      <c r="TAZ894" t="s">
        <v>658</v>
      </c>
      <c r="TBA894" t="s">
        <v>659</v>
      </c>
      <c r="TBB894" t="s">
        <v>660</v>
      </c>
      <c r="TBC894" t="s">
        <v>661</v>
      </c>
      <c r="TKT894" t="s">
        <v>1019</v>
      </c>
      <c r="TKU894" t="s">
        <v>657</v>
      </c>
      <c r="TKV894" t="s">
        <v>658</v>
      </c>
      <c r="TKW894" t="s">
        <v>659</v>
      </c>
      <c r="TKX894" t="s">
        <v>660</v>
      </c>
      <c r="TKY894" t="s">
        <v>661</v>
      </c>
      <c r="TUP894" t="s">
        <v>1019</v>
      </c>
      <c r="TUQ894" t="s">
        <v>657</v>
      </c>
      <c r="TUR894" t="s">
        <v>658</v>
      </c>
      <c r="TUS894" t="s">
        <v>659</v>
      </c>
      <c r="TUT894" t="s">
        <v>660</v>
      </c>
      <c r="TUU894" t="s">
        <v>661</v>
      </c>
      <c r="UEL894" t="s">
        <v>1019</v>
      </c>
      <c r="UEM894" t="s">
        <v>657</v>
      </c>
      <c r="UEN894" t="s">
        <v>658</v>
      </c>
      <c r="UEO894" t="s">
        <v>659</v>
      </c>
      <c r="UEP894" t="s">
        <v>660</v>
      </c>
      <c r="UEQ894" t="s">
        <v>661</v>
      </c>
      <c r="UOH894" t="s">
        <v>1019</v>
      </c>
      <c r="UOI894" t="s">
        <v>657</v>
      </c>
      <c r="UOJ894" t="s">
        <v>658</v>
      </c>
      <c r="UOK894" t="s">
        <v>659</v>
      </c>
      <c r="UOL894" t="s">
        <v>660</v>
      </c>
      <c r="UOM894" t="s">
        <v>661</v>
      </c>
      <c r="UYD894" t="s">
        <v>1019</v>
      </c>
      <c r="UYE894" t="s">
        <v>657</v>
      </c>
      <c r="UYF894" t="s">
        <v>658</v>
      </c>
      <c r="UYG894" t="s">
        <v>659</v>
      </c>
      <c r="UYH894" t="s">
        <v>660</v>
      </c>
      <c r="UYI894" t="s">
        <v>661</v>
      </c>
      <c r="VHZ894" t="s">
        <v>1019</v>
      </c>
      <c r="VIA894" t="s">
        <v>657</v>
      </c>
      <c r="VIB894" t="s">
        <v>658</v>
      </c>
      <c r="VIC894" t="s">
        <v>659</v>
      </c>
      <c r="VID894" t="s">
        <v>660</v>
      </c>
      <c r="VIE894" t="s">
        <v>661</v>
      </c>
      <c r="VRV894" t="s">
        <v>1019</v>
      </c>
      <c r="VRW894" t="s">
        <v>657</v>
      </c>
      <c r="VRX894" t="s">
        <v>658</v>
      </c>
      <c r="VRY894" t="s">
        <v>659</v>
      </c>
      <c r="VRZ894" t="s">
        <v>660</v>
      </c>
      <c r="VSA894" t="s">
        <v>661</v>
      </c>
      <c r="WBR894" t="s">
        <v>1019</v>
      </c>
      <c r="WBS894" t="s">
        <v>657</v>
      </c>
      <c r="WBT894" t="s">
        <v>658</v>
      </c>
      <c r="WBU894" t="s">
        <v>659</v>
      </c>
      <c r="WBV894" t="s">
        <v>660</v>
      </c>
      <c r="WBW894" t="s">
        <v>661</v>
      </c>
      <c r="WLN894" t="s">
        <v>1019</v>
      </c>
      <c r="WLO894" t="s">
        <v>657</v>
      </c>
      <c r="WLP894" t="s">
        <v>658</v>
      </c>
      <c r="WLQ894" t="s">
        <v>659</v>
      </c>
      <c r="WLR894" t="s">
        <v>660</v>
      </c>
      <c r="WLS894" t="s">
        <v>661</v>
      </c>
      <c r="WVJ894" t="s">
        <v>1019</v>
      </c>
      <c r="WVK894" t="s">
        <v>657</v>
      </c>
      <c r="WVL894" t="s">
        <v>658</v>
      </c>
      <c r="WVM894" t="s">
        <v>659</v>
      </c>
      <c r="WVN894" t="s">
        <v>660</v>
      </c>
      <c r="WVO894" t="s">
        <v>661</v>
      </c>
    </row>
    <row r="895" spans="1:775 1026:1799 2050:2823 3074:3847 4098:4871 5122:5895 6146:6919 7170:7943 8194:8967 9218:9991 10242:11015 11266:12039 12290:13063 13314:14087 14338:15111 15362:16135">
      <c r="A895" s="96" t="s">
        <v>662</v>
      </c>
      <c r="C895" s="97">
        <v>43465</v>
      </c>
      <c r="D895" s="97">
        <v>43830</v>
      </c>
      <c r="E895" s="97">
        <v>44196</v>
      </c>
      <c r="F895" s="97">
        <v>44561</v>
      </c>
      <c r="G895" s="97">
        <v>44926</v>
      </c>
      <c r="H895" s="97"/>
      <c r="IX895" t="s">
        <v>662</v>
      </c>
      <c r="IY895">
        <v>43465</v>
      </c>
      <c r="IZ895">
        <v>43830</v>
      </c>
      <c r="JA895">
        <v>44196</v>
      </c>
      <c r="JB895">
        <v>44561</v>
      </c>
      <c r="JC895">
        <v>44926</v>
      </c>
      <c r="ST895" t="s">
        <v>662</v>
      </c>
      <c r="SU895">
        <v>43465</v>
      </c>
      <c r="SV895">
        <v>43830</v>
      </c>
      <c r="SW895">
        <v>44196</v>
      </c>
      <c r="SX895">
        <v>44561</v>
      </c>
      <c r="SY895">
        <v>44926</v>
      </c>
      <c r="ACP895" t="s">
        <v>662</v>
      </c>
      <c r="ACQ895">
        <v>43465</v>
      </c>
      <c r="ACR895">
        <v>43830</v>
      </c>
      <c r="ACS895">
        <v>44196</v>
      </c>
      <c r="ACT895">
        <v>44561</v>
      </c>
      <c r="ACU895">
        <v>44926</v>
      </c>
      <c r="AML895" t="s">
        <v>662</v>
      </c>
      <c r="AMM895">
        <v>43465</v>
      </c>
      <c r="AMN895">
        <v>43830</v>
      </c>
      <c r="AMO895">
        <v>44196</v>
      </c>
      <c r="AMP895">
        <v>44561</v>
      </c>
      <c r="AMQ895">
        <v>44926</v>
      </c>
      <c r="AWH895" t="s">
        <v>662</v>
      </c>
      <c r="AWI895">
        <v>43465</v>
      </c>
      <c r="AWJ895">
        <v>43830</v>
      </c>
      <c r="AWK895">
        <v>44196</v>
      </c>
      <c r="AWL895">
        <v>44561</v>
      </c>
      <c r="AWM895">
        <v>44926</v>
      </c>
      <c r="BGD895" t="s">
        <v>662</v>
      </c>
      <c r="BGE895">
        <v>43465</v>
      </c>
      <c r="BGF895">
        <v>43830</v>
      </c>
      <c r="BGG895">
        <v>44196</v>
      </c>
      <c r="BGH895">
        <v>44561</v>
      </c>
      <c r="BGI895">
        <v>44926</v>
      </c>
      <c r="BPZ895" t="s">
        <v>662</v>
      </c>
      <c r="BQA895">
        <v>43465</v>
      </c>
      <c r="BQB895">
        <v>43830</v>
      </c>
      <c r="BQC895">
        <v>44196</v>
      </c>
      <c r="BQD895">
        <v>44561</v>
      </c>
      <c r="BQE895">
        <v>44926</v>
      </c>
      <c r="BZV895" t="s">
        <v>662</v>
      </c>
      <c r="BZW895">
        <v>43465</v>
      </c>
      <c r="BZX895">
        <v>43830</v>
      </c>
      <c r="BZY895">
        <v>44196</v>
      </c>
      <c r="BZZ895">
        <v>44561</v>
      </c>
      <c r="CAA895">
        <v>44926</v>
      </c>
      <c r="CJR895" t="s">
        <v>662</v>
      </c>
      <c r="CJS895">
        <v>43465</v>
      </c>
      <c r="CJT895">
        <v>43830</v>
      </c>
      <c r="CJU895">
        <v>44196</v>
      </c>
      <c r="CJV895">
        <v>44561</v>
      </c>
      <c r="CJW895">
        <v>44926</v>
      </c>
      <c r="CTN895" t="s">
        <v>662</v>
      </c>
      <c r="CTO895">
        <v>43465</v>
      </c>
      <c r="CTP895">
        <v>43830</v>
      </c>
      <c r="CTQ895">
        <v>44196</v>
      </c>
      <c r="CTR895">
        <v>44561</v>
      </c>
      <c r="CTS895">
        <v>44926</v>
      </c>
      <c r="DDJ895" t="s">
        <v>662</v>
      </c>
      <c r="DDK895">
        <v>43465</v>
      </c>
      <c r="DDL895">
        <v>43830</v>
      </c>
      <c r="DDM895">
        <v>44196</v>
      </c>
      <c r="DDN895">
        <v>44561</v>
      </c>
      <c r="DDO895">
        <v>44926</v>
      </c>
      <c r="DNF895" t="s">
        <v>662</v>
      </c>
      <c r="DNG895">
        <v>43465</v>
      </c>
      <c r="DNH895">
        <v>43830</v>
      </c>
      <c r="DNI895">
        <v>44196</v>
      </c>
      <c r="DNJ895">
        <v>44561</v>
      </c>
      <c r="DNK895">
        <v>44926</v>
      </c>
      <c r="DXB895" t="s">
        <v>662</v>
      </c>
      <c r="DXC895">
        <v>43465</v>
      </c>
      <c r="DXD895">
        <v>43830</v>
      </c>
      <c r="DXE895">
        <v>44196</v>
      </c>
      <c r="DXF895">
        <v>44561</v>
      </c>
      <c r="DXG895">
        <v>44926</v>
      </c>
      <c r="EGX895" t="s">
        <v>662</v>
      </c>
      <c r="EGY895">
        <v>43465</v>
      </c>
      <c r="EGZ895">
        <v>43830</v>
      </c>
      <c r="EHA895">
        <v>44196</v>
      </c>
      <c r="EHB895">
        <v>44561</v>
      </c>
      <c r="EHC895">
        <v>44926</v>
      </c>
      <c r="EQT895" t="s">
        <v>662</v>
      </c>
      <c r="EQU895">
        <v>43465</v>
      </c>
      <c r="EQV895">
        <v>43830</v>
      </c>
      <c r="EQW895">
        <v>44196</v>
      </c>
      <c r="EQX895">
        <v>44561</v>
      </c>
      <c r="EQY895">
        <v>44926</v>
      </c>
      <c r="FAP895" t="s">
        <v>662</v>
      </c>
      <c r="FAQ895">
        <v>43465</v>
      </c>
      <c r="FAR895">
        <v>43830</v>
      </c>
      <c r="FAS895">
        <v>44196</v>
      </c>
      <c r="FAT895">
        <v>44561</v>
      </c>
      <c r="FAU895">
        <v>44926</v>
      </c>
      <c r="FKL895" t="s">
        <v>662</v>
      </c>
      <c r="FKM895">
        <v>43465</v>
      </c>
      <c r="FKN895">
        <v>43830</v>
      </c>
      <c r="FKO895">
        <v>44196</v>
      </c>
      <c r="FKP895">
        <v>44561</v>
      </c>
      <c r="FKQ895">
        <v>44926</v>
      </c>
      <c r="FUH895" t="s">
        <v>662</v>
      </c>
      <c r="FUI895">
        <v>43465</v>
      </c>
      <c r="FUJ895">
        <v>43830</v>
      </c>
      <c r="FUK895">
        <v>44196</v>
      </c>
      <c r="FUL895">
        <v>44561</v>
      </c>
      <c r="FUM895">
        <v>44926</v>
      </c>
      <c r="GED895" t="s">
        <v>662</v>
      </c>
      <c r="GEE895">
        <v>43465</v>
      </c>
      <c r="GEF895">
        <v>43830</v>
      </c>
      <c r="GEG895">
        <v>44196</v>
      </c>
      <c r="GEH895">
        <v>44561</v>
      </c>
      <c r="GEI895">
        <v>44926</v>
      </c>
      <c r="GNZ895" t="s">
        <v>662</v>
      </c>
      <c r="GOA895">
        <v>43465</v>
      </c>
      <c r="GOB895">
        <v>43830</v>
      </c>
      <c r="GOC895">
        <v>44196</v>
      </c>
      <c r="GOD895">
        <v>44561</v>
      </c>
      <c r="GOE895">
        <v>44926</v>
      </c>
      <c r="GXV895" t="s">
        <v>662</v>
      </c>
      <c r="GXW895">
        <v>43465</v>
      </c>
      <c r="GXX895">
        <v>43830</v>
      </c>
      <c r="GXY895">
        <v>44196</v>
      </c>
      <c r="GXZ895">
        <v>44561</v>
      </c>
      <c r="GYA895">
        <v>44926</v>
      </c>
      <c r="HHR895" t="s">
        <v>662</v>
      </c>
      <c r="HHS895">
        <v>43465</v>
      </c>
      <c r="HHT895">
        <v>43830</v>
      </c>
      <c r="HHU895">
        <v>44196</v>
      </c>
      <c r="HHV895">
        <v>44561</v>
      </c>
      <c r="HHW895">
        <v>44926</v>
      </c>
      <c r="HRN895" t="s">
        <v>662</v>
      </c>
      <c r="HRO895">
        <v>43465</v>
      </c>
      <c r="HRP895">
        <v>43830</v>
      </c>
      <c r="HRQ895">
        <v>44196</v>
      </c>
      <c r="HRR895">
        <v>44561</v>
      </c>
      <c r="HRS895">
        <v>44926</v>
      </c>
      <c r="IBJ895" t="s">
        <v>662</v>
      </c>
      <c r="IBK895">
        <v>43465</v>
      </c>
      <c r="IBL895">
        <v>43830</v>
      </c>
      <c r="IBM895">
        <v>44196</v>
      </c>
      <c r="IBN895">
        <v>44561</v>
      </c>
      <c r="IBO895">
        <v>44926</v>
      </c>
      <c r="ILF895" t="s">
        <v>662</v>
      </c>
      <c r="ILG895">
        <v>43465</v>
      </c>
      <c r="ILH895">
        <v>43830</v>
      </c>
      <c r="ILI895">
        <v>44196</v>
      </c>
      <c r="ILJ895">
        <v>44561</v>
      </c>
      <c r="ILK895">
        <v>44926</v>
      </c>
      <c r="IVB895" t="s">
        <v>662</v>
      </c>
      <c r="IVC895">
        <v>43465</v>
      </c>
      <c r="IVD895">
        <v>43830</v>
      </c>
      <c r="IVE895">
        <v>44196</v>
      </c>
      <c r="IVF895">
        <v>44561</v>
      </c>
      <c r="IVG895">
        <v>44926</v>
      </c>
      <c r="JEX895" t="s">
        <v>662</v>
      </c>
      <c r="JEY895">
        <v>43465</v>
      </c>
      <c r="JEZ895">
        <v>43830</v>
      </c>
      <c r="JFA895">
        <v>44196</v>
      </c>
      <c r="JFB895">
        <v>44561</v>
      </c>
      <c r="JFC895">
        <v>44926</v>
      </c>
      <c r="JOT895" t="s">
        <v>662</v>
      </c>
      <c r="JOU895">
        <v>43465</v>
      </c>
      <c r="JOV895">
        <v>43830</v>
      </c>
      <c r="JOW895">
        <v>44196</v>
      </c>
      <c r="JOX895">
        <v>44561</v>
      </c>
      <c r="JOY895">
        <v>44926</v>
      </c>
      <c r="JYP895" t="s">
        <v>662</v>
      </c>
      <c r="JYQ895">
        <v>43465</v>
      </c>
      <c r="JYR895">
        <v>43830</v>
      </c>
      <c r="JYS895">
        <v>44196</v>
      </c>
      <c r="JYT895">
        <v>44561</v>
      </c>
      <c r="JYU895">
        <v>44926</v>
      </c>
      <c r="KIL895" t="s">
        <v>662</v>
      </c>
      <c r="KIM895">
        <v>43465</v>
      </c>
      <c r="KIN895">
        <v>43830</v>
      </c>
      <c r="KIO895">
        <v>44196</v>
      </c>
      <c r="KIP895">
        <v>44561</v>
      </c>
      <c r="KIQ895">
        <v>44926</v>
      </c>
      <c r="KSH895" t="s">
        <v>662</v>
      </c>
      <c r="KSI895">
        <v>43465</v>
      </c>
      <c r="KSJ895">
        <v>43830</v>
      </c>
      <c r="KSK895">
        <v>44196</v>
      </c>
      <c r="KSL895">
        <v>44561</v>
      </c>
      <c r="KSM895">
        <v>44926</v>
      </c>
      <c r="LCD895" t="s">
        <v>662</v>
      </c>
      <c r="LCE895">
        <v>43465</v>
      </c>
      <c r="LCF895">
        <v>43830</v>
      </c>
      <c r="LCG895">
        <v>44196</v>
      </c>
      <c r="LCH895">
        <v>44561</v>
      </c>
      <c r="LCI895">
        <v>44926</v>
      </c>
      <c r="LLZ895" t="s">
        <v>662</v>
      </c>
      <c r="LMA895">
        <v>43465</v>
      </c>
      <c r="LMB895">
        <v>43830</v>
      </c>
      <c r="LMC895">
        <v>44196</v>
      </c>
      <c r="LMD895">
        <v>44561</v>
      </c>
      <c r="LME895">
        <v>44926</v>
      </c>
      <c r="LVV895" t="s">
        <v>662</v>
      </c>
      <c r="LVW895">
        <v>43465</v>
      </c>
      <c r="LVX895">
        <v>43830</v>
      </c>
      <c r="LVY895">
        <v>44196</v>
      </c>
      <c r="LVZ895">
        <v>44561</v>
      </c>
      <c r="LWA895">
        <v>44926</v>
      </c>
      <c r="MFR895" t="s">
        <v>662</v>
      </c>
      <c r="MFS895">
        <v>43465</v>
      </c>
      <c r="MFT895">
        <v>43830</v>
      </c>
      <c r="MFU895">
        <v>44196</v>
      </c>
      <c r="MFV895">
        <v>44561</v>
      </c>
      <c r="MFW895">
        <v>44926</v>
      </c>
      <c r="MPN895" t="s">
        <v>662</v>
      </c>
      <c r="MPO895">
        <v>43465</v>
      </c>
      <c r="MPP895">
        <v>43830</v>
      </c>
      <c r="MPQ895">
        <v>44196</v>
      </c>
      <c r="MPR895">
        <v>44561</v>
      </c>
      <c r="MPS895">
        <v>44926</v>
      </c>
      <c r="MZJ895" t="s">
        <v>662</v>
      </c>
      <c r="MZK895">
        <v>43465</v>
      </c>
      <c r="MZL895">
        <v>43830</v>
      </c>
      <c r="MZM895">
        <v>44196</v>
      </c>
      <c r="MZN895">
        <v>44561</v>
      </c>
      <c r="MZO895">
        <v>44926</v>
      </c>
      <c r="NJF895" t="s">
        <v>662</v>
      </c>
      <c r="NJG895">
        <v>43465</v>
      </c>
      <c r="NJH895">
        <v>43830</v>
      </c>
      <c r="NJI895">
        <v>44196</v>
      </c>
      <c r="NJJ895">
        <v>44561</v>
      </c>
      <c r="NJK895">
        <v>44926</v>
      </c>
      <c r="NTB895" t="s">
        <v>662</v>
      </c>
      <c r="NTC895">
        <v>43465</v>
      </c>
      <c r="NTD895">
        <v>43830</v>
      </c>
      <c r="NTE895">
        <v>44196</v>
      </c>
      <c r="NTF895">
        <v>44561</v>
      </c>
      <c r="NTG895">
        <v>44926</v>
      </c>
      <c r="OCX895" t="s">
        <v>662</v>
      </c>
      <c r="OCY895">
        <v>43465</v>
      </c>
      <c r="OCZ895">
        <v>43830</v>
      </c>
      <c r="ODA895">
        <v>44196</v>
      </c>
      <c r="ODB895">
        <v>44561</v>
      </c>
      <c r="ODC895">
        <v>44926</v>
      </c>
      <c r="OMT895" t="s">
        <v>662</v>
      </c>
      <c r="OMU895">
        <v>43465</v>
      </c>
      <c r="OMV895">
        <v>43830</v>
      </c>
      <c r="OMW895">
        <v>44196</v>
      </c>
      <c r="OMX895">
        <v>44561</v>
      </c>
      <c r="OMY895">
        <v>44926</v>
      </c>
      <c r="OWP895" t="s">
        <v>662</v>
      </c>
      <c r="OWQ895">
        <v>43465</v>
      </c>
      <c r="OWR895">
        <v>43830</v>
      </c>
      <c r="OWS895">
        <v>44196</v>
      </c>
      <c r="OWT895">
        <v>44561</v>
      </c>
      <c r="OWU895">
        <v>44926</v>
      </c>
      <c r="PGL895" t="s">
        <v>662</v>
      </c>
      <c r="PGM895">
        <v>43465</v>
      </c>
      <c r="PGN895">
        <v>43830</v>
      </c>
      <c r="PGO895">
        <v>44196</v>
      </c>
      <c r="PGP895">
        <v>44561</v>
      </c>
      <c r="PGQ895">
        <v>44926</v>
      </c>
      <c r="PQH895" t="s">
        <v>662</v>
      </c>
      <c r="PQI895">
        <v>43465</v>
      </c>
      <c r="PQJ895">
        <v>43830</v>
      </c>
      <c r="PQK895">
        <v>44196</v>
      </c>
      <c r="PQL895">
        <v>44561</v>
      </c>
      <c r="PQM895">
        <v>44926</v>
      </c>
      <c r="QAD895" t="s">
        <v>662</v>
      </c>
      <c r="QAE895">
        <v>43465</v>
      </c>
      <c r="QAF895">
        <v>43830</v>
      </c>
      <c r="QAG895">
        <v>44196</v>
      </c>
      <c r="QAH895">
        <v>44561</v>
      </c>
      <c r="QAI895">
        <v>44926</v>
      </c>
      <c r="QJZ895" t="s">
        <v>662</v>
      </c>
      <c r="QKA895">
        <v>43465</v>
      </c>
      <c r="QKB895">
        <v>43830</v>
      </c>
      <c r="QKC895">
        <v>44196</v>
      </c>
      <c r="QKD895">
        <v>44561</v>
      </c>
      <c r="QKE895">
        <v>44926</v>
      </c>
      <c r="QTV895" t="s">
        <v>662</v>
      </c>
      <c r="QTW895">
        <v>43465</v>
      </c>
      <c r="QTX895">
        <v>43830</v>
      </c>
      <c r="QTY895">
        <v>44196</v>
      </c>
      <c r="QTZ895">
        <v>44561</v>
      </c>
      <c r="QUA895">
        <v>44926</v>
      </c>
      <c r="RDR895" t="s">
        <v>662</v>
      </c>
      <c r="RDS895">
        <v>43465</v>
      </c>
      <c r="RDT895">
        <v>43830</v>
      </c>
      <c r="RDU895">
        <v>44196</v>
      </c>
      <c r="RDV895">
        <v>44561</v>
      </c>
      <c r="RDW895">
        <v>44926</v>
      </c>
      <c r="RNN895" t="s">
        <v>662</v>
      </c>
      <c r="RNO895">
        <v>43465</v>
      </c>
      <c r="RNP895">
        <v>43830</v>
      </c>
      <c r="RNQ895">
        <v>44196</v>
      </c>
      <c r="RNR895">
        <v>44561</v>
      </c>
      <c r="RNS895">
        <v>44926</v>
      </c>
      <c r="RXJ895" t="s">
        <v>662</v>
      </c>
      <c r="RXK895">
        <v>43465</v>
      </c>
      <c r="RXL895">
        <v>43830</v>
      </c>
      <c r="RXM895">
        <v>44196</v>
      </c>
      <c r="RXN895">
        <v>44561</v>
      </c>
      <c r="RXO895">
        <v>44926</v>
      </c>
      <c r="SHF895" t="s">
        <v>662</v>
      </c>
      <c r="SHG895">
        <v>43465</v>
      </c>
      <c r="SHH895">
        <v>43830</v>
      </c>
      <c r="SHI895">
        <v>44196</v>
      </c>
      <c r="SHJ895">
        <v>44561</v>
      </c>
      <c r="SHK895">
        <v>44926</v>
      </c>
      <c r="SRB895" t="s">
        <v>662</v>
      </c>
      <c r="SRC895">
        <v>43465</v>
      </c>
      <c r="SRD895">
        <v>43830</v>
      </c>
      <c r="SRE895">
        <v>44196</v>
      </c>
      <c r="SRF895">
        <v>44561</v>
      </c>
      <c r="SRG895">
        <v>44926</v>
      </c>
      <c r="TAX895" t="s">
        <v>662</v>
      </c>
      <c r="TAY895">
        <v>43465</v>
      </c>
      <c r="TAZ895">
        <v>43830</v>
      </c>
      <c r="TBA895">
        <v>44196</v>
      </c>
      <c r="TBB895">
        <v>44561</v>
      </c>
      <c r="TBC895">
        <v>44926</v>
      </c>
      <c r="TKT895" t="s">
        <v>662</v>
      </c>
      <c r="TKU895">
        <v>43465</v>
      </c>
      <c r="TKV895">
        <v>43830</v>
      </c>
      <c r="TKW895">
        <v>44196</v>
      </c>
      <c r="TKX895">
        <v>44561</v>
      </c>
      <c r="TKY895">
        <v>44926</v>
      </c>
      <c r="TUP895" t="s">
        <v>662</v>
      </c>
      <c r="TUQ895">
        <v>43465</v>
      </c>
      <c r="TUR895">
        <v>43830</v>
      </c>
      <c r="TUS895">
        <v>44196</v>
      </c>
      <c r="TUT895">
        <v>44561</v>
      </c>
      <c r="TUU895">
        <v>44926</v>
      </c>
      <c r="UEL895" t="s">
        <v>662</v>
      </c>
      <c r="UEM895">
        <v>43465</v>
      </c>
      <c r="UEN895">
        <v>43830</v>
      </c>
      <c r="UEO895">
        <v>44196</v>
      </c>
      <c r="UEP895">
        <v>44561</v>
      </c>
      <c r="UEQ895">
        <v>44926</v>
      </c>
      <c r="UOH895" t="s">
        <v>662</v>
      </c>
      <c r="UOI895">
        <v>43465</v>
      </c>
      <c r="UOJ895">
        <v>43830</v>
      </c>
      <c r="UOK895">
        <v>44196</v>
      </c>
      <c r="UOL895">
        <v>44561</v>
      </c>
      <c r="UOM895">
        <v>44926</v>
      </c>
      <c r="UYD895" t="s">
        <v>662</v>
      </c>
      <c r="UYE895">
        <v>43465</v>
      </c>
      <c r="UYF895">
        <v>43830</v>
      </c>
      <c r="UYG895">
        <v>44196</v>
      </c>
      <c r="UYH895">
        <v>44561</v>
      </c>
      <c r="UYI895">
        <v>44926</v>
      </c>
      <c r="VHZ895" t="s">
        <v>662</v>
      </c>
      <c r="VIA895">
        <v>43465</v>
      </c>
      <c r="VIB895">
        <v>43830</v>
      </c>
      <c r="VIC895">
        <v>44196</v>
      </c>
      <c r="VID895">
        <v>44561</v>
      </c>
      <c r="VIE895">
        <v>44926</v>
      </c>
      <c r="VRV895" t="s">
        <v>662</v>
      </c>
      <c r="VRW895">
        <v>43465</v>
      </c>
      <c r="VRX895">
        <v>43830</v>
      </c>
      <c r="VRY895">
        <v>44196</v>
      </c>
      <c r="VRZ895">
        <v>44561</v>
      </c>
      <c r="VSA895">
        <v>44926</v>
      </c>
      <c r="WBR895" t="s">
        <v>662</v>
      </c>
      <c r="WBS895">
        <v>43465</v>
      </c>
      <c r="WBT895">
        <v>43830</v>
      </c>
      <c r="WBU895">
        <v>44196</v>
      </c>
      <c r="WBV895">
        <v>44561</v>
      </c>
      <c r="WBW895">
        <v>44926</v>
      </c>
      <c r="WLN895" t="s">
        <v>662</v>
      </c>
      <c r="WLO895">
        <v>43465</v>
      </c>
      <c r="WLP895">
        <v>43830</v>
      </c>
      <c r="WLQ895">
        <v>44196</v>
      </c>
      <c r="WLR895">
        <v>44561</v>
      </c>
      <c r="WLS895">
        <v>44926</v>
      </c>
      <c r="WVJ895" t="s">
        <v>662</v>
      </c>
      <c r="WVK895">
        <v>43465</v>
      </c>
      <c r="WVL895">
        <v>43830</v>
      </c>
      <c r="WVM895">
        <v>44196</v>
      </c>
      <c r="WVN895">
        <v>44561</v>
      </c>
      <c r="WVO895">
        <v>44926</v>
      </c>
    </row>
    <row r="896" spans="1:775 1026:1799 2050:2823 3074:3847 4098:4871 5122:5895 6146:6919 7170:7943 8194:8967 9218:9991 10242:11015 11266:12039 12290:13063 13314:14087 14338:15111 15362:16135">
      <c r="A896" s="96" t="s">
        <v>663</v>
      </c>
      <c r="C896" s="98" t="s">
        <v>189</v>
      </c>
      <c r="D896" s="98" t="s">
        <v>189</v>
      </c>
      <c r="E896" s="98" t="s">
        <v>189</v>
      </c>
      <c r="F896" s="98" t="s">
        <v>189</v>
      </c>
      <c r="G896" s="98" t="s">
        <v>189</v>
      </c>
      <c r="H896" s="98"/>
      <c r="IX896" t="s">
        <v>663</v>
      </c>
      <c r="IY896" t="s">
        <v>189</v>
      </c>
      <c r="IZ896" t="s">
        <v>189</v>
      </c>
      <c r="JA896" t="s">
        <v>189</v>
      </c>
      <c r="JB896" t="s">
        <v>189</v>
      </c>
      <c r="JC896" t="s">
        <v>189</v>
      </c>
      <c r="ST896" t="s">
        <v>663</v>
      </c>
      <c r="SU896" t="s">
        <v>189</v>
      </c>
      <c r="SV896" t="s">
        <v>189</v>
      </c>
      <c r="SW896" t="s">
        <v>189</v>
      </c>
      <c r="SX896" t="s">
        <v>189</v>
      </c>
      <c r="SY896" t="s">
        <v>189</v>
      </c>
      <c r="ACP896" t="s">
        <v>663</v>
      </c>
      <c r="ACQ896" t="s">
        <v>189</v>
      </c>
      <c r="ACR896" t="s">
        <v>189</v>
      </c>
      <c r="ACS896" t="s">
        <v>189</v>
      </c>
      <c r="ACT896" t="s">
        <v>189</v>
      </c>
      <c r="ACU896" t="s">
        <v>189</v>
      </c>
      <c r="AML896" t="s">
        <v>663</v>
      </c>
      <c r="AMM896" t="s">
        <v>189</v>
      </c>
      <c r="AMN896" t="s">
        <v>189</v>
      </c>
      <c r="AMO896" t="s">
        <v>189</v>
      </c>
      <c r="AMP896" t="s">
        <v>189</v>
      </c>
      <c r="AMQ896" t="s">
        <v>189</v>
      </c>
      <c r="AWH896" t="s">
        <v>663</v>
      </c>
      <c r="AWI896" t="s">
        <v>189</v>
      </c>
      <c r="AWJ896" t="s">
        <v>189</v>
      </c>
      <c r="AWK896" t="s">
        <v>189</v>
      </c>
      <c r="AWL896" t="s">
        <v>189</v>
      </c>
      <c r="AWM896" t="s">
        <v>189</v>
      </c>
      <c r="BGD896" t="s">
        <v>663</v>
      </c>
      <c r="BGE896" t="s">
        <v>189</v>
      </c>
      <c r="BGF896" t="s">
        <v>189</v>
      </c>
      <c r="BGG896" t="s">
        <v>189</v>
      </c>
      <c r="BGH896" t="s">
        <v>189</v>
      </c>
      <c r="BGI896" t="s">
        <v>189</v>
      </c>
      <c r="BPZ896" t="s">
        <v>663</v>
      </c>
      <c r="BQA896" t="s">
        <v>189</v>
      </c>
      <c r="BQB896" t="s">
        <v>189</v>
      </c>
      <c r="BQC896" t="s">
        <v>189</v>
      </c>
      <c r="BQD896" t="s">
        <v>189</v>
      </c>
      <c r="BQE896" t="s">
        <v>189</v>
      </c>
      <c r="BZV896" t="s">
        <v>663</v>
      </c>
      <c r="BZW896" t="s">
        <v>189</v>
      </c>
      <c r="BZX896" t="s">
        <v>189</v>
      </c>
      <c r="BZY896" t="s">
        <v>189</v>
      </c>
      <c r="BZZ896" t="s">
        <v>189</v>
      </c>
      <c r="CAA896" t="s">
        <v>189</v>
      </c>
      <c r="CJR896" t="s">
        <v>663</v>
      </c>
      <c r="CJS896" t="s">
        <v>189</v>
      </c>
      <c r="CJT896" t="s">
        <v>189</v>
      </c>
      <c r="CJU896" t="s">
        <v>189</v>
      </c>
      <c r="CJV896" t="s">
        <v>189</v>
      </c>
      <c r="CJW896" t="s">
        <v>189</v>
      </c>
      <c r="CTN896" t="s">
        <v>663</v>
      </c>
      <c r="CTO896" t="s">
        <v>189</v>
      </c>
      <c r="CTP896" t="s">
        <v>189</v>
      </c>
      <c r="CTQ896" t="s">
        <v>189</v>
      </c>
      <c r="CTR896" t="s">
        <v>189</v>
      </c>
      <c r="CTS896" t="s">
        <v>189</v>
      </c>
      <c r="DDJ896" t="s">
        <v>663</v>
      </c>
      <c r="DDK896" t="s">
        <v>189</v>
      </c>
      <c r="DDL896" t="s">
        <v>189</v>
      </c>
      <c r="DDM896" t="s">
        <v>189</v>
      </c>
      <c r="DDN896" t="s">
        <v>189</v>
      </c>
      <c r="DDO896" t="s">
        <v>189</v>
      </c>
      <c r="DNF896" t="s">
        <v>663</v>
      </c>
      <c r="DNG896" t="s">
        <v>189</v>
      </c>
      <c r="DNH896" t="s">
        <v>189</v>
      </c>
      <c r="DNI896" t="s">
        <v>189</v>
      </c>
      <c r="DNJ896" t="s">
        <v>189</v>
      </c>
      <c r="DNK896" t="s">
        <v>189</v>
      </c>
      <c r="DXB896" t="s">
        <v>663</v>
      </c>
      <c r="DXC896" t="s">
        <v>189</v>
      </c>
      <c r="DXD896" t="s">
        <v>189</v>
      </c>
      <c r="DXE896" t="s">
        <v>189</v>
      </c>
      <c r="DXF896" t="s">
        <v>189</v>
      </c>
      <c r="DXG896" t="s">
        <v>189</v>
      </c>
      <c r="EGX896" t="s">
        <v>663</v>
      </c>
      <c r="EGY896" t="s">
        <v>189</v>
      </c>
      <c r="EGZ896" t="s">
        <v>189</v>
      </c>
      <c r="EHA896" t="s">
        <v>189</v>
      </c>
      <c r="EHB896" t="s">
        <v>189</v>
      </c>
      <c r="EHC896" t="s">
        <v>189</v>
      </c>
      <c r="EQT896" t="s">
        <v>663</v>
      </c>
      <c r="EQU896" t="s">
        <v>189</v>
      </c>
      <c r="EQV896" t="s">
        <v>189</v>
      </c>
      <c r="EQW896" t="s">
        <v>189</v>
      </c>
      <c r="EQX896" t="s">
        <v>189</v>
      </c>
      <c r="EQY896" t="s">
        <v>189</v>
      </c>
      <c r="FAP896" t="s">
        <v>663</v>
      </c>
      <c r="FAQ896" t="s">
        <v>189</v>
      </c>
      <c r="FAR896" t="s">
        <v>189</v>
      </c>
      <c r="FAS896" t="s">
        <v>189</v>
      </c>
      <c r="FAT896" t="s">
        <v>189</v>
      </c>
      <c r="FAU896" t="s">
        <v>189</v>
      </c>
      <c r="FKL896" t="s">
        <v>663</v>
      </c>
      <c r="FKM896" t="s">
        <v>189</v>
      </c>
      <c r="FKN896" t="s">
        <v>189</v>
      </c>
      <c r="FKO896" t="s">
        <v>189</v>
      </c>
      <c r="FKP896" t="s">
        <v>189</v>
      </c>
      <c r="FKQ896" t="s">
        <v>189</v>
      </c>
      <c r="FUH896" t="s">
        <v>663</v>
      </c>
      <c r="FUI896" t="s">
        <v>189</v>
      </c>
      <c r="FUJ896" t="s">
        <v>189</v>
      </c>
      <c r="FUK896" t="s">
        <v>189</v>
      </c>
      <c r="FUL896" t="s">
        <v>189</v>
      </c>
      <c r="FUM896" t="s">
        <v>189</v>
      </c>
      <c r="GED896" t="s">
        <v>663</v>
      </c>
      <c r="GEE896" t="s">
        <v>189</v>
      </c>
      <c r="GEF896" t="s">
        <v>189</v>
      </c>
      <c r="GEG896" t="s">
        <v>189</v>
      </c>
      <c r="GEH896" t="s">
        <v>189</v>
      </c>
      <c r="GEI896" t="s">
        <v>189</v>
      </c>
      <c r="GNZ896" t="s">
        <v>663</v>
      </c>
      <c r="GOA896" t="s">
        <v>189</v>
      </c>
      <c r="GOB896" t="s">
        <v>189</v>
      </c>
      <c r="GOC896" t="s">
        <v>189</v>
      </c>
      <c r="GOD896" t="s">
        <v>189</v>
      </c>
      <c r="GOE896" t="s">
        <v>189</v>
      </c>
      <c r="GXV896" t="s">
        <v>663</v>
      </c>
      <c r="GXW896" t="s">
        <v>189</v>
      </c>
      <c r="GXX896" t="s">
        <v>189</v>
      </c>
      <c r="GXY896" t="s">
        <v>189</v>
      </c>
      <c r="GXZ896" t="s">
        <v>189</v>
      </c>
      <c r="GYA896" t="s">
        <v>189</v>
      </c>
      <c r="HHR896" t="s">
        <v>663</v>
      </c>
      <c r="HHS896" t="s">
        <v>189</v>
      </c>
      <c r="HHT896" t="s">
        <v>189</v>
      </c>
      <c r="HHU896" t="s">
        <v>189</v>
      </c>
      <c r="HHV896" t="s">
        <v>189</v>
      </c>
      <c r="HHW896" t="s">
        <v>189</v>
      </c>
      <c r="HRN896" t="s">
        <v>663</v>
      </c>
      <c r="HRO896" t="s">
        <v>189</v>
      </c>
      <c r="HRP896" t="s">
        <v>189</v>
      </c>
      <c r="HRQ896" t="s">
        <v>189</v>
      </c>
      <c r="HRR896" t="s">
        <v>189</v>
      </c>
      <c r="HRS896" t="s">
        <v>189</v>
      </c>
      <c r="IBJ896" t="s">
        <v>663</v>
      </c>
      <c r="IBK896" t="s">
        <v>189</v>
      </c>
      <c r="IBL896" t="s">
        <v>189</v>
      </c>
      <c r="IBM896" t="s">
        <v>189</v>
      </c>
      <c r="IBN896" t="s">
        <v>189</v>
      </c>
      <c r="IBO896" t="s">
        <v>189</v>
      </c>
      <c r="ILF896" t="s">
        <v>663</v>
      </c>
      <c r="ILG896" t="s">
        <v>189</v>
      </c>
      <c r="ILH896" t="s">
        <v>189</v>
      </c>
      <c r="ILI896" t="s">
        <v>189</v>
      </c>
      <c r="ILJ896" t="s">
        <v>189</v>
      </c>
      <c r="ILK896" t="s">
        <v>189</v>
      </c>
      <c r="IVB896" t="s">
        <v>663</v>
      </c>
      <c r="IVC896" t="s">
        <v>189</v>
      </c>
      <c r="IVD896" t="s">
        <v>189</v>
      </c>
      <c r="IVE896" t="s">
        <v>189</v>
      </c>
      <c r="IVF896" t="s">
        <v>189</v>
      </c>
      <c r="IVG896" t="s">
        <v>189</v>
      </c>
      <c r="JEX896" t="s">
        <v>663</v>
      </c>
      <c r="JEY896" t="s">
        <v>189</v>
      </c>
      <c r="JEZ896" t="s">
        <v>189</v>
      </c>
      <c r="JFA896" t="s">
        <v>189</v>
      </c>
      <c r="JFB896" t="s">
        <v>189</v>
      </c>
      <c r="JFC896" t="s">
        <v>189</v>
      </c>
      <c r="JOT896" t="s">
        <v>663</v>
      </c>
      <c r="JOU896" t="s">
        <v>189</v>
      </c>
      <c r="JOV896" t="s">
        <v>189</v>
      </c>
      <c r="JOW896" t="s">
        <v>189</v>
      </c>
      <c r="JOX896" t="s">
        <v>189</v>
      </c>
      <c r="JOY896" t="s">
        <v>189</v>
      </c>
      <c r="JYP896" t="s">
        <v>663</v>
      </c>
      <c r="JYQ896" t="s">
        <v>189</v>
      </c>
      <c r="JYR896" t="s">
        <v>189</v>
      </c>
      <c r="JYS896" t="s">
        <v>189</v>
      </c>
      <c r="JYT896" t="s">
        <v>189</v>
      </c>
      <c r="JYU896" t="s">
        <v>189</v>
      </c>
      <c r="KIL896" t="s">
        <v>663</v>
      </c>
      <c r="KIM896" t="s">
        <v>189</v>
      </c>
      <c r="KIN896" t="s">
        <v>189</v>
      </c>
      <c r="KIO896" t="s">
        <v>189</v>
      </c>
      <c r="KIP896" t="s">
        <v>189</v>
      </c>
      <c r="KIQ896" t="s">
        <v>189</v>
      </c>
      <c r="KSH896" t="s">
        <v>663</v>
      </c>
      <c r="KSI896" t="s">
        <v>189</v>
      </c>
      <c r="KSJ896" t="s">
        <v>189</v>
      </c>
      <c r="KSK896" t="s">
        <v>189</v>
      </c>
      <c r="KSL896" t="s">
        <v>189</v>
      </c>
      <c r="KSM896" t="s">
        <v>189</v>
      </c>
      <c r="LCD896" t="s">
        <v>663</v>
      </c>
      <c r="LCE896" t="s">
        <v>189</v>
      </c>
      <c r="LCF896" t="s">
        <v>189</v>
      </c>
      <c r="LCG896" t="s">
        <v>189</v>
      </c>
      <c r="LCH896" t="s">
        <v>189</v>
      </c>
      <c r="LCI896" t="s">
        <v>189</v>
      </c>
      <c r="LLZ896" t="s">
        <v>663</v>
      </c>
      <c r="LMA896" t="s">
        <v>189</v>
      </c>
      <c r="LMB896" t="s">
        <v>189</v>
      </c>
      <c r="LMC896" t="s">
        <v>189</v>
      </c>
      <c r="LMD896" t="s">
        <v>189</v>
      </c>
      <c r="LME896" t="s">
        <v>189</v>
      </c>
      <c r="LVV896" t="s">
        <v>663</v>
      </c>
      <c r="LVW896" t="s">
        <v>189</v>
      </c>
      <c r="LVX896" t="s">
        <v>189</v>
      </c>
      <c r="LVY896" t="s">
        <v>189</v>
      </c>
      <c r="LVZ896" t="s">
        <v>189</v>
      </c>
      <c r="LWA896" t="s">
        <v>189</v>
      </c>
      <c r="MFR896" t="s">
        <v>663</v>
      </c>
      <c r="MFS896" t="s">
        <v>189</v>
      </c>
      <c r="MFT896" t="s">
        <v>189</v>
      </c>
      <c r="MFU896" t="s">
        <v>189</v>
      </c>
      <c r="MFV896" t="s">
        <v>189</v>
      </c>
      <c r="MFW896" t="s">
        <v>189</v>
      </c>
      <c r="MPN896" t="s">
        <v>663</v>
      </c>
      <c r="MPO896" t="s">
        <v>189</v>
      </c>
      <c r="MPP896" t="s">
        <v>189</v>
      </c>
      <c r="MPQ896" t="s">
        <v>189</v>
      </c>
      <c r="MPR896" t="s">
        <v>189</v>
      </c>
      <c r="MPS896" t="s">
        <v>189</v>
      </c>
      <c r="MZJ896" t="s">
        <v>663</v>
      </c>
      <c r="MZK896" t="s">
        <v>189</v>
      </c>
      <c r="MZL896" t="s">
        <v>189</v>
      </c>
      <c r="MZM896" t="s">
        <v>189</v>
      </c>
      <c r="MZN896" t="s">
        <v>189</v>
      </c>
      <c r="MZO896" t="s">
        <v>189</v>
      </c>
      <c r="NJF896" t="s">
        <v>663</v>
      </c>
      <c r="NJG896" t="s">
        <v>189</v>
      </c>
      <c r="NJH896" t="s">
        <v>189</v>
      </c>
      <c r="NJI896" t="s">
        <v>189</v>
      </c>
      <c r="NJJ896" t="s">
        <v>189</v>
      </c>
      <c r="NJK896" t="s">
        <v>189</v>
      </c>
      <c r="NTB896" t="s">
        <v>663</v>
      </c>
      <c r="NTC896" t="s">
        <v>189</v>
      </c>
      <c r="NTD896" t="s">
        <v>189</v>
      </c>
      <c r="NTE896" t="s">
        <v>189</v>
      </c>
      <c r="NTF896" t="s">
        <v>189</v>
      </c>
      <c r="NTG896" t="s">
        <v>189</v>
      </c>
      <c r="OCX896" t="s">
        <v>663</v>
      </c>
      <c r="OCY896" t="s">
        <v>189</v>
      </c>
      <c r="OCZ896" t="s">
        <v>189</v>
      </c>
      <c r="ODA896" t="s">
        <v>189</v>
      </c>
      <c r="ODB896" t="s">
        <v>189</v>
      </c>
      <c r="ODC896" t="s">
        <v>189</v>
      </c>
      <c r="OMT896" t="s">
        <v>663</v>
      </c>
      <c r="OMU896" t="s">
        <v>189</v>
      </c>
      <c r="OMV896" t="s">
        <v>189</v>
      </c>
      <c r="OMW896" t="s">
        <v>189</v>
      </c>
      <c r="OMX896" t="s">
        <v>189</v>
      </c>
      <c r="OMY896" t="s">
        <v>189</v>
      </c>
      <c r="OWP896" t="s">
        <v>663</v>
      </c>
      <c r="OWQ896" t="s">
        <v>189</v>
      </c>
      <c r="OWR896" t="s">
        <v>189</v>
      </c>
      <c r="OWS896" t="s">
        <v>189</v>
      </c>
      <c r="OWT896" t="s">
        <v>189</v>
      </c>
      <c r="OWU896" t="s">
        <v>189</v>
      </c>
      <c r="PGL896" t="s">
        <v>663</v>
      </c>
      <c r="PGM896" t="s">
        <v>189</v>
      </c>
      <c r="PGN896" t="s">
        <v>189</v>
      </c>
      <c r="PGO896" t="s">
        <v>189</v>
      </c>
      <c r="PGP896" t="s">
        <v>189</v>
      </c>
      <c r="PGQ896" t="s">
        <v>189</v>
      </c>
      <c r="PQH896" t="s">
        <v>663</v>
      </c>
      <c r="PQI896" t="s">
        <v>189</v>
      </c>
      <c r="PQJ896" t="s">
        <v>189</v>
      </c>
      <c r="PQK896" t="s">
        <v>189</v>
      </c>
      <c r="PQL896" t="s">
        <v>189</v>
      </c>
      <c r="PQM896" t="s">
        <v>189</v>
      </c>
      <c r="QAD896" t="s">
        <v>663</v>
      </c>
      <c r="QAE896" t="s">
        <v>189</v>
      </c>
      <c r="QAF896" t="s">
        <v>189</v>
      </c>
      <c r="QAG896" t="s">
        <v>189</v>
      </c>
      <c r="QAH896" t="s">
        <v>189</v>
      </c>
      <c r="QAI896" t="s">
        <v>189</v>
      </c>
      <c r="QJZ896" t="s">
        <v>663</v>
      </c>
      <c r="QKA896" t="s">
        <v>189</v>
      </c>
      <c r="QKB896" t="s">
        <v>189</v>
      </c>
      <c r="QKC896" t="s">
        <v>189</v>
      </c>
      <c r="QKD896" t="s">
        <v>189</v>
      </c>
      <c r="QKE896" t="s">
        <v>189</v>
      </c>
      <c r="QTV896" t="s">
        <v>663</v>
      </c>
      <c r="QTW896" t="s">
        <v>189</v>
      </c>
      <c r="QTX896" t="s">
        <v>189</v>
      </c>
      <c r="QTY896" t="s">
        <v>189</v>
      </c>
      <c r="QTZ896" t="s">
        <v>189</v>
      </c>
      <c r="QUA896" t="s">
        <v>189</v>
      </c>
      <c r="RDR896" t="s">
        <v>663</v>
      </c>
      <c r="RDS896" t="s">
        <v>189</v>
      </c>
      <c r="RDT896" t="s">
        <v>189</v>
      </c>
      <c r="RDU896" t="s">
        <v>189</v>
      </c>
      <c r="RDV896" t="s">
        <v>189</v>
      </c>
      <c r="RDW896" t="s">
        <v>189</v>
      </c>
      <c r="RNN896" t="s">
        <v>663</v>
      </c>
      <c r="RNO896" t="s">
        <v>189</v>
      </c>
      <c r="RNP896" t="s">
        <v>189</v>
      </c>
      <c r="RNQ896" t="s">
        <v>189</v>
      </c>
      <c r="RNR896" t="s">
        <v>189</v>
      </c>
      <c r="RNS896" t="s">
        <v>189</v>
      </c>
      <c r="RXJ896" t="s">
        <v>663</v>
      </c>
      <c r="RXK896" t="s">
        <v>189</v>
      </c>
      <c r="RXL896" t="s">
        <v>189</v>
      </c>
      <c r="RXM896" t="s">
        <v>189</v>
      </c>
      <c r="RXN896" t="s">
        <v>189</v>
      </c>
      <c r="RXO896" t="s">
        <v>189</v>
      </c>
      <c r="SHF896" t="s">
        <v>663</v>
      </c>
      <c r="SHG896" t="s">
        <v>189</v>
      </c>
      <c r="SHH896" t="s">
        <v>189</v>
      </c>
      <c r="SHI896" t="s">
        <v>189</v>
      </c>
      <c r="SHJ896" t="s">
        <v>189</v>
      </c>
      <c r="SHK896" t="s">
        <v>189</v>
      </c>
      <c r="SRB896" t="s">
        <v>663</v>
      </c>
      <c r="SRC896" t="s">
        <v>189</v>
      </c>
      <c r="SRD896" t="s">
        <v>189</v>
      </c>
      <c r="SRE896" t="s">
        <v>189</v>
      </c>
      <c r="SRF896" t="s">
        <v>189</v>
      </c>
      <c r="SRG896" t="s">
        <v>189</v>
      </c>
      <c r="TAX896" t="s">
        <v>663</v>
      </c>
      <c r="TAY896" t="s">
        <v>189</v>
      </c>
      <c r="TAZ896" t="s">
        <v>189</v>
      </c>
      <c r="TBA896" t="s">
        <v>189</v>
      </c>
      <c r="TBB896" t="s">
        <v>189</v>
      </c>
      <c r="TBC896" t="s">
        <v>189</v>
      </c>
      <c r="TKT896" t="s">
        <v>663</v>
      </c>
      <c r="TKU896" t="s">
        <v>189</v>
      </c>
      <c r="TKV896" t="s">
        <v>189</v>
      </c>
      <c r="TKW896" t="s">
        <v>189</v>
      </c>
      <c r="TKX896" t="s">
        <v>189</v>
      </c>
      <c r="TKY896" t="s">
        <v>189</v>
      </c>
      <c r="TUP896" t="s">
        <v>663</v>
      </c>
      <c r="TUQ896" t="s">
        <v>189</v>
      </c>
      <c r="TUR896" t="s">
        <v>189</v>
      </c>
      <c r="TUS896" t="s">
        <v>189</v>
      </c>
      <c r="TUT896" t="s">
        <v>189</v>
      </c>
      <c r="TUU896" t="s">
        <v>189</v>
      </c>
      <c r="UEL896" t="s">
        <v>663</v>
      </c>
      <c r="UEM896" t="s">
        <v>189</v>
      </c>
      <c r="UEN896" t="s">
        <v>189</v>
      </c>
      <c r="UEO896" t="s">
        <v>189</v>
      </c>
      <c r="UEP896" t="s">
        <v>189</v>
      </c>
      <c r="UEQ896" t="s">
        <v>189</v>
      </c>
      <c r="UOH896" t="s">
        <v>663</v>
      </c>
      <c r="UOI896" t="s">
        <v>189</v>
      </c>
      <c r="UOJ896" t="s">
        <v>189</v>
      </c>
      <c r="UOK896" t="s">
        <v>189</v>
      </c>
      <c r="UOL896" t="s">
        <v>189</v>
      </c>
      <c r="UOM896" t="s">
        <v>189</v>
      </c>
      <c r="UYD896" t="s">
        <v>663</v>
      </c>
      <c r="UYE896" t="s">
        <v>189</v>
      </c>
      <c r="UYF896" t="s">
        <v>189</v>
      </c>
      <c r="UYG896" t="s">
        <v>189</v>
      </c>
      <c r="UYH896" t="s">
        <v>189</v>
      </c>
      <c r="UYI896" t="s">
        <v>189</v>
      </c>
      <c r="VHZ896" t="s">
        <v>663</v>
      </c>
      <c r="VIA896" t="s">
        <v>189</v>
      </c>
      <c r="VIB896" t="s">
        <v>189</v>
      </c>
      <c r="VIC896" t="s">
        <v>189</v>
      </c>
      <c r="VID896" t="s">
        <v>189</v>
      </c>
      <c r="VIE896" t="s">
        <v>189</v>
      </c>
      <c r="VRV896" t="s">
        <v>663</v>
      </c>
      <c r="VRW896" t="s">
        <v>189</v>
      </c>
      <c r="VRX896" t="s">
        <v>189</v>
      </c>
      <c r="VRY896" t="s">
        <v>189</v>
      </c>
      <c r="VRZ896" t="s">
        <v>189</v>
      </c>
      <c r="VSA896" t="s">
        <v>189</v>
      </c>
      <c r="WBR896" t="s">
        <v>663</v>
      </c>
      <c r="WBS896" t="s">
        <v>189</v>
      </c>
      <c r="WBT896" t="s">
        <v>189</v>
      </c>
      <c r="WBU896" t="s">
        <v>189</v>
      </c>
      <c r="WBV896" t="s">
        <v>189</v>
      </c>
      <c r="WBW896" t="s">
        <v>189</v>
      </c>
      <c r="WLN896" t="s">
        <v>663</v>
      </c>
      <c r="WLO896" t="s">
        <v>189</v>
      </c>
      <c r="WLP896" t="s">
        <v>189</v>
      </c>
      <c r="WLQ896" t="s">
        <v>189</v>
      </c>
      <c r="WLR896" t="s">
        <v>189</v>
      </c>
      <c r="WLS896" t="s">
        <v>189</v>
      </c>
      <c r="WVJ896" t="s">
        <v>663</v>
      </c>
      <c r="WVK896" t="s">
        <v>189</v>
      </c>
      <c r="WVL896" t="s">
        <v>189</v>
      </c>
      <c r="WVM896" t="s">
        <v>189</v>
      </c>
      <c r="WVN896" t="s">
        <v>189</v>
      </c>
      <c r="WVO896" t="s">
        <v>189</v>
      </c>
    </row>
    <row r="897" spans="1:775 1026:1799 2050:2823 3074:3847 4098:4871 5122:5895 6146:6919 7170:7943 8194:8967 9218:9991 10242:11015 11266:12039 12290:13063 13314:14087 14338:15111 15362:16135">
      <c r="A897" s="96" t="s">
        <v>665</v>
      </c>
      <c r="C897" s="98" t="s">
        <v>666</v>
      </c>
      <c r="D897" s="98" t="s">
        <v>666</v>
      </c>
      <c r="E897" s="98" t="s">
        <v>666</v>
      </c>
      <c r="F897" s="98" t="s">
        <v>666</v>
      </c>
      <c r="G897" s="98" t="s">
        <v>666</v>
      </c>
      <c r="H897" s="98"/>
      <c r="IX897" t="s">
        <v>665</v>
      </c>
      <c r="IY897" t="s">
        <v>666</v>
      </c>
      <c r="IZ897" t="s">
        <v>666</v>
      </c>
      <c r="JA897" t="s">
        <v>666</v>
      </c>
      <c r="JB897" t="s">
        <v>666</v>
      </c>
      <c r="JC897" t="s">
        <v>666</v>
      </c>
      <c r="ST897" t="s">
        <v>665</v>
      </c>
      <c r="SU897" t="s">
        <v>666</v>
      </c>
      <c r="SV897" t="s">
        <v>666</v>
      </c>
      <c r="SW897" t="s">
        <v>666</v>
      </c>
      <c r="SX897" t="s">
        <v>666</v>
      </c>
      <c r="SY897" t="s">
        <v>666</v>
      </c>
      <c r="ACP897" t="s">
        <v>665</v>
      </c>
      <c r="ACQ897" t="s">
        <v>666</v>
      </c>
      <c r="ACR897" t="s">
        <v>666</v>
      </c>
      <c r="ACS897" t="s">
        <v>666</v>
      </c>
      <c r="ACT897" t="s">
        <v>666</v>
      </c>
      <c r="ACU897" t="s">
        <v>666</v>
      </c>
      <c r="AML897" t="s">
        <v>665</v>
      </c>
      <c r="AMM897" t="s">
        <v>666</v>
      </c>
      <c r="AMN897" t="s">
        <v>666</v>
      </c>
      <c r="AMO897" t="s">
        <v>666</v>
      </c>
      <c r="AMP897" t="s">
        <v>666</v>
      </c>
      <c r="AMQ897" t="s">
        <v>666</v>
      </c>
      <c r="AWH897" t="s">
        <v>665</v>
      </c>
      <c r="AWI897" t="s">
        <v>666</v>
      </c>
      <c r="AWJ897" t="s">
        <v>666</v>
      </c>
      <c r="AWK897" t="s">
        <v>666</v>
      </c>
      <c r="AWL897" t="s">
        <v>666</v>
      </c>
      <c r="AWM897" t="s">
        <v>666</v>
      </c>
      <c r="BGD897" t="s">
        <v>665</v>
      </c>
      <c r="BGE897" t="s">
        <v>666</v>
      </c>
      <c r="BGF897" t="s">
        <v>666</v>
      </c>
      <c r="BGG897" t="s">
        <v>666</v>
      </c>
      <c r="BGH897" t="s">
        <v>666</v>
      </c>
      <c r="BGI897" t="s">
        <v>666</v>
      </c>
      <c r="BPZ897" t="s">
        <v>665</v>
      </c>
      <c r="BQA897" t="s">
        <v>666</v>
      </c>
      <c r="BQB897" t="s">
        <v>666</v>
      </c>
      <c r="BQC897" t="s">
        <v>666</v>
      </c>
      <c r="BQD897" t="s">
        <v>666</v>
      </c>
      <c r="BQE897" t="s">
        <v>666</v>
      </c>
      <c r="BZV897" t="s">
        <v>665</v>
      </c>
      <c r="BZW897" t="s">
        <v>666</v>
      </c>
      <c r="BZX897" t="s">
        <v>666</v>
      </c>
      <c r="BZY897" t="s">
        <v>666</v>
      </c>
      <c r="BZZ897" t="s">
        <v>666</v>
      </c>
      <c r="CAA897" t="s">
        <v>666</v>
      </c>
      <c r="CJR897" t="s">
        <v>665</v>
      </c>
      <c r="CJS897" t="s">
        <v>666</v>
      </c>
      <c r="CJT897" t="s">
        <v>666</v>
      </c>
      <c r="CJU897" t="s">
        <v>666</v>
      </c>
      <c r="CJV897" t="s">
        <v>666</v>
      </c>
      <c r="CJW897" t="s">
        <v>666</v>
      </c>
      <c r="CTN897" t="s">
        <v>665</v>
      </c>
      <c r="CTO897" t="s">
        <v>666</v>
      </c>
      <c r="CTP897" t="s">
        <v>666</v>
      </c>
      <c r="CTQ897" t="s">
        <v>666</v>
      </c>
      <c r="CTR897" t="s">
        <v>666</v>
      </c>
      <c r="CTS897" t="s">
        <v>666</v>
      </c>
      <c r="DDJ897" t="s">
        <v>665</v>
      </c>
      <c r="DDK897" t="s">
        <v>666</v>
      </c>
      <c r="DDL897" t="s">
        <v>666</v>
      </c>
      <c r="DDM897" t="s">
        <v>666</v>
      </c>
      <c r="DDN897" t="s">
        <v>666</v>
      </c>
      <c r="DDO897" t="s">
        <v>666</v>
      </c>
      <c r="DNF897" t="s">
        <v>665</v>
      </c>
      <c r="DNG897" t="s">
        <v>666</v>
      </c>
      <c r="DNH897" t="s">
        <v>666</v>
      </c>
      <c r="DNI897" t="s">
        <v>666</v>
      </c>
      <c r="DNJ897" t="s">
        <v>666</v>
      </c>
      <c r="DNK897" t="s">
        <v>666</v>
      </c>
      <c r="DXB897" t="s">
        <v>665</v>
      </c>
      <c r="DXC897" t="s">
        <v>666</v>
      </c>
      <c r="DXD897" t="s">
        <v>666</v>
      </c>
      <c r="DXE897" t="s">
        <v>666</v>
      </c>
      <c r="DXF897" t="s">
        <v>666</v>
      </c>
      <c r="DXG897" t="s">
        <v>666</v>
      </c>
      <c r="EGX897" t="s">
        <v>665</v>
      </c>
      <c r="EGY897" t="s">
        <v>666</v>
      </c>
      <c r="EGZ897" t="s">
        <v>666</v>
      </c>
      <c r="EHA897" t="s">
        <v>666</v>
      </c>
      <c r="EHB897" t="s">
        <v>666</v>
      </c>
      <c r="EHC897" t="s">
        <v>666</v>
      </c>
      <c r="EQT897" t="s">
        <v>665</v>
      </c>
      <c r="EQU897" t="s">
        <v>666</v>
      </c>
      <c r="EQV897" t="s">
        <v>666</v>
      </c>
      <c r="EQW897" t="s">
        <v>666</v>
      </c>
      <c r="EQX897" t="s">
        <v>666</v>
      </c>
      <c r="EQY897" t="s">
        <v>666</v>
      </c>
      <c r="FAP897" t="s">
        <v>665</v>
      </c>
      <c r="FAQ897" t="s">
        <v>666</v>
      </c>
      <c r="FAR897" t="s">
        <v>666</v>
      </c>
      <c r="FAS897" t="s">
        <v>666</v>
      </c>
      <c r="FAT897" t="s">
        <v>666</v>
      </c>
      <c r="FAU897" t="s">
        <v>666</v>
      </c>
      <c r="FKL897" t="s">
        <v>665</v>
      </c>
      <c r="FKM897" t="s">
        <v>666</v>
      </c>
      <c r="FKN897" t="s">
        <v>666</v>
      </c>
      <c r="FKO897" t="s">
        <v>666</v>
      </c>
      <c r="FKP897" t="s">
        <v>666</v>
      </c>
      <c r="FKQ897" t="s">
        <v>666</v>
      </c>
      <c r="FUH897" t="s">
        <v>665</v>
      </c>
      <c r="FUI897" t="s">
        <v>666</v>
      </c>
      <c r="FUJ897" t="s">
        <v>666</v>
      </c>
      <c r="FUK897" t="s">
        <v>666</v>
      </c>
      <c r="FUL897" t="s">
        <v>666</v>
      </c>
      <c r="FUM897" t="s">
        <v>666</v>
      </c>
      <c r="GED897" t="s">
        <v>665</v>
      </c>
      <c r="GEE897" t="s">
        <v>666</v>
      </c>
      <c r="GEF897" t="s">
        <v>666</v>
      </c>
      <c r="GEG897" t="s">
        <v>666</v>
      </c>
      <c r="GEH897" t="s">
        <v>666</v>
      </c>
      <c r="GEI897" t="s">
        <v>666</v>
      </c>
      <c r="GNZ897" t="s">
        <v>665</v>
      </c>
      <c r="GOA897" t="s">
        <v>666</v>
      </c>
      <c r="GOB897" t="s">
        <v>666</v>
      </c>
      <c r="GOC897" t="s">
        <v>666</v>
      </c>
      <c r="GOD897" t="s">
        <v>666</v>
      </c>
      <c r="GOE897" t="s">
        <v>666</v>
      </c>
      <c r="GXV897" t="s">
        <v>665</v>
      </c>
      <c r="GXW897" t="s">
        <v>666</v>
      </c>
      <c r="GXX897" t="s">
        <v>666</v>
      </c>
      <c r="GXY897" t="s">
        <v>666</v>
      </c>
      <c r="GXZ897" t="s">
        <v>666</v>
      </c>
      <c r="GYA897" t="s">
        <v>666</v>
      </c>
      <c r="HHR897" t="s">
        <v>665</v>
      </c>
      <c r="HHS897" t="s">
        <v>666</v>
      </c>
      <c r="HHT897" t="s">
        <v>666</v>
      </c>
      <c r="HHU897" t="s">
        <v>666</v>
      </c>
      <c r="HHV897" t="s">
        <v>666</v>
      </c>
      <c r="HHW897" t="s">
        <v>666</v>
      </c>
      <c r="HRN897" t="s">
        <v>665</v>
      </c>
      <c r="HRO897" t="s">
        <v>666</v>
      </c>
      <c r="HRP897" t="s">
        <v>666</v>
      </c>
      <c r="HRQ897" t="s">
        <v>666</v>
      </c>
      <c r="HRR897" t="s">
        <v>666</v>
      </c>
      <c r="HRS897" t="s">
        <v>666</v>
      </c>
      <c r="IBJ897" t="s">
        <v>665</v>
      </c>
      <c r="IBK897" t="s">
        <v>666</v>
      </c>
      <c r="IBL897" t="s">
        <v>666</v>
      </c>
      <c r="IBM897" t="s">
        <v>666</v>
      </c>
      <c r="IBN897" t="s">
        <v>666</v>
      </c>
      <c r="IBO897" t="s">
        <v>666</v>
      </c>
      <c r="ILF897" t="s">
        <v>665</v>
      </c>
      <c r="ILG897" t="s">
        <v>666</v>
      </c>
      <c r="ILH897" t="s">
        <v>666</v>
      </c>
      <c r="ILI897" t="s">
        <v>666</v>
      </c>
      <c r="ILJ897" t="s">
        <v>666</v>
      </c>
      <c r="ILK897" t="s">
        <v>666</v>
      </c>
      <c r="IVB897" t="s">
        <v>665</v>
      </c>
      <c r="IVC897" t="s">
        <v>666</v>
      </c>
      <c r="IVD897" t="s">
        <v>666</v>
      </c>
      <c r="IVE897" t="s">
        <v>666</v>
      </c>
      <c r="IVF897" t="s">
        <v>666</v>
      </c>
      <c r="IVG897" t="s">
        <v>666</v>
      </c>
      <c r="JEX897" t="s">
        <v>665</v>
      </c>
      <c r="JEY897" t="s">
        <v>666</v>
      </c>
      <c r="JEZ897" t="s">
        <v>666</v>
      </c>
      <c r="JFA897" t="s">
        <v>666</v>
      </c>
      <c r="JFB897" t="s">
        <v>666</v>
      </c>
      <c r="JFC897" t="s">
        <v>666</v>
      </c>
      <c r="JOT897" t="s">
        <v>665</v>
      </c>
      <c r="JOU897" t="s">
        <v>666</v>
      </c>
      <c r="JOV897" t="s">
        <v>666</v>
      </c>
      <c r="JOW897" t="s">
        <v>666</v>
      </c>
      <c r="JOX897" t="s">
        <v>666</v>
      </c>
      <c r="JOY897" t="s">
        <v>666</v>
      </c>
      <c r="JYP897" t="s">
        <v>665</v>
      </c>
      <c r="JYQ897" t="s">
        <v>666</v>
      </c>
      <c r="JYR897" t="s">
        <v>666</v>
      </c>
      <c r="JYS897" t="s">
        <v>666</v>
      </c>
      <c r="JYT897" t="s">
        <v>666</v>
      </c>
      <c r="JYU897" t="s">
        <v>666</v>
      </c>
      <c r="KIL897" t="s">
        <v>665</v>
      </c>
      <c r="KIM897" t="s">
        <v>666</v>
      </c>
      <c r="KIN897" t="s">
        <v>666</v>
      </c>
      <c r="KIO897" t="s">
        <v>666</v>
      </c>
      <c r="KIP897" t="s">
        <v>666</v>
      </c>
      <c r="KIQ897" t="s">
        <v>666</v>
      </c>
      <c r="KSH897" t="s">
        <v>665</v>
      </c>
      <c r="KSI897" t="s">
        <v>666</v>
      </c>
      <c r="KSJ897" t="s">
        <v>666</v>
      </c>
      <c r="KSK897" t="s">
        <v>666</v>
      </c>
      <c r="KSL897" t="s">
        <v>666</v>
      </c>
      <c r="KSM897" t="s">
        <v>666</v>
      </c>
      <c r="LCD897" t="s">
        <v>665</v>
      </c>
      <c r="LCE897" t="s">
        <v>666</v>
      </c>
      <c r="LCF897" t="s">
        <v>666</v>
      </c>
      <c r="LCG897" t="s">
        <v>666</v>
      </c>
      <c r="LCH897" t="s">
        <v>666</v>
      </c>
      <c r="LCI897" t="s">
        <v>666</v>
      </c>
      <c r="LLZ897" t="s">
        <v>665</v>
      </c>
      <c r="LMA897" t="s">
        <v>666</v>
      </c>
      <c r="LMB897" t="s">
        <v>666</v>
      </c>
      <c r="LMC897" t="s">
        <v>666</v>
      </c>
      <c r="LMD897" t="s">
        <v>666</v>
      </c>
      <c r="LME897" t="s">
        <v>666</v>
      </c>
      <c r="LVV897" t="s">
        <v>665</v>
      </c>
      <c r="LVW897" t="s">
        <v>666</v>
      </c>
      <c r="LVX897" t="s">
        <v>666</v>
      </c>
      <c r="LVY897" t="s">
        <v>666</v>
      </c>
      <c r="LVZ897" t="s">
        <v>666</v>
      </c>
      <c r="LWA897" t="s">
        <v>666</v>
      </c>
      <c r="MFR897" t="s">
        <v>665</v>
      </c>
      <c r="MFS897" t="s">
        <v>666</v>
      </c>
      <c r="MFT897" t="s">
        <v>666</v>
      </c>
      <c r="MFU897" t="s">
        <v>666</v>
      </c>
      <c r="MFV897" t="s">
        <v>666</v>
      </c>
      <c r="MFW897" t="s">
        <v>666</v>
      </c>
      <c r="MPN897" t="s">
        <v>665</v>
      </c>
      <c r="MPO897" t="s">
        <v>666</v>
      </c>
      <c r="MPP897" t="s">
        <v>666</v>
      </c>
      <c r="MPQ897" t="s">
        <v>666</v>
      </c>
      <c r="MPR897" t="s">
        <v>666</v>
      </c>
      <c r="MPS897" t="s">
        <v>666</v>
      </c>
      <c r="MZJ897" t="s">
        <v>665</v>
      </c>
      <c r="MZK897" t="s">
        <v>666</v>
      </c>
      <c r="MZL897" t="s">
        <v>666</v>
      </c>
      <c r="MZM897" t="s">
        <v>666</v>
      </c>
      <c r="MZN897" t="s">
        <v>666</v>
      </c>
      <c r="MZO897" t="s">
        <v>666</v>
      </c>
      <c r="NJF897" t="s">
        <v>665</v>
      </c>
      <c r="NJG897" t="s">
        <v>666</v>
      </c>
      <c r="NJH897" t="s">
        <v>666</v>
      </c>
      <c r="NJI897" t="s">
        <v>666</v>
      </c>
      <c r="NJJ897" t="s">
        <v>666</v>
      </c>
      <c r="NJK897" t="s">
        <v>666</v>
      </c>
      <c r="NTB897" t="s">
        <v>665</v>
      </c>
      <c r="NTC897" t="s">
        <v>666</v>
      </c>
      <c r="NTD897" t="s">
        <v>666</v>
      </c>
      <c r="NTE897" t="s">
        <v>666</v>
      </c>
      <c r="NTF897" t="s">
        <v>666</v>
      </c>
      <c r="NTG897" t="s">
        <v>666</v>
      </c>
      <c r="OCX897" t="s">
        <v>665</v>
      </c>
      <c r="OCY897" t="s">
        <v>666</v>
      </c>
      <c r="OCZ897" t="s">
        <v>666</v>
      </c>
      <c r="ODA897" t="s">
        <v>666</v>
      </c>
      <c r="ODB897" t="s">
        <v>666</v>
      </c>
      <c r="ODC897" t="s">
        <v>666</v>
      </c>
      <c r="OMT897" t="s">
        <v>665</v>
      </c>
      <c r="OMU897" t="s">
        <v>666</v>
      </c>
      <c r="OMV897" t="s">
        <v>666</v>
      </c>
      <c r="OMW897" t="s">
        <v>666</v>
      </c>
      <c r="OMX897" t="s">
        <v>666</v>
      </c>
      <c r="OMY897" t="s">
        <v>666</v>
      </c>
      <c r="OWP897" t="s">
        <v>665</v>
      </c>
      <c r="OWQ897" t="s">
        <v>666</v>
      </c>
      <c r="OWR897" t="s">
        <v>666</v>
      </c>
      <c r="OWS897" t="s">
        <v>666</v>
      </c>
      <c r="OWT897" t="s">
        <v>666</v>
      </c>
      <c r="OWU897" t="s">
        <v>666</v>
      </c>
      <c r="PGL897" t="s">
        <v>665</v>
      </c>
      <c r="PGM897" t="s">
        <v>666</v>
      </c>
      <c r="PGN897" t="s">
        <v>666</v>
      </c>
      <c r="PGO897" t="s">
        <v>666</v>
      </c>
      <c r="PGP897" t="s">
        <v>666</v>
      </c>
      <c r="PGQ897" t="s">
        <v>666</v>
      </c>
      <c r="PQH897" t="s">
        <v>665</v>
      </c>
      <c r="PQI897" t="s">
        <v>666</v>
      </c>
      <c r="PQJ897" t="s">
        <v>666</v>
      </c>
      <c r="PQK897" t="s">
        <v>666</v>
      </c>
      <c r="PQL897" t="s">
        <v>666</v>
      </c>
      <c r="PQM897" t="s">
        <v>666</v>
      </c>
      <c r="QAD897" t="s">
        <v>665</v>
      </c>
      <c r="QAE897" t="s">
        <v>666</v>
      </c>
      <c r="QAF897" t="s">
        <v>666</v>
      </c>
      <c r="QAG897" t="s">
        <v>666</v>
      </c>
      <c r="QAH897" t="s">
        <v>666</v>
      </c>
      <c r="QAI897" t="s">
        <v>666</v>
      </c>
      <c r="QJZ897" t="s">
        <v>665</v>
      </c>
      <c r="QKA897" t="s">
        <v>666</v>
      </c>
      <c r="QKB897" t="s">
        <v>666</v>
      </c>
      <c r="QKC897" t="s">
        <v>666</v>
      </c>
      <c r="QKD897" t="s">
        <v>666</v>
      </c>
      <c r="QKE897" t="s">
        <v>666</v>
      </c>
      <c r="QTV897" t="s">
        <v>665</v>
      </c>
      <c r="QTW897" t="s">
        <v>666</v>
      </c>
      <c r="QTX897" t="s">
        <v>666</v>
      </c>
      <c r="QTY897" t="s">
        <v>666</v>
      </c>
      <c r="QTZ897" t="s">
        <v>666</v>
      </c>
      <c r="QUA897" t="s">
        <v>666</v>
      </c>
      <c r="RDR897" t="s">
        <v>665</v>
      </c>
      <c r="RDS897" t="s">
        <v>666</v>
      </c>
      <c r="RDT897" t="s">
        <v>666</v>
      </c>
      <c r="RDU897" t="s">
        <v>666</v>
      </c>
      <c r="RDV897" t="s">
        <v>666</v>
      </c>
      <c r="RDW897" t="s">
        <v>666</v>
      </c>
      <c r="RNN897" t="s">
        <v>665</v>
      </c>
      <c r="RNO897" t="s">
        <v>666</v>
      </c>
      <c r="RNP897" t="s">
        <v>666</v>
      </c>
      <c r="RNQ897" t="s">
        <v>666</v>
      </c>
      <c r="RNR897" t="s">
        <v>666</v>
      </c>
      <c r="RNS897" t="s">
        <v>666</v>
      </c>
      <c r="RXJ897" t="s">
        <v>665</v>
      </c>
      <c r="RXK897" t="s">
        <v>666</v>
      </c>
      <c r="RXL897" t="s">
        <v>666</v>
      </c>
      <c r="RXM897" t="s">
        <v>666</v>
      </c>
      <c r="RXN897" t="s">
        <v>666</v>
      </c>
      <c r="RXO897" t="s">
        <v>666</v>
      </c>
      <c r="SHF897" t="s">
        <v>665</v>
      </c>
      <c r="SHG897" t="s">
        <v>666</v>
      </c>
      <c r="SHH897" t="s">
        <v>666</v>
      </c>
      <c r="SHI897" t="s">
        <v>666</v>
      </c>
      <c r="SHJ897" t="s">
        <v>666</v>
      </c>
      <c r="SHK897" t="s">
        <v>666</v>
      </c>
      <c r="SRB897" t="s">
        <v>665</v>
      </c>
      <c r="SRC897" t="s">
        <v>666</v>
      </c>
      <c r="SRD897" t="s">
        <v>666</v>
      </c>
      <c r="SRE897" t="s">
        <v>666</v>
      </c>
      <c r="SRF897" t="s">
        <v>666</v>
      </c>
      <c r="SRG897" t="s">
        <v>666</v>
      </c>
      <c r="TAX897" t="s">
        <v>665</v>
      </c>
      <c r="TAY897" t="s">
        <v>666</v>
      </c>
      <c r="TAZ897" t="s">
        <v>666</v>
      </c>
      <c r="TBA897" t="s">
        <v>666</v>
      </c>
      <c r="TBB897" t="s">
        <v>666</v>
      </c>
      <c r="TBC897" t="s">
        <v>666</v>
      </c>
      <c r="TKT897" t="s">
        <v>665</v>
      </c>
      <c r="TKU897" t="s">
        <v>666</v>
      </c>
      <c r="TKV897" t="s">
        <v>666</v>
      </c>
      <c r="TKW897" t="s">
        <v>666</v>
      </c>
      <c r="TKX897" t="s">
        <v>666</v>
      </c>
      <c r="TKY897" t="s">
        <v>666</v>
      </c>
      <c r="TUP897" t="s">
        <v>665</v>
      </c>
      <c r="TUQ897" t="s">
        <v>666</v>
      </c>
      <c r="TUR897" t="s">
        <v>666</v>
      </c>
      <c r="TUS897" t="s">
        <v>666</v>
      </c>
      <c r="TUT897" t="s">
        <v>666</v>
      </c>
      <c r="TUU897" t="s">
        <v>666</v>
      </c>
      <c r="UEL897" t="s">
        <v>665</v>
      </c>
      <c r="UEM897" t="s">
        <v>666</v>
      </c>
      <c r="UEN897" t="s">
        <v>666</v>
      </c>
      <c r="UEO897" t="s">
        <v>666</v>
      </c>
      <c r="UEP897" t="s">
        <v>666</v>
      </c>
      <c r="UEQ897" t="s">
        <v>666</v>
      </c>
      <c r="UOH897" t="s">
        <v>665</v>
      </c>
      <c r="UOI897" t="s">
        <v>666</v>
      </c>
      <c r="UOJ897" t="s">
        <v>666</v>
      </c>
      <c r="UOK897" t="s">
        <v>666</v>
      </c>
      <c r="UOL897" t="s">
        <v>666</v>
      </c>
      <c r="UOM897" t="s">
        <v>666</v>
      </c>
      <c r="UYD897" t="s">
        <v>665</v>
      </c>
      <c r="UYE897" t="s">
        <v>666</v>
      </c>
      <c r="UYF897" t="s">
        <v>666</v>
      </c>
      <c r="UYG897" t="s">
        <v>666</v>
      </c>
      <c r="UYH897" t="s">
        <v>666</v>
      </c>
      <c r="UYI897" t="s">
        <v>666</v>
      </c>
      <c r="VHZ897" t="s">
        <v>665</v>
      </c>
      <c r="VIA897" t="s">
        <v>666</v>
      </c>
      <c r="VIB897" t="s">
        <v>666</v>
      </c>
      <c r="VIC897" t="s">
        <v>666</v>
      </c>
      <c r="VID897" t="s">
        <v>666</v>
      </c>
      <c r="VIE897" t="s">
        <v>666</v>
      </c>
      <c r="VRV897" t="s">
        <v>665</v>
      </c>
      <c r="VRW897" t="s">
        <v>666</v>
      </c>
      <c r="VRX897" t="s">
        <v>666</v>
      </c>
      <c r="VRY897" t="s">
        <v>666</v>
      </c>
      <c r="VRZ897" t="s">
        <v>666</v>
      </c>
      <c r="VSA897" t="s">
        <v>666</v>
      </c>
      <c r="WBR897" t="s">
        <v>665</v>
      </c>
      <c r="WBS897" t="s">
        <v>666</v>
      </c>
      <c r="WBT897" t="s">
        <v>666</v>
      </c>
      <c r="WBU897" t="s">
        <v>666</v>
      </c>
      <c r="WBV897" t="s">
        <v>666</v>
      </c>
      <c r="WBW897" t="s">
        <v>666</v>
      </c>
      <c r="WLN897" t="s">
        <v>665</v>
      </c>
      <c r="WLO897" t="s">
        <v>666</v>
      </c>
      <c r="WLP897" t="s">
        <v>666</v>
      </c>
      <c r="WLQ897" t="s">
        <v>666</v>
      </c>
      <c r="WLR897" t="s">
        <v>666</v>
      </c>
      <c r="WLS897" t="s">
        <v>666</v>
      </c>
      <c r="WVJ897" t="s">
        <v>665</v>
      </c>
      <c r="WVK897" t="s">
        <v>666</v>
      </c>
      <c r="WVL897" t="s">
        <v>666</v>
      </c>
      <c r="WVM897" t="s">
        <v>666</v>
      </c>
      <c r="WVN897" t="s">
        <v>666</v>
      </c>
      <c r="WVO897" t="s">
        <v>666</v>
      </c>
    </row>
    <row r="898" spans="1:775 1026:1799 2050:2823 3074:3847 4098:4871 5122:5895 6146:6919 7170:7943 8194:8967 9218:9991 10242:11015 11266:12039 12290:13063 13314:14087 14338:15111 15362:16135" s="1337" customFormat="1" ht="14.5" thickBot="1">
      <c r="A898" s="1433" t="s">
        <v>693</v>
      </c>
      <c r="C898" s="1430"/>
      <c r="D898" s="1430"/>
      <c r="E898" s="1430"/>
      <c r="F898" s="1430"/>
      <c r="G898" s="1430"/>
      <c r="H898" s="1430"/>
      <c r="IX898" s="1337" t="s">
        <v>693</v>
      </c>
      <c r="ST898" s="1337" t="s">
        <v>693</v>
      </c>
      <c r="ACP898" s="1337" t="s">
        <v>693</v>
      </c>
      <c r="AML898" s="1337" t="s">
        <v>693</v>
      </c>
      <c r="AWH898" s="1337" t="s">
        <v>693</v>
      </c>
      <c r="BGD898" s="1337" t="s">
        <v>693</v>
      </c>
      <c r="BPZ898" s="1337" t="s">
        <v>693</v>
      </c>
      <c r="BZV898" s="1337" t="s">
        <v>693</v>
      </c>
      <c r="CJR898" s="1337" t="s">
        <v>693</v>
      </c>
      <c r="CTN898" s="1337" t="s">
        <v>693</v>
      </c>
      <c r="DDJ898" s="1337" t="s">
        <v>693</v>
      </c>
      <c r="DNF898" s="1337" t="s">
        <v>693</v>
      </c>
      <c r="DXB898" s="1337" t="s">
        <v>693</v>
      </c>
      <c r="EGX898" s="1337" t="s">
        <v>693</v>
      </c>
      <c r="EQT898" s="1337" t="s">
        <v>693</v>
      </c>
      <c r="FAP898" s="1337" t="s">
        <v>693</v>
      </c>
      <c r="FKL898" s="1337" t="s">
        <v>693</v>
      </c>
      <c r="FUH898" s="1337" t="s">
        <v>693</v>
      </c>
      <c r="GED898" s="1337" t="s">
        <v>693</v>
      </c>
      <c r="GNZ898" s="1337" t="s">
        <v>693</v>
      </c>
      <c r="GXV898" s="1337" t="s">
        <v>693</v>
      </c>
      <c r="HHR898" s="1337" t="s">
        <v>693</v>
      </c>
      <c r="HRN898" s="1337" t="s">
        <v>693</v>
      </c>
      <c r="IBJ898" s="1337" t="s">
        <v>693</v>
      </c>
      <c r="ILF898" s="1337" t="s">
        <v>693</v>
      </c>
      <c r="IVB898" s="1337" t="s">
        <v>693</v>
      </c>
      <c r="JEX898" s="1337" t="s">
        <v>693</v>
      </c>
      <c r="JOT898" s="1337" t="s">
        <v>693</v>
      </c>
      <c r="JYP898" s="1337" t="s">
        <v>693</v>
      </c>
      <c r="KIL898" s="1337" t="s">
        <v>693</v>
      </c>
      <c r="KSH898" s="1337" t="s">
        <v>693</v>
      </c>
      <c r="LCD898" s="1337" t="s">
        <v>693</v>
      </c>
      <c r="LLZ898" s="1337" t="s">
        <v>693</v>
      </c>
      <c r="LVV898" s="1337" t="s">
        <v>693</v>
      </c>
      <c r="MFR898" s="1337" t="s">
        <v>693</v>
      </c>
      <c r="MPN898" s="1337" t="s">
        <v>693</v>
      </c>
      <c r="MZJ898" s="1337" t="s">
        <v>693</v>
      </c>
      <c r="NJF898" s="1337" t="s">
        <v>693</v>
      </c>
      <c r="NTB898" s="1337" t="s">
        <v>693</v>
      </c>
      <c r="OCX898" s="1337" t="s">
        <v>693</v>
      </c>
      <c r="OMT898" s="1337" t="s">
        <v>693</v>
      </c>
      <c r="OWP898" s="1337" t="s">
        <v>693</v>
      </c>
      <c r="PGL898" s="1337" t="s">
        <v>693</v>
      </c>
      <c r="PQH898" s="1337" t="s">
        <v>693</v>
      </c>
      <c r="QAD898" s="1337" t="s">
        <v>693</v>
      </c>
      <c r="QJZ898" s="1337" t="s">
        <v>693</v>
      </c>
      <c r="QTV898" s="1337" t="s">
        <v>693</v>
      </c>
      <c r="RDR898" s="1337" t="s">
        <v>693</v>
      </c>
      <c r="RNN898" s="1337" t="s">
        <v>693</v>
      </c>
      <c r="RXJ898" s="1337" t="s">
        <v>693</v>
      </c>
      <c r="SHF898" s="1337" t="s">
        <v>693</v>
      </c>
      <c r="SRB898" s="1337" t="s">
        <v>693</v>
      </c>
      <c r="TAX898" s="1337" t="s">
        <v>693</v>
      </c>
      <c r="TKT898" s="1337" t="s">
        <v>693</v>
      </c>
      <c r="TUP898" s="1337" t="s">
        <v>693</v>
      </c>
      <c r="UEL898" s="1337" t="s">
        <v>693</v>
      </c>
      <c r="UOH898" s="1337" t="s">
        <v>693</v>
      </c>
      <c r="UYD898" s="1337" t="s">
        <v>693</v>
      </c>
      <c r="VHZ898" s="1337" t="s">
        <v>693</v>
      </c>
      <c r="VRV898" s="1337" t="s">
        <v>693</v>
      </c>
      <c r="WBR898" s="1337" t="s">
        <v>693</v>
      </c>
      <c r="WLN898" s="1337" t="s">
        <v>693</v>
      </c>
      <c r="WVJ898" s="1337" t="s">
        <v>693</v>
      </c>
    </row>
    <row r="899" spans="1:775 1026:1799 2050:2823 3074:3847 4098:4871 5122:5895 6146:6919 7170:7943 8194:8967 9218:9991 10242:11015 11266:12039 12290:13063 13314:14087 14338:15111 15362:16135">
      <c r="A899" s="96" t="s">
        <v>694</v>
      </c>
      <c r="B899" t="s">
        <v>877</v>
      </c>
      <c r="C899" s="100">
        <v>3133847</v>
      </c>
      <c r="D899" s="100">
        <v>862839</v>
      </c>
      <c r="E899" s="100">
        <v>38425541</v>
      </c>
      <c r="F899" s="100">
        <v>15333719</v>
      </c>
      <c r="G899" s="100">
        <v>19887575</v>
      </c>
      <c r="H899" s="100"/>
      <c r="IX899" t="s">
        <v>694</v>
      </c>
      <c r="IY899">
        <v>3133847</v>
      </c>
      <c r="IZ899">
        <v>862839</v>
      </c>
      <c r="JA899">
        <v>38425541</v>
      </c>
      <c r="JB899">
        <v>15333719</v>
      </c>
      <c r="JC899">
        <v>19887575</v>
      </c>
      <c r="ST899" t="s">
        <v>694</v>
      </c>
      <c r="SU899">
        <v>3133847</v>
      </c>
      <c r="SV899">
        <v>862839</v>
      </c>
      <c r="SW899">
        <v>38425541</v>
      </c>
      <c r="SX899">
        <v>15333719</v>
      </c>
      <c r="SY899">
        <v>19887575</v>
      </c>
      <c r="ACP899" t="s">
        <v>694</v>
      </c>
      <c r="ACQ899">
        <v>3133847</v>
      </c>
      <c r="ACR899">
        <v>862839</v>
      </c>
      <c r="ACS899">
        <v>38425541</v>
      </c>
      <c r="ACT899">
        <v>15333719</v>
      </c>
      <c r="ACU899">
        <v>19887575</v>
      </c>
      <c r="AML899" t="s">
        <v>694</v>
      </c>
      <c r="AMM899">
        <v>3133847</v>
      </c>
      <c r="AMN899">
        <v>862839</v>
      </c>
      <c r="AMO899">
        <v>38425541</v>
      </c>
      <c r="AMP899">
        <v>15333719</v>
      </c>
      <c r="AMQ899">
        <v>19887575</v>
      </c>
      <c r="AWH899" t="s">
        <v>694</v>
      </c>
      <c r="AWI899">
        <v>3133847</v>
      </c>
      <c r="AWJ899">
        <v>862839</v>
      </c>
      <c r="AWK899">
        <v>38425541</v>
      </c>
      <c r="AWL899">
        <v>15333719</v>
      </c>
      <c r="AWM899">
        <v>19887575</v>
      </c>
      <c r="BGD899" t="s">
        <v>694</v>
      </c>
      <c r="BGE899">
        <v>3133847</v>
      </c>
      <c r="BGF899">
        <v>862839</v>
      </c>
      <c r="BGG899">
        <v>38425541</v>
      </c>
      <c r="BGH899">
        <v>15333719</v>
      </c>
      <c r="BGI899">
        <v>19887575</v>
      </c>
      <c r="BPZ899" t="s">
        <v>694</v>
      </c>
      <c r="BQA899">
        <v>3133847</v>
      </c>
      <c r="BQB899">
        <v>862839</v>
      </c>
      <c r="BQC899">
        <v>38425541</v>
      </c>
      <c r="BQD899">
        <v>15333719</v>
      </c>
      <c r="BQE899">
        <v>19887575</v>
      </c>
      <c r="BZV899" t="s">
        <v>694</v>
      </c>
      <c r="BZW899">
        <v>3133847</v>
      </c>
      <c r="BZX899">
        <v>862839</v>
      </c>
      <c r="BZY899">
        <v>38425541</v>
      </c>
      <c r="BZZ899">
        <v>15333719</v>
      </c>
      <c r="CAA899">
        <v>19887575</v>
      </c>
      <c r="CJR899" t="s">
        <v>694</v>
      </c>
      <c r="CJS899">
        <v>3133847</v>
      </c>
      <c r="CJT899">
        <v>862839</v>
      </c>
      <c r="CJU899">
        <v>38425541</v>
      </c>
      <c r="CJV899">
        <v>15333719</v>
      </c>
      <c r="CJW899">
        <v>19887575</v>
      </c>
      <c r="CTN899" t="s">
        <v>694</v>
      </c>
      <c r="CTO899">
        <v>3133847</v>
      </c>
      <c r="CTP899">
        <v>862839</v>
      </c>
      <c r="CTQ899">
        <v>38425541</v>
      </c>
      <c r="CTR899">
        <v>15333719</v>
      </c>
      <c r="CTS899">
        <v>19887575</v>
      </c>
      <c r="DDJ899" t="s">
        <v>694</v>
      </c>
      <c r="DDK899">
        <v>3133847</v>
      </c>
      <c r="DDL899">
        <v>862839</v>
      </c>
      <c r="DDM899">
        <v>38425541</v>
      </c>
      <c r="DDN899">
        <v>15333719</v>
      </c>
      <c r="DDO899">
        <v>19887575</v>
      </c>
      <c r="DNF899" t="s">
        <v>694</v>
      </c>
      <c r="DNG899">
        <v>3133847</v>
      </c>
      <c r="DNH899">
        <v>862839</v>
      </c>
      <c r="DNI899">
        <v>38425541</v>
      </c>
      <c r="DNJ899">
        <v>15333719</v>
      </c>
      <c r="DNK899">
        <v>19887575</v>
      </c>
      <c r="DXB899" t="s">
        <v>694</v>
      </c>
      <c r="DXC899">
        <v>3133847</v>
      </c>
      <c r="DXD899">
        <v>862839</v>
      </c>
      <c r="DXE899">
        <v>38425541</v>
      </c>
      <c r="DXF899">
        <v>15333719</v>
      </c>
      <c r="DXG899">
        <v>19887575</v>
      </c>
      <c r="EGX899" t="s">
        <v>694</v>
      </c>
      <c r="EGY899">
        <v>3133847</v>
      </c>
      <c r="EGZ899">
        <v>862839</v>
      </c>
      <c r="EHA899">
        <v>38425541</v>
      </c>
      <c r="EHB899">
        <v>15333719</v>
      </c>
      <c r="EHC899">
        <v>19887575</v>
      </c>
      <c r="EQT899" t="s">
        <v>694</v>
      </c>
      <c r="EQU899">
        <v>3133847</v>
      </c>
      <c r="EQV899">
        <v>862839</v>
      </c>
      <c r="EQW899">
        <v>38425541</v>
      </c>
      <c r="EQX899">
        <v>15333719</v>
      </c>
      <c r="EQY899">
        <v>19887575</v>
      </c>
      <c r="FAP899" t="s">
        <v>694</v>
      </c>
      <c r="FAQ899">
        <v>3133847</v>
      </c>
      <c r="FAR899">
        <v>862839</v>
      </c>
      <c r="FAS899">
        <v>38425541</v>
      </c>
      <c r="FAT899">
        <v>15333719</v>
      </c>
      <c r="FAU899">
        <v>19887575</v>
      </c>
      <c r="FKL899" t="s">
        <v>694</v>
      </c>
      <c r="FKM899">
        <v>3133847</v>
      </c>
      <c r="FKN899">
        <v>862839</v>
      </c>
      <c r="FKO899">
        <v>38425541</v>
      </c>
      <c r="FKP899">
        <v>15333719</v>
      </c>
      <c r="FKQ899">
        <v>19887575</v>
      </c>
      <c r="FUH899" t="s">
        <v>694</v>
      </c>
      <c r="FUI899">
        <v>3133847</v>
      </c>
      <c r="FUJ899">
        <v>862839</v>
      </c>
      <c r="FUK899">
        <v>38425541</v>
      </c>
      <c r="FUL899">
        <v>15333719</v>
      </c>
      <c r="FUM899">
        <v>19887575</v>
      </c>
      <c r="GED899" t="s">
        <v>694</v>
      </c>
      <c r="GEE899">
        <v>3133847</v>
      </c>
      <c r="GEF899">
        <v>862839</v>
      </c>
      <c r="GEG899">
        <v>38425541</v>
      </c>
      <c r="GEH899">
        <v>15333719</v>
      </c>
      <c r="GEI899">
        <v>19887575</v>
      </c>
      <c r="GNZ899" t="s">
        <v>694</v>
      </c>
      <c r="GOA899">
        <v>3133847</v>
      </c>
      <c r="GOB899">
        <v>862839</v>
      </c>
      <c r="GOC899">
        <v>38425541</v>
      </c>
      <c r="GOD899">
        <v>15333719</v>
      </c>
      <c r="GOE899">
        <v>19887575</v>
      </c>
      <c r="GXV899" t="s">
        <v>694</v>
      </c>
      <c r="GXW899">
        <v>3133847</v>
      </c>
      <c r="GXX899">
        <v>862839</v>
      </c>
      <c r="GXY899">
        <v>38425541</v>
      </c>
      <c r="GXZ899">
        <v>15333719</v>
      </c>
      <c r="GYA899">
        <v>19887575</v>
      </c>
      <c r="HHR899" t="s">
        <v>694</v>
      </c>
      <c r="HHS899">
        <v>3133847</v>
      </c>
      <c r="HHT899">
        <v>862839</v>
      </c>
      <c r="HHU899">
        <v>38425541</v>
      </c>
      <c r="HHV899">
        <v>15333719</v>
      </c>
      <c r="HHW899">
        <v>19887575</v>
      </c>
      <c r="HRN899" t="s">
        <v>694</v>
      </c>
      <c r="HRO899">
        <v>3133847</v>
      </c>
      <c r="HRP899">
        <v>862839</v>
      </c>
      <c r="HRQ899">
        <v>38425541</v>
      </c>
      <c r="HRR899">
        <v>15333719</v>
      </c>
      <c r="HRS899">
        <v>19887575</v>
      </c>
      <c r="IBJ899" t="s">
        <v>694</v>
      </c>
      <c r="IBK899">
        <v>3133847</v>
      </c>
      <c r="IBL899">
        <v>862839</v>
      </c>
      <c r="IBM899">
        <v>38425541</v>
      </c>
      <c r="IBN899">
        <v>15333719</v>
      </c>
      <c r="IBO899">
        <v>19887575</v>
      </c>
      <c r="ILF899" t="s">
        <v>694</v>
      </c>
      <c r="ILG899">
        <v>3133847</v>
      </c>
      <c r="ILH899">
        <v>862839</v>
      </c>
      <c r="ILI899">
        <v>38425541</v>
      </c>
      <c r="ILJ899">
        <v>15333719</v>
      </c>
      <c r="ILK899">
        <v>19887575</v>
      </c>
      <c r="IVB899" t="s">
        <v>694</v>
      </c>
      <c r="IVC899">
        <v>3133847</v>
      </c>
      <c r="IVD899">
        <v>862839</v>
      </c>
      <c r="IVE899">
        <v>38425541</v>
      </c>
      <c r="IVF899">
        <v>15333719</v>
      </c>
      <c r="IVG899">
        <v>19887575</v>
      </c>
      <c r="JEX899" t="s">
        <v>694</v>
      </c>
      <c r="JEY899">
        <v>3133847</v>
      </c>
      <c r="JEZ899">
        <v>862839</v>
      </c>
      <c r="JFA899">
        <v>38425541</v>
      </c>
      <c r="JFB899">
        <v>15333719</v>
      </c>
      <c r="JFC899">
        <v>19887575</v>
      </c>
      <c r="JOT899" t="s">
        <v>694</v>
      </c>
      <c r="JOU899">
        <v>3133847</v>
      </c>
      <c r="JOV899">
        <v>862839</v>
      </c>
      <c r="JOW899">
        <v>38425541</v>
      </c>
      <c r="JOX899">
        <v>15333719</v>
      </c>
      <c r="JOY899">
        <v>19887575</v>
      </c>
      <c r="JYP899" t="s">
        <v>694</v>
      </c>
      <c r="JYQ899">
        <v>3133847</v>
      </c>
      <c r="JYR899">
        <v>862839</v>
      </c>
      <c r="JYS899">
        <v>38425541</v>
      </c>
      <c r="JYT899">
        <v>15333719</v>
      </c>
      <c r="JYU899">
        <v>19887575</v>
      </c>
      <c r="KIL899" t="s">
        <v>694</v>
      </c>
      <c r="KIM899">
        <v>3133847</v>
      </c>
      <c r="KIN899">
        <v>862839</v>
      </c>
      <c r="KIO899">
        <v>38425541</v>
      </c>
      <c r="KIP899">
        <v>15333719</v>
      </c>
      <c r="KIQ899">
        <v>19887575</v>
      </c>
      <c r="KSH899" t="s">
        <v>694</v>
      </c>
      <c r="KSI899">
        <v>3133847</v>
      </c>
      <c r="KSJ899">
        <v>862839</v>
      </c>
      <c r="KSK899">
        <v>38425541</v>
      </c>
      <c r="KSL899">
        <v>15333719</v>
      </c>
      <c r="KSM899">
        <v>19887575</v>
      </c>
      <c r="LCD899" t="s">
        <v>694</v>
      </c>
      <c r="LCE899">
        <v>3133847</v>
      </c>
      <c r="LCF899">
        <v>862839</v>
      </c>
      <c r="LCG899">
        <v>38425541</v>
      </c>
      <c r="LCH899">
        <v>15333719</v>
      </c>
      <c r="LCI899">
        <v>19887575</v>
      </c>
      <c r="LLZ899" t="s">
        <v>694</v>
      </c>
      <c r="LMA899">
        <v>3133847</v>
      </c>
      <c r="LMB899">
        <v>862839</v>
      </c>
      <c r="LMC899">
        <v>38425541</v>
      </c>
      <c r="LMD899">
        <v>15333719</v>
      </c>
      <c r="LME899">
        <v>19887575</v>
      </c>
      <c r="LVV899" t="s">
        <v>694</v>
      </c>
      <c r="LVW899">
        <v>3133847</v>
      </c>
      <c r="LVX899">
        <v>862839</v>
      </c>
      <c r="LVY899">
        <v>38425541</v>
      </c>
      <c r="LVZ899">
        <v>15333719</v>
      </c>
      <c r="LWA899">
        <v>19887575</v>
      </c>
      <c r="MFR899" t="s">
        <v>694</v>
      </c>
      <c r="MFS899">
        <v>3133847</v>
      </c>
      <c r="MFT899">
        <v>862839</v>
      </c>
      <c r="MFU899">
        <v>38425541</v>
      </c>
      <c r="MFV899">
        <v>15333719</v>
      </c>
      <c r="MFW899">
        <v>19887575</v>
      </c>
      <c r="MPN899" t="s">
        <v>694</v>
      </c>
      <c r="MPO899">
        <v>3133847</v>
      </c>
      <c r="MPP899">
        <v>862839</v>
      </c>
      <c r="MPQ899">
        <v>38425541</v>
      </c>
      <c r="MPR899">
        <v>15333719</v>
      </c>
      <c r="MPS899">
        <v>19887575</v>
      </c>
      <c r="MZJ899" t="s">
        <v>694</v>
      </c>
      <c r="MZK899">
        <v>3133847</v>
      </c>
      <c r="MZL899">
        <v>862839</v>
      </c>
      <c r="MZM899">
        <v>38425541</v>
      </c>
      <c r="MZN899">
        <v>15333719</v>
      </c>
      <c r="MZO899">
        <v>19887575</v>
      </c>
      <c r="NJF899" t="s">
        <v>694</v>
      </c>
      <c r="NJG899">
        <v>3133847</v>
      </c>
      <c r="NJH899">
        <v>862839</v>
      </c>
      <c r="NJI899">
        <v>38425541</v>
      </c>
      <c r="NJJ899">
        <v>15333719</v>
      </c>
      <c r="NJK899">
        <v>19887575</v>
      </c>
      <c r="NTB899" t="s">
        <v>694</v>
      </c>
      <c r="NTC899">
        <v>3133847</v>
      </c>
      <c r="NTD899">
        <v>862839</v>
      </c>
      <c r="NTE899">
        <v>38425541</v>
      </c>
      <c r="NTF899">
        <v>15333719</v>
      </c>
      <c r="NTG899">
        <v>19887575</v>
      </c>
      <c r="OCX899" t="s">
        <v>694</v>
      </c>
      <c r="OCY899">
        <v>3133847</v>
      </c>
      <c r="OCZ899">
        <v>862839</v>
      </c>
      <c r="ODA899">
        <v>38425541</v>
      </c>
      <c r="ODB899">
        <v>15333719</v>
      </c>
      <c r="ODC899">
        <v>19887575</v>
      </c>
      <c r="OMT899" t="s">
        <v>694</v>
      </c>
      <c r="OMU899">
        <v>3133847</v>
      </c>
      <c r="OMV899">
        <v>862839</v>
      </c>
      <c r="OMW899">
        <v>38425541</v>
      </c>
      <c r="OMX899">
        <v>15333719</v>
      </c>
      <c r="OMY899">
        <v>19887575</v>
      </c>
      <c r="OWP899" t="s">
        <v>694</v>
      </c>
      <c r="OWQ899">
        <v>3133847</v>
      </c>
      <c r="OWR899">
        <v>862839</v>
      </c>
      <c r="OWS899">
        <v>38425541</v>
      </c>
      <c r="OWT899">
        <v>15333719</v>
      </c>
      <c r="OWU899">
        <v>19887575</v>
      </c>
      <c r="PGL899" t="s">
        <v>694</v>
      </c>
      <c r="PGM899">
        <v>3133847</v>
      </c>
      <c r="PGN899">
        <v>862839</v>
      </c>
      <c r="PGO899">
        <v>38425541</v>
      </c>
      <c r="PGP899">
        <v>15333719</v>
      </c>
      <c r="PGQ899">
        <v>19887575</v>
      </c>
      <c r="PQH899" t="s">
        <v>694</v>
      </c>
      <c r="PQI899">
        <v>3133847</v>
      </c>
      <c r="PQJ899">
        <v>862839</v>
      </c>
      <c r="PQK899">
        <v>38425541</v>
      </c>
      <c r="PQL899">
        <v>15333719</v>
      </c>
      <c r="PQM899">
        <v>19887575</v>
      </c>
      <c r="QAD899" t="s">
        <v>694</v>
      </c>
      <c r="QAE899">
        <v>3133847</v>
      </c>
      <c r="QAF899">
        <v>862839</v>
      </c>
      <c r="QAG899">
        <v>38425541</v>
      </c>
      <c r="QAH899">
        <v>15333719</v>
      </c>
      <c r="QAI899">
        <v>19887575</v>
      </c>
      <c r="QJZ899" t="s">
        <v>694</v>
      </c>
      <c r="QKA899">
        <v>3133847</v>
      </c>
      <c r="QKB899">
        <v>862839</v>
      </c>
      <c r="QKC899">
        <v>38425541</v>
      </c>
      <c r="QKD899">
        <v>15333719</v>
      </c>
      <c r="QKE899">
        <v>19887575</v>
      </c>
      <c r="QTV899" t="s">
        <v>694</v>
      </c>
      <c r="QTW899">
        <v>3133847</v>
      </c>
      <c r="QTX899">
        <v>862839</v>
      </c>
      <c r="QTY899">
        <v>38425541</v>
      </c>
      <c r="QTZ899">
        <v>15333719</v>
      </c>
      <c r="QUA899">
        <v>19887575</v>
      </c>
      <c r="RDR899" t="s">
        <v>694</v>
      </c>
      <c r="RDS899">
        <v>3133847</v>
      </c>
      <c r="RDT899">
        <v>862839</v>
      </c>
      <c r="RDU899">
        <v>38425541</v>
      </c>
      <c r="RDV899">
        <v>15333719</v>
      </c>
      <c r="RDW899">
        <v>19887575</v>
      </c>
      <c r="RNN899" t="s">
        <v>694</v>
      </c>
      <c r="RNO899">
        <v>3133847</v>
      </c>
      <c r="RNP899">
        <v>862839</v>
      </c>
      <c r="RNQ899">
        <v>38425541</v>
      </c>
      <c r="RNR899">
        <v>15333719</v>
      </c>
      <c r="RNS899">
        <v>19887575</v>
      </c>
      <c r="RXJ899" t="s">
        <v>694</v>
      </c>
      <c r="RXK899">
        <v>3133847</v>
      </c>
      <c r="RXL899">
        <v>862839</v>
      </c>
      <c r="RXM899">
        <v>38425541</v>
      </c>
      <c r="RXN899">
        <v>15333719</v>
      </c>
      <c r="RXO899">
        <v>19887575</v>
      </c>
      <c r="SHF899" t="s">
        <v>694</v>
      </c>
      <c r="SHG899">
        <v>3133847</v>
      </c>
      <c r="SHH899">
        <v>862839</v>
      </c>
      <c r="SHI899">
        <v>38425541</v>
      </c>
      <c r="SHJ899">
        <v>15333719</v>
      </c>
      <c r="SHK899">
        <v>19887575</v>
      </c>
      <c r="SRB899" t="s">
        <v>694</v>
      </c>
      <c r="SRC899">
        <v>3133847</v>
      </c>
      <c r="SRD899">
        <v>862839</v>
      </c>
      <c r="SRE899">
        <v>38425541</v>
      </c>
      <c r="SRF899">
        <v>15333719</v>
      </c>
      <c r="SRG899">
        <v>19887575</v>
      </c>
      <c r="TAX899" t="s">
        <v>694</v>
      </c>
      <c r="TAY899">
        <v>3133847</v>
      </c>
      <c r="TAZ899">
        <v>862839</v>
      </c>
      <c r="TBA899">
        <v>38425541</v>
      </c>
      <c r="TBB899">
        <v>15333719</v>
      </c>
      <c r="TBC899">
        <v>19887575</v>
      </c>
      <c r="TKT899" t="s">
        <v>694</v>
      </c>
      <c r="TKU899">
        <v>3133847</v>
      </c>
      <c r="TKV899">
        <v>862839</v>
      </c>
      <c r="TKW899">
        <v>38425541</v>
      </c>
      <c r="TKX899">
        <v>15333719</v>
      </c>
      <c r="TKY899">
        <v>19887575</v>
      </c>
      <c r="TUP899" t="s">
        <v>694</v>
      </c>
      <c r="TUQ899">
        <v>3133847</v>
      </c>
      <c r="TUR899">
        <v>862839</v>
      </c>
      <c r="TUS899">
        <v>38425541</v>
      </c>
      <c r="TUT899">
        <v>15333719</v>
      </c>
      <c r="TUU899">
        <v>19887575</v>
      </c>
      <c r="UEL899" t="s">
        <v>694</v>
      </c>
      <c r="UEM899">
        <v>3133847</v>
      </c>
      <c r="UEN899">
        <v>862839</v>
      </c>
      <c r="UEO899">
        <v>38425541</v>
      </c>
      <c r="UEP899">
        <v>15333719</v>
      </c>
      <c r="UEQ899">
        <v>19887575</v>
      </c>
      <c r="UOH899" t="s">
        <v>694</v>
      </c>
      <c r="UOI899">
        <v>3133847</v>
      </c>
      <c r="UOJ899">
        <v>862839</v>
      </c>
      <c r="UOK899">
        <v>38425541</v>
      </c>
      <c r="UOL899">
        <v>15333719</v>
      </c>
      <c r="UOM899">
        <v>19887575</v>
      </c>
      <c r="UYD899" t="s">
        <v>694</v>
      </c>
      <c r="UYE899">
        <v>3133847</v>
      </c>
      <c r="UYF899">
        <v>862839</v>
      </c>
      <c r="UYG899">
        <v>38425541</v>
      </c>
      <c r="UYH899">
        <v>15333719</v>
      </c>
      <c r="UYI899">
        <v>19887575</v>
      </c>
      <c r="VHZ899" t="s">
        <v>694</v>
      </c>
      <c r="VIA899">
        <v>3133847</v>
      </c>
      <c r="VIB899">
        <v>862839</v>
      </c>
      <c r="VIC899">
        <v>38425541</v>
      </c>
      <c r="VID899">
        <v>15333719</v>
      </c>
      <c r="VIE899">
        <v>19887575</v>
      </c>
      <c r="VRV899" t="s">
        <v>694</v>
      </c>
      <c r="VRW899">
        <v>3133847</v>
      </c>
      <c r="VRX899">
        <v>862839</v>
      </c>
      <c r="VRY899">
        <v>38425541</v>
      </c>
      <c r="VRZ899">
        <v>15333719</v>
      </c>
      <c r="VSA899">
        <v>19887575</v>
      </c>
      <c r="WBR899" t="s">
        <v>694</v>
      </c>
      <c r="WBS899">
        <v>3133847</v>
      </c>
      <c r="WBT899">
        <v>862839</v>
      </c>
      <c r="WBU899">
        <v>38425541</v>
      </c>
      <c r="WBV899">
        <v>15333719</v>
      </c>
      <c r="WBW899">
        <v>19887575</v>
      </c>
      <c r="WLN899" t="s">
        <v>694</v>
      </c>
      <c r="WLO899">
        <v>3133847</v>
      </c>
      <c r="WLP899">
        <v>862839</v>
      </c>
      <c r="WLQ899">
        <v>38425541</v>
      </c>
      <c r="WLR899">
        <v>15333719</v>
      </c>
      <c r="WLS899">
        <v>19887575</v>
      </c>
      <c r="WVJ899" t="s">
        <v>694</v>
      </c>
      <c r="WVK899">
        <v>3133847</v>
      </c>
      <c r="WVL899">
        <v>862839</v>
      </c>
      <c r="WVM899">
        <v>38425541</v>
      </c>
      <c r="WVN899">
        <v>15333719</v>
      </c>
      <c r="WVO899">
        <v>19887575</v>
      </c>
    </row>
    <row r="900" spans="1:775 1026:1799 2050:2823 3074:3847 4098:4871 5122:5895 6146:6919 7170:7943 8194:8967 9218:9991 10242:11015 11266:12039 12290:13063 13314:14087 14338:15111 15362:16135">
      <c r="A900" s="96" t="s">
        <v>1318</v>
      </c>
      <c r="B900" t="s">
        <v>877</v>
      </c>
      <c r="C900" s="100">
        <v>5154703</v>
      </c>
      <c r="D900" s="100">
        <v>111000</v>
      </c>
      <c r="E900" s="100">
        <v>3950747</v>
      </c>
      <c r="F900" s="100">
        <v>37057554</v>
      </c>
      <c r="G900" s="100">
        <v>19171017</v>
      </c>
      <c r="H900" s="100"/>
      <c r="IX900" t="s">
        <v>1318</v>
      </c>
      <c r="IY900">
        <v>5154703</v>
      </c>
      <c r="IZ900">
        <v>111000</v>
      </c>
      <c r="JA900">
        <v>3950747</v>
      </c>
      <c r="JB900">
        <v>37057554</v>
      </c>
      <c r="JC900">
        <v>19171017</v>
      </c>
      <c r="ST900" t="s">
        <v>1318</v>
      </c>
      <c r="SU900">
        <v>5154703</v>
      </c>
      <c r="SV900">
        <v>111000</v>
      </c>
      <c r="SW900">
        <v>3950747</v>
      </c>
      <c r="SX900">
        <v>37057554</v>
      </c>
      <c r="SY900">
        <v>19171017</v>
      </c>
      <c r="ACP900" t="s">
        <v>1318</v>
      </c>
      <c r="ACQ900">
        <v>5154703</v>
      </c>
      <c r="ACR900">
        <v>111000</v>
      </c>
      <c r="ACS900">
        <v>3950747</v>
      </c>
      <c r="ACT900">
        <v>37057554</v>
      </c>
      <c r="ACU900">
        <v>19171017</v>
      </c>
      <c r="AML900" t="s">
        <v>1318</v>
      </c>
      <c r="AMM900">
        <v>5154703</v>
      </c>
      <c r="AMN900">
        <v>111000</v>
      </c>
      <c r="AMO900">
        <v>3950747</v>
      </c>
      <c r="AMP900">
        <v>37057554</v>
      </c>
      <c r="AMQ900">
        <v>19171017</v>
      </c>
      <c r="AWH900" t="s">
        <v>1318</v>
      </c>
      <c r="AWI900">
        <v>5154703</v>
      </c>
      <c r="AWJ900">
        <v>111000</v>
      </c>
      <c r="AWK900">
        <v>3950747</v>
      </c>
      <c r="AWL900">
        <v>37057554</v>
      </c>
      <c r="AWM900">
        <v>19171017</v>
      </c>
      <c r="BGD900" t="s">
        <v>1318</v>
      </c>
      <c r="BGE900">
        <v>5154703</v>
      </c>
      <c r="BGF900">
        <v>111000</v>
      </c>
      <c r="BGG900">
        <v>3950747</v>
      </c>
      <c r="BGH900">
        <v>37057554</v>
      </c>
      <c r="BGI900">
        <v>19171017</v>
      </c>
      <c r="BPZ900" t="s">
        <v>1318</v>
      </c>
      <c r="BQA900">
        <v>5154703</v>
      </c>
      <c r="BQB900">
        <v>111000</v>
      </c>
      <c r="BQC900">
        <v>3950747</v>
      </c>
      <c r="BQD900">
        <v>37057554</v>
      </c>
      <c r="BQE900">
        <v>19171017</v>
      </c>
      <c r="BZV900" t="s">
        <v>1318</v>
      </c>
      <c r="BZW900">
        <v>5154703</v>
      </c>
      <c r="BZX900">
        <v>111000</v>
      </c>
      <c r="BZY900">
        <v>3950747</v>
      </c>
      <c r="BZZ900">
        <v>37057554</v>
      </c>
      <c r="CAA900">
        <v>19171017</v>
      </c>
      <c r="CJR900" t="s">
        <v>1318</v>
      </c>
      <c r="CJS900">
        <v>5154703</v>
      </c>
      <c r="CJT900">
        <v>111000</v>
      </c>
      <c r="CJU900">
        <v>3950747</v>
      </c>
      <c r="CJV900">
        <v>37057554</v>
      </c>
      <c r="CJW900">
        <v>19171017</v>
      </c>
      <c r="CTN900" t="s">
        <v>1318</v>
      </c>
      <c r="CTO900">
        <v>5154703</v>
      </c>
      <c r="CTP900">
        <v>111000</v>
      </c>
      <c r="CTQ900">
        <v>3950747</v>
      </c>
      <c r="CTR900">
        <v>37057554</v>
      </c>
      <c r="CTS900">
        <v>19171017</v>
      </c>
      <c r="DDJ900" t="s">
        <v>1318</v>
      </c>
      <c r="DDK900">
        <v>5154703</v>
      </c>
      <c r="DDL900">
        <v>111000</v>
      </c>
      <c r="DDM900">
        <v>3950747</v>
      </c>
      <c r="DDN900">
        <v>37057554</v>
      </c>
      <c r="DDO900">
        <v>19171017</v>
      </c>
      <c r="DNF900" t="s">
        <v>1318</v>
      </c>
      <c r="DNG900">
        <v>5154703</v>
      </c>
      <c r="DNH900">
        <v>111000</v>
      </c>
      <c r="DNI900">
        <v>3950747</v>
      </c>
      <c r="DNJ900">
        <v>37057554</v>
      </c>
      <c r="DNK900">
        <v>19171017</v>
      </c>
      <c r="DXB900" t="s">
        <v>1318</v>
      </c>
      <c r="DXC900">
        <v>5154703</v>
      </c>
      <c r="DXD900">
        <v>111000</v>
      </c>
      <c r="DXE900">
        <v>3950747</v>
      </c>
      <c r="DXF900">
        <v>37057554</v>
      </c>
      <c r="DXG900">
        <v>19171017</v>
      </c>
      <c r="EGX900" t="s">
        <v>1318</v>
      </c>
      <c r="EGY900">
        <v>5154703</v>
      </c>
      <c r="EGZ900">
        <v>111000</v>
      </c>
      <c r="EHA900">
        <v>3950747</v>
      </c>
      <c r="EHB900">
        <v>37057554</v>
      </c>
      <c r="EHC900">
        <v>19171017</v>
      </c>
      <c r="EQT900" t="s">
        <v>1318</v>
      </c>
      <c r="EQU900">
        <v>5154703</v>
      </c>
      <c r="EQV900">
        <v>111000</v>
      </c>
      <c r="EQW900">
        <v>3950747</v>
      </c>
      <c r="EQX900">
        <v>37057554</v>
      </c>
      <c r="EQY900">
        <v>19171017</v>
      </c>
      <c r="FAP900" t="s">
        <v>1318</v>
      </c>
      <c r="FAQ900">
        <v>5154703</v>
      </c>
      <c r="FAR900">
        <v>111000</v>
      </c>
      <c r="FAS900">
        <v>3950747</v>
      </c>
      <c r="FAT900">
        <v>37057554</v>
      </c>
      <c r="FAU900">
        <v>19171017</v>
      </c>
      <c r="FKL900" t="s">
        <v>1318</v>
      </c>
      <c r="FKM900">
        <v>5154703</v>
      </c>
      <c r="FKN900">
        <v>111000</v>
      </c>
      <c r="FKO900">
        <v>3950747</v>
      </c>
      <c r="FKP900">
        <v>37057554</v>
      </c>
      <c r="FKQ900">
        <v>19171017</v>
      </c>
      <c r="FUH900" t="s">
        <v>1318</v>
      </c>
      <c r="FUI900">
        <v>5154703</v>
      </c>
      <c r="FUJ900">
        <v>111000</v>
      </c>
      <c r="FUK900">
        <v>3950747</v>
      </c>
      <c r="FUL900">
        <v>37057554</v>
      </c>
      <c r="FUM900">
        <v>19171017</v>
      </c>
      <c r="GED900" t="s">
        <v>1318</v>
      </c>
      <c r="GEE900">
        <v>5154703</v>
      </c>
      <c r="GEF900">
        <v>111000</v>
      </c>
      <c r="GEG900">
        <v>3950747</v>
      </c>
      <c r="GEH900">
        <v>37057554</v>
      </c>
      <c r="GEI900">
        <v>19171017</v>
      </c>
      <c r="GNZ900" t="s">
        <v>1318</v>
      </c>
      <c r="GOA900">
        <v>5154703</v>
      </c>
      <c r="GOB900">
        <v>111000</v>
      </c>
      <c r="GOC900">
        <v>3950747</v>
      </c>
      <c r="GOD900">
        <v>37057554</v>
      </c>
      <c r="GOE900">
        <v>19171017</v>
      </c>
      <c r="GXV900" t="s">
        <v>1318</v>
      </c>
      <c r="GXW900">
        <v>5154703</v>
      </c>
      <c r="GXX900">
        <v>111000</v>
      </c>
      <c r="GXY900">
        <v>3950747</v>
      </c>
      <c r="GXZ900">
        <v>37057554</v>
      </c>
      <c r="GYA900">
        <v>19171017</v>
      </c>
      <c r="HHR900" t="s">
        <v>1318</v>
      </c>
      <c r="HHS900">
        <v>5154703</v>
      </c>
      <c r="HHT900">
        <v>111000</v>
      </c>
      <c r="HHU900">
        <v>3950747</v>
      </c>
      <c r="HHV900">
        <v>37057554</v>
      </c>
      <c r="HHW900">
        <v>19171017</v>
      </c>
      <c r="HRN900" t="s">
        <v>1318</v>
      </c>
      <c r="HRO900">
        <v>5154703</v>
      </c>
      <c r="HRP900">
        <v>111000</v>
      </c>
      <c r="HRQ900">
        <v>3950747</v>
      </c>
      <c r="HRR900">
        <v>37057554</v>
      </c>
      <c r="HRS900">
        <v>19171017</v>
      </c>
      <c r="IBJ900" t="s">
        <v>1318</v>
      </c>
      <c r="IBK900">
        <v>5154703</v>
      </c>
      <c r="IBL900">
        <v>111000</v>
      </c>
      <c r="IBM900">
        <v>3950747</v>
      </c>
      <c r="IBN900">
        <v>37057554</v>
      </c>
      <c r="IBO900">
        <v>19171017</v>
      </c>
      <c r="ILF900" t="s">
        <v>1318</v>
      </c>
      <c r="ILG900">
        <v>5154703</v>
      </c>
      <c r="ILH900">
        <v>111000</v>
      </c>
      <c r="ILI900">
        <v>3950747</v>
      </c>
      <c r="ILJ900">
        <v>37057554</v>
      </c>
      <c r="ILK900">
        <v>19171017</v>
      </c>
      <c r="IVB900" t="s">
        <v>1318</v>
      </c>
      <c r="IVC900">
        <v>5154703</v>
      </c>
      <c r="IVD900">
        <v>111000</v>
      </c>
      <c r="IVE900">
        <v>3950747</v>
      </c>
      <c r="IVF900">
        <v>37057554</v>
      </c>
      <c r="IVG900">
        <v>19171017</v>
      </c>
      <c r="JEX900" t="s">
        <v>1318</v>
      </c>
      <c r="JEY900">
        <v>5154703</v>
      </c>
      <c r="JEZ900">
        <v>111000</v>
      </c>
      <c r="JFA900">
        <v>3950747</v>
      </c>
      <c r="JFB900">
        <v>37057554</v>
      </c>
      <c r="JFC900">
        <v>19171017</v>
      </c>
      <c r="JOT900" t="s">
        <v>1318</v>
      </c>
      <c r="JOU900">
        <v>5154703</v>
      </c>
      <c r="JOV900">
        <v>111000</v>
      </c>
      <c r="JOW900">
        <v>3950747</v>
      </c>
      <c r="JOX900">
        <v>37057554</v>
      </c>
      <c r="JOY900">
        <v>19171017</v>
      </c>
      <c r="JYP900" t="s">
        <v>1318</v>
      </c>
      <c r="JYQ900">
        <v>5154703</v>
      </c>
      <c r="JYR900">
        <v>111000</v>
      </c>
      <c r="JYS900">
        <v>3950747</v>
      </c>
      <c r="JYT900">
        <v>37057554</v>
      </c>
      <c r="JYU900">
        <v>19171017</v>
      </c>
      <c r="KIL900" t="s">
        <v>1318</v>
      </c>
      <c r="KIM900">
        <v>5154703</v>
      </c>
      <c r="KIN900">
        <v>111000</v>
      </c>
      <c r="KIO900">
        <v>3950747</v>
      </c>
      <c r="KIP900">
        <v>37057554</v>
      </c>
      <c r="KIQ900">
        <v>19171017</v>
      </c>
      <c r="KSH900" t="s">
        <v>1318</v>
      </c>
      <c r="KSI900">
        <v>5154703</v>
      </c>
      <c r="KSJ900">
        <v>111000</v>
      </c>
      <c r="KSK900">
        <v>3950747</v>
      </c>
      <c r="KSL900">
        <v>37057554</v>
      </c>
      <c r="KSM900">
        <v>19171017</v>
      </c>
      <c r="LCD900" t="s">
        <v>1318</v>
      </c>
      <c r="LCE900">
        <v>5154703</v>
      </c>
      <c r="LCF900">
        <v>111000</v>
      </c>
      <c r="LCG900">
        <v>3950747</v>
      </c>
      <c r="LCH900">
        <v>37057554</v>
      </c>
      <c r="LCI900">
        <v>19171017</v>
      </c>
      <c r="LLZ900" t="s">
        <v>1318</v>
      </c>
      <c r="LMA900">
        <v>5154703</v>
      </c>
      <c r="LMB900">
        <v>111000</v>
      </c>
      <c r="LMC900">
        <v>3950747</v>
      </c>
      <c r="LMD900">
        <v>37057554</v>
      </c>
      <c r="LME900">
        <v>19171017</v>
      </c>
      <c r="LVV900" t="s">
        <v>1318</v>
      </c>
      <c r="LVW900">
        <v>5154703</v>
      </c>
      <c r="LVX900">
        <v>111000</v>
      </c>
      <c r="LVY900">
        <v>3950747</v>
      </c>
      <c r="LVZ900">
        <v>37057554</v>
      </c>
      <c r="LWA900">
        <v>19171017</v>
      </c>
      <c r="MFR900" t="s">
        <v>1318</v>
      </c>
      <c r="MFS900">
        <v>5154703</v>
      </c>
      <c r="MFT900">
        <v>111000</v>
      </c>
      <c r="MFU900">
        <v>3950747</v>
      </c>
      <c r="MFV900">
        <v>37057554</v>
      </c>
      <c r="MFW900">
        <v>19171017</v>
      </c>
      <c r="MPN900" t="s">
        <v>1318</v>
      </c>
      <c r="MPO900">
        <v>5154703</v>
      </c>
      <c r="MPP900">
        <v>111000</v>
      </c>
      <c r="MPQ900">
        <v>3950747</v>
      </c>
      <c r="MPR900">
        <v>37057554</v>
      </c>
      <c r="MPS900">
        <v>19171017</v>
      </c>
      <c r="MZJ900" t="s">
        <v>1318</v>
      </c>
      <c r="MZK900">
        <v>5154703</v>
      </c>
      <c r="MZL900">
        <v>111000</v>
      </c>
      <c r="MZM900">
        <v>3950747</v>
      </c>
      <c r="MZN900">
        <v>37057554</v>
      </c>
      <c r="MZO900">
        <v>19171017</v>
      </c>
      <c r="NJF900" t="s">
        <v>1318</v>
      </c>
      <c r="NJG900">
        <v>5154703</v>
      </c>
      <c r="NJH900">
        <v>111000</v>
      </c>
      <c r="NJI900">
        <v>3950747</v>
      </c>
      <c r="NJJ900">
        <v>37057554</v>
      </c>
      <c r="NJK900">
        <v>19171017</v>
      </c>
      <c r="NTB900" t="s">
        <v>1318</v>
      </c>
      <c r="NTC900">
        <v>5154703</v>
      </c>
      <c r="NTD900">
        <v>111000</v>
      </c>
      <c r="NTE900">
        <v>3950747</v>
      </c>
      <c r="NTF900">
        <v>37057554</v>
      </c>
      <c r="NTG900">
        <v>19171017</v>
      </c>
      <c r="OCX900" t="s">
        <v>1318</v>
      </c>
      <c r="OCY900">
        <v>5154703</v>
      </c>
      <c r="OCZ900">
        <v>111000</v>
      </c>
      <c r="ODA900">
        <v>3950747</v>
      </c>
      <c r="ODB900">
        <v>37057554</v>
      </c>
      <c r="ODC900">
        <v>19171017</v>
      </c>
      <c r="OMT900" t="s">
        <v>1318</v>
      </c>
      <c r="OMU900">
        <v>5154703</v>
      </c>
      <c r="OMV900">
        <v>111000</v>
      </c>
      <c r="OMW900">
        <v>3950747</v>
      </c>
      <c r="OMX900">
        <v>37057554</v>
      </c>
      <c r="OMY900">
        <v>19171017</v>
      </c>
      <c r="OWP900" t="s">
        <v>1318</v>
      </c>
      <c r="OWQ900">
        <v>5154703</v>
      </c>
      <c r="OWR900">
        <v>111000</v>
      </c>
      <c r="OWS900">
        <v>3950747</v>
      </c>
      <c r="OWT900">
        <v>37057554</v>
      </c>
      <c r="OWU900">
        <v>19171017</v>
      </c>
      <c r="PGL900" t="s">
        <v>1318</v>
      </c>
      <c r="PGM900">
        <v>5154703</v>
      </c>
      <c r="PGN900">
        <v>111000</v>
      </c>
      <c r="PGO900">
        <v>3950747</v>
      </c>
      <c r="PGP900">
        <v>37057554</v>
      </c>
      <c r="PGQ900">
        <v>19171017</v>
      </c>
      <c r="PQH900" t="s">
        <v>1318</v>
      </c>
      <c r="PQI900">
        <v>5154703</v>
      </c>
      <c r="PQJ900">
        <v>111000</v>
      </c>
      <c r="PQK900">
        <v>3950747</v>
      </c>
      <c r="PQL900">
        <v>37057554</v>
      </c>
      <c r="PQM900">
        <v>19171017</v>
      </c>
      <c r="QAD900" t="s">
        <v>1318</v>
      </c>
      <c r="QAE900">
        <v>5154703</v>
      </c>
      <c r="QAF900">
        <v>111000</v>
      </c>
      <c r="QAG900">
        <v>3950747</v>
      </c>
      <c r="QAH900">
        <v>37057554</v>
      </c>
      <c r="QAI900">
        <v>19171017</v>
      </c>
      <c r="QJZ900" t="s">
        <v>1318</v>
      </c>
      <c r="QKA900">
        <v>5154703</v>
      </c>
      <c r="QKB900">
        <v>111000</v>
      </c>
      <c r="QKC900">
        <v>3950747</v>
      </c>
      <c r="QKD900">
        <v>37057554</v>
      </c>
      <c r="QKE900">
        <v>19171017</v>
      </c>
      <c r="QTV900" t="s">
        <v>1318</v>
      </c>
      <c r="QTW900">
        <v>5154703</v>
      </c>
      <c r="QTX900">
        <v>111000</v>
      </c>
      <c r="QTY900">
        <v>3950747</v>
      </c>
      <c r="QTZ900">
        <v>37057554</v>
      </c>
      <c r="QUA900">
        <v>19171017</v>
      </c>
      <c r="RDR900" t="s">
        <v>1318</v>
      </c>
      <c r="RDS900">
        <v>5154703</v>
      </c>
      <c r="RDT900">
        <v>111000</v>
      </c>
      <c r="RDU900">
        <v>3950747</v>
      </c>
      <c r="RDV900">
        <v>37057554</v>
      </c>
      <c r="RDW900">
        <v>19171017</v>
      </c>
      <c r="RNN900" t="s">
        <v>1318</v>
      </c>
      <c r="RNO900">
        <v>5154703</v>
      </c>
      <c r="RNP900">
        <v>111000</v>
      </c>
      <c r="RNQ900">
        <v>3950747</v>
      </c>
      <c r="RNR900">
        <v>37057554</v>
      </c>
      <c r="RNS900">
        <v>19171017</v>
      </c>
      <c r="RXJ900" t="s">
        <v>1318</v>
      </c>
      <c r="RXK900">
        <v>5154703</v>
      </c>
      <c r="RXL900">
        <v>111000</v>
      </c>
      <c r="RXM900">
        <v>3950747</v>
      </c>
      <c r="RXN900">
        <v>37057554</v>
      </c>
      <c r="RXO900">
        <v>19171017</v>
      </c>
      <c r="SHF900" t="s">
        <v>1318</v>
      </c>
      <c r="SHG900">
        <v>5154703</v>
      </c>
      <c r="SHH900">
        <v>111000</v>
      </c>
      <c r="SHI900">
        <v>3950747</v>
      </c>
      <c r="SHJ900">
        <v>37057554</v>
      </c>
      <c r="SHK900">
        <v>19171017</v>
      </c>
      <c r="SRB900" t="s">
        <v>1318</v>
      </c>
      <c r="SRC900">
        <v>5154703</v>
      </c>
      <c r="SRD900">
        <v>111000</v>
      </c>
      <c r="SRE900">
        <v>3950747</v>
      </c>
      <c r="SRF900">
        <v>37057554</v>
      </c>
      <c r="SRG900">
        <v>19171017</v>
      </c>
      <c r="TAX900" t="s">
        <v>1318</v>
      </c>
      <c r="TAY900">
        <v>5154703</v>
      </c>
      <c r="TAZ900">
        <v>111000</v>
      </c>
      <c r="TBA900">
        <v>3950747</v>
      </c>
      <c r="TBB900">
        <v>37057554</v>
      </c>
      <c r="TBC900">
        <v>19171017</v>
      </c>
      <c r="TKT900" t="s">
        <v>1318</v>
      </c>
      <c r="TKU900">
        <v>5154703</v>
      </c>
      <c r="TKV900">
        <v>111000</v>
      </c>
      <c r="TKW900">
        <v>3950747</v>
      </c>
      <c r="TKX900">
        <v>37057554</v>
      </c>
      <c r="TKY900">
        <v>19171017</v>
      </c>
      <c r="TUP900" t="s">
        <v>1318</v>
      </c>
      <c r="TUQ900">
        <v>5154703</v>
      </c>
      <c r="TUR900">
        <v>111000</v>
      </c>
      <c r="TUS900">
        <v>3950747</v>
      </c>
      <c r="TUT900">
        <v>37057554</v>
      </c>
      <c r="TUU900">
        <v>19171017</v>
      </c>
      <c r="UEL900" t="s">
        <v>1318</v>
      </c>
      <c r="UEM900">
        <v>5154703</v>
      </c>
      <c r="UEN900">
        <v>111000</v>
      </c>
      <c r="UEO900">
        <v>3950747</v>
      </c>
      <c r="UEP900">
        <v>37057554</v>
      </c>
      <c r="UEQ900">
        <v>19171017</v>
      </c>
      <c r="UOH900" t="s">
        <v>1318</v>
      </c>
      <c r="UOI900">
        <v>5154703</v>
      </c>
      <c r="UOJ900">
        <v>111000</v>
      </c>
      <c r="UOK900">
        <v>3950747</v>
      </c>
      <c r="UOL900">
        <v>37057554</v>
      </c>
      <c r="UOM900">
        <v>19171017</v>
      </c>
      <c r="UYD900" t="s">
        <v>1318</v>
      </c>
      <c r="UYE900">
        <v>5154703</v>
      </c>
      <c r="UYF900">
        <v>111000</v>
      </c>
      <c r="UYG900">
        <v>3950747</v>
      </c>
      <c r="UYH900">
        <v>37057554</v>
      </c>
      <c r="UYI900">
        <v>19171017</v>
      </c>
      <c r="VHZ900" t="s">
        <v>1318</v>
      </c>
      <c r="VIA900">
        <v>5154703</v>
      </c>
      <c r="VIB900">
        <v>111000</v>
      </c>
      <c r="VIC900">
        <v>3950747</v>
      </c>
      <c r="VID900">
        <v>37057554</v>
      </c>
      <c r="VIE900">
        <v>19171017</v>
      </c>
      <c r="VRV900" t="s">
        <v>1318</v>
      </c>
      <c r="VRW900">
        <v>5154703</v>
      </c>
      <c r="VRX900">
        <v>111000</v>
      </c>
      <c r="VRY900">
        <v>3950747</v>
      </c>
      <c r="VRZ900">
        <v>37057554</v>
      </c>
      <c r="VSA900">
        <v>19171017</v>
      </c>
      <c r="WBR900" t="s">
        <v>1318</v>
      </c>
      <c r="WBS900">
        <v>5154703</v>
      </c>
      <c r="WBT900">
        <v>111000</v>
      </c>
      <c r="WBU900">
        <v>3950747</v>
      </c>
      <c r="WBV900">
        <v>37057554</v>
      </c>
      <c r="WBW900">
        <v>19171017</v>
      </c>
      <c r="WLN900" t="s">
        <v>1318</v>
      </c>
      <c r="WLO900">
        <v>5154703</v>
      </c>
      <c r="WLP900">
        <v>111000</v>
      </c>
      <c r="WLQ900">
        <v>3950747</v>
      </c>
      <c r="WLR900">
        <v>37057554</v>
      </c>
      <c r="WLS900">
        <v>19171017</v>
      </c>
      <c r="WVJ900" t="s">
        <v>1318</v>
      </c>
      <c r="WVK900">
        <v>5154703</v>
      </c>
      <c r="WVL900">
        <v>111000</v>
      </c>
      <c r="WVM900">
        <v>3950747</v>
      </c>
      <c r="WVN900">
        <v>37057554</v>
      </c>
      <c r="WVO900">
        <v>19171017</v>
      </c>
    </row>
    <row r="901" spans="1:775 1026:1799 2050:2823 3074:3847 4098:4871 5122:5895 6146:6919 7170:7943 8194:8967 9218:9991 10242:11015 11266:12039 12290:13063 13314:14087 14338:15111 15362:16135">
      <c r="A901" s="96" t="s">
        <v>1319</v>
      </c>
      <c r="B901" t="s">
        <v>1067</v>
      </c>
      <c r="C901" s="100">
        <v>756508</v>
      </c>
      <c r="D901" s="100">
        <v>1352093</v>
      </c>
      <c r="E901" s="98">
        <v>0</v>
      </c>
      <c r="F901" s="98">
        <v>0</v>
      </c>
      <c r="G901" s="98">
        <v>0</v>
      </c>
      <c r="H901" s="98"/>
      <c r="IX901" t="s">
        <v>1319</v>
      </c>
      <c r="IY901">
        <v>756508</v>
      </c>
      <c r="IZ901">
        <v>1352093</v>
      </c>
      <c r="JA901" t="s">
        <v>619</v>
      </c>
      <c r="JB901" t="s">
        <v>619</v>
      </c>
      <c r="JC901" t="s">
        <v>619</v>
      </c>
      <c r="ST901" t="s">
        <v>1319</v>
      </c>
      <c r="SU901">
        <v>756508</v>
      </c>
      <c r="SV901">
        <v>1352093</v>
      </c>
      <c r="SW901" t="s">
        <v>619</v>
      </c>
      <c r="SX901" t="s">
        <v>619</v>
      </c>
      <c r="SY901" t="s">
        <v>619</v>
      </c>
      <c r="ACP901" t="s">
        <v>1319</v>
      </c>
      <c r="ACQ901">
        <v>756508</v>
      </c>
      <c r="ACR901">
        <v>1352093</v>
      </c>
      <c r="ACS901" t="s">
        <v>619</v>
      </c>
      <c r="ACT901" t="s">
        <v>619</v>
      </c>
      <c r="ACU901" t="s">
        <v>619</v>
      </c>
      <c r="AML901" t="s">
        <v>1319</v>
      </c>
      <c r="AMM901">
        <v>756508</v>
      </c>
      <c r="AMN901">
        <v>1352093</v>
      </c>
      <c r="AMO901" t="s">
        <v>619</v>
      </c>
      <c r="AMP901" t="s">
        <v>619</v>
      </c>
      <c r="AMQ901" t="s">
        <v>619</v>
      </c>
      <c r="AWH901" t="s">
        <v>1319</v>
      </c>
      <c r="AWI901">
        <v>756508</v>
      </c>
      <c r="AWJ901">
        <v>1352093</v>
      </c>
      <c r="AWK901" t="s">
        <v>619</v>
      </c>
      <c r="AWL901" t="s">
        <v>619</v>
      </c>
      <c r="AWM901" t="s">
        <v>619</v>
      </c>
      <c r="BGD901" t="s">
        <v>1319</v>
      </c>
      <c r="BGE901">
        <v>756508</v>
      </c>
      <c r="BGF901">
        <v>1352093</v>
      </c>
      <c r="BGG901" t="s">
        <v>619</v>
      </c>
      <c r="BGH901" t="s">
        <v>619</v>
      </c>
      <c r="BGI901" t="s">
        <v>619</v>
      </c>
      <c r="BPZ901" t="s">
        <v>1319</v>
      </c>
      <c r="BQA901">
        <v>756508</v>
      </c>
      <c r="BQB901">
        <v>1352093</v>
      </c>
      <c r="BQC901" t="s">
        <v>619</v>
      </c>
      <c r="BQD901" t="s">
        <v>619</v>
      </c>
      <c r="BQE901" t="s">
        <v>619</v>
      </c>
      <c r="BZV901" t="s">
        <v>1319</v>
      </c>
      <c r="BZW901">
        <v>756508</v>
      </c>
      <c r="BZX901">
        <v>1352093</v>
      </c>
      <c r="BZY901" t="s">
        <v>619</v>
      </c>
      <c r="BZZ901" t="s">
        <v>619</v>
      </c>
      <c r="CAA901" t="s">
        <v>619</v>
      </c>
      <c r="CJR901" t="s">
        <v>1319</v>
      </c>
      <c r="CJS901">
        <v>756508</v>
      </c>
      <c r="CJT901">
        <v>1352093</v>
      </c>
      <c r="CJU901" t="s">
        <v>619</v>
      </c>
      <c r="CJV901" t="s">
        <v>619</v>
      </c>
      <c r="CJW901" t="s">
        <v>619</v>
      </c>
      <c r="CTN901" t="s">
        <v>1319</v>
      </c>
      <c r="CTO901">
        <v>756508</v>
      </c>
      <c r="CTP901">
        <v>1352093</v>
      </c>
      <c r="CTQ901" t="s">
        <v>619</v>
      </c>
      <c r="CTR901" t="s">
        <v>619</v>
      </c>
      <c r="CTS901" t="s">
        <v>619</v>
      </c>
      <c r="DDJ901" t="s">
        <v>1319</v>
      </c>
      <c r="DDK901">
        <v>756508</v>
      </c>
      <c r="DDL901">
        <v>1352093</v>
      </c>
      <c r="DDM901" t="s">
        <v>619</v>
      </c>
      <c r="DDN901" t="s">
        <v>619</v>
      </c>
      <c r="DDO901" t="s">
        <v>619</v>
      </c>
      <c r="DNF901" t="s">
        <v>1319</v>
      </c>
      <c r="DNG901">
        <v>756508</v>
      </c>
      <c r="DNH901">
        <v>1352093</v>
      </c>
      <c r="DNI901" t="s">
        <v>619</v>
      </c>
      <c r="DNJ901" t="s">
        <v>619</v>
      </c>
      <c r="DNK901" t="s">
        <v>619</v>
      </c>
      <c r="DXB901" t="s">
        <v>1319</v>
      </c>
      <c r="DXC901">
        <v>756508</v>
      </c>
      <c r="DXD901">
        <v>1352093</v>
      </c>
      <c r="DXE901" t="s">
        <v>619</v>
      </c>
      <c r="DXF901" t="s">
        <v>619</v>
      </c>
      <c r="DXG901" t="s">
        <v>619</v>
      </c>
      <c r="EGX901" t="s">
        <v>1319</v>
      </c>
      <c r="EGY901">
        <v>756508</v>
      </c>
      <c r="EGZ901">
        <v>1352093</v>
      </c>
      <c r="EHA901" t="s">
        <v>619</v>
      </c>
      <c r="EHB901" t="s">
        <v>619</v>
      </c>
      <c r="EHC901" t="s">
        <v>619</v>
      </c>
      <c r="EQT901" t="s">
        <v>1319</v>
      </c>
      <c r="EQU901">
        <v>756508</v>
      </c>
      <c r="EQV901">
        <v>1352093</v>
      </c>
      <c r="EQW901" t="s">
        <v>619</v>
      </c>
      <c r="EQX901" t="s">
        <v>619</v>
      </c>
      <c r="EQY901" t="s">
        <v>619</v>
      </c>
      <c r="FAP901" t="s">
        <v>1319</v>
      </c>
      <c r="FAQ901">
        <v>756508</v>
      </c>
      <c r="FAR901">
        <v>1352093</v>
      </c>
      <c r="FAS901" t="s">
        <v>619</v>
      </c>
      <c r="FAT901" t="s">
        <v>619</v>
      </c>
      <c r="FAU901" t="s">
        <v>619</v>
      </c>
      <c r="FKL901" t="s">
        <v>1319</v>
      </c>
      <c r="FKM901">
        <v>756508</v>
      </c>
      <c r="FKN901">
        <v>1352093</v>
      </c>
      <c r="FKO901" t="s">
        <v>619</v>
      </c>
      <c r="FKP901" t="s">
        <v>619</v>
      </c>
      <c r="FKQ901" t="s">
        <v>619</v>
      </c>
      <c r="FUH901" t="s">
        <v>1319</v>
      </c>
      <c r="FUI901">
        <v>756508</v>
      </c>
      <c r="FUJ901">
        <v>1352093</v>
      </c>
      <c r="FUK901" t="s">
        <v>619</v>
      </c>
      <c r="FUL901" t="s">
        <v>619</v>
      </c>
      <c r="FUM901" t="s">
        <v>619</v>
      </c>
      <c r="GED901" t="s">
        <v>1319</v>
      </c>
      <c r="GEE901">
        <v>756508</v>
      </c>
      <c r="GEF901">
        <v>1352093</v>
      </c>
      <c r="GEG901" t="s">
        <v>619</v>
      </c>
      <c r="GEH901" t="s">
        <v>619</v>
      </c>
      <c r="GEI901" t="s">
        <v>619</v>
      </c>
      <c r="GNZ901" t="s">
        <v>1319</v>
      </c>
      <c r="GOA901">
        <v>756508</v>
      </c>
      <c r="GOB901">
        <v>1352093</v>
      </c>
      <c r="GOC901" t="s">
        <v>619</v>
      </c>
      <c r="GOD901" t="s">
        <v>619</v>
      </c>
      <c r="GOE901" t="s">
        <v>619</v>
      </c>
      <c r="GXV901" t="s">
        <v>1319</v>
      </c>
      <c r="GXW901">
        <v>756508</v>
      </c>
      <c r="GXX901">
        <v>1352093</v>
      </c>
      <c r="GXY901" t="s">
        <v>619</v>
      </c>
      <c r="GXZ901" t="s">
        <v>619</v>
      </c>
      <c r="GYA901" t="s">
        <v>619</v>
      </c>
      <c r="HHR901" t="s">
        <v>1319</v>
      </c>
      <c r="HHS901">
        <v>756508</v>
      </c>
      <c r="HHT901">
        <v>1352093</v>
      </c>
      <c r="HHU901" t="s">
        <v>619</v>
      </c>
      <c r="HHV901" t="s">
        <v>619</v>
      </c>
      <c r="HHW901" t="s">
        <v>619</v>
      </c>
      <c r="HRN901" t="s">
        <v>1319</v>
      </c>
      <c r="HRO901">
        <v>756508</v>
      </c>
      <c r="HRP901">
        <v>1352093</v>
      </c>
      <c r="HRQ901" t="s">
        <v>619</v>
      </c>
      <c r="HRR901" t="s">
        <v>619</v>
      </c>
      <c r="HRS901" t="s">
        <v>619</v>
      </c>
      <c r="IBJ901" t="s">
        <v>1319</v>
      </c>
      <c r="IBK901">
        <v>756508</v>
      </c>
      <c r="IBL901">
        <v>1352093</v>
      </c>
      <c r="IBM901" t="s">
        <v>619</v>
      </c>
      <c r="IBN901" t="s">
        <v>619</v>
      </c>
      <c r="IBO901" t="s">
        <v>619</v>
      </c>
      <c r="ILF901" t="s">
        <v>1319</v>
      </c>
      <c r="ILG901">
        <v>756508</v>
      </c>
      <c r="ILH901">
        <v>1352093</v>
      </c>
      <c r="ILI901" t="s">
        <v>619</v>
      </c>
      <c r="ILJ901" t="s">
        <v>619</v>
      </c>
      <c r="ILK901" t="s">
        <v>619</v>
      </c>
      <c r="IVB901" t="s">
        <v>1319</v>
      </c>
      <c r="IVC901">
        <v>756508</v>
      </c>
      <c r="IVD901">
        <v>1352093</v>
      </c>
      <c r="IVE901" t="s">
        <v>619</v>
      </c>
      <c r="IVF901" t="s">
        <v>619</v>
      </c>
      <c r="IVG901" t="s">
        <v>619</v>
      </c>
      <c r="JEX901" t="s">
        <v>1319</v>
      </c>
      <c r="JEY901">
        <v>756508</v>
      </c>
      <c r="JEZ901">
        <v>1352093</v>
      </c>
      <c r="JFA901" t="s">
        <v>619</v>
      </c>
      <c r="JFB901" t="s">
        <v>619</v>
      </c>
      <c r="JFC901" t="s">
        <v>619</v>
      </c>
      <c r="JOT901" t="s">
        <v>1319</v>
      </c>
      <c r="JOU901">
        <v>756508</v>
      </c>
      <c r="JOV901">
        <v>1352093</v>
      </c>
      <c r="JOW901" t="s">
        <v>619</v>
      </c>
      <c r="JOX901" t="s">
        <v>619</v>
      </c>
      <c r="JOY901" t="s">
        <v>619</v>
      </c>
      <c r="JYP901" t="s">
        <v>1319</v>
      </c>
      <c r="JYQ901">
        <v>756508</v>
      </c>
      <c r="JYR901">
        <v>1352093</v>
      </c>
      <c r="JYS901" t="s">
        <v>619</v>
      </c>
      <c r="JYT901" t="s">
        <v>619</v>
      </c>
      <c r="JYU901" t="s">
        <v>619</v>
      </c>
      <c r="KIL901" t="s">
        <v>1319</v>
      </c>
      <c r="KIM901">
        <v>756508</v>
      </c>
      <c r="KIN901">
        <v>1352093</v>
      </c>
      <c r="KIO901" t="s">
        <v>619</v>
      </c>
      <c r="KIP901" t="s">
        <v>619</v>
      </c>
      <c r="KIQ901" t="s">
        <v>619</v>
      </c>
      <c r="KSH901" t="s">
        <v>1319</v>
      </c>
      <c r="KSI901">
        <v>756508</v>
      </c>
      <c r="KSJ901">
        <v>1352093</v>
      </c>
      <c r="KSK901" t="s">
        <v>619</v>
      </c>
      <c r="KSL901" t="s">
        <v>619</v>
      </c>
      <c r="KSM901" t="s">
        <v>619</v>
      </c>
      <c r="LCD901" t="s">
        <v>1319</v>
      </c>
      <c r="LCE901">
        <v>756508</v>
      </c>
      <c r="LCF901">
        <v>1352093</v>
      </c>
      <c r="LCG901" t="s">
        <v>619</v>
      </c>
      <c r="LCH901" t="s">
        <v>619</v>
      </c>
      <c r="LCI901" t="s">
        <v>619</v>
      </c>
      <c r="LLZ901" t="s">
        <v>1319</v>
      </c>
      <c r="LMA901">
        <v>756508</v>
      </c>
      <c r="LMB901">
        <v>1352093</v>
      </c>
      <c r="LMC901" t="s">
        <v>619</v>
      </c>
      <c r="LMD901" t="s">
        <v>619</v>
      </c>
      <c r="LME901" t="s">
        <v>619</v>
      </c>
      <c r="LVV901" t="s">
        <v>1319</v>
      </c>
      <c r="LVW901">
        <v>756508</v>
      </c>
      <c r="LVX901">
        <v>1352093</v>
      </c>
      <c r="LVY901" t="s">
        <v>619</v>
      </c>
      <c r="LVZ901" t="s">
        <v>619</v>
      </c>
      <c r="LWA901" t="s">
        <v>619</v>
      </c>
      <c r="MFR901" t="s">
        <v>1319</v>
      </c>
      <c r="MFS901">
        <v>756508</v>
      </c>
      <c r="MFT901">
        <v>1352093</v>
      </c>
      <c r="MFU901" t="s">
        <v>619</v>
      </c>
      <c r="MFV901" t="s">
        <v>619</v>
      </c>
      <c r="MFW901" t="s">
        <v>619</v>
      </c>
      <c r="MPN901" t="s">
        <v>1319</v>
      </c>
      <c r="MPO901">
        <v>756508</v>
      </c>
      <c r="MPP901">
        <v>1352093</v>
      </c>
      <c r="MPQ901" t="s">
        <v>619</v>
      </c>
      <c r="MPR901" t="s">
        <v>619</v>
      </c>
      <c r="MPS901" t="s">
        <v>619</v>
      </c>
      <c r="MZJ901" t="s">
        <v>1319</v>
      </c>
      <c r="MZK901">
        <v>756508</v>
      </c>
      <c r="MZL901">
        <v>1352093</v>
      </c>
      <c r="MZM901" t="s">
        <v>619</v>
      </c>
      <c r="MZN901" t="s">
        <v>619</v>
      </c>
      <c r="MZO901" t="s">
        <v>619</v>
      </c>
      <c r="NJF901" t="s">
        <v>1319</v>
      </c>
      <c r="NJG901">
        <v>756508</v>
      </c>
      <c r="NJH901">
        <v>1352093</v>
      </c>
      <c r="NJI901" t="s">
        <v>619</v>
      </c>
      <c r="NJJ901" t="s">
        <v>619</v>
      </c>
      <c r="NJK901" t="s">
        <v>619</v>
      </c>
      <c r="NTB901" t="s">
        <v>1319</v>
      </c>
      <c r="NTC901">
        <v>756508</v>
      </c>
      <c r="NTD901">
        <v>1352093</v>
      </c>
      <c r="NTE901" t="s">
        <v>619</v>
      </c>
      <c r="NTF901" t="s">
        <v>619</v>
      </c>
      <c r="NTG901" t="s">
        <v>619</v>
      </c>
      <c r="OCX901" t="s">
        <v>1319</v>
      </c>
      <c r="OCY901">
        <v>756508</v>
      </c>
      <c r="OCZ901">
        <v>1352093</v>
      </c>
      <c r="ODA901" t="s">
        <v>619</v>
      </c>
      <c r="ODB901" t="s">
        <v>619</v>
      </c>
      <c r="ODC901" t="s">
        <v>619</v>
      </c>
      <c r="OMT901" t="s">
        <v>1319</v>
      </c>
      <c r="OMU901">
        <v>756508</v>
      </c>
      <c r="OMV901">
        <v>1352093</v>
      </c>
      <c r="OMW901" t="s">
        <v>619</v>
      </c>
      <c r="OMX901" t="s">
        <v>619</v>
      </c>
      <c r="OMY901" t="s">
        <v>619</v>
      </c>
      <c r="OWP901" t="s">
        <v>1319</v>
      </c>
      <c r="OWQ901">
        <v>756508</v>
      </c>
      <c r="OWR901">
        <v>1352093</v>
      </c>
      <c r="OWS901" t="s">
        <v>619</v>
      </c>
      <c r="OWT901" t="s">
        <v>619</v>
      </c>
      <c r="OWU901" t="s">
        <v>619</v>
      </c>
      <c r="PGL901" t="s">
        <v>1319</v>
      </c>
      <c r="PGM901">
        <v>756508</v>
      </c>
      <c r="PGN901">
        <v>1352093</v>
      </c>
      <c r="PGO901" t="s">
        <v>619</v>
      </c>
      <c r="PGP901" t="s">
        <v>619</v>
      </c>
      <c r="PGQ901" t="s">
        <v>619</v>
      </c>
      <c r="PQH901" t="s">
        <v>1319</v>
      </c>
      <c r="PQI901">
        <v>756508</v>
      </c>
      <c r="PQJ901">
        <v>1352093</v>
      </c>
      <c r="PQK901" t="s">
        <v>619</v>
      </c>
      <c r="PQL901" t="s">
        <v>619</v>
      </c>
      <c r="PQM901" t="s">
        <v>619</v>
      </c>
      <c r="QAD901" t="s">
        <v>1319</v>
      </c>
      <c r="QAE901">
        <v>756508</v>
      </c>
      <c r="QAF901">
        <v>1352093</v>
      </c>
      <c r="QAG901" t="s">
        <v>619</v>
      </c>
      <c r="QAH901" t="s">
        <v>619</v>
      </c>
      <c r="QAI901" t="s">
        <v>619</v>
      </c>
      <c r="QJZ901" t="s">
        <v>1319</v>
      </c>
      <c r="QKA901">
        <v>756508</v>
      </c>
      <c r="QKB901">
        <v>1352093</v>
      </c>
      <c r="QKC901" t="s">
        <v>619</v>
      </c>
      <c r="QKD901" t="s">
        <v>619</v>
      </c>
      <c r="QKE901" t="s">
        <v>619</v>
      </c>
      <c r="QTV901" t="s">
        <v>1319</v>
      </c>
      <c r="QTW901">
        <v>756508</v>
      </c>
      <c r="QTX901">
        <v>1352093</v>
      </c>
      <c r="QTY901" t="s">
        <v>619</v>
      </c>
      <c r="QTZ901" t="s">
        <v>619</v>
      </c>
      <c r="QUA901" t="s">
        <v>619</v>
      </c>
      <c r="RDR901" t="s">
        <v>1319</v>
      </c>
      <c r="RDS901">
        <v>756508</v>
      </c>
      <c r="RDT901">
        <v>1352093</v>
      </c>
      <c r="RDU901" t="s">
        <v>619</v>
      </c>
      <c r="RDV901" t="s">
        <v>619</v>
      </c>
      <c r="RDW901" t="s">
        <v>619</v>
      </c>
      <c r="RNN901" t="s">
        <v>1319</v>
      </c>
      <c r="RNO901">
        <v>756508</v>
      </c>
      <c r="RNP901">
        <v>1352093</v>
      </c>
      <c r="RNQ901" t="s">
        <v>619</v>
      </c>
      <c r="RNR901" t="s">
        <v>619</v>
      </c>
      <c r="RNS901" t="s">
        <v>619</v>
      </c>
      <c r="RXJ901" t="s">
        <v>1319</v>
      </c>
      <c r="RXK901">
        <v>756508</v>
      </c>
      <c r="RXL901">
        <v>1352093</v>
      </c>
      <c r="RXM901" t="s">
        <v>619</v>
      </c>
      <c r="RXN901" t="s">
        <v>619</v>
      </c>
      <c r="RXO901" t="s">
        <v>619</v>
      </c>
      <c r="SHF901" t="s">
        <v>1319</v>
      </c>
      <c r="SHG901">
        <v>756508</v>
      </c>
      <c r="SHH901">
        <v>1352093</v>
      </c>
      <c r="SHI901" t="s">
        <v>619</v>
      </c>
      <c r="SHJ901" t="s">
        <v>619</v>
      </c>
      <c r="SHK901" t="s">
        <v>619</v>
      </c>
      <c r="SRB901" t="s">
        <v>1319</v>
      </c>
      <c r="SRC901">
        <v>756508</v>
      </c>
      <c r="SRD901">
        <v>1352093</v>
      </c>
      <c r="SRE901" t="s">
        <v>619</v>
      </c>
      <c r="SRF901" t="s">
        <v>619</v>
      </c>
      <c r="SRG901" t="s">
        <v>619</v>
      </c>
      <c r="TAX901" t="s">
        <v>1319</v>
      </c>
      <c r="TAY901">
        <v>756508</v>
      </c>
      <c r="TAZ901">
        <v>1352093</v>
      </c>
      <c r="TBA901" t="s">
        <v>619</v>
      </c>
      <c r="TBB901" t="s">
        <v>619</v>
      </c>
      <c r="TBC901" t="s">
        <v>619</v>
      </c>
      <c r="TKT901" t="s">
        <v>1319</v>
      </c>
      <c r="TKU901">
        <v>756508</v>
      </c>
      <c r="TKV901">
        <v>1352093</v>
      </c>
      <c r="TKW901" t="s">
        <v>619</v>
      </c>
      <c r="TKX901" t="s">
        <v>619</v>
      </c>
      <c r="TKY901" t="s">
        <v>619</v>
      </c>
      <c r="TUP901" t="s">
        <v>1319</v>
      </c>
      <c r="TUQ901">
        <v>756508</v>
      </c>
      <c r="TUR901">
        <v>1352093</v>
      </c>
      <c r="TUS901" t="s">
        <v>619</v>
      </c>
      <c r="TUT901" t="s">
        <v>619</v>
      </c>
      <c r="TUU901" t="s">
        <v>619</v>
      </c>
      <c r="UEL901" t="s">
        <v>1319</v>
      </c>
      <c r="UEM901">
        <v>756508</v>
      </c>
      <c r="UEN901">
        <v>1352093</v>
      </c>
      <c r="UEO901" t="s">
        <v>619</v>
      </c>
      <c r="UEP901" t="s">
        <v>619</v>
      </c>
      <c r="UEQ901" t="s">
        <v>619</v>
      </c>
      <c r="UOH901" t="s">
        <v>1319</v>
      </c>
      <c r="UOI901">
        <v>756508</v>
      </c>
      <c r="UOJ901">
        <v>1352093</v>
      </c>
      <c r="UOK901" t="s">
        <v>619</v>
      </c>
      <c r="UOL901" t="s">
        <v>619</v>
      </c>
      <c r="UOM901" t="s">
        <v>619</v>
      </c>
      <c r="UYD901" t="s">
        <v>1319</v>
      </c>
      <c r="UYE901">
        <v>756508</v>
      </c>
      <c r="UYF901">
        <v>1352093</v>
      </c>
      <c r="UYG901" t="s">
        <v>619</v>
      </c>
      <c r="UYH901" t="s">
        <v>619</v>
      </c>
      <c r="UYI901" t="s">
        <v>619</v>
      </c>
      <c r="VHZ901" t="s">
        <v>1319</v>
      </c>
      <c r="VIA901">
        <v>756508</v>
      </c>
      <c r="VIB901">
        <v>1352093</v>
      </c>
      <c r="VIC901" t="s">
        <v>619</v>
      </c>
      <c r="VID901" t="s">
        <v>619</v>
      </c>
      <c r="VIE901" t="s">
        <v>619</v>
      </c>
      <c r="VRV901" t="s">
        <v>1319</v>
      </c>
      <c r="VRW901">
        <v>756508</v>
      </c>
      <c r="VRX901">
        <v>1352093</v>
      </c>
      <c r="VRY901" t="s">
        <v>619</v>
      </c>
      <c r="VRZ901" t="s">
        <v>619</v>
      </c>
      <c r="VSA901" t="s">
        <v>619</v>
      </c>
      <c r="WBR901" t="s">
        <v>1319</v>
      </c>
      <c r="WBS901">
        <v>756508</v>
      </c>
      <c r="WBT901">
        <v>1352093</v>
      </c>
      <c r="WBU901" t="s">
        <v>619</v>
      </c>
      <c r="WBV901" t="s">
        <v>619</v>
      </c>
      <c r="WBW901" t="s">
        <v>619</v>
      </c>
      <c r="WLN901" t="s">
        <v>1319</v>
      </c>
      <c r="WLO901">
        <v>756508</v>
      </c>
      <c r="WLP901">
        <v>1352093</v>
      </c>
      <c r="WLQ901" t="s">
        <v>619</v>
      </c>
      <c r="WLR901" t="s">
        <v>619</v>
      </c>
      <c r="WLS901" t="s">
        <v>619</v>
      </c>
      <c r="WVJ901" t="s">
        <v>1319</v>
      </c>
      <c r="WVK901">
        <v>756508</v>
      </c>
      <c r="WVL901">
        <v>1352093</v>
      </c>
      <c r="WVM901" t="s">
        <v>619</v>
      </c>
      <c r="WVN901" t="s">
        <v>619</v>
      </c>
      <c r="WVO901" t="s">
        <v>619</v>
      </c>
    </row>
    <row r="902" spans="1:775 1026:1799 2050:2823 3074:3847 4098:4871 5122:5895 6146:6919 7170:7943 8194:8967 9218:9991 10242:11015 11266:12039 12290:13063 13314:14087 14338:15111 15362:16135">
      <c r="A902" s="96" t="s">
        <v>1320</v>
      </c>
      <c r="B902" t="s">
        <v>1067</v>
      </c>
      <c r="C902" s="98">
        <v>0</v>
      </c>
      <c r="D902" s="98">
        <v>0</v>
      </c>
      <c r="E902" s="100">
        <v>1123920</v>
      </c>
      <c r="F902" s="98">
        <v>0</v>
      </c>
      <c r="G902" s="98">
        <v>0</v>
      </c>
      <c r="H902" s="98"/>
      <c r="IX902" t="s">
        <v>1320</v>
      </c>
      <c r="IY902" t="s">
        <v>619</v>
      </c>
      <c r="IZ902" t="s">
        <v>619</v>
      </c>
      <c r="JA902">
        <v>1123920</v>
      </c>
      <c r="JB902" t="s">
        <v>619</v>
      </c>
      <c r="JC902" t="s">
        <v>619</v>
      </c>
      <c r="ST902" t="s">
        <v>1320</v>
      </c>
      <c r="SU902" t="s">
        <v>619</v>
      </c>
      <c r="SV902" t="s">
        <v>619</v>
      </c>
      <c r="SW902">
        <v>1123920</v>
      </c>
      <c r="SX902" t="s">
        <v>619</v>
      </c>
      <c r="SY902" t="s">
        <v>619</v>
      </c>
      <c r="ACP902" t="s">
        <v>1320</v>
      </c>
      <c r="ACQ902" t="s">
        <v>619</v>
      </c>
      <c r="ACR902" t="s">
        <v>619</v>
      </c>
      <c r="ACS902">
        <v>1123920</v>
      </c>
      <c r="ACT902" t="s">
        <v>619</v>
      </c>
      <c r="ACU902" t="s">
        <v>619</v>
      </c>
      <c r="AML902" t="s">
        <v>1320</v>
      </c>
      <c r="AMM902" t="s">
        <v>619</v>
      </c>
      <c r="AMN902" t="s">
        <v>619</v>
      </c>
      <c r="AMO902">
        <v>1123920</v>
      </c>
      <c r="AMP902" t="s">
        <v>619</v>
      </c>
      <c r="AMQ902" t="s">
        <v>619</v>
      </c>
      <c r="AWH902" t="s">
        <v>1320</v>
      </c>
      <c r="AWI902" t="s">
        <v>619</v>
      </c>
      <c r="AWJ902" t="s">
        <v>619</v>
      </c>
      <c r="AWK902">
        <v>1123920</v>
      </c>
      <c r="AWL902" t="s">
        <v>619</v>
      </c>
      <c r="AWM902" t="s">
        <v>619</v>
      </c>
      <c r="BGD902" t="s">
        <v>1320</v>
      </c>
      <c r="BGE902" t="s">
        <v>619</v>
      </c>
      <c r="BGF902" t="s">
        <v>619</v>
      </c>
      <c r="BGG902">
        <v>1123920</v>
      </c>
      <c r="BGH902" t="s">
        <v>619</v>
      </c>
      <c r="BGI902" t="s">
        <v>619</v>
      </c>
      <c r="BPZ902" t="s">
        <v>1320</v>
      </c>
      <c r="BQA902" t="s">
        <v>619</v>
      </c>
      <c r="BQB902" t="s">
        <v>619</v>
      </c>
      <c r="BQC902">
        <v>1123920</v>
      </c>
      <c r="BQD902" t="s">
        <v>619</v>
      </c>
      <c r="BQE902" t="s">
        <v>619</v>
      </c>
      <c r="BZV902" t="s">
        <v>1320</v>
      </c>
      <c r="BZW902" t="s">
        <v>619</v>
      </c>
      <c r="BZX902" t="s">
        <v>619</v>
      </c>
      <c r="BZY902">
        <v>1123920</v>
      </c>
      <c r="BZZ902" t="s">
        <v>619</v>
      </c>
      <c r="CAA902" t="s">
        <v>619</v>
      </c>
      <c r="CJR902" t="s">
        <v>1320</v>
      </c>
      <c r="CJS902" t="s">
        <v>619</v>
      </c>
      <c r="CJT902" t="s">
        <v>619</v>
      </c>
      <c r="CJU902">
        <v>1123920</v>
      </c>
      <c r="CJV902" t="s">
        <v>619</v>
      </c>
      <c r="CJW902" t="s">
        <v>619</v>
      </c>
      <c r="CTN902" t="s">
        <v>1320</v>
      </c>
      <c r="CTO902" t="s">
        <v>619</v>
      </c>
      <c r="CTP902" t="s">
        <v>619</v>
      </c>
      <c r="CTQ902">
        <v>1123920</v>
      </c>
      <c r="CTR902" t="s">
        <v>619</v>
      </c>
      <c r="CTS902" t="s">
        <v>619</v>
      </c>
      <c r="DDJ902" t="s">
        <v>1320</v>
      </c>
      <c r="DDK902" t="s">
        <v>619</v>
      </c>
      <c r="DDL902" t="s">
        <v>619</v>
      </c>
      <c r="DDM902">
        <v>1123920</v>
      </c>
      <c r="DDN902" t="s">
        <v>619</v>
      </c>
      <c r="DDO902" t="s">
        <v>619</v>
      </c>
      <c r="DNF902" t="s">
        <v>1320</v>
      </c>
      <c r="DNG902" t="s">
        <v>619</v>
      </c>
      <c r="DNH902" t="s">
        <v>619</v>
      </c>
      <c r="DNI902">
        <v>1123920</v>
      </c>
      <c r="DNJ902" t="s">
        <v>619</v>
      </c>
      <c r="DNK902" t="s">
        <v>619</v>
      </c>
      <c r="DXB902" t="s">
        <v>1320</v>
      </c>
      <c r="DXC902" t="s">
        <v>619</v>
      </c>
      <c r="DXD902" t="s">
        <v>619</v>
      </c>
      <c r="DXE902">
        <v>1123920</v>
      </c>
      <c r="DXF902" t="s">
        <v>619</v>
      </c>
      <c r="DXG902" t="s">
        <v>619</v>
      </c>
      <c r="EGX902" t="s">
        <v>1320</v>
      </c>
      <c r="EGY902" t="s">
        <v>619</v>
      </c>
      <c r="EGZ902" t="s">
        <v>619</v>
      </c>
      <c r="EHA902">
        <v>1123920</v>
      </c>
      <c r="EHB902" t="s">
        <v>619</v>
      </c>
      <c r="EHC902" t="s">
        <v>619</v>
      </c>
      <c r="EQT902" t="s">
        <v>1320</v>
      </c>
      <c r="EQU902" t="s">
        <v>619</v>
      </c>
      <c r="EQV902" t="s">
        <v>619</v>
      </c>
      <c r="EQW902">
        <v>1123920</v>
      </c>
      <c r="EQX902" t="s">
        <v>619</v>
      </c>
      <c r="EQY902" t="s">
        <v>619</v>
      </c>
      <c r="FAP902" t="s">
        <v>1320</v>
      </c>
      <c r="FAQ902" t="s">
        <v>619</v>
      </c>
      <c r="FAR902" t="s">
        <v>619</v>
      </c>
      <c r="FAS902">
        <v>1123920</v>
      </c>
      <c r="FAT902" t="s">
        <v>619</v>
      </c>
      <c r="FAU902" t="s">
        <v>619</v>
      </c>
      <c r="FKL902" t="s">
        <v>1320</v>
      </c>
      <c r="FKM902" t="s">
        <v>619</v>
      </c>
      <c r="FKN902" t="s">
        <v>619</v>
      </c>
      <c r="FKO902">
        <v>1123920</v>
      </c>
      <c r="FKP902" t="s">
        <v>619</v>
      </c>
      <c r="FKQ902" t="s">
        <v>619</v>
      </c>
      <c r="FUH902" t="s">
        <v>1320</v>
      </c>
      <c r="FUI902" t="s">
        <v>619</v>
      </c>
      <c r="FUJ902" t="s">
        <v>619</v>
      </c>
      <c r="FUK902">
        <v>1123920</v>
      </c>
      <c r="FUL902" t="s">
        <v>619</v>
      </c>
      <c r="FUM902" t="s">
        <v>619</v>
      </c>
      <c r="GED902" t="s">
        <v>1320</v>
      </c>
      <c r="GEE902" t="s">
        <v>619</v>
      </c>
      <c r="GEF902" t="s">
        <v>619</v>
      </c>
      <c r="GEG902">
        <v>1123920</v>
      </c>
      <c r="GEH902" t="s">
        <v>619</v>
      </c>
      <c r="GEI902" t="s">
        <v>619</v>
      </c>
      <c r="GNZ902" t="s">
        <v>1320</v>
      </c>
      <c r="GOA902" t="s">
        <v>619</v>
      </c>
      <c r="GOB902" t="s">
        <v>619</v>
      </c>
      <c r="GOC902">
        <v>1123920</v>
      </c>
      <c r="GOD902" t="s">
        <v>619</v>
      </c>
      <c r="GOE902" t="s">
        <v>619</v>
      </c>
      <c r="GXV902" t="s">
        <v>1320</v>
      </c>
      <c r="GXW902" t="s">
        <v>619</v>
      </c>
      <c r="GXX902" t="s">
        <v>619</v>
      </c>
      <c r="GXY902">
        <v>1123920</v>
      </c>
      <c r="GXZ902" t="s">
        <v>619</v>
      </c>
      <c r="GYA902" t="s">
        <v>619</v>
      </c>
      <c r="HHR902" t="s">
        <v>1320</v>
      </c>
      <c r="HHS902" t="s">
        <v>619</v>
      </c>
      <c r="HHT902" t="s">
        <v>619</v>
      </c>
      <c r="HHU902">
        <v>1123920</v>
      </c>
      <c r="HHV902" t="s">
        <v>619</v>
      </c>
      <c r="HHW902" t="s">
        <v>619</v>
      </c>
      <c r="HRN902" t="s">
        <v>1320</v>
      </c>
      <c r="HRO902" t="s">
        <v>619</v>
      </c>
      <c r="HRP902" t="s">
        <v>619</v>
      </c>
      <c r="HRQ902">
        <v>1123920</v>
      </c>
      <c r="HRR902" t="s">
        <v>619</v>
      </c>
      <c r="HRS902" t="s">
        <v>619</v>
      </c>
      <c r="IBJ902" t="s">
        <v>1320</v>
      </c>
      <c r="IBK902" t="s">
        <v>619</v>
      </c>
      <c r="IBL902" t="s">
        <v>619</v>
      </c>
      <c r="IBM902">
        <v>1123920</v>
      </c>
      <c r="IBN902" t="s">
        <v>619</v>
      </c>
      <c r="IBO902" t="s">
        <v>619</v>
      </c>
      <c r="ILF902" t="s">
        <v>1320</v>
      </c>
      <c r="ILG902" t="s">
        <v>619</v>
      </c>
      <c r="ILH902" t="s">
        <v>619</v>
      </c>
      <c r="ILI902">
        <v>1123920</v>
      </c>
      <c r="ILJ902" t="s">
        <v>619</v>
      </c>
      <c r="ILK902" t="s">
        <v>619</v>
      </c>
      <c r="IVB902" t="s">
        <v>1320</v>
      </c>
      <c r="IVC902" t="s">
        <v>619</v>
      </c>
      <c r="IVD902" t="s">
        <v>619</v>
      </c>
      <c r="IVE902">
        <v>1123920</v>
      </c>
      <c r="IVF902" t="s">
        <v>619</v>
      </c>
      <c r="IVG902" t="s">
        <v>619</v>
      </c>
      <c r="JEX902" t="s">
        <v>1320</v>
      </c>
      <c r="JEY902" t="s">
        <v>619</v>
      </c>
      <c r="JEZ902" t="s">
        <v>619</v>
      </c>
      <c r="JFA902">
        <v>1123920</v>
      </c>
      <c r="JFB902" t="s">
        <v>619</v>
      </c>
      <c r="JFC902" t="s">
        <v>619</v>
      </c>
      <c r="JOT902" t="s">
        <v>1320</v>
      </c>
      <c r="JOU902" t="s">
        <v>619</v>
      </c>
      <c r="JOV902" t="s">
        <v>619</v>
      </c>
      <c r="JOW902">
        <v>1123920</v>
      </c>
      <c r="JOX902" t="s">
        <v>619</v>
      </c>
      <c r="JOY902" t="s">
        <v>619</v>
      </c>
      <c r="JYP902" t="s">
        <v>1320</v>
      </c>
      <c r="JYQ902" t="s">
        <v>619</v>
      </c>
      <c r="JYR902" t="s">
        <v>619</v>
      </c>
      <c r="JYS902">
        <v>1123920</v>
      </c>
      <c r="JYT902" t="s">
        <v>619</v>
      </c>
      <c r="JYU902" t="s">
        <v>619</v>
      </c>
      <c r="KIL902" t="s">
        <v>1320</v>
      </c>
      <c r="KIM902" t="s">
        <v>619</v>
      </c>
      <c r="KIN902" t="s">
        <v>619</v>
      </c>
      <c r="KIO902">
        <v>1123920</v>
      </c>
      <c r="KIP902" t="s">
        <v>619</v>
      </c>
      <c r="KIQ902" t="s">
        <v>619</v>
      </c>
      <c r="KSH902" t="s">
        <v>1320</v>
      </c>
      <c r="KSI902" t="s">
        <v>619</v>
      </c>
      <c r="KSJ902" t="s">
        <v>619</v>
      </c>
      <c r="KSK902">
        <v>1123920</v>
      </c>
      <c r="KSL902" t="s">
        <v>619</v>
      </c>
      <c r="KSM902" t="s">
        <v>619</v>
      </c>
      <c r="LCD902" t="s">
        <v>1320</v>
      </c>
      <c r="LCE902" t="s">
        <v>619</v>
      </c>
      <c r="LCF902" t="s">
        <v>619</v>
      </c>
      <c r="LCG902">
        <v>1123920</v>
      </c>
      <c r="LCH902" t="s">
        <v>619</v>
      </c>
      <c r="LCI902" t="s">
        <v>619</v>
      </c>
      <c r="LLZ902" t="s">
        <v>1320</v>
      </c>
      <c r="LMA902" t="s">
        <v>619</v>
      </c>
      <c r="LMB902" t="s">
        <v>619</v>
      </c>
      <c r="LMC902">
        <v>1123920</v>
      </c>
      <c r="LMD902" t="s">
        <v>619</v>
      </c>
      <c r="LME902" t="s">
        <v>619</v>
      </c>
      <c r="LVV902" t="s">
        <v>1320</v>
      </c>
      <c r="LVW902" t="s">
        <v>619</v>
      </c>
      <c r="LVX902" t="s">
        <v>619</v>
      </c>
      <c r="LVY902">
        <v>1123920</v>
      </c>
      <c r="LVZ902" t="s">
        <v>619</v>
      </c>
      <c r="LWA902" t="s">
        <v>619</v>
      </c>
      <c r="MFR902" t="s">
        <v>1320</v>
      </c>
      <c r="MFS902" t="s">
        <v>619</v>
      </c>
      <c r="MFT902" t="s">
        <v>619</v>
      </c>
      <c r="MFU902">
        <v>1123920</v>
      </c>
      <c r="MFV902" t="s">
        <v>619</v>
      </c>
      <c r="MFW902" t="s">
        <v>619</v>
      </c>
      <c r="MPN902" t="s">
        <v>1320</v>
      </c>
      <c r="MPO902" t="s">
        <v>619</v>
      </c>
      <c r="MPP902" t="s">
        <v>619</v>
      </c>
      <c r="MPQ902">
        <v>1123920</v>
      </c>
      <c r="MPR902" t="s">
        <v>619</v>
      </c>
      <c r="MPS902" t="s">
        <v>619</v>
      </c>
      <c r="MZJ902" t="s">
        <v>1320</v>
      </c>
      <c r="MZK902" t="s">
        <v>619</v>
      </c>
      <c r="MZL902" t="s">
        <v>619</v>
      </c>
      <c r="MZM902">
        <v>1123920</v>
      </c>
      <c r="MZN902" t="s">
        <v>619</v>
      </c>
      <c r="MZO902" t="s">
        <v>619</v>
      </c>
      <c r="NJF902" t="s">
        <v>1320</v>
      </c>
      <c r="NJG902" t="s">
        <v>619</v>
      </c>
      <c r="NJH902" t="s">
        <v>619</v>
      </c>
      <c r="NJI902">
        <v>1123920</v>
      </c>
      <c r="NJJ902" t="s">
        <v>619</v>
      </c>
      <c r="NJK902" t="s">
        <v>619</v>
      </c>
      <c r="NTB902" t="s">
        <v>1320</v>
      </c>
      <c r="NTC902" t="s">
        <v>619</v>
      </c>
      <c r="NTD902" t="s">
        <v>619</v>
      </c>
      <c r="NTE902">
        <v>1123920</v>
      </c>
      <c r="NTF902" t="s">
        <v>619</v>
      </c>
      <c r="NTG902" t="s">
        <v>619</v>
      </c>
      <c r="OCX902" t="s">
        <v>1320</v>
      </c>
      <c r="OCY902" t="s">
        <v>619</v>
      </c>
      <c r="OCZ902" t="s">
        <v>619</v>
      </c>
      <c r="ODA902">
        <v>1123920</v>
      </c>
      <c r="ODB902" t="s">
        <v>619</v>
      </c>
      <c r="ODC902" t="s">
        <v>619</v>
      </c>
      <c r="OMT902" t="s">
        <v>1320</v>
      </c>
      <c r="OMU902" t="s">
        <v>619</v>
      </c>
      <c r="OMV902" t="s">
        <v>619</v>
      </c>
      <c r="OMW902">
        <v>1123920</v>
      </c>
      <c r="OMX902" t="s">
        <v>619</v>
      </c>
      <c r="OMY902" t="s">
        <v>619</v>
      </c>
      <c r="OWP902" t="s">
        <v>1320</v>
      </c>
      <c r="OWQ902" t="s">
        <v>619</v>
      </c>
      <c r="OWR902" t="s">
        <v>619</v>
      </c>
      <c r="OWS902">
        <v>1123920</v>
      </c>
      <c r="OWT902" t="s">
        <v>619</v>
      </c>
      <c r="OWU902" t="s">
        <v>619</v>
      </c>
      <c r="PGL902" t="s">
        <v>1320</v>
      </c>
      <c r="PGM902" t="s">
        <v>619</v>
      </c>
      <c r="PGN902" t="s">
        <v>619</v>
      </c>
      <c r="PGO902">
        <v>1123920</v>
      </c>
      <c r="PGP902" t="s">
        <v>619</v>
      </c>
      <c r="PGQ902" t="s">
        <v>619</v>
      </c>
      <c r="PQH902" t="s">
        <v>1320</v>
      </c>
      <c r="PQI902" t="s">
        <v>619</v>
      </c>
      <c r="PQJ902" t="s">
        <v>619</v>
      </c>
      <c r="PQK902">
        <v>1123920</v>
      </c>
      <c r="PQL902" t="s">
        <v>619</v>
      </c>
      <c r="PQM902" t="s">
        <v>619</v>
      </c>
      <c r="QAD902" t="s">
        <v>1320</v>
      </c>
      <c r="QAE902" t="s">
        <v>619</v>
      </c>
      <c r="QAF902" t="s">
        <v>619</v>
      </c>
      <c r="QAG902">
        <v>1123920</v>
      </c>
      <c r="QAH902" t="s">
        <v>619</v>
      </c>
      <c r="QAI902" t="s">
        <v>619</v>
      </c>
      <c r="QJZ902" t="s">
        <v>1320</v>
      </c>
      <c r="QKA902" t="s">
        <v>619</v>
      </c>
      <c r="QKB902" t="s">
        <v>619</v>
      </c>
      <c r="QKC902">
        <v>1123920</v>
      </c>
      <c r="QKD902" t="s">
        <v>619</v>
      </c>
      <c r="QKE902" t="s">
        <v>619</v>
      </c>
      <c r="QTV902" t="s">
        <v>1320</v>
      </c>
      <c r="QTW902" t="s">
        <v>619</v>
      </c>
      <c r="QTX902" t="s">
        <v>619</v>
      </c>
      <c r="QTY902">
        <v>1123920</v>
      </c>
      <c r="QTZ902" t="s">
        <v>619</v>
      </c>
      <c r="QUA902" t="s">
        <v>619</v>
      </c>
      <c r="RDR902" t="s">
        <v>1320</v>
      </c>
      <c r="RDS902" t="s">
        <v>619</v>
      </c>
      <c r="RDT902" t="s">
        <v>619</v>
      </c>
      <c r="RDU902">
        <v>1123920</v>
      </c>
      <c r="RDV902" t="s">
        <v>619</v>
      </c>
      <c r="RDW902" t="s">
        <v>619</v>
      </c>
      <c r="RNN902" t="s">
        <v>1320</v>
      </c>
      <c r="RNO902" t="s">
        <v>619</v>
      </c>
      <c r="RNP902" t="s">
        <v>619</v>
      </c>
      <c r="RNQ902">
        <v>1123920</v>
      </c>
      <c r="RNR902" t="s">
        <v>619</v>
      </c>
      <c r="RNS902" t="s">
        <v>619</v>
      </c>
      <c r="RXJ902" t="s">
        <v>1320</v>
      </c>
      <c r="RXK902" t="s">
        <v>619</v>
      </c>
      <c r="RXL902" t="s">
        <v>619</v>
      </c>
      <c r="RXM902">
        <v>1123920</v>
      </c>
      <c r="RXN902" t="s">
        <v>619</v>
      </c>
      <c r="RXO902" t="s">
        <v>619</v>
      </c>
      <c r="SHF902" t="s">
        <v>1320</v>
      </c>
      <c r="SHG902" t="s">
        <v>619</v>
      </c>
      <c r="SHH902" t="s">
        <v>619</v>
      </c>
      <c r="SHI902">
        <v>1123920</v>
      </c>
      <c r="SHJ902" t="s">
        <v>619</v>
      </c>
      <c r="SHK902" t="s">
        <v>619</v>
      </c>
      <c r="SRB902" t="s">
        <v>1320</v>
      </c>
      <c r="SRC902" t="s">
        <v>619</v>
      </c>
      <c r="SRD902" t="s">
        <v>619</v>
      </c>
      <c r="SRE902">
        <v>1123920</v>
      </c>
      <c r="SRF902" t="s">
        <v>619</v>
      </c>
      <c r="SRG902" t="s">
        <v>619</v>
      </c>
      <c r="TAX902" t="s">
        <v>1320</v>
      </c>
      <c r="TAY902" t="s">
        <v>619</v>
      </c>
      <c r="TAZ902" t="s">
        <v>619</v>
      </c>
      <c r="TBA902">
        <v>1123920</v>
      </c>
      <c r="TBB902" t="s">
        <v>619</v>
      </c>
      <c r="TBC902" t="s">
        <v>619</v>
      </c>
      <c r="TKT902" t="s">
        <v>1320</v>
      </c>
      <c r="TKU902" t="s">
        <v>619</v>
      </c>
      <c r="TKV902" t="s">
        <v>619</v>
      </c>
      <c r="TKW902">
        <v>1123920</v>
      </c>
      <c r="TKX902" t="s">
        <v>619</v>
      </c>
      <c r="TKY902" t="s">
        <v>619</v>
      </c>
      <c r="TUP902" t="s">
        <v>1320</v>
      </c>
      <c r="TUQ902" t="s">
        <v>619</v>
      </c>
      <c r="TUR902" t="s">
        <v>619</v>
      </c>
      <c r="TUS902">
        <v>1123920</v>
      </c>
      <c r="TUT902" t="s">
        <v>619</v>
      </c>
      <c r="TUU902" t="s">
        <v>619</v>
      </c>
      <c r="UEL902" t="s">
        <v>1320</v>
      </c>
      <c r="UEM902" t="s">
        <v>619</v>
      </c>
      <c r="UEN902" t="s">
        <v>619</v>
      </c>
      <c r="UEO902">
        <v>1123920</v>
      </c>
      <c r="UEP902" t="s">
        <v>619</v>
      </c>
      <c r="UEQ902" t="s">
        <v>619</v>
      </c>
      <c r="UOH902" t="s">
        <v>1320</v>
      </c>
      <c r="UOI902" t="s">
        <v>619</v>
      </c>
      <c r="UOJ902" t="s">
        <v>619</v>
      </c>
      <c r="UOK902">
        <v>1123920</v>
      </c>
      <c r="UOL902" t="s">
        <v>619</v>
      </c>
      <c r="UOM902" t="s">
        <v>619</v>
      </c>
      <c r="UYD902" t="s">
        <v>1320</v>
      </c>
      <c r="UYE902" t="s">
        <v>619</v>
      </c>
      <c r="UYF902" t="s">
        <v>619</v>
      </c>
      <c r="UYG902">
        <v>1123920</v>
      </c>
      <c r="UYH902" t="s">
        <v>619</v>
      </c>
      <c r="UYI902" t="s">
        <v>619</v>
      </c>
      <c r="VHZ902" t="s">
        <v>1320</v>
      </c>
      <c r="VIA902" t="s">
        <v>619</v>
      </c>
      <c r="VIB902" t="s">
        <v>619</v>
      </c>
      <c r="VIC902">
        <v>1123920</v>
      </c>
      <c r="VID902" t="s">
        <v>619</v>
      </c>
      <c r="VIE902" t="s">
        <v>619</v>
      </c>
      <c r="VRV902" t="s">
        <v>1320</v>
      </c>
      <c r="VRW902" t="s">
        <v>619</v>
      </c>
      <c r="VRX902" t="s">
        <v>619</v>
      </c>
      <c r="VRY902">
        <v>1123920</v>
      </c>
      <c r="VRZ902" t="s">
        <v>619</v>
      </c>
      <c r="VSA902" t="s">
        <v>619</v>
      </c>
      <c r="WBR902" t="s">
        <v>1320</v>
      </c>
      <c r="WBS902" t="s">
        <v>619</v>
      </c>
      <c r="WBT902" t="s">
        <v>619</v>
      </c>
      <c r="WBU902">
        <v>1123920</v>
      </c>
      <c r="WBV902" t="s">
        <v>619</v>
      </c>
      <c r="WBW902" t="s">
        <v>619</v>
      </c>
      <c r="WLN902" t="s">
        <v>1320</v>
      </c>
      <c r="WLO902" t="s">
        <v>619</v>
      </c>
      <c r="WLP902" t="s">
        <v>619</v>
      </c>
      <c r="WLQ902">
        <v>1123920</v>
      </c>
      <c r="WLR902" t="s">
        <v>619</v>
      </c>
      <c r="WLS902" t="s">
        <v>619</v>
      </c>
      <c r="WVJ902" t="s">
        <v>1320</v>
      </c>
      <c r="WVK902" t="s">
        <v>619</v>
      </c>
      <c r="WVL902" t="s">
        <v>619</v>
      </c>
      <c r="WVM902">
        <v>1123920</v>
      </c>
      <c r="WVN902" t="s">
        <v>619</v>
      </c>
      <c r="WVO902" t="s">
        <v>619</v>
      </c>
    </row>
    <row r="903" spans="1:775 1026:1799 2050:2823 3074:3847 4098:4871 5122:5895 6146:6919 7170:7943 8194:8967 9218:9991 10242:11015 11266:12039 12290:13063 13314:14087 14338:15111 15362:16135">
      <c r="A903" s="96" t="s">
        <v>1321</v>
      </c>
      <c r="B903" t="s">
        <v>1067</v>
      </c>
      <c r="C903" s="98">
        <v>0</v>
      </c>
      <c r="D903" s="98">
        <v>0</v>
      </c>
      <c r="E903" s="98">
        <v>0</v>
      </c>
      <c r="F903" s="100">
        <v>2797805</v>
      </c>
      <c r="G903" s="100">
        <v>5118170</v>
      </c>
      <c r="H903" s="100"/>
      <c r="IX903" t="s">
        <v>1321</v>
      </c>
      <c r="IY903" t="s">
        <v>619</v>
      </c>
      <c r="IZ903" t="s">
        <v>619</v>
      </c>
      <c r="JA903" t="s">
        <v>619</v>
      </c>
      <c r="JB903">
        <v>2797805</v>
      </c>
      <c r="JC903">
        <v>5118170</v>
      </c>
      <c r="ST903" t="s">
        <v>1321</v>
      </c>
      <c r="SU903" t="s">
        <v>619</v>
      </c>
      <c r="SV903" t="s">
        <v>619</v>
      </c>
      <c r="SW903" t="s">
        <v>619</v>
      </c>
      <c r="SX903">
        <v>2797805</v>
      </c>
      <c r="SY903">
        <v>5118170</v>
      </c>
      <c r="ACP903" t="s">
        <v>1321</v>
      </c>
      <c r="ACQ903" t="s">
        <v>619</v>
      </c>
      <c r="ACR903" t="s">
        <v>619</v>
      </c>
      <c r="ACS903" t="s">
        <v>619</v>
      </c>
      <c r="ACT903">
        <v>2797805</v>
      </c>
      <c r="ACU903">
        <v>5118170</v>
      </c>
      <c r="AML903" t="s">
        <v>1321</v>
      </c>
      <c r="AMM903" t="s">
        <v>619</v>
      </c>
      <c r="AMN903" t="s">
        <v>619</v>
      </c>
      <c r="AMO903" t="s">
        <v>619</v>
      </c>
      <c r="AMP903">
        <v>2797805</v>
      </c>
      <c r="AMQ903">
        <v>5118170</v>
      </c>
      <c r="AWH903" t="s">
        <v>1321</v>
      </c>
      <c r="AWI903" t="s">
        <v>619</v>
      </c>
      <c r="AWJ903" t="s">
        <v>619</v>
      </c>
      <c r="AWK903" t="s">
        <v>619</v>
      </c>
      <c r="AWL903">
        <v>2797805</v>
      </c>
      <c r="AWM903">
        <v>5118170</v>
      </c>
      <c r="BGD903" t="s">
        <v>1321</v>
      </c>
      <c r="BGE903" t="s">
        <v>619</v>
      </c>
      <c r="BGF903" t="s">
        <v>619</v>
      </c>
      <c r="BGG903" t="s">
        <v>619</v>
      </c>
      <c r="BGH903">
        <v>2797805</v>
      </c>
      <c r="BGI903">
        <v>5118170</v>
      </c>
      <c r="BPZ903" t="s">
        <v>1321</v>
      </c>
      <c r="BQA903" t="s">
        <v>619</v>
      </c>
      <c r="BQB903" t="s">
        <v>619</v>
      </c>
      <c r="BQC903" t="s">
        <v>619</v>
      </c>
      <c r="BQD903">
        <v>2797805</v>
      </c>
      <c r="BQE903">
        <v>5118170</v>
      </c>
      <c r="BZV903" t="s">
        <v>1321</v>
      </c>
      <c r="BZW903" t="s">
        <v>619</v>
      </c>
      <c r="BZX903" t="s">
        <v>619</v>
      </c>
      <c r="BZY903" t="s">
        <v>619</v>
      </c>
      <c r="BZZ903">
        <v>2797805</v>
      </c>
      <c r="CAA903">
        <v>5118170</v>
      </c>
      <c r="CJR903" t="s">
        <v>1321</v>
      </c>
      <c r="CJS903" t="s">
        <v>619</v>
      </c>
      <c r="CJT903" t="s">
        <v>619</v>
      </c>
      <c r="CJU903" t="s">
        <v>619</v>
      </c>
      <c r="CJV903">
        <v>2797805</v>
      </c>
      <c r="CJW903">
        <v>5118170</v>
      </c>
      <c r="CTN903" t="s">
        <v>1321</v>
      </c>
      <c r="CTO903" t="s">
        <v>619</v>
      </c>
      <c r="CTP903" t="s">
        <v>619</v>
      </c>
      <c r="CTQ903" t="s">
        <v>619</v>
      </c>
      <c r="CTR903">
        <v>2797805</v>
      </c>
      <c r="CTS903">
        <v>5118170</v>
      </c>
      <c r="DDJ903" t="s">
        <v>1321</v>
      </c>
      <c r="DDK903" t="s">
        <v>619</v>
      </c>
      <c r="DDL903" t="s">
        <v>619</v>
      </c>
      <c r="DDM903" t="s">
        <v>619</v>
      </c>
      <c r="DDN903">
        <v>2797805</v>
      </c>
      <c r="DDO903">
        <v>5118170</v>
      </c>
      <c r="DNF903" t="s">
        <v>1321</v>
      </c>
      <c r="DNG903" t="s">
        <v>619</v>
      </c>
      <c r="DNH903" t="s">
        <v>619</v>
      </c>
      <c r="DNI903" t="s">
        <v>619</v>
      </c>
      <c r="DNJ903">
        <v>2797805</v>
      </c>
      <c r="DNK903">
        <v>5118170</v>
      </c>
      <c r="DXB903" t="s">
        <v>1321</v>
      </c>
      <c r="DXC903" t="s">
        <v>619</v>
      </c>
      <c r="DXD903" t="s">
        <v>619</v>
      </c>
      <c r="DXE903" t="s">
        <v>619</v>
      </c>
      <c r="DXF903">
        <v>2797805</v>
      </c>
      <c r="DXG903">
        <v>5118170</v>
      </c>
      <c r="EGX903" t="s">
        <v>1321</v>
      </c>
      <c r="EGY903" t="s">
        <v>619</v>
      </c>
      <c r="EGZ903" t="s">
        <v>619</v>
      </c>
      <c r="EHA903" t="s">
        <v>619</v>
      </c>
      <c r="EHB903">
        <v>2797805</v>
      </c>
      <c r="EHC903">
        <v>5118170</v>
      </c>
      <c r="EQT903" t="s">
        <v>1321</v>
      </c>
      <c r="EQU903" t="s">
        <v>619</v>
      </c>
      <c r="EQV903" t="s">
        <v>619</v>
      </c>
      <c r="EQW903" t="s">
        <v>619</v>
      </c>
      <c r="EQX903">
        <v>2797805</v>
      </c>
      <c r="EQY903">
        <v>5118170</v>
      </c>
      <c r="FAP903" t="s">
        <v>1321</v>
      </c>
      <c r="FAQ903" t="s">
        <v>619</v>
      </c>
      <c r="FAR903" t="s">
        <v>619</v>
      </c>
      <c r="FAS903" t="s">
        <v>619</v>
      </c>
      <c r="FAT903">
        <v>2797805</v>
      </c>
      <c r="FAU903">
        <v>5118170</v>
      </c>
      <c r="FKL903" t="s">
        <v>1321</v>
      </c>
      <c r="FKM903" t="s">
        <v>619</v>
      </c>
      <c r="FKN903" t="s">
        <v>619</v>
      </c>
      <c r="FKO903" t="s">
        <v>619</v>
      </c>
      <c r="FKP903">
        <v>2797805</v>
      </c>
      <c r="FKQ903">
        <v>5118170</v>
      </c>
      <c r="FUH903" t="s">
        <v>1321</v>
      </c>
      <c r="FUI903" t="s">
        <v>619</v>
      </c>
      <c r="FUJ903" t="s">
        <v>619</v>
      </c>
      <c r="FUK903" t="s">
        <v>619</v>
      </c>
      <c r="FUL903">
        <v>2797805</v>
      </c>
      <c r="FUM903">
        <v>5118170</v>
      </c>
      <c r="GED903" t="s">
        <v>1321</v>
      </c>
      <c r="GEE903" t="s">
        <v>619</v>
      </c>
      <c r="GEF903" t="s">
        <v>619</v>
      </c>
      <c r="GEG903" t="s">
        <v>619</v>
      </c>
      <c r="GEH903">
        <v>2797805</v>
      </c>
      <c r="GEI903">
        <v>5118170</v>
      </c>
      <c r="GNZ903" t="s">
        <v>1321</v>
      </c>
      <c r="GOA903" t="s">
        <v>619</v>
      </c>
      <c r="GOB903" t="s">
        <v>619</v>
      </c>
      <c r="GOC903" t="s">
        <v>619</v>
      </c>
      <c r="GOD903">
        <v>2797805</v>
      </c>
      <c r="GOE903">
        <v>5118170</v>
      </c>
      <c r="GXV903" t="s">
        <v>1321</v>
      </c>
      <c r="GXW903" t="s">
        <v>619</v>
      </c>
      <c r="GXX903" t="s">
        <v>619</v>
      </c>
      <c r="GXY903" t="s">
        <v>619</v>
      </c>
      <c r="GXZ903">
        <v>2797805</v>
      </c>
      <c r="GYA903">
        <v>5118170</v>
      </c>
      <c r="HHR903" t="s">
        <v>1321</v>
      </c>
      <c r="HHS903" t="s">
        <v>619</v>
      </c>
      <c r="HHT903" t="s">
        <v>619</v>
      </c>
      <c r="HHU903" t="s">
        <v>619</v>
      </c>
      <c r="HHV903">
        <v>2797805</v>
      </c>
      <c r="HHW903">
        <v>5118170</v>
      </c>
      <c r="HRN903" t="s">
        <v>1321</v>
      </c>
      <c r="HRO903" t="s">
        <v>619</v>
      </c>
      <c r="HRP903" t="s">
        <v>619</v>
      </c>
      <c r="HRQ903" t="s">
        <v>619</v>
      </c>
      <c r="HRR903">
        <v>2797805</v>
      </c>
      <c r="HRS903">
        <v>5118170</v>
      </c>
      <c r="IBJ903" t="s">
        <v>1321</v>
      </c>
      <c r="IBK903" t="s">
        <v>619</v>
      </c>
      <c r="IBL903" t="s">
        <v>619</v>
      </c>
      <c r="IBM903" t="s">
        <v>619</v>
      </c>
      <c r="IBN903">
        <v>2797805</v>
      </c>
      <c r="IBO903">
        <v>5118170</v>
      </c>
      <c r="ILF903" t="s">
        <v>1321</v>
      </c>
      <c r="ILG903" t="s">
        <v>619</v>
      </c>
      <c r="ILH903" t="s">
        <v>619</v>
      </c>
      <c r="ILI903" t="s">
        <v>619</v>
      </c>
      <c r="ILJ903">
        <v>2797805</v>
      </c>
      <c r="ILK903">
        <v>5118170</v>
      </c>
      <c r="IVB903" t="s">
        <v>1321</v>
      </c>
      <c r="IVC903" t="s">
        <v>619</v>
      </c>
      <c r="IVD903" t="s">
        <v>619</v>
      </c>
      <c r="IVE903" t="s">
        <v>619</v>
      </c>
      <c r="IVF903">
        <v>2797805</v>
      </c>
      <c r="IVG903">
        <v>5118170</v>
      </c>
      <c r="JEX903" t="s">
        <v>1321</v>
      </c>
      <c r="JEY903" t="s">
        <v>619</v>
      </c>
      <c r="JEZ903" t="s">
        <v>619</v>
      </c>
      <c r="JFA903" t="s">
        <v>619</v>
      </c>
      <c r="JFB903">
        <v>2797805</v>
      </c>
      <c r="JFC903">
        <v>5118170</v>
      </c>
      <c r="JOT903" t="s">
        <v>1321</v>
      </c>
      <c r="JOU903" t="s">
        <v>619</v>
      </c>
      <c r="JOV903" t="s">
        <v>619</v>
      </c>
      <c r="JOW903" t="s">
        <v>619</v>
      </c>
      <c r="JOX903">
        <v>2797805</v>
      </c>
      <c r="JOY903">
        <v>5118170</v>
      </c>
      <c r="JYP903" t="s">
        <v>1321</v>
      </c>
      <c r="JYQ903" t="s">
        <v>619</v>
      </c>
      <c r="JYR903" t="s">
        <v>619</v>
      </c>
      <c r="JYS903" t="s">
        <v>619</v>
      </c>
      <c r="JYT903">
        <v>2797805</v>
      </c>
      <c r="JYU903">
        <v>5118170</v>
      </c>
      <c r="KIL903" t="s">
        <v>1321</v>
      </c>
      <c r="KIM903" t="s">
        <v>619</v>
      </c>
      <c r="KIN903" t="s">
        <v>619</v>
      </c>
      <c r="KIO903" t="s">
        <v>619</v>
      </c>
      <c r="KIP903">
        <v>2797805</v>
      </c>
      <c r="KIQ903">
        <v>5118170</v>
      </c>
      <c r="KSH903" t="s">
        <v>1321</v>
      </c>
      <c r="KSI903" t="s">
        <v>619</v>
      </c>
      <c r="KSJ903" t="s">
        <v>619</v>
      </c>
      <c r="KSK903" t="s">
        <v>619</v>
      </c>
      <c r="KSL903">
        <v>2797805</v>
      </c>
      <c r="KSM903">
        <v>5118170</v>
      </c>
      <c r="LCD903" t="s">
        <v>1321</v>
      </c>
      <c r="LCE903" t="s">
        <v>619</v>
      </c>
      <c r="LCF903" t="s">
        <v>619</v>
      </c>
      <c r="LCG903" t="s">
        <v>619</v>
      </c>
      <c r="LCH903">
        <v>2797805</v>
      </c>
      <c r="LCI903">
        <v>5118170</v>
      </c>
      <c r="LLZ903" t="s">
        <v>1321</v>
      </c>
      <c r="LMA903" t="s">
        <v>619</v>
      </c>
      <c r="LMB903" t="s">
        <v>619</v>
      </c>
      <c r="LMC903" t="s">
        <v>619</v>
      </c>
      <c r="LMD903">
        <v>2797805</v>
      </c>
      <c r="LME903">
        <v>5118170</v>
      </c>
      <c r="LVV903" t="s">
        <v>1321</v>
      </c>
      <c r="LVW903" t="s">
        <v>619</v>
      </c>
      <c r="LVX903" t="s">
        <v>619</v>
      </c>
      <c r="LVY903" t="s">
        <v>619</v>
      </c>
      <c r="LVZ903">
        <v>2797805</v>
      </c>
      <c r="LWA903">
        <v>5118170</v>
      </c>
      <c r="MFR903" t="s">
        <v>1321</v>
      </c>
      <c r="MFS903" t="s">
        <v>619</v>
      </c>
      <c r="MFT903" t="s">
        <v>619</v>
      </c>
      <c r="MFU903" t="s">
        <v>619</v>
      </c>
      <c r="MFV903">
        <v>2797805</v>
      </c>
      <c r="MFW903">
        <v>5118170</v>
      </c>
      <c r="MPN903" t="s">
        <v>1321</v>
      </c>
      <c r="MPO903" t="s">
        <v>619</v>
      </c>
      <c r="MPP903" t="s">
        <v>619</v>
      </c>
      <c r="MPQ903" t="s">
        <v>619</v>
      </c>
      <c r="MPR903">
        <v>2797805</v>
      </c>
      <c r="MPS903">
        <v>5118170</v>
      </c>
      <c r="MZJ903" t="s">
        <v>1321</v>
      </c>
      <c r="MZK903" t="s">
        <v>619</v>
      </c>
      <c r="MZL903" t="s">
        <v>619</v>
      </c>
      <c r="MZM903" t="s">
        <v>619</v>
      </c>
      <c r="MZN903">
        <v>2797805</v>
      </c>
      <c r="MZO903">
        <v>5118170</v>
      </c>
      <c r="NJF903" t="s">
        <v>1321</v>
      </c>
      <c r="NJG903" t="s">
        <v>619</v>
      </c>
      <c r="NJH903" t="s">
        <v>619</v>
      </c>
      <c r="NJI903" t="s">
        <v>619</v>
      </c>
      <c r="NJJ903">
        <v>2797805</v>
      </c>
      <c r="NJK903">
        <v>5118170</v>
      </c>
      <c r="NTB903" t="s">
        <v>1321</v>
      </c>
      <c r="NTC903" t="s">
        <v>619</v>
      </c>
      <c r="NTD903" t="s">
        <v>619</v>
      </c>
      <c r="NTE903" t="s">
        <v>619</v>
      </c>
      <c r="NTF903">
        <v>2797805</v>
      </c>
      <c r="NTG903">
        <v>5118170</v>
      </c>
      <c r="OCX903" t="s">
        <v>1321</v>
      </c>
      <c r="OCY903" t="s">
        <v>619</v>
      </c>
      <c r="OCZ903" t="s">
        <v>619</v>
      </c>
      <c r="ODA903" t="s">
        <v>619</v>
      </c>
      <c r="ODB903">
        <v>2797805</v>
      </c>
      <c r="ODC903">
        <v>5118170</v>
      </c>
      <c r="OMT903" t="s">
        <v>1321</v>
      </c>
      <c r="OMU903" t="s">
        <v>619</v>
      </c>
      <c r="OMV903" t="s">
        <v>619</v>
      </c>
      <c r="OMW903" t="s">
        <v>619</v>
      </c>
      <c r="OMX903">
        <v>2797805</v>
      </c>
      <c r="OMY903">
        <v>5118170</v>
      </c>
      <c r="OWP903" t="s">
        <v>1321</v>
      </c>
      <c r="OWQ903" t="s">
        <v>619</v>
      </c>
      <c r="OWR903" t="s">
        <v>619</v>
      </c>
      <c r="OWS903" t="s">
        <v>619</v>
      </c>
      <c r="OWT903">
        <v>2797805</v>
      </c>
      <c r="OWU903">
        <v>5118170</v>
      </c>
      <c r="PGL903" t="s">
        <v>1321</v>
      </c>
      <c r="PGM903" t="s">
        <v>619</v>
      </c>
      <c r="PGN903" t="s">
        <v>619</v>
      </c>
      <c r="PGO903" t="s">
        <v>619</v>
      </c>
      <c r="PGP903">
        <v>2797805</v>
      </c>
      <c r="PGQ903">
        <v>5118170</v>
      </c>
      <c r="PQH903" t="s">
        <v>1321</v>
      </c>
      <c r="PQI903" t="s">
        <v>619</v>
      </c>
      <c r="PQJ903" t="s">
        <v>619</v>
      </c>
      <c r="PQK903" t="s">
        <v>619</v>
      </c>
      <c r="PQL903">
        <v>2797805</v>
      </c>
      <c r="PQM903">
        <v>5118170</v>
      </c>
      <c r="QAD903" t="s">
        <v>1321</v>
      </c>
      <c r="QAE903" t="s">
        <v>619</v>
      </c>
      <c r="QAF903" t="s">
        <v>619</v>
      </c>
      <c r="QAG903" t="s">
        <v>619</v>
      </c>
      <c r="QAH903">
        <v>2797805</v>
      </c>
      <c r="QAI903">
        <v>5118170</v>
      </c>
      <c r="QJZ903" t="s">
        <v>1321</v>
      </c>
      <c r="QKA903" t="s">
        <v>619</v>
      </c>
      <c r="QKB903" t="s">
        <v>619</v>
      </c>
      <c r="QKC903" t="s">
        <v>619</v>
      </c>
      <c r="QKD903">
        <v>2797805</v>
      </c>
      <c r="QKE903">
        <v>5118170</v>
      </c>
      <c r="QTV903" t="s">
        <v>1321</v>
      </c>
      <c r="QTW903" t="s">
        <v>619</v>
      </c>
      <c r="QTX903" t="s">
        <v>619</v>
      </c>
      <c r="QTY903" t="s">
        <v>619</v>
      </c>
      <c r="QTZ903">
        <v>2797805</v>
      </c>
      <c r="QUA903">
        <v>5118170</v>
      </c>
      <c r="RDR903" t="s">
        <v>1321</v>
      </c>
      <c r="RDS903" t="s">
        <v>619</v>
      </c>
      <c r="RDT903" t="s">
        <v>619</v>
      </c>
      <c r="RDU903" t="s">
        <v>619</v>
      </c>
      <c r="RDV903">
        <v>2797805</v>
      </c>
      <c r="RDW903">
        <v>5118170</v>
      </c>
      <c r="RNN903" t="s">
        <v>1321</v>
      </c>
      <c r="RNO903" t="s">
        <v>619</v>
      </c>
      <c r="RNP903" t="s">
        <v>619</v>
      </c>
      <c r="RNQ903" t="s">
        <v>619</v>
      </c>
      <c r="RNR903">
        <v>2797805</v>
      </c>
      <c r="RNS903">
        <v>5118170</v>
      </c>
      <c r="RXJ903" t="s">
        <v>1321</v>
      </c>
      <c r="RXK903" t="s">
        <v>619</v>
      </c>
      <c r="RXL903" t="s">
        <v>619</v>
      </c>
      <c r="RXM903" t="s">
        <v>619</v>
      </c>
      <c r="RXN903">
        <v>2797805</v>
      </c>
      <c r="RXO903">
        <v>5118170</v>
      </c>
      <c r="SHF903" t="s">
        <v>1321</v>
      </c>
      <c r="SHG903" t="s">
        <v>619</v>
      </c>
      <c r="SHH903" t="s">
        <v>619</v>
      </c>
      <c r="SHI903" t="s">
        <v>619</v>
      </c>
      <c r="SHJ903">
        <v>2797805</v>
      </c>
      <c r="SHK903">
        <v>5118170</v>
      </c>
      <c r="SRB903" t="s">
        <v>1321</v>
      </c>
      <c r="SRC903" t="s">
        <v>619</v>
      </c>
      <c r="SRD903" t="s">
        <v>619</v>
      </c>
      <c r="SRE903" t="s">
        <v>619</v>
      </c>
      <c r="SRF903">
        <v>2797805</v>
      </c>
      <c r="SRG903">
        <v>5118170</v>
      </c>
      <c r="TAX903" t="s">
        <v>1321</v>
      </c>
      <c r="TAY903" t="s">
        <v>619</v>
      </c>
      <c r="TAZ903" t="s">
        <v>619</v>
      </c>
      <c r="TBA903" t="s">
        <v>619</v>
      </c>
      <c r="TBB903">
        <v>2797805</v>
      </c>
      <c r="TBC903">
        <v>5118170</v>
      </c>
      <c r="TKT903" t="s">
        <v>1321</v>
      </c>
      <c r="TKU903" t="s">
        <v>619</v>
      </c>
      <c r="TKV903" t="s">
        <v>619</v>
      </c>
      <c r="TKW903" t="s">
        <v>619</v>
      </c>
      <c r="TKX903">
        <v>2797805</v>
      </c>
      <c r="TKY903">
        <v>5118170</v>
      </c>
      <c r="TUP903" t="s">
        <v>1321</v>
      </c>
      <c r="TUQ903" t="s">
        <v>619</v>
      </c>
      <c r="TUR903" t="s">
        <v>619</v>
      </c>
      <c r="TUS903" t="s">
        <v>619</v>
      </c>
      <c r="TUT903">
        <v>2797805</v>
      </c>
      <c r="TUU903">
        <v>5118170</v>
      </c>
      <c r="UEL903" t="s">
        <v>1321</v>
      </c>
      <c r="UEM903" t="s">
        <v>619</v>
      </c>
      <c r="UEN903" t="s">
        <v>619</v>
      </c>
      <c r="UEO903" t="s">
        <v>619</v>
      </c>
      <c r="UEP903">
        <v>2797805</v>
      </c>
      <c r="UEQ903">
        <v>5118170</v>
      </c>
      <c r="UOH903" t="s">
        <v>1321</v>
      </c>
      <c r="UOI903" t="s">
        <v>619</v>
      </c>
      <c r="UOJ903" t="s">
        <v>619</v>
      </c>
      <c r="UOK903" t="s">
        <v>619</v>
      </c>
      <c r="UOL903">
        <v>2797805</v>
      </c>
      <c r="UOM903">
        <v>5118170</v>
      </c>
      <c r="UYD903" t="s">
        <v>1321</v>
      </c>
      <c r="UYE903" t="s">
        <v>619</v>
      </c>
      <c r="UYF903" t="s">
        <v>619</v>
      </c>
      <c r="UYG903" t="s">
        <v>619</v>
      </c>
      <c r="UYH903">
        <v>2797805</v>
      </c>
      <c r="UYI903">
        <v>5118170</v>
      </c>
      <c r="VHZ903" t="s">
        <v>1321</v>
      </c>
      <c r="VIA903" t="s">
        <v>619</v>
      </c>
      <c r="VIB903" t="s">
        <v>619</v>
      </c>
      <c r="VIC903" t="s">
        <v>619</v>
      </c>
      <c r="VID903">
        <v>2797805</v>
      </c>
      <c r="VIE903">
        <v>5118170</v>
      </c>
      <c r="VRV903" t="s">
        <v>1321</v>
      </c>
      <c r="VRW903" t="s">
        <v>619</v>
      </c>
      <c r="VRX903" t="s">
        <v>619</v>
      </c>
      <c r="VRY903" t="s">
        <v>619</v>
      </c>
      <c r="VRZ903">
        <v>2797805</v>
      </c>
      <c r="VSA903">
        <v>5118170</v>
      </c>
      <c r="WBR903" t="s">
        <v>1321</v>
      </c>
      <c r="WBS903" t="s">
        <v>619</v>
      </c>
      <c r="WBT903" t="s">
        <v>619</v>
      </c>
      <c r="WBU903" t="s">
        <v>619</v>
      </c>
      <c r="WBV903">
        <v>2797805</v>
      </c>
      <c r="WBW903">
        <v>5118170</v>
      </c>
      <c r="WLN903" t="s">
        <v>1321</v>
      </c>
      <c r="WLO903" t="s">
        <v>619</v>
      </c>
      <c r="WLP903" t="s">
        <v>619</v>
      </c>
      <c r="WLQ903" t="s">
        <v>619</v>
      </c>
      <c r="WLR903">
        <v>2797805</v>
      </c>
      <c r="WLS903">
        <v>5118170</v>
      </c>
      <c r="WVJ903" t="s">
        <v>1321</v>
      </c>
      <c r="WVK903" t="s">
        <v>619</v>
      </c>
      <c r="WVL903" t="s">
        <v>619</v>
      </c>
      <c r="WVM903" t="s">
        <v>619</v>
      </c>
      <c r="WVN903">
        <v>2797805</v>
      </c>
      <c r="WVO903">
        <v>5118170</v>
      </c>
    </row>
    <row r="904" spans="1:775 1026:1799 2050:2823 3074:3847 4098:4871 5122:5895 6146:6919 7170:7943 8194:8967 9218:9991 10242:11015 11266:12039 12290:13063 13314:14087 14338:15111 15362:16135">
      <c r="A904" s="1448" t="s">
        <v>1322</v>
      </c>
      <c r="B904" t="s">
        <v>1069</v>
      </c>
      <c r="C904" s="100">
        <v>88066</v>
      </c>
      <c r="D904" s="100">
        <v>50783</v>
      </c>
      <c r="E904" s="100">
        <v>169288</v>
      </c>
      <c r="F904" s="98">
        <v>0</v>
      </c>
      <c r="G904" s="98">
        <v>0</v>
      </c>
      <c r="H904" s="98"/>
      <c r="IX904" t="s">
        <v>1322</v>
      </c>
      <c r="IY904">
        <v>88066</v>
      </c>
      <c r="IZ904">
        <v>50783</v>
      </c>
      <c r="JA904">
        <v>169288</v>
      </c>
      <c r="JB904" t="s">
        <v>619</v>
      </c>
      <c r="JC904" t="s">
        <v>619</v>
      </c>
      <c r="ST904" t="s">
        <v>1322</v>
      </c>
      <c r="SU904">
        <v>88066</v>
      </c>
      <c r="SV904">
        <v>50783</v>
      </c>
      <c r="SW904">
        <v>169288</v>
      </c>
      <c r="SX904" t="s">
        <v>619</v>
      </c>
      <c r="SY904" t="s">
        <v>619</v>
      </c>
      <c r="ACP904" t="s">
        <v>1322</v>
      </c>
      <c r="ACQ904">
        <v>88066</v>
      </c>
      <c r="ACR904">
        <v>50783</v>
      </c>
      <c r="ACS904">
        <v>169288</v>
      </c>
      <c r="ACT904" t="s">
        <v>619</v>
      </c>
      <c r="ACU904" t="s">
        <v>619</v>
      </c>
      <c r="AML904" t="s">
        <v>1322</v>
      </c>
      <c r="AMM904">
        <v>88066</v>
      </c>
      <c r="AMN904">
        <v>50783</v>
      </c>
      <c r="AMO904">
        <v>169288</v>
      </c>
      <c r="AMP904" t="s">
        <v>619</v>
      </c>
      <c r="AMQ904" t="s">
        <v>619</v>
      </c>
      <c r="AWH904" t="s">
        <v>1322</v>
      </c>
      <c r="AWI904">
        <v>88066</v>
      </c>
      <c r="AWJ904">
        <v>50783</v>
      </c>
      <c r="AWK904">
        <v>169288</v>
      </c>
      <c r="AWL904" t="s">
        <v>619</v>
      </c>
      <c r="AWM904" t="s">
        <v>619</v>
      </c>
      <c r="BGD904" t="s">
        <v>1322</v>
      </c>
      <c r="BGE904">
        <v>88066</v>
      </c>
      <c r="BGF904">
        <v>50783</v>
      </c>
      <c r="BGG904">
        <v>169288</v>
      </c>
      <c r="BGH904" t="s">
        <v>619</v>
      </c>
      <c r="BGI904" t="s">
        <v>619</v>
      </c>
      <c r="BPZ904" t="s">
        <v>1322</v>
      </c>
      <c r="BQA904">
        <v>88066</v>
      </c>
      <c r="BQB904">
        <v>50783</v>
      </c>
      <c r="BQC904">
        <v>169288</v>
      </c>
      <c r="BQD904" t="s">
        <v>619</v>
      </c>
      <c r="BQE904" t="s">
        <v>619</v>
      </c>
      <c r="BZV904" t="s">
        <v>1322</v>
      </c>
      <c r="BZW904">
        <v>88066</v>
      </c>
      <c r="BZX904">
        <v>50783</v>
      </c>
      <c r="BZY904">
        <v>169288</v>
      </c>
      <c r="BZZ904" t="s">
        <v>619</v>
      </c>
      <c r="CAA904" t="s">
        <v>619</v>
      </c>
      <c r="CJR904" t="s">
        <v>1322</v>
      </c>
      <c r="CJS904">
        <v>88066</v>
      </c>
      <c r="CJT904">
        <v>50783</v>
      </c>
      <c r="CJU904">
        <v>169288</v>
      </c>
      <c r="CJV904" t="s">
        <v>619</v>
      </c>
      <c r="CJW904" t="s">
        <v>619</v>
      </c>
      <c r="CTN904" t="s">
        <v>1322</v>
      </c>
      <c r="CTO904">
        <v>88066</v>
      </c>
      <c r="CTP904">
        <v>50783</v>
      </c>
      <c r="CTQ904">
        <v>169288</v>
      </c>
      <c r="CTR904" t="s">
        <v>619</v>
      </c>
      <c r="CTS904" t="s">
        <v>619</v>
      </c>
      <c r="DDJ904" t="s">
        <v>1322</v>
      </c>
      <c r="DDK904">
        <v>88066</v>
      </c>
      <c r="DDL904">
        <v>50783</v>
      </c>
      <c r="DDM904">
        <v>169288</v>
      </c>
      <c r="DDN904" t="s">
        <v>619</v>
      </c>
      <c r="DDO904" t="s">
        <v>619</v>
      </c>
      <c r="DNF904" t="s">
        <v>1322</v>
      </c>
      <c r="DNG904">
        <v>88066</v>
      </c>
      <c r="DNH904">
        <v>50783</v>
      </c>
      <c r="DNI904">
        <v>169288</v>
      </c>
      <c r="DNJ904" t="s">
        <v>619</v>
      </c>
      <c r="DNK904" t="s">
        <v>619</v>
      </c>
      <c r="DXB904" t="s">
        <v>1322</v>
      </c>
      <c r="DXC904">
        <v>88066</v>
      </c>
      <c r="DXD904">
        <v>50783</v>
      </c>
      <c r="DXE904">
        <v>169288</v>
      </c>
      <c r="DXF904" t="s">
        <v>619</v>
      </c>
      <c r="DXG904" t="s">
        <v>619</v>
      </c>
      <c r="EGX904" t="s">
        <v>1322</v>
      </c>
      <c r="EGY904">
        <v>88066</v>
      </c>
      <c r="EGZ904">
        <v>50783</v>
      </c>
      <c r="EHA904">
        <v>169288</v>
      </c>
      <c r="EHB904" t="s">
        <v>619</v>
      </c>
      <c r="EHC904" t="s">
        <v>619</v>
      </c>
      <c r="EQT904" t="s">
        <v>1322</v>
      </c>
      <c r="EQU904">
        <v>88066</v>
      </c>
      <c r="EQV904">
        <v>50783</v>
      </c>
      <c r="EQW904">
        <v>169288</v>
      </c>
      <c r="EQX904" t="s">
        <v>619</v>
      </c>
      <c r="EQY904" t="s">
        <v>619</v>
      </c>
      <c r="FAP904" t="s">
        <v>1322</v>
      </c>
      <c r="FAQ904">
        <v>88066</v>
      </c>
      <c r="FAR904">
        <v>50783</v>
      </c>
      <c r="FAS904">
        <v>169288</v>
      </c>
      <c r="FAT904" t="s">
        <v>619</v>
      </c>
      <c r="FAU904" t="s">
        <v>619</v>
      </c>
      <c r="FKL904" t="s">
        <v>1322</v>
      </c>
      <c r="FKM904">
        <v>88066</v>
      </c>
      <c r="FKN904">
        <v>50783</v>
      </c>
      <c r="FKO904">
        <v>169288</v>
      </c>
      <c r="FKP904" t="s">
        <v>619</v>
      </c>
      <c r="FKQ904" t="s">
        <v>619</v>
      </c>
      <c r="FUH904" t="s">
        <v>1322</v>
      </c>
      <c r="FUI904">
        <v>88066</v>
      </c>
      <c r="FUJ904">
        <v>50783</v>
      </c>
      <c r="FUK904">
        <v>169288</v>
      </c>
      <c r="FUL904" t="s">
        <v>619</v>
      </c>
      <c r="FUM904" t="s">
        <v>619</v>
      </c>
      <c r="GED904" t="s">
        <v>1322</v>
      </c>
      <c r="GEE904">
        <v>88066</v>
      </c>
      <c r="GEF904">
        <v>50783</v>
      </c>
      <c r="GEG904">
        <v>169288</v>
      </c>
      <c r="GEH904" t="s">
        <v>619</v>
      </c>
      <c r="GEI904" t="s">
        <v>619</v>
      </c>
      <c r="GNZ904" t="s">
        <v>1322</v>
      </c>
      <c r="GOA904">
        <v>88066</v>
      </c>
      <c r="GOB904">
        <v>50783</v>
      </c>
      <c r="GOC904">
        <v>169288</v>
      </c>
      <c r="GOD904" t="s">
        <v>619</v>
      </c>
      <c r="GOE904" t="s">
        <v>619</v>
      </c>
      <c r="GXV904" t="s">
        <v>1322</v>
      </c>
      <c r="GXW904">
        <v>88066</v>
      </c>
      <c r="GXX904">
        <v>50783</v>
      </c>
      <c r="GXY904">
        <v>169288</v>
      </c>
      <c r="GXZ904" t="s">
        <v>619</v>
      </c>
      <c r="GYA904" t="s">
        <v>619</v>
      </c>
      <c r="HHR904" t="s">
        <v>1322</v>
      </c>
      <c r="HHS904">
        <v>88066</v>
      </c>
      <c r="HHT904">
        <v>50783</v>
      </c>
      <c r="HHU904">
        <v>169288</v>
      </c>
      <c r="HHV904" t="s">
        <v>619</v>
      </c>
      <c r="HHW904" t="s">
        <v>619</v>
      </c>
      <c r="HRN904" t="s">
        <v>1322</v>
      </c>
      <c r="HRO904">
        <v>88066</v>
      </c>
      <c r="HRP904">
        <v>50783</v>
      </c>
      <c r="HRQ904">
        <v>169288</v>
      </c>
      <c r="HRR904" t="s">
        <v>619</v>
      </c>
      <c r="HRS904" t="s">
        <v>619</v>
      </c>
      <c r="IBJ904" t="s">
        <v>1322</v>
      </c>
      <c r="IBK904">
        <v>88066</v>
      </c>
      <c r="IBL904">
        <v>50783</v>
      </c>
      <c r="IBM904">
        <v>169288</v>
      </c>
      <c r="IBN904" t="s">
        <v>619</v>
      </c>
      <c r="IBO904" t="s">
        <v>619</v>
      </c>
      <c r="ILF904" t="s">
        <v>1322</v>
      </c>
      <c r="ILG904">
        <v>88066</v>
      </c>
      <c r="ILH904">
        <v>50783</v>
      </c>
      <c r="ILI904">
        <v>169288</v>
      </c>
      <c r="ILJ904" t="s">
        <v>619</v>
      </c>
      <c r="ILK904" t="s">
        <v>619</v>
      </c>
      <c r="IVB904" t="s">
        <v>1322</v>
      </c>
      <c r="IVC904">
        <v>88066</v>
      </c>
      <c r="IVD904">
        <v>50783</v>
      </c>
      <c r="IVE904">
        <v>169288</v>
      </c>
      <c r="IVF904" t="s">
        <v>619</v>
      </c>
      <c r="IVG904" t="s">
        <v>619</v>
      </c>
      <c r="JEX904" t="s">
        <v>1322</v>
      </c>
      <c r="JEY904">
        <v>88066</v>
      </c>
      <c r="JEZ904">
        <v>50783</v>
      </c>
      <c r="JFA904">
        <v>169288</v>
      </c>
      <c r="JFB904" t="s">
        <v>619</v>
      </c>
      <c r="JFC904" t="s">
        <v>619</v>
      </c>
      <c r="JOT904" t="s">
        <v>1322</v>
      </c>
      <c r="JOU904">
        <v>88066</v>
      </c>
      <c r="JOV904">
        <v>50783</v>
      </c>
      <c r="JOW904">
        <v>169288</v>
      </c>
      <c r="JOX904" t="s">
        <v>619</v>
      </c>
      <c r="JOY904" t="s">
        <v>619</v>
      </c>
      <c r="JYP904" t="s">
        <v>1322</v>
      </c>
      <c r="JYQ904">
        <v>88066</v>
      </c>
      <c r="JYR904">
        <v>50783</v>
      </c>
      <c r="JYS904">
        <v>169288</v>
      </c>
      <c r="JYT904" t="s">
        <v>619</v>
      </c>
      <c r="JYU904" t="s">
        <v>619</v>
      </c>
      <c r="KIL904" t="s">
        <v>1322</v>
      </c>
      <c r="KIM904">
        <v>88066</v>
      </c>
      <c r="KIN904">
        <v>50783</v>
      </c>
      <c r="KIO904">
        <v>169288</v>
      </c>
      <c r="KIP904" t="s">
        <v>619</v>
      </c>
      <c r="KIQ904" t="s">
        <v>619</v>
      </c>
      <c r="KSH904" t="s">
        <v>1322</v>
      </c>
      <c r="KSI904">
        <v>88066</v>
      </c>
      <c r="KSJ904">
        <v>50783</v>
      </c>
      <c r="KSK904">
        <v>169288</v>
      </c>
      <c r="KSL904" t="s">
        <v>619</v>
      </c>
      <c r="KSM904" t="s">
        <v>619</v>
      </c>
      <c r="LCD904" t="s">
        <v>1322</v>
      </c>
      <c r="LCE904">
        <v>88066</v>
      </c>
      <c r="LCF904">
        <v>50783</v>
      </c>
      <c r="LCG904">
        <v>169288</v>
      </c>
      <c r="LCH904" t="s">
        <v>619</v>
      </c>
      <c r="LCI904" t="s">
        <v>619</v>
      </c>
      <c r="LLZ904" t="s">
        <v>1322</v>
      </c>
      <c r="LMA904">
        <v>88066</v>
      </c>
      <c r="LMB904">
        <v>50783</v>
      </c>
      <c r="LMC904">
        <v>169288</v>
      </c>
      <c r="LMD904" t="s">
        <v>619</v>
      </c>
      <c r="LME904" t="s">
        <v>619</v>
      </c>
      <c r="LVV904" t="s">
        <v>1322</v>
      </c>
      <c r="LVW904">
        <v>88066</v>
      </c>
      <c r="LVX904">
        <v>50783</v>
      </c>
      <c r="LVY904">
        <v>169288</v>
      </c>
      <c r="LVZ904" t="s">
        <v>619</v>
      </c>
      <c r="LWA904" t="s">
        <v>619</v>
      </c>
      <c r="MFR904" t="s">
        <v>1322</v>
      </c>
      <c r="MFS904">
        <v>88066</v>
      </c>
      <c r="MFT904">
        <v>50783</v>
      </c>
      <c r="MFU904">
        <v>169288</v>
      </c>
      <c r="MFV904" t="s">
        <v>619</v>
      </c>
      <c r="MFW904" t="s">
        <v>619</v>
      </c>
      <c r="MPN904" t="s">
        <v>1322</v>
      </c>
      <c r="MPO904">
        <v>88066</v>
      </c>
      <c r="MPP904">
        <v>50783</v>
      </c>
      <c r="MPQ904">
        <v>169288</v>
      </c>
      <c r="MPR904" t="s">
        <v>619</v>
      </c>
      <c r="MPS904" t="s">
        <v>619</v>
      </c>
      <c r="MZJ904" t="s">
        <v>1322</v>
      </c>
      <c r="MZK904">
        <v>88066</v>
      </c>
      <c r="MZL904">
        <v>50783</v>
      </c>
      <c r="MZM904">
        <v>169288</v>
      </c>
      <c r="MZN904" t="s">
        <v>619</v>
      </c>
      <c r="MZO904" t="s">
        <v>619</v>
      </c>
      <c r="NJF904" t="s">
        <v>1322</v>
      </c>
      <c r="NJG904">
        <v>88066</v>
      </c>
      <c r="NJH904">
        <v>50783</v>
      </c>
      <c r="NJI904">
        <v>169288</v>
      </c>
      <c r="NJJ904" t="s">
        <v>619</v>
      </c>
      <c r="NJK904" t="s">
        <v>619</v>
      </c>
      <c r="NTB904" t="s">
        <v>1322</v>
      </c>
      <c r="NTC904">
        <v>88066</v>
      </c>
      <c r="NTD904">
        <v>50783</v>
      </c>
      <c r="NTE904">
        <v>169288</v>
      </c>
      <c r="NTF904" t="s">
        <v>619</v>
      </c>
      <c r="NTG904" t="s">
        <v>619</v>
      </c>
      <c r="OCX904" t="s">
        <v>1322</v>
      </c>
      <c r="OCY904">
        <v>88066</v>
      </c>
      <c r="OCZ904">
        <v>50783</v>
      </c>
      <c r="ODA904">
        <v>169288</v>
      </c>
      <c r="ODB904" t="s">
        <v>619</v>
      </c>
      <c r="ODC904" t="s">
        <v>619</v>
      </c>
      <c r="OMT904" t="s">
        <v>1322</v>
      </c>
      <c r="OMU904">
        <v>88066</v>
      </c>
      <c r="OMV904">
        <v>50783</v>
      </c>
      <c r="OMW904">
        <v>169288</v>
      </c>
      <c r="OMX904" t="s">
        <v>619</v>
      </c>
      <c r="OMY904" t="s">
        <v>619</v>
      </c>
      <c r="OWP904" t="s">
        <v>1322</v>
      </c>
      <c r="OWQ904">
        <v>88066</v>
      </c>
      <c r="OWR904">
        <v>50783</v>
      </c>
      <c r="OWS904">
        <v>169288</v>
      </c>
      <c r="OWT904" t="s">
        <v>619</v>
      </c>
      <c r="OWU904" t="s">
        <v>619</v>
      </c>
      <c r="PGL904" t="s">
        <v>1322</v>
      </c>
      <c r="PGM904">
        <v>88066</v>
      </c>
      <c r="PGN904">
        <v>50783</v>
      </c>
      <c r="PGO904">
        <v>169288</v>
      </c>
      <c r="PGP904" t="s">
        <v>619</v>
      </c>
      <c r="PGQ904" t="s">
        <v>619</v>
      </c>
      <c r="PQH904" t="s">
        <v>1322</v>
      </c>
      <c r="PQI904">
        <v>88066</v>
      </c>
      <c r="PQJ904">
        <v>50783</v>
      </c>
      <c r="PQK904">
        <v>169288</v>
      </c>
      <c r="PQL904" t="s">
        <v>619</v>
      </c>
      <c r="PQM904" t="s">
        <v>619</v>
      </c>
      <c r="QAD904" t="s">
        <v>1322</v>
      </c>
      <c r="QAE904">
        <v>88066</v>
      </c>
      <c r="QAF904">
        <v>50783</v>
      </c>
      <c r="QAG904">
        <v>169288</v>
      </c>
      <c r="QAH904" t="s">
        <v>619</v>
      </c>
      <c r="QAI904" t="s">
        <v>619</v>
      </c>
      <c r="QJZ904" t="s">
        <v>1322</v>
      </c>
      <c r="QKA904">
        <v>88066</v>
      </c>
      <c r="QKB904">
        <v>50783</v>
      </c>
      <c r="QKC904">
        <v>169288</v>
      </c>
      <c r="QKD904" t="s">
        <v>619</v>
      </c>
      <c r="QKE904" t="s">
        <v>619</v>
      </c>
      <c r="QTV904" t="s">
        <v>1322</v>
      </c>
      <c r="QTW904">
        <v>88066</v>
      </c>
      <c r="QTX904">
        <v>50783</v>
      </c>
      <c r="QTY904">
        <v>169288</v>
      </c>
      <c r="QTZ904" t="s">
        <v>619</v>
      </c>
      <c r="QUA904" t="s">
        <v>619</v>
      </c>
      <c r="RDR904" t="s">
        <v>1322</v>
      </c>
      <c r="RDS904">
        <v>88066</v>
      </c>
      <c r="RDT904">
        <v>50783</v>
      </c>
      <c r="RDU904">
        <v>169288</v>
      </c>
      <c r="RDV904" t="s">
        <v>619</v>
      </c>
      <c r="RDW904" t="s">
        <v>619</v>
      </c>
      <c r="RNN904" t="s">
        <v>1322</v>
      </c>
      <c r="RNO904">
        <v>88066</v>
      </c>
      <c r="RNP904">
        <v>50783</v>
      </c>
      <c r="RNQ904">
        <v>169288</v>
      </c>
      <c r="RNR904" t="s">
        <v>619</v>
      </c>
      <c r="RNS904" t="s">
        <v>619</v>
      </c>
      <c r="RXJ904" t="s">
        <v>1322</v>
      </c>
      <c r="RXK904">
        <v>88066</v>
      </c>
      <c r="RXL904">
        <v>50783</v>
      </c>
      <c r="RXM904">
        <v>169288</v>
      </c>
      <c r="RXN904" t="s">
        <v>619</v>
      </c>
      <c r="RXO904" t="s">
        <v>619</v>
      </c>
      <c r="SHF904" t="s">
        <v>1322</v>
      </c>
      <c r="SHG904">
        <v>88066</v>
      </c>
      <c r="SHH904">
        <v>50783</v>
      </c>
      <c r="SHI904">
        <v>169288</v>
      </c>
      <c r="SHJ904" t="s">
        <v>619</v>
      </c>
      <c r="SHK904" t="s">
        <v>619</v>
      </c>
      <c r="SRB904" t="s">
        <v>1322</v>
      </c>
      <c r="SRC904">
        <v>88066</v>
      </c>
      <c r="SRD904">
        <v>50783</v>
      </c>
      <c r="SRE904">
        <v>169288</v>
      </c>
      <c r="SRF904" t="s">
        <v>619</v>
      </c>
      <c r="SRG904" t="s">
        <v>619</v>
      </c>
      <c r="TAX904" t="s">
        <v>1322</v>
      </c>
      <c r="TAY904">
        <v>88066</v>
      </c>
      <c r="TAZ904">
        <v>50783</v>
      </c>
      <c r="TBA904">
        <v>169288</v>
      </c>
      <c r="TBB904" t="s">
        <v>619</v>
      </c>
      <c r="TBC904" t="s">
        <v>619</v>
      </c>
      <c r="TKT904" t="s">
        <v>1322</v>
      </c>
      <c r="TKU904">
        <v>88066</v>
      </c>
      <c r="TKV904">
        <v>50783</v>
      </c>
      <c r="TKW904">
        <v>169288</v>
      </c>
      <c r="TKX904" t="s">
        <v>619</v>
      </c>
      <c r="TKY904" t="s">
        <v>619</v>
      </c>
      <c r="TUP904" t="s">
        <v>1322</v>
      </c>
      <c r="TUQ904">
        <v>88066</v>
      </c>
      <c r="TUR904">
        <v>50783</v>
      </c>
      <c r="TUS904">
        <v>169288</v>
      </c>
      <c r="TUT904" t="s">
        <v>619</v>
      </c>
      <c r="TUU904" t="s">
        <v>619</v>
      </c>
      <c r="UEL904" t="s">
        <v>1322</v>
      </c>
      <c r="UEM904">
        <v>88066</v>
      </c>
      <c r="UEN904">
        <v>50783</v>
      </c>
      <c r="UEO904">
        <v>169288</v>
      </c>
      <c r="UEP904" t="s">
        <v>619</v>
      </c>
      <c r="UEQ904" t="s">
        <v>619</v>
      </c>
      <c r="UOH904" t="s">
        <v>1322</v>
      </c>
      <c r="UOI904">
        <v>88066</v>
      </c>
      <c r="UOJ904">
        <v>50783</v>
      </c>
      <c r="UOK904">
        <v>169288</v>
      </c>
      <c r="UOL904" t="s">
        <v>619</v>
      </c>
      <c r="UOM904" t="s">
        <v>619</v>
      </c>
      <c r="UYD904" t="s">
        <v>1322</v>
      </c>
      <c r="UYE904">
        <v>88066</v>
      </c>
      <c r="UYF904">
        <v>50783</v>
      </c>
      <c r="UYG904">
        <v>169288</v>
      </c>
      <c r="UYH904" t="s">
        <v>619</v>
      </c>
      <c r="UYI904" t="s">
        <v>619</v>
      </c>
      <c r="VHZ904" t="s">
        <v>1322</v>
      </c>
      <c r="VIA904">
        <v>88066</v>
      </c>
      <c r="VIB904">
        <v>50783</v>
      </c>
      <c r="VIC904">
        <v>169288</v>
      </c>
      <c r="VID904" t="s">
        <v>619</v>
      </c>
      <c r="VIE904" t="s">
        <v>619</v>
      </c>
      <c r="VRV904" t="s">
        <v>1322</v>
      </c>
      <c r="VRW904">
        <v>88066</v>
      </c>
      <c r="VRX904">
        <v>50783</v>
      </c>
      <c r="VRY904">
        <v>169288</v>
      </c>
      <c r="VRZ904" t="s">
        <v>619</v>
      </c>
      <c r="VSA904" t="s">
        <v>619</v>
      </c>
      <c r="WBR904" t="s">
        <v>1322</v>
      </c>
      <c r="WBS904">
        <v>88066</v>
      </c>
      <c r="WBT904">
        <v>50783</v>
      </c>
      <c r="WBU904">
        <v>169288</v>
      </c>
      <c r="WBV904" t="s">
        <v>619</v>
      </c>
      <c r="WBW904" t="s">
        <v>619</v>
      </c>
      <c r="WLN904" t="s">
        <v>1322</v>
      </c>
      <c r="WLO904">
        <v>88066</v>
      </c>
      <c r="WLP904">
        <v>50783</v>
      </c>
      <c r="WLQ904">
        <v>169288</v>
      </c>
      <c r="WLR904" t="s">
        <v>619</v>
      </c>
      <c r="WLS904" t="s">
        <v>619</v>
      </c>
      <c r="WVJ904" t="s">
        <v>1322</v>
      </c>
      <c r="WVK904">
        <v>88066</v>
      </c>
      <c r="WVL904">
        <v>50783</v>
      </c>
      <c r="WVM904">
        <v>169288</v>
      </c>
      <c r="WVN904" t="s">
        <v>619</v>
      </c>
      <c r="WVO904" t="s">
        <v>619</v>
      </c>
    </row>
    <row r="905" spans="1:775 1026:1799 2050:2823 3074:3847 4098:4871 5122:5895 6146:6919 7170:7943 8194:8967 9218:9991 10242:11015 11266:12039 12290:13063 13314:14087 14338:15111 15362:16135">
      <c r="A905" s="1448" t="s">
        <v>1323</v>
      </c>
      <c r="B905" t="s">
        <v>1069</v>
      </c>
      <c r="C905" s="98">
        <v>0</v>
      </c>
      <c r="D905" s="98">
        <v>0</v>
      </c>
      <c r="E905" s="98">
        <v>0</v>
      </c>
      <c r="F905" s="100">
        <v>1551334</v>
      </c>
      <c r="G905" s="100">
        <v>1380956</v>
      </c>
      <c r="H905" s="100"/>
      <c r="IX905" t="s">
        <v>1323</v>
      </c>
      <c r="IY905" t="s">
        <v>619</v>
      </c>
      <c r="IZ905" t="s">
        <v>619</v>
      </c>
      <c r="JA905" t="s">
        <v>619</v>
      </c>
      <c r="JB905">
        <v>1551334</v>
      </c>
      <c r="JC905">
        <v>1380956</v>
      </c>
      <c r="ST905" t="s">
        <v>1323</v>
      </c>
      <c r="SU905" t="s">
        <v>619</v>
      </c>
      <c r="SV905" t="s">
        <v>619</v>
      </c>
      <c r="SW905" t="s">
        <v>619</v>
      </c>
      <c r="SX905">
        <v>1551334</v>
      </c>
      <c r="SY905">
        <v>1380956</v>
      </c>
      <c r="ACP905" t="s">
        <v>1323</v>
      </c>
      <c r="ACQ905" t="s">
        <v>619</v>
      </c>
      <c r="ACR905" t="s">
        <v>619</v>
      </c>
      <c r="ACS905" t="s">
        <v>619</v>
      </c>
      <c r="ACT905">
        <v>1551334</v>
      </c>
      <c r="ACU905">
        <v>1380956</v>
      </c>
      <c r="AML905" t="s">
        <v>1323</v>
      </c>
      <c r="AMM905" t="s">
        <v>619</v>
      </c>
      <c r="AMN905" t="s">
        <v>619</v>
      </c>
      <c r="AMO905" t="s">
        <v>619</v>
      </c>
      <c r="AMP905">
        <v>1551334</v>
      </c>
      <c r="AMQ905">
        <v>1380956</v>
      </c>
      <c r="AWH905" t="s">
        <v>1323</v>
      </c>
      <c r="AWI905" t="s">
        <v>619</v>
      </c>
      <c r="AWJ905" t="s">
        <v>619</v>
      </c>
      <c r="AWK905" t="s">
        <v>619</v>
      </c>
      <c r="AWL905">
        <v>1551334</v>
      </c>
      <c r="AWM905">
        <v>1380956</v>
      </c>
      <c r="BGD905" t="s">
        <v>1323</v>
      </c>
      <c r="BGE905" t="s">
        <v>619</v>
      </c>
      <c r="BGF905" t="s">
        <v>619</v>
      </c>
      <c r="BGG905" t="s">
        <v>619</v>
      </c>
      <c r="BGH905">
        <v>1551334</v>
      </c>
      <c r="BGI905">
        <v>1380956</v>
      </c>
      <c r="BPZ905" t="s">
        <v>1323</v>
      </c>
      <c r="BQA905" t="s">
        <v>619</v>
      </c>
      <c r="BQB905" t="s">
        <v>619</v>
      </c>
      <c r="BQC905" t="s">
        <v>619</v>
      </c>
      <c r="BQD905">
        <v>1551334</v>
      </c>
      <c r="BQE905">
        <v>1380956</v>
      </c>
      <c r="BZV905" t="s">
        <v>1323</v>
      </c>
      <c r="BZW905" t="s">
        <v>619</v>
      </c>
      <c r="BZX905" t="s">
        <v>619</v>
      </c>
      <c r="BZY905" t="s">
        <v>619</v>
      </c>
      <c r="BZZ905">
        <v>1551334</v>
      </c>
      <c r="CAA905">
        <v>1380956</v>
      </c>
      <c r="CJR905" t="s">
        <v>1323</v>
      </c>
      <c r="CJS905" t="s">
        <v>619</v>
      </c>
      <c r="CJT905" t="s">
        <v>619</v>
      </c>
      <c r="CJU905" t="s">
        <v>619</v>
      </c>
      <c r="CJV905">
        <v>1551334</v>
      </c>
      <c r="CJW905">
        <v>1380956</v>
      </c>
      <c r="CTN905" t="s">
        <v>1323</v>
      </c>
      <c r="CTO905" t="s">
        <v>619</v>
      </c>
      <c r="CTP905" t="s">
        <v>619</v>
      </c>
      <c r="CTQ905" t="s">
        <v>619</v>
      </c>
      <c r="CTR905">
        <v>1551334</v>
      </c>
      <c r="CTS905">
        <v>1380956</v>
      </c>
      <c r="DDJ905" t="s">
        <v>1323</v>
      </c>
      <c r="DDK905" t="s">
        <v>619</v>
      </c>
      <c r="DDL905" t="s">
        <v>619</v>
      </c>
      <c r="DDM905" t="s">
        <v>619</v>
      </c>
      <c r="DDN905">
        <v>1551334</v>
      </c>
      <c r="DDO905">
        <v>1380956</v>
      </c>
      <c r="DNF905" t="s">
        <v>1323</v>
      </c>
      <c r="DNG905" t="s">
        <v>619</v>
      </c>
      <c r="DNH905" t="s">
        <v>619</v>
      </c>
      <c r="DNI905" t="s">
        <v>619</v>
      </c>
      <c r="DNJ905">
        <v>1551334</v>
      </c>
      <c r="DNK905">
        <v>1380956</v>
      </c>
      <c r="DXB905" t="s">
        <v>1323</v>
      </c>
      <c r="DXC905" t="s">
        <v>619</v>
      </c>
      <c r="DXD905" t="s">
        <v>619</v>
      </c>
      <c r="DXE905" t="s">
        <v>619</v>
      </c>
      <c r="DXF905">
        <v>1551334</v>
      </c>
      <c r="DXG905">
        <v>1380956</v>
      </c>
      <c r="EGX905" t="s">
        <v>1323</v>
      </c>
      <c r="EGY905" t="s">
        <v>619</v>
      </c>
      <c r="EGZ905" t="s">
        <v>619</v>
      </c>
      <c r="EHA905" t="s">
        <v>619</v>
      </c>
      <c r="EHB905">
        <v>1551334</v>
      </c>
      <c r="EHC905">
        <v>1380956</v>
      </c>
      <c r="EQT905" t="s">
        <v>1323</v>
      </c>
      <c r="EQU905" t="s">
        <v>619</v>
      </c>
      <c r="EQV905" t="s">
        <v>619</v>
      </c>
      <c r="EQW905" t="s">
        <v>619</v>
      </c>
      <c r="EQX905">
        <v>1551334</v>
      </c>
      <c r="EQY905">
        <v>1380956</v>
      </c>
      <c r="FAP905" t="s">
        <v>1323</v>
      </c>
      <c r="FAQ905" t="s">
        <v>619</v>
      </c>
      <c r="FAR905" t="s">
        <v>619</v>
      </c>
      <c r="FAS905" t="s">
        <v>619</v>
      </c>
      <c r="FAT905">
        <v>1551334</v>
      </c>
      <c r="FAU905">
        <v>1380956</v>
      </c>
      <c r="FKL905" t="s">
        <v>1323</v>
      </c>
      <c r="FKM905" t="s">
        <v>619</v>
      </c>
      <c r="FKN905" t="s">
        <v>619</v>
      </c>
      <c r="FKO905" t="s">
        <v>619</v>
      </c>
      <c r="FKP905">
        <v>1551334</v>
      </c>
      <c r="FKQ905">
        <v>1380956</v>
      </c>
      <c r="FUH905" t="s">
        <v>1323</v>
      </c>
      <c r="FUI905" t="s">
        <v>619</v>
      </c>
      <c r="FUJ905" t="s">
        <v>619</v>
      </c>
      <c r="FUK905" t="s">
        <v>619</v>
      </c>
      <c r="FUL905">
        <v>1551334</v>
      </c>
      <c r="FUM905">
        <v>1380956</v>
      </c>
      <c r="GED905" t="s">
        <v>1323</v>
      </c>
      <c r="GEE905" t="s">
        <v>619</v>
      </c>
      <c r="GEF905" t="s">
        <v>619</v>
      </c>
      <c r="GEG905" t="s">
        <v>619</v>
      </c>
      <c r="GEH905">
        <v>1551334</v>
      </c>
      <c r="GEI905">
        <v>1380956</v>
      </c>
      <c r="GNZ905" t="s">
        <v>1323</v>
      </c>
      <c r="GOA905" t="s">
        <v>619</v>
      </c>
      <c r="GOB905" t="s">
        <v>619</v>
      </c>
      <c r="GOC905" t="s">
        <v>619</v>
      </c>
      <c r="GOD905">
        <v>1551334</v>
      </c>
      <c r="GOE905">
        <v>1380956</v>
      </c>
      <c r="GXV905" t="s">
        <v>1323</v>
      </c>
      <c r="GXW905" t="s">
        <v>619</v>
      </c>
      <c r="GXX905" t="s">
        <v>619</v>
      </c>
      <c r="GXY905" t="s">
        <v>619</v>
      </c>
      <c r="GXZ905">
        <v>1551334</v>
      </c>
      <c r="GYA905">
        <v>1380956</v>
      </c>
      <c r="HHR905" t="s">
        <v>1323</v>
      </c>
      <c r="HHS905" t="s">
        <v>619</v>
      </c>
      <c r="HHT905" t="s">
        <v>619</v>
      </c>
      <c r="HHU905" t="s">
        <v>619</v>
      </c>
      <c r="HHV905">
        <v>1551334</v>
      </c>
      <c r="HHW905">
        <v>1380956</v>
      </c>
      <c r="HRN905" t="s">
        <v>1323</v>
      </c>
      <c r="HRO905" t="s">
        <v>619</v>
      </c>
      <c r="HRP905" t="s">
        <v>619</v>
      </c>
      <c r="HRQ905" t="s">
        <v>619</v>
      </c>
      <c r="HRR905">
        <v>1551334</v>
      </c>
      <c r="HRS905">
        <v>1380956</v>
      </c>
      <c r="IBJ905" t="s">
        <v>1323</v>
      </c>
      <c r="IBK905" t="s">
        <v>619</v>
      </c>
      <c r="IBL905" t="s">
        <v>619</v>
      </c>
      <c r="IBM905" t="s">
        <v>619</v>
      </c>
      <c r="IBN905">
        <v>1551334</v>
      </c>
      <c r="IBO905">
        <v>1380956</v>
      </c>
      <c r="ILF905" t="s">
        <v>1323</v>
      </c>
      <c r="ILG905" t="s">
        <v>619</v>
      </c>
      <c r="ILH905" t="s">
        <v>619</v>
      </c>
      <c r="ILI905" t="s">
        <v>619</v>
      </c>
      <c r="ILJ905">
        <v>1551334</v>
      </c>
      <c r="ILK905">
        <v>1380956</v>
      </c>
      <c r="IVB905" t="s">
        <v>1323</v>
      </c>
      <c r="IVC905" t="s">
        <v>619</v>
      </c>
      <c r="IVD905" t="s">
        <v>619</v>
      </c>
      <c r="IVE905" t="s">
        <v>619</v>
      </c>
      <c r="IVF905">
        <v>1551334</v>
      </c>
      <c r="IVG905">
        <v>1380956</v>
      </c>
      <c r="JEX905" t="s">
        <v>1323</v>
      </c>
      <c r="JEY905" t="s">
        <v>619</v>
      </c>
      <c r="JEZ905" t="s">
        <v>619</v>
      </c>
      <c r="JFA905" t="s">
        <v>619</v>
      </c>
      <c r="JFB905">
        <v>1551334</v>
      </c>
      <c r="JFC905">
        <v>1380956</v>
      </c>
      <c r="JOT905" t="s">
        <v>1323</v>
      </c>
      <c r="JOU905" t="s">
        <v>619</v>
      </c>
      <c r="JOV905" t="s">
        <v>619</v>
      </c>
      <c r="JOW905" t="s">
        <v>619</v>
      </c>
      <c r="JOX905">
        <v>1551334</v>
      </c>
      <c r="JOY905">
        <v>1380956</v>
      </c>
      <c r="JYP905" t="s">
        <v>1323</v>
      </c>
      <c r="JYQ905" t="s">
        <v>619</v>
      </c>
      <c r="JYR905" t="s">
        <v>619</v>
      </c>
      <c r="JYS905" t="s">
        <v>619</v>
      </c>
      <c r="JYT905">
        <v>1551334</v>
      </c>
      <c r="JYU905">
        <v>1380956</v>
      </c>
      <c r="KIL905" t="s">
        <v>1323</v>
      </c>
      <c r="KIM905" t="s">
        <v>619</v>
      </c>
      <c r="KIN905" t="s">
        <v>619</v>
      </c>
      <c r="KIO905" t="s">
        <v>619</v>
      </c>
      <c r="KIP905">
        <v>1551334</v>
      </c>
      <c r="KIQ905">
        <v>1380956</v>
      </c>
      <c r="KSH905" t="s">
        <v>1323</v>
      </c>
      <c r="KSI905" t="s">
        <v>619</v>
      </c>
      <c r="KSJ905" t="s">
        <v>619</v>
      </c>
      <c r="KSK905" t="s">
        <v>619</v>
      </c>
      <c r="KSL905">
        <v>1551334</v>
      </c>
      <c r="KSM905">
        <v>1380956</v>
      </c>
      <c r="LCD905" t="s">
        <v>1323</v>
      </c>
      <c r="LCE905" t="s">
        <v>619</v>
      </c>
      <c r="LCF905" t="s">
        <v>619</v>
      </c>
      <c r="LCG905" t="s">
        <v>619</v>
      </c>
      <c r="LCH905">
        <v>1551334</v>
      </c>
      <c r="LCI905">
        <v>1380956</v>
      </c>
      <c r="LLZ905" t="s">
        <v>1323</v>
      </c>
      <c r="LMA905" t="s">
        <v>619</v>
      </c>
      <c r="LMB905" t="s">
        <v>619</v>
      </c>
      <c r="LMC905" t="s">
        <v>619</v>
      </c>
      <c r="LMD905">
        <v>1551334</v>
      </c>
      <c r="LME905">
        <v>1380956</v>
      </c>
      <c r="LVV905" t="s">
        <v>1323</v>
      </c>
      <c r="LVW905" t="s">
        <v>619</v>
      </c>
      <c r="LVX905" t="s">
        <v>619</v>
      </c>
      <c r="LVY905" t="s">
        <v>619</v>
      </c>
      <c r="LVZ905">
        <v>1551334</v>
      </c>
      <c r="LWA905">
        <v>1380956</v>
      </c>
      <c r="MFR905" t="s">
        <v>1323</v>
      </c>
      <c r="MFS905" t="s">
        <v>619</v>
      </c>
      <c r="MFT905" t="s">
        <v>619</v>
      </c>
      <c r="MFU905" t="s">
        <v>619</v>
      </c>
      <c r="MFV905">
        <v>1551334</v>
      </c>
      <c r="MFW905">
        <v>1380956</v>
      </c>
      <c r="MPN905" t="s">
        <v>1323</v>
      </c>
      <c r="MPO905" t="s">
        <v>619</v>
      </c>
      <c r="MPP905" t="s">
        <v>619</v>
      </c>
      <c r="MPQ905" t="s">
        <v>619</v>
      </c>
      <c r="MPR905">
        <v>1551334</v>
      </c>
      <c r="MPS905">
        <v>1380956</v>
      </c>
      <c r="MZJ905" t="s">
        <v>1323</v>
      </c>
      <c r="MZK905" t="s">
        <v>619</v>
      </c>
      <c r="MZL905" t="s">
        <v>619</v>
      </c>
      <c r="MZM905" t="s">
        <v>619</v>
      </c>
      <c r="MZN905">
        <v>1551334</v>
      </c>
      <c r="MZO905">
        <v>1380956</v>
      </c>
      <c r="NJF905" t="s">
        <v>1323</v>
      </c>
      <c r="NJG905" t="s">
        <v>619</v>
      </c>
      <c r="NJH905" t="s">
        <v>619</v>
      </c>
      <c r="NJI905" t="s">
        <v>619</v>
      </c>
      <c r="NJJ905">
        <v>1551334</v>
      </c>
      <c r="NJK905">
        <v>1380956</v>
      </c>
      <c r="NTB905" t="s">
        <v>1323</v>
      </c>
      <c r="NTC905" t="s">
        <v>619</v>
      </c>
      <c r="NTD905" t="s">
        <v>619</v>
      </c>
      <c r="NTE905" t="s">
        <v>619</v>
      </c>
      <c r="NTF905">
        <v>1551334</v>
      </c>
      <c r="NTG905">
        <v>1380956</v>
      </c>
      <c r="OCX905" t="s">
        <v>1323</v>
      </c>
      <c r="OCY905" t="s">
        <v>619</v>
      </c>
      <c r="OCZ905" t="s">
        <v>619</v>
      </c>
      <c r="ODA905" t="s">
        <v>619</v>
      </c>
      <c r="ODB905">
        <v>1551334</v>
      </c>
      <c r="ODC905">
        <v>1380956</v>
      </c>
      <c r="OMT905" t="s">
        <v>1323</v>
      </c>
      <c r="OMU905" t="s">
        <v>619</v>
      </c>
      <c r="OMV905" t="s">
        <v>619</v>
      </c>
      <c r="OMW905" t="s">
        <v>619</v>
      </c>
      <c r="OMX905">
        <v>1551334</v>
      </c>
      <c r="OMY905">
        <v>1380956</v>
      </c>
      <c r="OWP905" t="s">
        <v>1323</v>
      </c>
      <c r="OWQ905" t="s">
        <v>619</v>
      </c>
      <c r="OWR905" t="s">
        <v>619</v>
      </c>
      <c r="OWS905" t="s">
        <v>619</v>
      </c>
      <c r="OWT905">
        <v>1551334</v>
      </c>
      <c r="OWU905">
        <v>1380956</v>
      </c>
      <c r="PGL905" t="s">
        <v>1323</v>
      </c>
      <c r="PGM905" t="s">
        <v>619</v>
      </c>
      <c r="PGN905" t="s">
        <v>619</v>
      </c>
      <c r="PGO905" t="s">
        <v>619</v>
      </c>
      <c r="PGP905">
        <v>1551334</v>
      </c>
      <c r="PGQ905">
        <v>1380956</v>
      </c>
      <c r="PQH905" t="s">
        <v>1323</v>
      </c>
      <c r="PQI905" t="s">
        <v>619</v>
      </c>
      <c r="PQJ905" t="s">
        <v>619</v>
      </c>
      <c r="PQK905" t="s">
        <v>619</v>
      </c>
      <c r="PQL905">
        <v>1551334</v>
      </c>
      <c r="PQM905">
        <v>1380956</v>
      </c>
      <c r="QAD905" t="s">
        <v>1323</v>
      </c>
      <c r="QAE905" t="s">
        <v>619</v>
      </c>
      <c r="QAF905" t="s">
        <v>619</v>
      </c>
      <c r="QAG905" t="s">
        <v>619</v>
      </c>
      <c r="QAH905">
        <v>1551334</v>
      </c>
      <c r="QAI905">
        <v>1380956</v>
      </c>
      <c r="QJZ905" t="s">
        <v>1323</v>
      </c>
      <c r="QKA905" t="s">
        <v>619</v>
      </c>
      <c r="QKB905" t="s">
        <v>619</v>
      </c>
      <c r="QKC905" t="s">
        <v>619</v>
      </c>
      <c r="QKD905">
        <v>1551334</v>
      </c>
      <c r="QKE905">
        <v>1380956</v>
      </c>
      <c r="QTV905" t="s">
        <v>1323</v>
      </c>
      <c r="QTW905" t="s">
        <v>619</v>
      </c>
      <c r="QTX905" t="s">
        <v>619</v>
      </c>
      <c r="QTY905" t="s">
        <v>619</v>
      </c>
      <c r="QTZ905">
        <v>1551334</v>
      </c>
      <c r="QUA905">
        <v>1380956</v>
      </c>
      <c r="RDR905" t="s">
        <v>1323</v>
      </c>
      <c r="RDS905" t="s">
        <v>619</v>
      </c>
      <c r="RDT905" t="s">
        <v>619</v>
      </c>
      <c r="RDU905" t="s">
        <v>619</v>
      </c>
      <c r="RDV905">
        <v>1551334</v>
      </c>
      <c r="RDW905">
        <v>1380956</v>
      </c>
      <c r="RNN905" t="s">
        <v>1323</v>
      </c>
      <c r="RNO905" t="s">
        <v>619</v>
      </c>
      <c r="RNP905" t="s">
        <v>619</v>
      </c>
      <c r="RNQ905" t="s">
        <v>619</v>
      </c>
      <c r="RNR905">
        <v>1551334</v>
      </c>
      <c r="RNS905">
        <v>1380956</v>
      </c>
      <c r="RXJ905" t="s">
        <v>1323</v>
      </c>
      <c r="RXK905" t="s">
        <v>619</v>
      </c>
      <c r="RXL905" t="s">
        <v>619</v>
      </c>
      <c r="RXM905" t="s">
        <v>619</v>
      </c>
      <c r="RXN905">
        <v>1551334</v>
      </c>
      <c r="RXO905">
        <v>1380956</v>
      </c>
      <c r="SHF905" t="s">
        <v>1323</v>
      </c>
      <c r="SHG905" t="s">
        <v>619</v>
      </c>
      <c r="SHH905" t="s">
        <v>619</v>
      </c>
      <c r="SHI905" t="s">
        <v>619</v>
      </c>
      <c r="SHJ905">
        <v>1551334</v>
      </c>
      <c r="SHK905">
        <v>1380956</v>
      </c>
      <c r="SRB905" t="s">
        <v>1323</v>
      </c>
      <c r="SRC905" t="s">
        <v>619</v>
      </c>
      <c r="SRD905" t="s">
        <v>619</v>
      </c>
      <c r="SRE905" t="s">
        <v>619</v>
      </c>
      <c r="SRF905">
        <v>1551334</v>
      </c>
      <c r="SRG905">
        <v>1380956</v>
      </c>
      <c r="TAX905" t="s">
        <v>1323</v>
      </c>
      <c r="TAY905" t="s">
        <v>619</v>
      </c>
      <c r="TAZ905" t="s">
        <v>619</v>
      </c>
      <c r="TBA905" t="s">
        <v>619</v>
      </c>
      <c r="TBB905">
        <v>1551334</v>
      </c>
      <c r="TBC905">
        <v>1380956</v>
      </c>
      <c r="TKT905" t="s">
        <v>1323</v>
      </c>
      <c r="TKU905" t="s">
        <v>619</v>
      </c>
      <c r="TKV905" t="s">
        <v>619</v>
      </c>
      <c r="TKW905" t="s">
        <v>619</v>
      </c>
      <c r="TKX905">
        <v>1551334</v>
      </c>
      <c r="TKY905">
        <v>1380956</v>
      </c>
      <c r="TUP905" t="s">
        <v>1323</v>
      </c>
      <c r="TUQ905" t="s">
        <v>619</v>
      </c>
      <c r="TUR905" t="s">
        <v>619</v>
      </c>
      <c r="TUS905" t="s">
        <v>619</v>
      </c>
      <c r="TUT905">
        <v>1551334</v>
      </c>
      <c r="TUU905">
        <v>1380956</v>
      </c>
      <c r="UEL905" t="s">
        <v>1323</v>
      </c>
      <c r="UEM905" t="s">
        <v>619</v>
      </c>
      <c r="UEN905" t="s">
        <v>619</v>
      </c>
      <c r="UEO905" t="s">
        <v>619</v>
      </c>
      <c r="UEP905">
        <v>1551334</v>
      </c>
      <c r="UEQ905">
        <v>1380956</v>
      </c>
      <c r="UOH905" t="s">
        <v>1323</v>
      </c>
      <c r="UOI905" t="s">
        <v>619</v>
      </c>
      <c r="UOJ905" t="s">
        <v>619</v>
      </c>
      <c r="UOK905" t="s">
        <v>619</v>
      </c>
      <c r="UOL905">
        <v>1551334</v>
      </c>
      <c r="UOM905">
        <v>1380956</v>
      </c>
      <c r="UYD905" t="s">
        <v>1323</v>
      </c>
      <c r="UYE905" t="s">
        <v>619</v>
      </c>
      <c r="UYF905" t="s">
        <v>619</v>
      </c>
      <c r="UYG905" t="s">
        <v>619</v>
      </c>
      <c r="UYH905">
        <v>1551334</v>
      </c>
      <c r="UYI905">
        <v>1380956</v>
      </c>
      <c r="VHZ905" t="s">
        <v>1323</v>
      </c>
      <c r="VIA905" t="s">
        <v>619</v>
      </c>
      <c r="VIB905" t="s">
        <v>619</v>
      </c>
      <c r="VIC905" t="s">
        <v>619</v>
      </c>
      <c r="VID905">
        <v>1551334</v>
      </c>
      <c r="VIE905">
        <v>1380956</v>
      </c>
      <c r="VRV905" t="s">
        <v>1323</v>
      </c>
      <c r="VRW905" t="s">
        <v>619</v>
      </c>
      <c r="VRX905" t="s">
        <v>619</v>
      </c>
      <c r="VRY905" t="s">
        <v>619</v>
      </c>
      <c r="VRZ905">
        <v>1551334</v>
      </c>
      <c r="VSA905">
        <v>1380956</v>
      </c>
      <c r="WBR905" t="s">
        <v>1323</v>
      </c>
      <c r="WBS905" t="s">
        <v>619</v>
      </c>
      <c r="WBT905" t="s">
        <v>619</v>
      </c>
      <c r="WBU905" t="s">
        <v>619</v>
      </c>
      <c r="WBV905">
        <v>1551334</v>
      </c>
      <c r="WBW905">
        <v>1380956</v>
      </c>
      <c r="WLN905" t="s">
        <v>1323</v>
      </c>
      <c r="WLO905" t="s">
        <v>619</v>
      </c>
      <c r="WLP905" t="s">
        <v>619</v>
      </c>
      <c r="WLQ905" t="s">
        <v>619</v>
      </c>
      <c r="WLR905">
        <v>1551334</v>
      </c>
      <c r="WLS905">
        <v>1380956</v>
      </c>
      <c r="WVJ905" t="s">
        <v>1323</v>
      </c>
      <c r="WVK905" t="s">
        <v>619</v>
      </c>
      <c r="WVL905" t="s">
        <v>619</v>
      </c>
      <c r="WVM905" t="s">
        <v>619</v>
      </c>
      <c r="WVN905">
        <v>1551334</v>
      </c>
      <c r="WVO905">
        <v>1380956</v>
      </c>
    </row>
    <row r="906" spans="1:775 1026:1799 2050:2823 3074:3847 4098:4871 5122:5895 6146:6919 7170:7943 8194:8967 9218:9991 10242:11015 11266:12039 12290:13063 13314:14087 14338:15111 15362:16135">
      <c r="A906" s="96" t="s">
        <v>789</v>
      </c>
      <c r="B906" t="s">
        <v>696</v>
      </c>
      <c r="C906" s="100">
        <v>1465239</v>
      </c>
      <c r="D906" s="100">
        <v>889528</v>
      </c>
      <c r="E906" s="100">
        <v>1081553</v>
      </c>
      <c r="F906" s="100">
        <v>2056352</v>
      </c>
      <c r="G906" s="100">
        <v>8191386</v>
      </c>
      <c r="H906" s="100"/>
      <c r="IX906" t="s">
        <v>789</v>
      </c>
      <c r="IY906">
        <v>1465239</v>
      </c>
      <c r="IZ906">
        <v>889528</v>
      </c>
      <c r="JA906">
        <v>1081553</v>
      </c>
      <c r="JB906">
        <v>2056352</v>
      </c>
      <c r="JC906">
        <v>8191386</v>
      </c>
      <c r="ST906" t="s">
        <v>789</v>
      </c>
      <c r="SU906">
        <v>1465239</v>
      </c>
      <c r="SV906">
        <v>889528</v>
      </c>
      <c r="SW906">
        <v>1081553</v>
      </c>
      <c r="SX906">
        <v>2056352</v>
      </c>
      <c r="SY906">
        <v>8191386</v>
      </c>
      <c r="ACP906" t="s">
        <v>789</v>
      </c>
      <c r="ACQ906">
        <v>1465239</v>
      </c>
      <c r="ACR906">
        <v>889528</v>
      </c>
      <c r="ACS906">
        <v>1081553</v>
      </c>
      <c r="ACT906">
        <v>2056352</v>
      </c>
      <c r="ACU906">
        <v>8191386</v>
      </c>
      <c r="AML906" t="s">
        <v>789</v>
      </c>
      <c r="AMM906">
        <v>1465239</v>
      </c>
      <c r="AMN906">
        <v>889528</v>
      </c>
      <c r="AMO906">
        <v>1081553</v>
      </c>
      <c r="AMP906">
        <v>2056352</v>
      </c>
      <c r="AMQ906">
        <v>8191386</v>
      </c>
      <c r="AWH906" t="s">
        <v>789</v>
      </c>
      <c r="AWI906">
        <v>1465239</v>
      </c>
      <c r="AWJ906">
        <v>889528</v>
      </c>
      <c r="AWK906">
        <v>1081553</v>
      </c>
      <c r="AWL906">
        <v>2056352</v>
      </c>
      <c r="AWM906">
        <v>8191386</v>
      </c>
      <c r="BGD906" t="s">
        <v>789</v>
      </c>
      <c r="BGE906">
        <v>1465239</v>
      </c>
      <c r="BGF906">
        <v>889528</v>
      </c>
      <c r="BGG906">
        <v>1081553</v>
      </c>
      <c r="BGH906">
        <v>2056352</v>
      </c>
      <c r="BGI906">
        <v>8191386</v>
      </c>
      <c r="BPZ906" t="s">
        <v>789</v>
      </c>
      <c r="BQA906">
        <v>1465239</v>
      </c>
      <c r="BQB906">
        <v>889528</v>
      </c>
      <c r="BQC906">
        <v>1081553</v>
      </c>
      <c r="BQD906">
        <v>2056352</v>
      </c>
      <c r="BQE906">
        <v>8191386</v>
      </c>
      <c r="BZV906" t="s">
        <v>789</v>
      </c>
      <c r="BZW906">
        <v>1465239</v>
      </c>
      <c r="BZX906">
        <v>889528</v>
      </c>
      <c r="BZY906">
        <v>1081553</v>
      </c>
      <c r="BZZ906">
        <v>2056352</v>
      </c>
      <c r="CAA906">
        <v>8191386</v>
      </c>
      <c r="CJR906" t="s">
        <v>789</v>
      </c>
      <c r="CJS906">
        <v>1465239</v>
      </c>
      <c r="CJT906">
        <v>889528</v>
      </c>
      <c r="CJU906">
        <v>1081553</v>
      </c>
      <c r="CJV906">
        <v>2056352</v>
      </c>
      <c r="CJW906">
        <v>8191386</v>
      </c>
      <c r="CTN906" t="s">
        <v>789</v>
      </c>
      <c r="CTO906">
        <v>1465239</v>
      </c>
      <c r="CTP906">
        <v>889528</v>
      </c>
      <c r="CTQ906">
        <v>1081553</v>
      </c>
      <c r="CTR906">
        <v>2056352</v>
      </c>
      <c r="CTS906">
        <v>8191386</v>
      </c>
      <c r="DDJ906" t="s">
        <v>789</v>
      </c>
      <c r="DDK906">
        <v>1465239</v>
      </c>
      <c r="DDL906">
        <v>889528</v>
      </c>
      <c r="DDM906">
        <v>1081553</v>
      </c>
      <c r="DDN906">
        <v>2056352</v>
      </c>
      <c r="DDO906">
        <v>8191386</v>
      </c>
      <c r="DNF906" t="s">
        <v>789</v>
      </c>
      <c r="DNG906">
        <v>1465239</v>
      </c>
      <c r="DNH906">
        <v>889528</v>
      </c>
      <c r="DNI906">
        <v>1081553</v>
      </c>
      <c r="DNJ906">
        <v>2056352</v>
      </c>
      <c r="DNK906">
        <v>8191386</v>
      </c>
      <c r="DXB906" t="s">
        <v>789</v>
      </c>
      <c r="DXC906">
        <v>1465239</v>
      </c>
      <c r="DXD906">
        <v>889528</v>
      </c>
      <c r="DXE906">
        <v>1081553</v>
      </c>
      <c r="DXF906">
        <v>2056352</v>
      </c>
      <c r="DXG906">
        <v>8191386</v>
      </c>
      <c r="EGX906" t="s">
        <v>789</v>
      </c>
      <c r="EGY906">
        <v>1465239</v>
      </c>
      <c r="EGZ906">
        <v>889528</v>
      </c>
      <c r="EHA906">
        <v>1081553</v>
      </c>
      <c r="EHB906">
        <v>2056352</v>
      </c>
      <c r="EHC906">
        <v>8191386</v>
      </c>
      <c r="EQT906" t="s">
        <v>789</v>
      </c>
      <c r="EQU906">
        <v>1465239</v>
      </c>
      <c r="EQV906">
        <v>889528</v>
      </c>
      <c r="EQW906">
        <v>1081553</v>
      </c>
      <c r="EQX906">
        <v>2056352</v>
      </c>
      <c r="EQY906">
        <v>8191386</v>
      </c>
      <c r="FAP906" t="s">
        <v>789</v>
      </c>
      <c r="FAQ906">
        <v>1465239</v>
      </c>
      <c r="FAR906">
        <v>889528</v>
      </c>
      <c r="FAS906">
        <v>1081553</v>
      </c>
      <c r="FAT906">
        <v>2056352</v>
      </c>
      <c r="FAU906">
        <v>8191386</v>
      </c>
      <c r="FKL906" t="s">
        <v>789</v>
      </c>
      <c r="FKM906">
        <v>1465239</v>
      </c>
      <c r="FKN906">
        <v>889528</v>
      </c>
      <c r="FKO906">
        <v>1081553</v>
      </c>
      <c r="FKP906">
        <v>2056352</v>
      </c>
      <c r="FKQ906">
        <v>8191386</v>
      </c>
      <c r="FUH906" t="s">
        <v>789</v>
      </c>
      <c r="FUI906">
        <v>1465239</v>
      </c>
      <c r="FUJ906">
        <v>889528</v>
      </c>
      <c r="FUK906">
        <v>1081553</v>
      </c>
      <c r="FUL906">
        <v>2056352</v>
      </c>
      <c r="FUM906">
        <v>8191386</v>
      </c>
      <c r="GED906" t="s">
        <v>789</v>
      </c>
      <c r="GEE906">
        <v>1465239</v>
      </c>
      <c r="GEF906">
        <v>889528</v>
      </c>
      <c r="GEG906">
        <v>1081553</v>
      </c>
      <c r="GEH906">
        <v>2056352</v>
      </c>
      <c r="GEI906">
        <v>8191386</v>
      </c>
      <c r="GNZ906" t="s">
        <v>789</v>
      </c>
      <c r="GOA906">
        <v>1465239</v>
      </c>
      <c r="GOB906">
        <v>889528</v>
      </c>
      <c r="GOC906">
        <v>1081553</v>
      </c>
      <c r="GOD906">
        <v>2056352</v>
      </c>
      <c r="GOE906">
        <v>8191386</v>
      </c>
      <c r="GXV906" t="s">
        <v>789</v>
      </c>
      <c r="GXW906">
        <v>1465239</v>
      </c>
      <c r="GXX906">
        <v>889528</v>
      </c>
      <c r="GXY906">
        <v>1081553</v>
      </c>
      <c r="GXZ906">
        <v>2056352</v>
      </c>
      <c r="GYA906">
        <v>8191386</v>
      </c>
      <c r="HHR906" t="s">
        <v>789</v>
      </c>
      <c r="HHS906">
        <v>1465239</v>
      </c>
      <c r="HHT906">
        <v>889528</v>
      </c>
      <c r="HHU906">
        <v>1081553</v>
      </c>
      <c r="HHV906">
        <v>2056352</v>
      </c>
      <c r="HHW906">
        <v>8191386</v>
      </c>
      <c r="HRN906" t="s">
        <v>789</v>
      </c>
      <c r="HRO906">
        <v>1465239</v>
      </c>
      <c r="HRP906">
        <v>889528</v>
      </c>
      <c r="HRQ906">
        <v>1081553</v>
      </c>
      <c r="HRR906">
        <v>2056352</v>
      </c>
      <c r="HRS906">
        <v>8191386</v>
      </c>
      <c r="IBJ906" t="s">
        <v>789</v>
      </c>
      <c r="IBK906">
        <v>1465239</v>
      </c>
      <c r="IBL906">
        <v>889528</v>
      </c>
      <c r="IBM906">
        <v>1081553</v>
      </c>
      <c r="IBN906">
        <v>2056352</v>
      </c>
      <c r="IBO906">
        <v>8191386</v>
      </c>
      <c r="ILF906" t="s">
        <v>789</v>
      </c>
      <c r="ILG906">
        <v>1465239</v>
      </c>
      <c r="ILH906">
        <v>889528</v>
      </c>
      <c r="ILI906">
        <v>1081553</v>
      </c>
      <c r="ILJ906">
        <v>2056352</v>
      </c>
      <c r="ILK906">
        <v>8191386</v>
      </c>
      <c r="IVB906" t="s">
        <v>789</v>
      </c>
      <c r="IVC906">
        <v>1465239</v>
      </c>
      <c r="IVD906">
        <v>889528</v>
      </c>
      <c r="IVE906">
        <v>1081553</v>
      </c>
      <c r="IVF906">
        <v>2056352</v>
      </c>
      <c r="IVG906">
        <v>8191386</v>
      </c>
      <c r="JEX906" t="s">
        <v>789</v>
      </c>
      <c r="JEY906">
        <v>1465239</v>
      </c>
      <c r="JEZ906">
        <v>889528</v>
      </c>
      <c r="JFA906">
        <v>1081553</v>
      </c>
      <c r="JFB906">
        <v>2056352</v>
      </c>
      <c r="JFC906">
        <v>8191386</v>
      </c>
      <c r="JOT906" t="s">
        <v>789</v>
      </c>
      <c r="JOU906">
        <v>1465239</v>
      </c>
      <c r="JOV906">
        <v>889528</v>
      </c>
      <c r="JOW906">
        <v>1081553</v>
      </c>
      <c r="JOX906">
        <v>2056352</v>
      </c>
      <c r="JOY906">
        <v>8191386</v>
      </c>
      <c r="JYP906" t="s">
        <v>789</v>
      </c>
      <c r="JYQ906">
        <v>1465239</v>
      </c>
      <c r="JYR906">
        <v>889528</v>
      </c>
      <c r="JYS906">
        <v>1081553</v>
      </c>
      <c r="JYT906">
        <v>2056352</v>
      </c>
      <c r="JYU906">
        <v>8191386</v>
      </c>
      <c r="KIL906" t="s">
        <v>789</v>
      </c>
      <c r="KIM906">
        <v>1465239</v>
      </c>
      <c r="KIN906">
        <v>889528</v>
      </c>
      <c r="KIO906">
        <v>1081553</v>
      </c>
      <c r="KIP906">
        <v>2056352</v>
      </c>
      <c r="KIQ906">
        <v>8191386</v>
      </c>
      <c r="KSH906" t="s">
        <v>789</v>
      </c>
      <c r="KSI906">
        <v>1465239</v>
      </c>
      <c r="KSJ906">
        <v>889528</v>
      </c>
      <c r="KSK906">
        <v>1081553</v>
      </c>
      <c r="KSL906">
        <v>2056352</v>
      </c>
      <c r="KSM906">
        <v>8191386</v>
      </c>
      <c r="LCD906" t="s">
        <v>789</v>
      </c>
      <c r="LCE906">
        <v>1465239</v>
      </c>
      <c r="LCF906">
        <v>889528</v>
      </c>
      <c r="LCG906">
        <v>1081553</v>
      </c>
      <c r="LCH906">
        <v>2056352</v>
      </c>
      <c r="LCI906">
        <v>8191386</v>
      </c>
      <c r="LLZ906" t="s">
        <v>789</v>
      </c>
      <c r="LMA906">
        <v>1465239</v>
      </c>
      <c r="LMB906">
        <v>889528</v>
      </c>
      <c r="LMC906">
        <v>1081553</v>
      </c>
      <c r="LMD906">
        <v>2056352</v>
      </c>
      <c r="LME906">
        <v>8191386</v>
      </c>
      <c r="LVV906" t="s">
        <v>789</v>
      </c>
      <c r="LVW906">
        <v>1465239</v>
      </c>
      <c r="LVX906">
        <v>889528</v>
      </c>
      <c r="LVY906">
        <v>1081553</v>
      </c>
      <c r="LVZ906">
        <v>2056352</v>
      </c>
      <c r="LWA906">
        <v>8191386</v>
      </c>
      <c r="MFR906" t="s">
        <v>789</v>
      </c>
      <c r="MFS906">
        <v>1465239</v>
      </c>
      <c r="MFT906">
        <v>889528</v>
      </c>
      <c r="MFU906">
        <v>1081553</v>
      </c>
      <c r="MFV906">
        <v>2056352</v>
      </c>
      <c r="MFW906">
        <v>8191386</v>
      </c>
      <c r="MPN906" t="s">
        <v>789</v>
      </c>
      <c r="MPO906">
        <v>1465239</v>
      </c>
      <c r="MPP906">
        <v>889528</v>
      </c>
      <c r="MPQ906">
        <v>1081553</v>
      </c>
      <c r="MPR906">
        <v>2056352</v>
      </c>
      <c r="MPS906">
        <v>8191386</v>
      </c>
      <c r="MZJ906" t="s">
        <v>789</v>
      </c>
      <c r="MZK906">
        <v>1465239</v>
      </c>
      <c r="MZL906">
        <v>889528</v>
      </c>
      <c r="MZM906">
        <v>1081553</v>
      </c>
      <c r="MZN906">
        <v>2056352</v>
      </c>
      <c r="MZO906">
        <v>8191386</v>
      </c>
      <c r="NJF906" t="s">
        <v>789</v>
      </c>
      <c r="NJG906">
        <v>1465239</v>
      </c>
      <c r="NJH906">
        <v>889528</v>
      </c>
      <c r="NJI906">
        <v>1081553</v>
      </c>
      <c r="NJJ906">
        <v>2056352</v>
      </c>
      <c r="NJK906">
        <v>8191386</v>
      </c>
      <c r="NTB906" t="s">
        <v>789</v>
      </c>
      <c r="NTC906">
        <v>1465239</v>
      </c>
      <c r="NTD906">
        <v>889528</v>
      </c>
      <c r="NTE906">
        <v>1081553</v>
      </c>
      <c r="NTF906">
        <v>2056352</v>
      </c>
      <c r="NTG906">
        <v>8191386</v>
      </c>
      <c r="OCX906" t="s">
        <v>789</v>
      </c>
      <c r="OCY906">
        <v>1465239</v>
      </c>
      <c r="OCZ906">
        <v>889528</v>
      </c>
      <c r="ODA906">
        <v>1081553</v>
      </c>
      <c r="ODB906">
        <v>2056352</v>
      </c>
      <c r="ODC906">
        <v>8191386</v>
      </c>
      <c r="OMT906" t="s">
        <v>789</v>
      </c>
      <c r="OMU906">
        <v>1465239</v>
      </c>
      <c r="OMV906">
        <v>889528</v>
      </c>
      <c r="OMW906">
        <v>1081553</v>
      </c>
      <c r="OMX906">
        <v>2056352</v>
      </c>
      <c r="OMY906">
        <v>8191386</v>
      </c>
      <c r="OWP906" t="s">
        <v>789</v>
      </c>
      <c r="OWQ906">
        <v>1465239</v>
      </c>
      <c r="OWR906">
        <v>889528</v>
      </c>
      <c r="OWS906">
        <v>1081553</v>
      </c>
      <c r="OWT906">
        <v>2056352</v>
      </c>
      <c r="OWU906">
        <v>8191386</v>
      </c>
      <c r="PGL906" t="s">
        <v>789</v>
      </c>
      <c r="PGM906">
        <v>1465239</v>
      </c>
      <c r="PGN906">
        <v>889528</v>
      </c>
      <c r="PGO906">
        <v>1081553</v>
      </c>
      <c r="PGP906">
        <v>2056352</v>
      </c>
      <c r="PGQ906">
        <v>8191386</v>
      </c>
      <c r="PQH906" t="s">
        <v>789</v>
      </c>
      <c r="PQI906">
        <v>1465239</v>
      </c>
      <c r="PQJ906">
        <v>889528</v>
      </c>
      <c r="PQK906">
        <v>1081553</v>
      </c>
      <c r="PQL906">
        <v>2056352</v>
      </c>
      <c r="PQM906">
        <v>8191386</v>
      </c>
      <c r="QAD906" t="s">
        <v>789</v>
      </c>
      <c r="QAE906">
        <v>1465239</v>
      </c>
      <c r="QAF906">
        <v>889528</v>
      </c>
      <c r="QAG906">
        <v>1081553</v>
      </c>
      <c r="QAH906">
        <v>2056352</v>
      </c>
      <c r="QAI906">
        <v>8191386</v>
      </c>
      <c r="QJZ906" t="s">
        <v>789</v>
      </c>
      <c r="QKA906">
        <v>1465239</v>
      </c>
      <c r="QKB906">
        <v>889528</v>
      </c>
      <c r="QKC906">
        <v>1081553</v>
      </c>
      <c r="QKD906">
        <v>2056352</v>
      </c>
      <c r="QKE906">
        <v>8191386</v>
      </c>
      <c r="QTV906" t="s">
        <v>789</v>
      </c>
      <c r="QTW906">
        <v>1465239</v>
      </c>
      <c r="QTX906">
        <v>889528</v>
      </c>
      <c r="QTY906">
        <v>1081553</v>
      </c>
      <c r="QTZ906">
        <v>2056352</v>
      </c>
      <c r="QUA906">
        <v>8191386</v>
      </c>
      <c r="RDR906" t="s">
        <v>789</v>
      </c>
      <c r="RDS906">
        <v>1465239</v>
      </c>
      <c r="RDT906">
        <v>889528</v>
      </c>
      <c r="RDU906">
        <v>1081553</v>
      </c>
      <c r="RDV906">
        <v>2056352</v>
      </c>
      <c r="RDW906">
        <v>8191386</v>
      </c>
      <c r="RNN906" t="s">
        <v>789</v>
      </c>
      <c r="RNO906">
        <v>1465239</v>
      </c>
      <c r="RNP906">
        <v>889528</v>
      </c>
      <c r="RNQ906">
        <v>1081553</v>
      </c>
      <c r="RNR906">
        <v>2056352</v>
      </c>
      <c r="RNS906">
        <v>8191386</v>
      </c>
      <c r="RXJ906" t="s">
        <v>789</v>
      </c>
      <c r="RXK906">
        <v>1465239</v>
      </c>
      <c r="RXL906">
        <v>889528</v>
      </c>
      <c r="RXM906">
        <v>1081553</v>
      </c>
      <c r="RXN906">
        <v>2056352</v>
      </c>
      <c r="RXO906">
        <v>8191386</v>
      </c>
      <c r="SHF906" t="s">
        <v>789</v>
      </c>
      <c r="SHG906">
        <v>1465239</v>
      </c>
      <c r="SHH906">
        <v>889528</v>
      </c>
      <c r="SHI906">
        <v>1081553</v>
      </c>
      <c r="SHJ906">
        <v>2056352</v>
      </c>
      <c r="SHK906">
        <v>8191386</v>
      </c>
      <c r="SRB906" t="s">
        <v>789</v>
      </c>
      <c r="SRC906">
        <v>1465239</v>
      </c>
      <c r="SRD906">
        <v>889528</v>
      </c>
      <c r="SRE906">
        <v>1081553</v>
      </c>
      <c r="SRF906">
        <v>2056352</v>
      </c>
      <c r="SRG906">
        <v>8191386</v>
      </c>
      <c r="TAX906" t="s">
        <v>789</v>
      </c>
      <c r="TAY906">
        <v>1465239</v>
      </c>
      <c r="TAZ906">
        <v>889528</v>
      </c>
      <c r="TBA906">
        <v>1081553</v>
      </c>
      <c r="TBB906">
        <v>2056352</v>
      </c>
      <c r="TBC906">
        <v>8191386</v>
      </c>
      <c r="TKT906" t="s">
        <v>789</v>
      </c>
      <c r="TKU906">
        <v>1465239</v>
      </c>
      <c r="TKV906">
        <v>889528</v>
      </c>
      <c r="TKW906">
        <v>1081553</v>
      </c>
      <c r="TKX906">
        <v>2056352</v>
      </c>
      <c r="TKY906">
        <v>8191386</v>
      </c>
      <c r="TUP906" t="s">
        <v>789</v>
      </c>
      <c r="TUQ906">
        <v>1465239</v>
      </c>
      <c r="TUR906">
        <v>889528</v>
      </c>
      <c r="TUS906">
        <v>1081553</v>
      </c>
      <c r="TUT906">
        <v>2056352</v>
      </c>
      <c r="TUU906">
        <v>8191386</v>
      </c>
      <c r="UEL906" t="s">
        <v>789</v>
      </c>
      <c r="UEM906">
        <v>1465239</v>
      </c>
      <c r="UEN906">
        <v>889528</v>
      </c>
      <c r="UEO906">
        <v>1081553</v>
      </c>
      <c r="UEP906">
        <v>2056352</v>
      </c>
      <c r="UEQ906">
        <v>8191386</v>
      </c>
      <c r="UOH906" t="s">
        <v>789</v>
      </c>
      <c r="UOI906">
        <v>1465239</v>
      </c>
      <c r="UOJ906">
        <v>889528</v>
      </c>
      <c r="UOK906">
        <v>1081553</v>
      </c>
      <c r="UOL906">
        <v>2056352</v>
      </c>
      <c r="UOM906">
        <v>8191386</v>
      </c>
      <c r="UYD906" t="s">
        <v>789</v>
      </c>
      <c r="UYE906">
        <v>1465239</v>
      </c>
      <c r="UYF906">
        <v>889528</v>
      </c>
      <c r="UYG906">
        <v>1081553</v>
      </c>
      <c r="UYH906">
        <v>2056352</v>
      </c>
      <c r="UYI906">
        <v>8191386</v>
      </c>
      <c r="VHZ906" t="s">
        <v>789</v>
      </c>
      <c r="VIA906">
        <v>1465239</v>
      </c>
      <c r="VIB906">
        <v>889528</v>
      </c>
      <c r="VIC906">
        <v>1081553</v>
      </c>
      <c r="VID906">
        <v>2056352</v>
      </c>
      <c r="VIE906">
        <v>8191386</v>
      </c>
      <c r="VRV906" t="s">
        <v>789</v>
      </c>
      <c r="VRW906">
        <v>1465239</v>
      </c>
      <c r="VRX906">
        <v>889528</v>
      </c>
      <c r="VRY906">
        <v>1081553</v>
      </c>
      <c r="VRZ906">
        <v>2056352</v>
      </c>
      <c r="VSA906">
        <v>8191386</v>
      </c>
      <c r="WBR906" t="s">
        <v>789</v>
      </c>
      <c r="WBS906">
        <v>1465239</v>
      </c>
      <c r="WBT906">
        <v>889528</v>
      </c>
      <c r="WBU906">
        <v>1081553</v>
      </c>
      <c r="WBV906">
        <v>2056352</v>
      </c>
      <c r="WBW906">
        <v>8191386</v>
      </c>
      <c r="WLN906" t="s">
        <v>789</v>
      </c>
      <c r="WLO906">
        <v>1465239</v>
      </c>
      <c r="WLP906">
        <v>889528</v>
      </c>
      <c r="WLQ906">
        <v>1081553</v>
      </c>
      <c r="WLR906">
        <v>2056352</v>
      </c>
      <c r="WLS906">
        <v>8191386</v>
      </c>
      <c r="WVJ906" t="s">
        <v>789</v>
      </c>
      <c r="WVK906">
        <v>1465239</v>
      </c>
      <c r="WVL906">
        <v>889528</v>
      </c>
      <c r="WVM906">
        <v>1081553</v>
      </c>
      <c r="WVN906">
        <v>2056352</v>
      </c>
      <c r="WVO906">
        <v>8191386</v>
      </c>
    </row>
    <row r="907" spans="1:775 1026:1799 2050:2823 3074:3847 4098:4871 5122:5895 6146:6919 7170:7943 8194:8967 9218:9991 10242:11015 11266:12039 12290:13063 13314:14087 14338:15111 15362:16135">
      <c r="A907" s="96" t="s">
        <v>698</v>
      </c>
      <c r="B907" t="s">
        <v>877</v>
      </c>
      <c r="C907" s="100">
        <v>57012</v>
      </c>
      <c r="D907" s="100">
        <v>82507</v>
      </c>
      <c r="E907" s="100">
        <v>78010</v>
      </c>
      <c r="F907" s="100">
        <v>2994408</v>
      </c>
      <c r="G907" s="100">
        <v>3154240</v>
      </c>
      <c r="H907" s="100"/>
      <c r="IX907" t="s">
        <v>698</v>
      </c>
      <c r="IY907">
        <v>57012</v>
      </c>
      <c r="IZ907">
        <v>82507</v>
      </c>
      <c r="JA907">
        <v>78010</v>
      </c>
      <c r="JB907">
        <v>2994408</v>
      </c>
      <c r="JC907">
        <v>3154240</v>
      </c>
      <c r="ST907" t="s">
        <v>698</v>
      </c>
      <c r="SU907">
        <v>57012</v>
      </c>
      <c r="SV907">
        <v>82507</v>
      </c>
      <c r="SW907">
        <v>78010</v>
      </c>
      <c r="SX907">
        <v>2994408</v>
      </c>
      <c r="SY907">
        <v>3154240</v>
      </c>
      <c r="ACP907" t="s">
        <v>698</v>
      </c>
      <c r="ACQ907">
        <v>57012</v>
      </c>
      <c r="ACR907">
        <v>82507</v>
      </c>
      <c r="ACS907">
        <v>78010</v>
      </c>
      <c r="ACT907">
        <v>2994408</v>
      </c>
      <c r="ACU907">
        <v>3154240</v>
      </c>
      <c r="AML907" t="s">
        <v>698</v>
      </c>
      <c r="AMM907">
        <v>57012</v>
      </c>
      <c r="AMN907">
        <v>82507</v>
      </c>
      <c r="AMO907">
        <v>78010</v>
      </c>
      <c r="AMP907">
        <v>2994408</v>
      </c>
      <c r="AMQ907">
        <v>3154240</v>
      </c>
      <c r="AWH907" t="s">
        <v>698</v>
      </c>
      <c r="AWI907">
        <v>57012</v>
      </c>
      <c r="AWJ907">
        <v>82507</v>
      </c>
      <c r="AWK907">
        <v>78010</v>
      </c>
      <c r="AWL907">
        <v>2994408</v>
      </c>
      <c r="AWM907">
        <v>3154240</v>
      </c>
      <c r="BGD907" t="s">
        <v>698</v>
      </c>
      <c r="BGE907">
        <v>57012</v>
      </c>
      <c r="BGF907">
        <v>82507</v>
      </c>
      <c r="BGG907">
        <v>78010</v>
      </c>
      <c r="BGH907">
        <v>2994408</v>
      </c>
      <c r="BGI907">
        <v>3154240</v>
      </c>
      <c r="BPZ907" t="s">
        <v>698</v>
      </c>
      <c r="BQA907">
        <v>57012</v>
      </c>
      <c r="BQB907">
        <v>82507</v>
      </c>
      <c r="BQC907">
        <v>78010</v>
      </c>
      <c r="BQD907">
        <v>2994408</v>
      </c>
      <c r="BQE907">
        <v>3154240</v>
      </c>
      <c r="BZV907" t="s">
        <v>698</v>
      </c>
      <c r="BZW907">
        <v>57012</v>
      </c>
      <c r="BZX907">
        <v>82507</v>
      </c>
      <c r="BZY907">
        <v>78010</v>
      </c>
      <c r="BZZ907">
        <v>2994408</v>
      </c>
      <c r="CAA907">
        <v>3154240</v>
      </c>
      <c r="CJR907" t="s">
        <v>698</v>
      </c>
      <c r="CJS907">
        <v>57012</v>
      </c>
      <c r="CJT907">
        <v>82507</v>
      </c>
      <c r="CJU907">
        <v>78010</v>
      </c>
      <c r="CJV907">
        <v>2994408</v>
      </c>
      <c r="CJW907">
        <v>3154240</v>
      </c>
      <c r="CTN907" t="s">
        <v>698</v>
      </c>
      <c r="CTO907">
        <v>57012</v>
      </c>
      <c r="CTP907">
        <v>82507</v>
      </c>
      <c r="CTQ907">
        <v>78010</v>
      </c>
      <c r="CTR907">
        <v>2994408</v>
      </c>
      <c r="CTS907">
        <v>3154240</v>
      </c>
      <c r="DDJ907" t="s">
        <v>698</v>
      </c>
      <c r="DDK907">
        <v>57012</v>
      </c>
      <c r="DDL907">
        <v>82507</v>
      </c>
      <c r="DDM907">
        <v>78010</v>
      </c>
      <c r="DDN907">
        <v>2994408</v>
      </c>
      <c r="DDO907">
        <v>3154240</v>
      </c>
      <c r="DNF907" t="s">
        <v>698</v>
      </c>
      <c r="DNG907">
        <v>57012</v>
      </c>
      <c r="DNH907">
        <v>82507</v>
      </c>
      <c r="DNI907">
        <v>78010</v>
      </c>
      <c r="DNJ907">
        <v>2994408</v>
      </c>
      <c r="DNK907">
        <v>3154240</v>
      </c>
      <c r="DXB907" t="s">
        <v>698</v>
      </c>
      <c r="DXC907">
        <v>57012</v>
      </c>
      <c r="DXD907">
        <v>82507</v>
      </c>
      <c r="DXE907">
        <v>78010</v>
      </c>
      <c r="DXF907">
        <v>2994408</v>
      </c>
      <c r="DXG907">
        <v>3154240</v>
      </c>
      <c r="EGX907" t="s">
        <v>698</v>
      </c>
      <c r="EGY907">
        <v>57012</v>
      </c>
      <c r="EGZ907">
        <v>82507</v>
      </c>
      <c r="EHA907">
        <v>78010</v>
      </c>
      <c r="EHB907">
        <v>2994408</v>
      </c>
      <c r="EHC907">
        <v>3154240</v>
      </c>
      <c r="EQT907" t="s">
        <v>698</v>
      </c>
      <c r="EQU907">
        <v>57012</v>
      </c>
      <c r="EQV907">
        <v>82507</v>
      </c>
      <c r="EQW907">
        <v>78010</v>
      </c>
      <c r="EQX907">
        <v>2994408</v>
      </c>
      <c r="EQY907">
        <v>3154240</v>
      </c>
      <c r="FAP907" t="s">
        <v>698</v>
      </c>
      <c r="FAQ907">
        <v>57012</v>
      </c>
      <c r="FAR907">
        <v>82507</v>
      </c>
      <c r="FAS907">
        <v>78010</v>
      </c>
      <c r="FAT907">
        <v>2994408</v>
      </c>
      <c r="FAU907">
        <v>3154240</v>
      </c>
      <c r="FKL907" t="s">
        <v>698</v>
      </c>
      <c r="FKM907">
        <v>57012</v>
      </c>
      <c r="FKN907">
        <v>82507</v>
      </c>
      <c r="FKO907">
        <v>78010</v>
      </c>
      <c r="FKP907">
        <v>2994408</v>
      </c>
      <c r="FKQ907">
        <v>3154240</v>
      </c>
      <c r="FUH907" t="s">
        <v>698</v>
      </c>
      <c r="FUI907">
        <v>57012</v>
      </c>
      <c r="FUJ907">
        <v>82507</v>
      </c>
      <c r="FUK907">
        <v>78010</v>
      </c>
      <c r="FUL907">
        <v>2994408</v>
      </c>
      <c r="FUM907">
        <v>3154240</v>
      </c>
      <c r="GED907" t="s">
        <v>698</v>
      </c>
      <c r="GEE907">
        <v>57012</v>
      </c>
      <c r="GEF907">
        <v>82507</v>
      </c>
      <c r="GEG907">
        <v>78010</v>
      </c>
      <c r="GEH907">
        <v>2994408</v>
      </c>
      <c r="GEI907">
        <v>3154240</v>
      </c>
      <c r="GNZ907" t="s">
        <v>698</v>
      </c>
      <c r="GOA907">
        <v>57012</v>
      </c>
      <c r="GOB907">
        <v>82507</v>
      </c>
      <c r="GOC907">
        <v>78010</v>
      </c>
      <c r="GOD907">
        <v>2994408</v>
      </c>
      <c r="GOE907">
        <v>3154240</v>
      </c>
      <c r="GXV907" t="s">
        <v>698</v>
      </c>
      <c r="GXW907">
        <v>57012</v>
      </c>
      <c r="GXX907">
        <v>82507</v>
      </c>
      <c r="GXY907">
        <v>78010</v>
      </c>
      <c r="GXZ907">
        <v>2994408</v>
      </c>
      <c r="GYA907">
        <v>3154240</v>
      </c>
      <c r="HHR907" t="s">
        <v>698</v>
      </c>
      <c r="HHS907">
        <v>57012</v>
      </c>
      <c r="HHT907">
        <v>82507</v>
      </c>
      <c r="HHU907">
        <v>78010</v>
      </c>
      <c r="HHV907">
        <v>2994408</v>
      </c>
      <c r="HHW907">
        <v>3154240</v>
      </c>
      <c r="HRN907" t="s">
        <v>698</v>
      </c>
      <c r="HRO907">
        <v>57012</v>
      </c>
      <c r="HRP907">
        <v>82507</v>
      </c>
      <c r="HRQ907">
        <v>78010</v>
      </c>
      <c r="HRR907">
        <v>2994408</v>
      </c>
      <c r="HRS907">
        <v>3154240</v>
      </c>
      <c r="IBJ907" t="s">
        <v>698</v>
      </c>
      <c r="IBK907">
        <v>57012</v>
      </c>
      <c r="IBL907">
        <v>82507</v>
      </c>
      <c r="IBM907">
        <v>78010</v>
      </c>
      <c r="IBN907">
        <v>2994408</v>
      </c>
      <c r="IBO907">
        <v>3154240</v>
      </c>
      <c r="ILF907" t="s">
        <v>698</v>
      </c>
      <c r="ILG907">
        <v>57012</v>
      </c>
      <c r="ILH907">
        <v>82507</v>
      </c>
      <c r="ILI907">
        <v>78010</v>
      </c>
      <c r="ILJ907">
        <v>2994408</v>
      </c>
      <c r="ILK907">
        <v>3154240</v>
      </c>
      <c r="IVB907" t="s">
        <v>698</v>
      </c>
      <c r="IVC907">
        <v>57012</v>
      </c>
      <c r="IVD907">
        <v>82507</v>
      </c>
      <c r="IVE907">
        <v>78010</v>
      </c>
      <c r="IVF907">
        <v>2994408</v>
      </c>
      <c r="IVG907">
        <v>3154240</v>
      </c>
      <c r="JEX907" t="s">
        <v>698</v>
      </c>
      <c r="JEY907">
        <v>57012</v>
      </c>
      <c r="JEZ907">
        <v>82507</v>
      </c>
      <c r="JFA907">
        <v>78010</v>
      </c>
      <c r="JFB907">
        <v>2994408</v>
      </c>
      <c r="JFC907">
        <v>3154240</v>
      </c>
      <c r="JOT907" t="s">
        <v>698</v>
      </c>
      <c r="JOU907">
        <v>57012</v>
      </c>
      <c r="JOV907">
        <v>82507</v>
      </c>
      <c r="JOW907">
        <v>78010</v>
      </c>
      <c r="JOX907">
        <v>2994408</v>
      </c>
      <c r="JOY907">
        <v>3154240</v>
      </c>
      <c r="JYP907" t="s">
        <v>698</v>
      </c>
      <c r="JYQ907">
        <v>57012</v>
      </c>
      <c r="JYR907">
        <v>82507</v>
      </c>
      <c r="JYS907">
        <v>78010</v>
      </c>
      <c r="JYT907">
        <v>2994408</v>
      </c>
      <c r="JYU907">
        <v>3154240</v>
      </c>
      <c r="KIL907" t="s">
        <v>698</v>
      </c>
      <c r="KIM907">
        <v>57012</v>
      </c>
      <c r="KIN907">
        <v>82507</v>
      </c>
      <c r="KIO907">
        <v>78010</v>
      </c>
      <c r="KIP907">
        <v>2994408</v>
      </c>
      <c r="KIQ907">
        <v>3154240</v>
      </c>
      <c r="KSH907" t="s">
        <v>698</v>
      </c>
      <c r="KSI907">
        <v>57012</v>
      </c>
      <c r="KSJ907">
        <v>82507</v>
      </c>
      <c r="KSK907">
        <v>78010</v>
      </c>
      <c r="KSL907">
        <v>2994408</v>
      </c>
      <c r="KSM907">
        <v>3154240</v>
      </c>
      <c r="LCD907" t="s">
        <v>698</v>
      </c>
      <c r="LCE907">
        <v>57012</v>
      </c>
      <c r="LCF907">
        <v>82507</v>
      </c>
      <c r="LCG907">
        <v>78010</v>
      </c>
      <c r="LCH907">
        <v>2994408</v>
      </c>
      <c r="LCI907">
        <v>3154240</v>
      </c>
      <c r="LLZ907" t="s">
        <v>698</v>
      </c>
      <c r="LMA907">
        <v>57012</v>
      </c>
      <c r="LMB907">
        <v>82507</v>
      </c>
      <c r="LMC907">
        <v>78010</v>
      </c>
      <c r="LMD907">
        <v>2994408</v>
      </c>
      <c r="LME907">
        <v>3154240</v>
      </c>
      <c r="LVV907" t="s">
        <v>698</v>
      </c>
      <c r="LVW907">
        <v>57012</v>
      </c>
      <c r="LVX907">
        <v>82507</v>
      </c>
      <c r="LVY907">
        <v>78010</v>
      </c>
      <c r="LVZ907">
        <v>2994408</v>
      </c>
      <c r="LWA907">
        <v>3154240</v>
      </c>
      <c r="MFR907" t="s">
        <v>698</v>
      </c>
      <c r="MFS907">
        <v>57012</v>
      </c>
      <c r="MFT907">
        <v>82507</v>
      </c>
      <c r="MFU907">
        <v>78010</v>
      </c>
      <c r="MFV907">
        <v>2994408</v>
      </c>
      <c r="MFW907">
        <v>3154240</v>
      </c>
      <c r="MPN907" t="s">
        <v>698</v>
      </c>
      <c r="MPO907">
        <v>57012</v>
      </c>
      <c r="MPP907">
        <v>82507</v>
      </c>
      <c r="MPQ907">
        <v>78010</v>
      </c>
      <c r="MPR907">
        <v>2994408</v>
      </c>
      <c r="MPS907">
        <v>3154240</v>
      </c>
      <c r="MZJ907" t="s">
        <v>698</v>
      </c>
      <c r="MZK907">
        <v>57012</v>
      </c>
      <c r="MZL907">
        <v>82507</v>
      </c>
      <c r="MZM907">
        <v>78010</v>
      </c>
      <c r="MZN907">
        <v>2994408</v>
      </c>
      <c r="MZO907">
        <v>3154240</v>
      </c>
      <c r="NJF907" t="s">
        <v>698</v>
      </c>
      <c r="NJG907">
        <v>57012</v>
      </c>
      <c r="NJH907">
        <v>82507</v>
      </c>
      <c r="NJI907">
        <v>78010</v>
      </c>
      <c r="NJJ907">
        <v>2994408</v>
      </c>
      <c r="NJK907">
        <v>3154240</v>
      </c>
      <c r="NTB907" t="s">
        <v>698</v>
      </c>
      <c r="NTC907">
        <v>57012</v>
      </c>
      <c r="NTD907">
        <v>82507</v>
      </c>
      <c r="NTE907">
        <v>78010</v>
      </c>
      <c r="NTF907">
        <v>2994408</v>
      </c>
      <c r="NTG907">
        <v>3154240</v>
      </c>
      <c r="OCX907" t="s">
        <v>698</v>
      </c>
      <c r="OCY907">
        <v>57012</v>
      </c>
      <c r="OCZ907">
        <v>82507</v>
      </c>
      <c r="ODA907">
        <v>78010</v>
      </c>
      <c r="ODB907">
        <v>2994408</v>
      </c>
      <c r="ODC907">
        <v>3154240</v>
      </c>
      <c r="OMT907" t="s">
        <v>698</v>
      </c>
      <c r="OMU907">
        <v>57012</v>
      </c>
      <c r="OMV907">
        <v>82507</v>
      </c>
      <c r="OMW907">
        <v>78010</v>
      </c>
      <c r="OMX907">
        <v>2994408</v>
      </c>
      <c r="OMY907">
        <v>3154240</v>
      </c>
      <c r="OWP907" t="s">
        <v>698</v>
      </c>
      <c r="OWQ907">
        <v>57012</v>
      </c>
      <c r="OWR907">
        <v>82507</v>
      </c>
      <c r="OWS907">
        <v>78010</v>
      </c>
      <c r="OWT907">
        <v>2994408</v>
      </c>
      <c r="OWU907">
        <v>3154240</v>
      </c>
      <c r="PGL907" t="s">
        <v>698</v>
      </c>
      <c r="PGM907">
        <v>57012</v>
      </c>
      <c r="PGN907">
        <v>82507</v>
      </c>
      <c r="PGO907">
        <v>78010</v>
      </c>
      <c r="PGP907">
        <v>2994408</v>
      </c>
      <c r="PGQ907">
        <v>3154240</v>
      </c>
      <c r="PQH907" t="s">
        <v>698</v>
      </c>
      <c r="PQI907">
        <v>57012</v>
      </c>
      <c r="PQJ907">
        <v>82507</v>
      </c>
      <c r="PQK907">
        <v>78010</v>
      </c>
      <c r="PQL907">
        <v>2994408</v>
      </c>
      <c r="PQM907">
        <v>3154240</v>
      </c>
      <c r="QAD907" t="s">
        <v>698</v>
      </c>
      <c r="QAE907">
        <v>57012</v>
      </c>
      <c r="QAF907">
        <v>82507</v>
      </c>
      <c r="QAG907">
        <v>78010</v>
      </c>
      <c r="QAH907">
        <v>2994408</v>
      </c>
      <c r="QAI907">
        <v>3154240</v>
      </c>
      <c r="QJZ907" t="s">
        <v>698</v>
      </c>
      <c r="QKA907">
        <v>57012</v>
      </c>
      <c r="QKB907">
        <v>82507</v>
      </c>
      <c r="QKC907">
        <v>78010</v>
      </c>
      <c r="QKD907">
        <v>2994408</v>
      </c>
      <c r="QKE907">
        <v>3154240</v>
      </c>
      <c r="QTV907" t="s">
        <v>698</v>
      </c>
      <c r="QTW907">
        <v>57012</v>
      </c>
      <c r="QTX907">
        <v>82507</v>
      </c>
      <c r="QTY907">
        <v>78010</v>
      </c>
      <c r="QTZ907">
        <v>2994408</v>
      </c>
      <c r="QUA907">
        <v>3154240</v>
      </c>
      <c r="RDR907" t="s">
        <v>698</v>
      </c>
      <c r="RDS907">
        <v>57012</v>
      </c>
      <c r="RDT907">
        <v>82507</v>
      </c>
      <c r="RDU907">
        <v>78010</v>
      </c>
      <c r="RDV907">
        <v>2994408</v>
      </c>
      <c r="RDW907">
        <v>3154240</v>
      </c>
      <c r="RNN907" t="s">
        <v>698</v>
      </c>
      <c r="RNO907">
        <v>57012</v>
      </c>
      <c r="RNP907">
        <v>82507</v>
      </c>
      <c r="RNQ907">
        <v>78010</v>
      </c>
      <c r="RNR907">
        <v>2994408</v>
      </c>
      <c r="RNS907">
        <v>3154240</v>
      </c>
      <c r="RXJ907" t="s">
        <v>698</v>
      </c>
      <c r="RXK907">
        <v>57012</v>
      </c>
      <c r="RXL907">
        <v>82507</v>
      </c>
      <c r="RXM907">
        <v>78010</v>
      </c>
      <c r="RXN907">
        <v>2994408</v>
      </c>
      <c r="RXO907">
        <v>3154240</v>
      </c>
      <c r="SHF907" t="s">
        <v>698</v>
      </c>
      <c r="SHG907">
        <v>57012</v>
      </c>
      <c r="SHH907">
        <v>82507</v>
      </c>
      <c r="SHI907">
        <v>78010</v>
      </c>
      <c r="SHJ907">
        <v>2994408</v>
      </c>
      <c r="SHK907">
        <v>3154240</v>
      </c>
      <c r="SRB907" t="s">
        <v>698</v>
      </c>
      <c r="SRC907">
        <v>57012</v>
      </c>
      <c r="SRD907">
        <v>82507</v>
      </c>
      <c r="SRE907">
        <v>78010</v>
      </c>
      <c r="SRF907">
        <v>2994408</v>
      </c>
      <c r="SRG907">
        <v>3154240</v>
      </c>
      <c r="TAX907" t="s">
        <v>698</v>
      </c>
      <c r="TAY907">
        <v>57012</v>
      </c>
      <c r="TAZ907">
        <v>82507</v>
      </c>
      <c r="TBA907">
        <v>78010</v>
      </c>
      <c r="TBB907">
        <v>2994408</v>
      </c>
      <c r="TBC907">
        <v>3154240</v>
      </c>
      <c r="TKT907" t="s">
        <v>698</v>
      </c>
      <c r="TKU907">
        <v>57012</v>
      </c>
      <c r="TKV907">
        <v>82507</v>
      </c>
      <c r="TKW907">
        <v>78010</v>
      </c>
      <c r="TKX907">
        <v>2994408</v>
      </c>
      <c r="TKY907">
        <v>3154240</v>
      </c>
      <c r="TUP907" t="s">
        <v>698</v>
      </c>
      <c r="TUQ907">
        <v>57012</v>
      </c>
      <c r="TUR907">
        <v>82507</v>
      </c>
      <c r="TUS907">
        <v>78010</v>
      </c>
      <c r="TUT907">
        <v>2994408</v>
      </c>
      <c r="TUU907">
        <v>3154240</v>
      </c>
      <c r="UEL907" t="s">
        <v>698</v>
      </c>
      <c r="UEM907">
        <v>57012</v>
      </c>
      <c r="UEN907">
        <v>82507</v>
      </c>
      <c r="UEO907">
        <v>78010</v>
      </c>
      <c r="UEP907">
        <v>2994408</v>
      </c>
      <c r="UEQ907">
        <v>3154240</v>
      </c>
      <c r="UOH907" t="s">
        <v>698</v>
      </c>
      <c r="UOI907">
        <v>57012</v>
      </c>
      <c r="UOJ907">
        <v>82507</v>
      </c>
      <c r="UOK907">
        <v>78010</v>
      </c>
      <c r="UOL907">
        <v>2994408</v>
      </c>
      <c r="UOM907">
        <v>3154240</v>
      </c>
      <c r="UYD907" t="s">
        <v>698</v>
      </c>
      <c r="UYE907">
        <v>57012</v>
      </c>
      <c r="UYF907">
        <v>82507</v>
      </c>
      <c r="UYG907">
        <v>78010</v>
      </c>
      <c r="UYH907">
        <v>2994408</v>
      </c>
      <c r="UYI907">
        <v>3154240</v>
      </c>
      <c r="VHZ907" t="s">
        <v>698</v>
      </c>
      <c r="VIA907">
        <v>57012</v>
      </c>
      <c r="VIB907">
        <v>82507</v>
      </c>
      <c r="VIC907">
        <v>78010</v>
      </c>
      <c r="VID907">
        <v>2994408</v>
      </c>
      <c r="VIE907">
        <v>3154240</v>
      </c>
      <c r="VRV907" t="s">
        <v>698</v>
      </c>
      <c r="VRW907">
        <v>57012</v>
      </c>
      <c r="VRX907">
        <v>82507</v>
      </c>
      <c r="VRY907">
        <v>78010</v>
      </c>
      <c r="VRZ907">
        <v>2994408</v>
      </c>
      <c r="VSA907">
        <v>3154240</v>
      </c>
      <c r="WBR907" t="s">
        <v>698</v>
      </c>
      <c r="WBS907">
        <v>57012</v>
      </c>
      <c r="WBT907">
        <v>82507</v>
      </c>
      <c r="WBU907">
        <v>78010</v>
      </c>
      <c r="WBV907">
        <v>2994408</v>
      </c>
      <c r="WBW907">
        <v>3154240</v>
      </c>
      <c r="WLN907" t="s">
        <v>698</v>
      </c>
      <c r="WLO907">
        <v>57012</v>
      </c>
      <c r="WLP907">
        <v>82507</v>
      </c>
      <c r="WLQ907">
        <v>78010</v>
      </c>
      <c r="WLR907">
        <v>2994408</v>
      </c>
      <c r="WLS907">
        <v>3154240</v>
      </c>
      <c r="WVJ907" t="s">
        <v>698</v>
      </c>
      <c r="WVK907">
        <v>57012</v>
      </c>
      <c r="WVL907">
        <v>82507</v>
      </c>
      <c r="WVM907">
        <v>78010</v>
      </c>
      <c r="WVN907">
        <v>2994408</v>
      </c>
      <c r="WVO907">
        <v>3154240</v>
      </c>
    </row>
    <row r="908" spans="1:775 1026:1799 2050:2823 3074:3847 4098:4871 5122:5895 6146:6919 7170:7943 8194:8967 9218:9991 10242:11015 11266:12039 12290:13063 13314:14087 14338:15111 15362:16135">
      <c r="A908" s="96" t="s">
        <v>1324</v>
      </c>
      <c r="B908" t="s">
        <v>1069</v>
      </c>
      <c r="C908" s="100">
        <v>1514257</v>
      </c>
      <c r="D908" s="100">
        <v>1579258</v>
      </c>
      <c r="E908" s="100">
        <v>1422403</v>
      </c>
      <c r="F908" s="98">
        <v>0</v>
      </c>
      <c r="G908" s="98">
        <v>0</v>
      </c>
      <c r="H908" s="98"/>
      <c r="IX908" t="s">
        <v>1324</v>
      </c>
      <c r="IY908">
        <v>1514257</v>
      </c>
      <c r="IZ908">
        <v>1579258</v>
      </c>
      <c r="JA908">
        <v>1422403</v>
      </c>
      <c r="JB908" t="s">
        <v>619</v>
      </c>
      <c r="JC908" t="s">
        <v>619</v>
      </c>
      <c r="ST908" t="s">
        <v>1324</v>
      </c>
      <c r="SU908">
        <v>1514257</v>
      </c>
      <c r="SV908">
        <v>1579258</v>
      </c>
      <c r="SW908">
        <v>1422403</v>
      </c>
      <c r="SX908" t="s">
        <v>619</v>
      </c>
      <c r="SY908" t="s">
        <v>619</v>
      </c>
      <c r="ACP908" t="s">
        <v>1324</v>
      </c>
      <c r="ACQ908">
        <v>1514257</v>
      </c>
      <c r="ACR908">
        <v>1579258</v>
      </c>
      <c r="ACS908">
        <v>1422403</v>
      </c>
      <c r="ACT908" t="s">
        <v>619</v>
      </c>
      <c r="ACU908" t="s">
        <v>619</v>
      </c>
      <c r="AML908" t="s">
        <v>1324</v>
      </c>
      <c r="AMM908">
        <v>1514257</v>
      </c>
      <c r="AMN908">
        <v>1579258</v>
      </c>
      <c r="AMO908">
        <v>1422403</v>
      </c>
      <c r="AMP908" t="s">
        <v>619</v>
      </c>
      <c r="AMQ908" t="s">
        <v>619</v>
      </c>
      <c r="AWH908" t="s">
        <v>1324</v>
      </c>
      <c r="AWI908">
        <v>1514257</v>
      </c>
      <c r="AWJ908">
        <v>1579258</v>
      </c>
      <c r="AWK908">
        <v>1422403</v>
      </c>
      <c r="AWL908" t="s">
        <v>619</v>
      </c>
      <c r="AWM908" t="s">
        <v>619</v>
      </c>
      <c r="BGD908" t="s">
        <v>1324</v>
      </c>
      <c r="BGE908">
        <v>1514257</v>
      </c>
      <c r="BGF908">
        <v>1579258</v>
      </c>
      <c r="BGG908">
        <v>1422403</v>
      </c>
      <c r="BGH908" t="s">
        <v>619</v>
      </c>
      <c r="BGI908" t="s">
        <v>619</v>
      </c>
      <c r="BPZ908" t="s">
        <v>1324</v>
      </c>
      <c r="BQA908">
        <v>1514257</v>
      </c>
      <c r="BQB908">
        <v>1579258</v>
      </c>
      <c r="BQC908">
        <v>1422403</v>
      </c>
      <c r="BQD908" t="s">
        <v>619</v>
      </c>
      <c r="BQE908" t="s">
        <v>619</v>
      </c>
      <c r="BZV908" t="s">
        <v>1324</v>
      </c>
      <c r="BZW908">
        <v>1514257</v>
      </c>
      <c r="BZX908">
        <v>1579258</v>
      </c>
      <c r="BZY908">
        <v>1422403</v>
      </c>
      <c r="BZZ908" t="s">
        <v>619</v>
      </c>
      <c r="CAA908" t="s">
        <v>619</v>
      </c>
      <c r="CJR908" t="s">
        <v>1324</v>
      </c>
      <c r="CJS908">
        <v>1514257</v>
      </c>
      <c r="CJT908">
        <v>1579258</v>
      </c>
      <c r="CJU908">
        <v>1422403</v>
      </c>
      <c r="CJV908" t="s">
        <v>619</v>
      </c>
      <c r="CJW908" t="s">
        <v>619</v>
      </c>
      <c r="CTN908" t="s">
        <v>1324</v>
      </c>
      <c r="CTO908">
        <v>1514257</v>
      </c>
      <c r="CTP908">
        <v>1579258</v>
      </c>
      <c r="CTQ908">
        <v>1422403</v>
      </c>
      <c r="CTR908" t="s">
        <v>619</v>
      </c>
      <c r="CTS908" t="s">
        <v>619</v>
      </c>
      <c r="DDJ908" t="s">
        <v>1324</v>
      </c>
      <c r="DDK908">
        <v>1514257</v>
      </c>
      <c r="DDL908">
        <v>1579258</v>
      </c>
      <c r="DDM908">
        <v>1422403</v>
      </c>
      <c r="DDN908" t="s">
        <v>619</v>
      </c>
      <c r="DDO908" t="s">
        <v>619</v>
      </c>
      <c r="DNF908" t="s">
        <v>1324</v>
      </c>
      <c r="DNG908">
        <v>1514257</v>
      </c>
      <c r="DNH908">
        <v>1579258</v>
      </c>
      <c r="DNI908">
        <v>1422403</v>
      </c>
      <c r="DNJ908" t="s">
        <v>619</v>
      </c>
      <c r="DNK908" t="s">
        <v>619</v>
      </c>
      <c r="DXB908" t="s">
        <v>1324</v>
      </c>
      <c r="DXC908">
        <v>1514257</v>
      </c>
      <c r="DXD908">
        <v>1579258</v>
      </c>
      <c r="DXE908">
        <v>1422403</v>
      </c>
      <c r="DXF908" t="s">
        <v>619</v>
      </c>
      <c r="DXG908" t="s">
        <v>619</v>
      </c>
      <c r="EGX908" t="s">
        <v>1324</v>
      </c>
      <c r="EGY908">
        <v>1514257</v>
      </c>
      <c r="EGZ908">
        <v>1579258</v>
      </c>
      <c r="EHA908">
        <v>1422403</v>
      </c>
      <c r="EHB908" t="s">
        <v>619</v>
      </c>
      <c r="EHC908" t="s">
        <v>619</v>
      </c>
      <c r="EQT908" t="s">
        <v>1324</v>
      </c>
      <c r="EQU908">
        <v>1514257</v>
      </c>
      <c r="EQV908">
        <v>1579258</v>
      </c>
      <c r="EQW908">
        <v>1422403</v>
      </c>
      <c r="EQX908" t="s">
        <v>619</v>
      </c>
      <c r="EQY908" t="s">
        <v>619</v>
      </c>
      <c r="FAP908" t="s">
        <v>1324</v>
      </c>
      <c r="FAQ908">
        <v>1514257</v>
      </c>
      <c r="FAR908">
        <v>1579258</v>
      </c>
      <c r="FAS908">
        <v>1422403</v>
      </c>
      <c r="FAT908" t="s">
        <v>619</v>
      </c>
      <c r="FAU908" t="s">
        <v>619</v>
      </c>
      <c r="FKL908" t="s">
        <v>1324</v>
      </c>
      <c r="FKM908">
        <v>1514257</v>
      </c>
      <c r="FKN908">
        <v>1579258</v>
      </c>
      <c r="FKO908">
        <v>1422403</v>
      </c>
      <c r="FKP908" t="s">
        <v>619</v>
      </c>
      <c r="FKQ908" t="s">
        <v>619</v>
      </c>
      <c r="FUH908" t="s">
        <v>1324</v>
      </c>
      <c r="FUI908">
        <v>1514257</v>
      </c>
      <c r="FUJ908">
        <v>1579258</v>
      </c>
      <c r="FUK908">
        <v>1422403</v>
      </c>
      <c r="FUL908" t="s">
        <v>619</v>
      </c>
      <c r="FUM908" t="s">
        <v>619</v>
      </c>
      <c r="GED908" t="s">
        <v>1324</v>
      </c>
      <c r="GEE908">
        <v>1514257</v>
      </c>
      <c r="GEF908">
        <v>1579258</v>
      </c>
      <c r="GEG908">
        <v>1422403</v>
      </c>
      <c r="GEH908" t="s">
        <v>619</v>
      </c>
      <c r="GEI908" t="s">
        <v>619</v>
      </c>
      <c r="GNZ908" t="s">
        <v>1324</v>
      </c>
      <c r="GOA908">
        <v>1514257</v>
      </c>
      <c r="GOB908">
        <v>1579258</v>
      </c>
      <c r="GOC908">
        <v>1422403</v>
      </c>
      <c r="GOD908" t="s">
        <v>619</v>
      </c>
      <c r="GOE908" t="s">
        <v>619</v>
      </c>
      <c r="GXV908" t="s">
        <v>1324</v>
      </c>
      <c r="GXW908">
        <v>1514257</v>
      </c>
      <c r="GXX908">
        <v>1579258</v>
      </c>
      <c r="GXY908">
        <v>1422403</v>
      </c>
      <c r="GXZ908" t="s">
        <v>619</v>
      </c>
      <c r="GYA908" t="s">
        <v>619</v>
      </c>
      <c r="HHR908" t="s">
        <v>1324</v>
      </c>
      <c r="HHS908">
        <v>1514257</v>
      </c>
      <c r="HHT908">
        <v>1579258</v>
      </c>
      <c r="HHU908">
        <v>1422403</v>
      </c>
      <c r="HHV908" t="s">
        <v>619</v>
      </c>
      <c r="HHW908" t="s">
        <v>619</v>
      </c>
      <c r="HRN908" t="s">
        <v>1324</v>
      </c>
      <c r="HRO908">
        <v>1514257</v>
      </c>
      <c r="HRP908">
        <v>1579258</v>
      </c>
      <c r="HRQ908">
        <v>1422403</v>
      </c>
      <c r="HRR908" t="s">
        <v>619</v>
      </c>
      <c r="HRS908" t="s">
        <v>619</v>
      </c>
      <c r="IBJ908" t="s">
        <v>1324</v>
      </c>
      <c r="IBK908">
        <v>1514257</v>
      </c>
      <c r="IBL908">
        <v>1579258</v>
      </c>
      <c r="IBM908">
        <v>1422403</v>
      </c>
      <c r="IBN908" t="s">
        <v>619</v>
      </c>
      <c r="IBO908" t="s">
        <v>619</v>
      </c>
      <c r="ILF908" t="s">
        <v>1324</v>
      </c>
      <c r="ILG908">
        <v>1514257</v>
      </c>
      <c r="ILH908">
        <v>1579258</v>
      </c>
      <c r="ILI908">
        <v>1422403</v>
      </c>
      <c r="ILJ908" t="s">
        <v>619</v>
      </c>
      <c r="ILK908" t="s">
        <v>619</v>
      </c>
      <c r="IVB908" t="s">
        <v>1324</v>
      </c>
      <c r="IVC908">
        <v>1514257</v>
      </c>
      <c r="IVD908">
        <v>1579258</v>
      </c>
      <c r="IVE908">
        <v>1422403</v>
      </c>
      <c r="IVF908" t="s">
        <v>619</v>
      </c>
      <c r="IVG908" t="s">
        <v>619</v>
      </c>
      <c r="JEX908" t="s">
        <v>1324</v>
      </c>
      <c r="JEY908">
        <v>1514257</v>
      </c>
      <c r="JEZ908">
        <v>1579258</v>
      </c>
      <c r="JFA908">
        <v>1422403</v>
      </c>
      <c r="JFB908" t="s">
        <v>619</v>
      </c>
      <c r="JFC908" t="s">
        <v>619</v>
      </c>
      <c r="JOT908" t="s">
        <v>1324</v>
      </c>
      <c r="JOU908">
        <v>1514257</v>
      </c>
      <c r="JOV908">
        <v>1579258</v>
      </c>
      <c r="JOW908">
        <v>1422403</v>
      </c>
      <c r="JOX908" t="s">
        <v>619</v>
      </c>
      <c r="JOY908" t="s">
        <v>619</v>
      </c>
      <c r="JYP908" t="s">
        <v>1324</v>
      </c>
      <c r="JYQ908">
        <v>1514257</v>
      </c>
      <c r="JYR908">
        <v>1579258</v>
      </c>
      <c r="JYS908">
        <v>1422403</v>
      </c>
      <c r="JYT908" t="s">
        <v>619</v>
      </c>
      <c r="JYU908" t="s">
        <v>619</v>
      </c>
      <c r="KIL908" t="s">
        <v>1324</v>
      </c>
      <c r="KIM908">
        <v>1514257</v>
      </c>
      <c r="KIN908">
        <v>1579258</v>
      </c>
      <c r="KIO908">
        <v>1422403</v>
      </c>
      <c r="KIP908" t="s">
        <v>619</v>
      </c>
      <c r="KIQ908" t="s">
        <v>619</v>
      </c>
      <c r="KSH908" t="s">
        <v>1324</v>
      </c>
      <c r="KSI908">
        <v>1514257</v>
      </c>
      <c r="KSJ908">
        <v>1579258</v>
      </c>
      <c r="KSK908">
        <v>1422403</v>
      </c>
      <c r="KSL908" t="s">
        <v>619</v>
      </c>
      <c r="KSM908" t="s">
        <v>619</v>
      </c>
      <c r="LCD908" t="s">
        <v>1324</v>
      </c>
      <c r="LCE908">
        <v>1514257</v>
      </c>
      <c r="LCF908">
        <v>1579258</v>
      </c>
      <c r="LCG908">
        <v>1422403</v>
      </c>
      <c r="LCH908" t="s">
        <v>619</v>
      </c>
      <c r="LCI908" t="s">
        <v>619</v>
      </c>
      <c r="LLZ908" t="s">
        <v>1324</v>
      </c>
      <c r="LMA908">
        <v>1514257</v>
      </c>
      <c r="LMB908">
        <v>1579258</v>
      </c>
      <c r="LMC908">
        <v>1422403</v>
      </c>
      <c r="LMD908" t="s">
        <v>619</v>
      </c>
      <c r="LME908" t="s">
        <v>619</v>
      </c>
      <c r="LVV908" t="s">
        <v>1324</v>
      </c>
      <c r="LVW908">
        <v>1514257</v>
      </c>
      <c r="LVX908">
        <v>1579258</v>
      </c>
      <c r="LVY908">
        <v>1422403</v>
      </c>
      <c r="LVZ908" t="s">
        <v>619</v>
      </c>
      <c r="LWA908" t="s">
        <v>619</v>
      </c>
      <c r="MFR908" t="s">
        <v>1324</v>
      </c>
      <c r="MFS908">
        <v>1514257</v>
      </c>
      <c r="MFT908">
        <v>1579258</v>
      </c>
      <c r="MFU908">
        <v>1422403</v>
      </c>
      <c r="MFV908" t="s">
        <v>619</v>
      </c>
      <c r="MFW908" t="s">
        <v>619</v>
      </c>
      <c r="MPN908" t="s">
        <v>1324</v>
      </c>
      <c r="MPO908">
        <v>1514257</v>
      </c>
      <c r="MPP908">
        <v>1579258</v>
      </c>
      <c r="MPQ908">
        <v>1422403</v>
      </c>
      <c r="MPR908" t="s">
        <v>619</v>
      </c>
      <c r="MPS908" t="s">
        <v>619</v>
      </c>
      <c r="MZJ908" t="s">
        <v>1324</v>
      </c>
      <c r="MZK908">
        <v>1514257</v>
      </c>
      <c r="MZL908">
        <v>1579258</v>
      </c>
      <c r="MZM908">
        <v>1422403</v>
      </c>
      <c r="MZN908" t="s">
        <v>619</v>
      </c>
      <c r="MZO908" t="s">
        <v>619</v>
      </c>
      <c r="NJF908" t="s">
        <v>1324</v>
      </c>
      <c r="NJG908">
        <v>1514257</v>
      </c>
      <c r="NJH908">
        <v>1579258</v>
      </c>
      <c r="NJI908">
        <v>1422403</v>
      </c>
      <c r="NJJ908" t="s">
        <v>619</v>
      </c>
      <c r="NJK908" t="s">
        <v>619</v>
      </c>
      <c r="NTB908" t="s">
        <v>1324</v>
      </c>
      <c r="NTC908">
        <v>1514257</v>
      </c>
      <c r="NTD908">
        <v>1579258</v>
      </c>
      <c r="NTE908">
        <v>1422403</v>
      </c>
      <c r="NTF908" t="s">
        <v>619</v>
      </c>
      <c r="NTG908" t="s">
        <v>619</v>
      </c>
      <c r="OCX908" t="s">
        <v>1324</v>
      </c>
      <c r="OCY908">
        <v>1514257</v>
      </c>
      <c r="OCZ908">
        <v>1579258</v>
      </c>
      <c r="ODA908">
        <v>1422403</v>
      </c>
      <c r="ODB908" t="s">
        <v>619</v>
      </c>
      <c r="ODC908" t="s">
        <v>619</v>
      </c>
      <c r="OMT908" t="s">
        <v>1324</v>
      </c>
      <c r="OMU908">
        <v>1514257</v>
      </c>
      <c r="OMV908">
        <v>1579258</v>
      </c>
      <c r="OMW908">
        <v>1422403</v>
      </c>
      <c r="OMX908" t="s">
        <v>619</v>
      </c>
      <c r="OMY908" t="s">
        <v>619</v>
      </c>
      <c r="OWP908" t="s">
        <v>1324</v>
      </c>
      <c r="OWQ908">
        <v>1514257</v>
      </c>
      <c r="OWR908">
        <v>1579258</v>
      </c>
      <c r="OWS908">
        <v>1422403</v>
      </c>
      <c r="OWT908" t="s">
        <v>619</v>
      </c>
      <c r="OWU908" t="s">
        <v>619</v>
      </c>
      <c r="PGL908" t="s">
        <v>1324</v>
      </c>
      <c r="PGM908">
        <v>1514257</v>
      </c>
      <c r="PGN908">
        <v>1579258</v>
      </c>
      <c r="PGO908">
        <v>1422403</v>
      </c>
      <c r="PGP908" t="s">
        <v>619</v>
      </c>
      <c r="PGQ908" t="s">
        <v>619</v>
      </c>
      <c r="PQH908" t="s">
        <v>1324</v>
      </c>
      <c r="PQI908">
        <v>1514257</v>
      </c>
      <c r="PQJ908">
        <v>1579258</v>
      </c>
      <c r="PQK908">
        <v>1422403</v>
      </c>
      <c r="PQL908" t="s">
        <v>619</v>
      </c>
      <c r="PQM908" t="s">
        <v>619</v>
      </c>
      <c r="QAD908" t="s">
        <v>1324</v>
      </c>
      <c r="QAE908">
        <v>1514257</v>
      </c>
      <c r="QAF908">
        <v>1579258</v>
      </c>
      <c r="QAG908">
        <v>1422403</v>
      </c>
      <c r="QAH908" t="s">
        <v>619</v>
      </c>
      <c r="QAI908" t="s">
        <v>619</v>
      </c>
      <c r="QJZ908" t="s">
        <v>1324</v>
      </c>
      <c r="QKA908">
        <v>1514257</v>
      </c>
      <c r="QKB908">
        <v>1579258</v>
      </c>
      <c r="QKC908">
        <v>1422403</v>
      </c>
      <c r="QKD908" t="s">
        <v>619</v>
      </c>
      <c r="QKE908" t="s">
        <v>619</v>
      </c>
      <c r="QTV908" t="s">
        <v>1324</v>
      </c>
      <c r="QTW908">
        <v>1514257</v>
      </c>
      <c r="QTX908">
        <v>1579258</v>
      </c>
      <c r="QTY908">
        <v>1422403</v>
      </c>
      <c r="QTZ908" t="s">
        <v>619</v>
      </c>
      <c r="QUA908" t="s">
        <v>619</v>
      </c>
      <c r="RDR908" t="s">
        <v>1324</v>
      </c>
      <c r="RDS908">
        <v>1514257</v>
      </c>
      <c r="RDT908">
        <v>1579258</v>
      </c>
      <c r="RDU908">
        <v>1422403</v>
      </c>
      <c r="RDV908" t="s">
        <v>619</v>
      </c>
      <c r="RDW908" t="s">
        <v>619</v>
      </c>
      <c r="RNN908" t="s">
        <v>1324</v>
      </c>
      <c r="RNO908">
        <v>1514257</v>
      </c>
      <c r="RNP908">
        <v>1579258</v>
      </c>
      <c r="RNQ908">
        <v>1422403</v>
      </c>
      <c r="RNR908" t="s">
        <v>619</v>
      </c>
      <c r="RNS908" t="s">
        <v>619</v>
      </c>
      <c r="RXJ908" t="s">
        <v>1324</v>
      </c>
      <c r="RXK908">
        <v>1514257</v>
      </c>
      <c r="RXL908">
        <v>1579258</v>
      </c>
      <c r="RXM908">
        <v>1422403</v>
      </c>
      <c r="RXN908" t="s">
        <v>619</v>
      </c>
      <c r="RXO908" t="s">
        <v>619</v>
      </c>
      <c r="SHF908" t="s">
        <v>1324</v>
      </c>
      <c r="SHG908">
        <v>1514257</v>
      </c>
      <c r="SHH908">
        <v>1579258</v>
      </c>
      <c r="SHI908">
        <v>1422403</v>
      </c>
      <c r="SHJ908" t="s">
        <v>619</v>
      </c>
      <c r="SHK908" t="s">
        <v>619</v>
      </c>
      <c r="SRB908" t="s">
        <v>1324</v>
      </c>
      <c r="SRC908">
        <v>1514257</v>
      </c>
      <c r="SRD908">
        <v>1579258</v>
      </c>
      <c r="SRE908">
        <v>1422403</v>
      </c>
      <c r="SRF908" t="s">
        <v>619</v>
      </c>
      <c r="SRG908" t="s">
        <v>619</v>
      </c>
      <c r="TAX908" t="s">
        <v>1324</v>
      </c>
      <c r="TAY908">
        <v>1514257</v>
      </c>
      <c r="TAZ908">
        <v>1579258</v>
      </c>
      <c r="TBA908">
        <v>1422403</v>
      </c>
      <c r="TBB908" t="s">
        <v>619</v>
      </c>
      <c r="TBC908" t="s">
        <v>619</v>
      </c>
      <c r="TKT908" t="s">
        <v>1324</v>
      </c>
      <c r="TKU908">
        <v>1514257</v>
      </c>
      <c r="TKV908">
        <v>1579258</v>
      </c>
      <c r="TKW908">
        <v>1422403</v>
      </c>
      <c r="TKX908" t="s">
        <v>619</v>
      </c>
      <c r="TKY908" t="s">
        <v>619</v>
      </c>
      <c r="TUP908" t="s">
        <v>1324</v>
      </c>
      <c r="TUQ908">
        <v>1514257</v>
      </c>
      <c r="TUR908">
        <v>1579258</v>
      </c>
      <c r="TUS908">
        <v>1422403</v>
      </c>
      <c r="TUT908" t="s">
        <v>619</v>
      </c>
      <c r="TUU908" t="s">
        <v>619</v>
      </c>
      <c r="UEL908" t="s">
        <v>1324</v>
      </c>
      <c r="UEM908">
        <v>1514257</v>
      </c>
      <c r="UEN908">
        <v>1579258</v>
      </c>
      <c r="UEO908">
        <v>1422403</v>
      </c>
      <c r="UEP908" t="s">
        <v>619</v>
      </c>
      <c r="UEQ908" t="s">
        <v>619</v>
      </c>
      <c r="UOH908" t="s">
        <v>1324</v>
      </c>
      <c r="UOI908">
        <v>1514257</v>
      </c>
      <c r="UOJ908">
        <v>1579258</v>
      </c>
      <c r="UOK908">
        <v>1422403</v>
      </c>
      <c r="UOL908" t="s">
        <v>619</v>
      </c>
      <c r="UOM908" t="s">
        <v>619</v>
      </c>
      <c r="UYD908" t="s">
        <v>1324</v>
      </c>
      <c r="UYE908">
        <v>1514257</v>
      </c>
      <c r="UYF908">
        <v>1579258</v>
      </c>
      <c r="UYG908">
        <v>1422403</v>
      </c>
      <c r="UYH908" t="s">
        <v>619</v>
      </c>
      <c r="UYI908" t="s">
        <v>619</v>
      </c>
      <c r="VHZ908" t="s">
        <v>1324</v>
      </c>
      <c r="VIA908">
        <v>1514257</v>
      </c>
      <c r="VIB908">
        <v>1579258</v>
      </c>
      <c r="VIC908">
        <v>1422403</v>
      </c>
      <c r="VID908" t="s">
        <v>619</v>
      </c>
      <c r="VIE908" t="s">
        <v>619</v>
      </c>
      <c r="VRV908" t="s">
        <v>1324</v>
      </c>
      <c r="VRW908">
        <v>1514257</v>
      </c>
      <c r="VRX908">
        <v>1579258</v>
      </c>
      <c r="VRY908">
        <v>1422403</v>
      </c>
      <c r="VRZ908" t="s">
        <v>619</v>
      </c>
      <c r="VSA908" t="s">
        <v>619</v>
      </c>
      <c r="WBR908" t="s">
        <v>1324</v>
      </c>
      <c r="WBS908">
        <v>1514257</v>
      </c>
      <c r="WBT908">
        <v>1579258</v>
      </c>
      <c r="WBU908">
        <v>1422403</v>
      </c>
      <c r="WBV908" t="s">
        <v>619</v>
      </c>
      <c r="WBW908" t="s">
        <v>619</v>
      </c>
      <c r="WLN908" t="s">
        <v>1324</v>
      </c>
      <c r="WLO908">
        <v>1514257</v>
      </c>
      <c r="WLP908">
        <v>1579258</v>
      </c>
      <c r="WLQ908">
        <v>1422403</v>
      </c>
      <c r="WLR908" t="s">
        <v>619</v>
      </c>
      <c r="WLS908" t="s">
        <v>619</v>
      </c>
      <c r="WVJ908" t="s">
        <v>1324</v>
      </c>
      <c r="WVK908">
        <v>1514257</v>
      </c>
      <c r="WVL908">
        <v>1579258</v>
      </c>
      <c r="WVM908">
        <v>1422403</v>
      </c>
      <c r="WVN908" t="s">
        <v>619</v>
      </c>
      <c r="WVO908" t="s">
        <v>619</v>
      </c>
    </row>
    <row r="909" spans="1:775 1026:1799 2050:2823 3074:3847 4098:4871 5122:5895 6146:6919 7170:7943 8194:8967 9218:9991 10242:11015 11266:12039 12290:13063 13314:14087 14338:15111 15362:16135">
      <c r="A909" s="96" t="s">
        <v>1325</v>
      </c>
      <c r="B909" t="s">
        <v>1069</v>
      </c>
      <c r="C909" s="98">
        <v>0</v>
      </c>
      <c r="D909" s="98">
        <v>0</v>
      </c>
      <c r="E909" s="98">
        <v>0</v>
      </c>
      <c r="F909" s="100">
        <v>1850143</v>
      </c>
      <c r="G909" s="100">
        <v>2246408</v>
      </c>
      <c r="H909" s="100"/>
      <c r="IX909" t="s">
        <v>1325</v>
      </c>
      <c r="IY909" t="s">
        <v>619</v>
      </c>
      <c r="IZ909" t="s">
        <v>619</v>
      </c>
      <c r="JA909" t="s">
        <v>619</v>
      </c>
      <c r="JB909">
        <v>1850143</v>
      </c>
      <c r="JC909">
        <v>2246408</v>
      </c>
      <c r="ST909" t="s">
        <v>1325</v>
      </c>
      <c r="SU909" t="s">
        <v>619</v>
      </c>
      <c r="SV909" t="s">
        <v>619</v>
      </c>
      <c r="SW909" t="s">
        <v>619</v>
      </c>
      <c r="SX909">
        <v>1850143</v>
      </c>
      <c r="SY909">
        <v>2246408</v>
      </c>
      <c r="ACP909" t="s">
        <v>1325</v>
      </c>
      <c r="ACQ909" t="s">
        <v>619</v>
      </c>
      <c r="ACR909" t="s">
        <v>619</v>
      </c>
      <c r="ACS909" t="s">
        <v>619</v>
      </c>
      <c r="ACT909">
        <v>1850143</v>
      </c>
      <c r="ACU909">
        <v>2246408</v>
      </c>
      <c r="AML909" t="s">
        <v>1325</v>
      </c>
      <c r="AMM909" t="s">
        <v>619</v>
      </c>
      <c r="AMN909" t="s">
        <v>619</v>
      </c>
      <c r="AMO909" t="s">
        <v>619</v>
      </c>
      <c r="AMP909">
        <v>1850143</v>
      </c>
      <c r="AMQ909">
        <v>2246408</v>
      </c>
      <c r="AWH909" t="s">
        <v>1325</v>
      </c>
      <c r="AWI909" t="s">
        <v>619</v>
      </c>
      <c r="AWJ909" t="s">
        <v>619</v>
      </c>
      <c r="AWK909" t="s">
        <v>619</v>
      </c>
      <c r="AWL909">
        <v>1850143</v>
      </c>
      <c r="AWM909">
        <v>2246408</v>
      </c>
      <c r="BGD909" t="s">
        <v>1325</v>
      </c>
      <c r="BGE909" t="s">
        <v>619</v>
      </c>
      <c r="BGF909" t="s">
        <v>619</v>
      </c>
      <c r="BGG909" t="s">
        <v>619</v>
      </c>
      <c r="BGH909">
        <v>1850143</v>
      </c>
      <c r="BGI909">
        <v>2246408</v>
      </c>
      <c r="BPZ909" t="s">
        <v>1325</v>
      </c>
      <c r="BQA909" t="s">
        <v>619</v>
      </c>
      <c r="BQB909" t="s">
        <v>619</v>
      </c>
      <c r="BQC909" t="s">
        <v>619</v>
      </c>
      <c r="BQD909">
        <v>1850143</v>
      </c>
      <c r="BQE909">
        <v>2246408</v>
      </c>
      <c r="BZV909" t="s">
        <v>1325</v>
      </c>
      <c r="BZW909" t="s">
        <v>619</v>
      </c>
      <c r="BZX909" t="s">
        <v>619</v>
      </c>
      <c r="BZY909" t="s">
        <v>619</v>
      </c>
      <c r="BZZ909">
        <v>1850143</v>
      </c>
      <c r="CAA909">
        <v>2246408</v>
      </c>
      <c r="CJR909" t="s">
        <v>1325</v>
      </c>
      <c r="CJS909" t="s">
        <v>619</v>
      </c>
      <c r="CJT909" t="s">
        <v>619</v>
      </c>
      <c r="CJU909" t="s">
        <v>619</v>
      </c>
      <c r="CJV909">
        <v>1850143</v>
      </c>
      <c r="CJW909">
        <v>2246408</v>
      </c>
      <c r="CTN909" t="s">
        <v>1325</v>
      </c>
      <c r="CTO909" t="s">
        <v>619</v>
      </c>
      <c r="CTP909" t="s">
        <v>619</v>
      </c>
      <c r="CTQ909" t="s">
        <v>619</v>
      </c>
      <c r="CTR909">
        <v>1850143</v>
      </c>
      <c r="CTS909">
        <v>2246408</v>
      </c>
      <c r="DDJ909" t="s">
        <v>1325</v>
      </c>
      <c r="DDK909" t="s">
        <v>619</v>
      </c>
      <c r="DDL909" t="s">
        <v>619</v>
      </c>
      <c r="DDM909" t="s">
        <v>619</v>
      </c>
      <c r="DDN909">
        <v>1850143</v>
      </c>
      <c r="DDO909">
        <v>2246408</v>
      </c>
      <c r="DNF909" t="s">
        <v>1325</v>
      </c>
      <c r="DNG909" t="s">
        <v>619</v>
      </c>
      <c r="DNH909" t="s">
        <v>619</v>
      </c>
      <c r="DNI909" t="s">
        <v>619</v>
      </c>
      <c r="DNJ909">
        <v>1850143</v>
      </c>
      <c r="DNK909">
        <v>2246408</v>
      </c>
      <c r="DXB909" t="s">
        <v>1325</v>
      </c>
      <c r="DXC909" t="s">
        <v>619</v>
      </c>
      <c r="DXD909" t="s">
        <v>619</v>
      </c>
      <c r="DXE909" t="s">
        <v>619</v>
      </c>
      <c r="DXF909">
        <v>1850143</v>
      </c>
      <c r="DXG909">
        <v>2246408</v>
      </c>
      <c r="EGX909" t="s">
        <v>1325</v>
      </c>
      <c r="EGY909" t="s">
        <v>619</v>
      </c>
      <c r="EGZ909" t="s">
        <v>619</v>
      </c>
      <c r="EHA909" t="s">
        <v>619</v>
      </c>
      <c r="EHB909">
        <v>1850143</v>
      </c>
      <c r="EHC909">
        <v>2246408</v>
      </c>
      <c r="EQT909" t="s">
        <v>1325</v>
      </c>
      <c r="EQU909" t="s">
        <v>619</v>
      </c>
      <c r="EQV909" t="s">
        <v>619</v>
      </c>
      <c r="EQW909" t="s">
        <v>619</v>
      </c>
      <c r="EQX909">
        <v>1850143</v>
      </c>
      <c r="EQY909">
        <v>2246408</v>
      </c>
      <c r="FAP909" t="s">
        <v>1325</v>
      </c>
      <c r="FAQ909" t="s">
        <v>619</v>
      </c>
      <c r="FAR909" t="s">
        <v>619</v>
      </c>
      <c r="FAS909" t="s">
        <v>619</v>
      </c>
      <c r="FAT909">
        <v>1850143</v>
      </c>
      <c r="FAU909">
        <v>2246408</v>
      </c>
      <c r="FKL909" t="s">
        <v>1325</v>
      </c>
      <c r="FKM909" t="s">
        <v>619</v>
      </c>
      <c r="FKN909" t="s">
        <v>619</v>
      </c>
      <c r="FKO909" t="s">
        <v>619</v>
      </c>
      <c r="FKP909">
        <v>1850143</v>
      </c>
      <c r="FKQ909">
        <v>2246408</v>
      </c>
      <c r="FUH909" t="s">
        <v>1325</v>
      </c>
      <c r="FUI909" t="s">
        <v>619</v>
      </c>
      <c r="FUJ909" t="s">
        <v>619</v>
      </c>
      <c r="FUK909" t="s">
        <v>619</v>
      </c>
      <c r="FUL909">
        <v>1850143</v>
      </c>
      <c r="FUM909">
        <v>2246408</v>
      </c>
      <c r="GED909" t="s">
        <v>1325</v>
      </c>
      <c r="GEE909" t="s">
        <v>619</v>
      </c>
      <c r="GEF909" t="s">
        <v>619</v>
      </c>
      <c r="GEG909" t="s">
        <v>619</v>
      </c>
      <c r="GEH909">
        <v>1850143</v>
      </c>
      <c r="GEI909">
        <v>2246408</v>
      </c>
      <c r="GNZ909" t="s">
        <v>1325</v>
      </c>
      <c r="GOA909" t="s">
        <v>619</v>
      </c>
      <c r="GOB909" t="s">
        <v>619</v>
      </c>
      <c r="GOC909" t="s">
        <v>619</v>
      </c>
      <c r="GOD909">
        <v>1850143</v>
      </c>
      <c r="GOE909">
        <v>2246408</v>
      </c>
      <c r="GXV909" t="s">
        <v>1325</v>
      </c>
      <c r="GXW909" t="s">
        <v>619</v>
      </c>
      <c r="GXX909" t="s">
        <v>619</v>
      </c>
      <c r="GXY909" t="s">
        <v>619</v>
      </c>
      <c r="GXZ909">
        <v>1850143</v>
      </c>
      <c r="GYA909">
        <v>2246408</v>
      </c>
      <c r="HHR909" t="s">
        <v>1325</v>
      </c>
      <c r="HHS909" t="s">
        <v>619</v>
      </c>
      <c r="HHT909" t="s">
        <v>619</v>
      </c>
      <c r="HHU909" t="s">
        <v>619</v>
      </c>
      <c r="HHV909">
        <v>1850143</v>
      </c>
      <c r="HHW909">
        <v>2246408</v>
      </c>
      <c r="HRN909" t="s">
        <v>1325</v>
      </c>
      <c r="HRO909" t="s">
        <v>619</v>
      </c>
      <c r="HRP909" t="s">
        <v>619</v>
      </c>
      <c r="HRQ909" t="s">
        <v>619</v>
      </c>
      <c r="HRR909">
        <v>1850143</v>
      </c>
      <c r="HRS909">
        <v>2246408</v>
      </c>
      <c r="IBJ909" t="s">
        <v>1325</v>
      </c>
      <c r="IBK909" t="s">
        <v>619</v>
      </c>
      <c r="IBL909" t="s">
        <v>619</v>
      </c>
      <c r="IBM909" t="s">
        <v>619</v>
      </c>
      <c r="IBN909">
        <v>1850143</v>
      </c>
      <c r="IBO909">
        <v>2246408</v>
      </c>
      <c r="ILF909" t="s">
        <v>1325</v>
      </c>
      <c r="ILG909" t="s">
        <v>619</v>
      </c>
      <c r="ILH909" t="s">
        <v>619</v>
      </c>
      <c r="ILI909" t="s">
        <v>619</v>
      </c>
      <c r="ILJ909">
        <v>1850143</v>
      </c>
      <c r="ILK909">
        <v>2246408</v>
      </c>
      <c r="IVB909" t="s">
        <v>1325</v>
      </c>
      <c r="IVC909" t="s">
        <v>619</v>
      </c>
      <c r="IVD909" t="s">
        <v>619</v>
      </c>
      <c r="IVE909" t="s">
        <v>619</v>
      </c>
      <c r="IVF909">
        <v>1850143</v>
      </c>
      <c r="IVG909">
        <v>2246408</v>
      </c>
      <c r="JEX909" t="s">
        <v>1325</v>
      </c>
      <c r="JEY909" t="s">
        <v>619</v>
      </c>
      <c r="JEZ909" t="s">
        <v>619</v>
      </c>
      <c r="JFA909" t="s">
        <v>619</v>
      </c>
      <c r="JFB909">
        <v>1850143</v>
      </c>
      <c r="JFC909">
        <v>2246408</v>
      </c>
      <c r="JOT909" t="s">
        <v>1325</v>
      </c>
      <c r="JOU909" t="s">
        <v>619</v>
      </c>
      <c r="JOV909" t="s">
        <v>619</v>
      </c>
      <c r="JOW909" t="s">
        <v>619</v>
      </c>
      <c r="JOX909">
        <v>1850143</v>
      </c>
      <c r="JOY909">
        <v>2246408</v>
      </c>
      <c r="JYP909" t="s">
        <v>1325</v>
      </c>
      <c r="JYQ909" t="s">
        <v>619</v>
      </c>
      <c r="JYR909" t="s">
        <v>619</v>
      </c>
      <c r="JYS909" t="s">
        <v>619</v>
      </c>
      <c r="JYT909">
        <v>1850143</v>
      </c>
      <c r="JYU909">
        <v>2246408</v>
      </c>
      <c r="KIL909" t="s">
        <v>1325</v>
      </c>
      <c r="KIM909" t="s">
        <v>619</v>
      </c>
      <c r="KIN909" t="s">
        <v>619</v>
      </c>
      <c r="KIO909" t="s">
        <v>619</v>
      </c>
      <c r="KIP909">
        <v>1850143</v>
      </c>
      <c r="KIQ909">
        <v>2246408</v>
      </c>
      <c r="KSH909" t="s">
        <v>1325</v>
      </c>
      <c r="KSI909" t="s">
        <v>619</v>
      </c>
      <c r="KSJ909" t="s">
        <v>619</v>
      </c>
      <c r="KSK909" t="s">
        <v>619</v>
      </c>
      <c r="KSL909">
        <v>1850143</v>
      </c>
      <c r="KSM909">
        <v>2246408</v>
      </c>
      <c r="LCD909" t="s">
        <v>1325</v>
      </c>
      <c r="LCE909" t="s">
        <v>619</v>
      </c>
      <c r="LCF909" t="s">
        <v>619</v>
      </c>
      <c r="LCG909" t="s">
        <v>619</v>
      </c>
      <c r="LCH909">
        <v>1850143</v>
      </c>
      <c r="LCI909">
        <v>2246408</v>
      </c>
      <c r="LLZ909" t="s">
        <v>1325</v>
      </c>
      <c r="LMA909" t="s">
        <v>619</v>
      </c>
      <c r="LMB909" t="s">
        <v>619</v>
      </c>
      <c r="LMC909" t="s">
        <v>619</v>
      </c>
      <c r="LMD909">
        <v>1850143</v>
      </c>
      <c r="LME909">
        <v>2246408</v>
      </c>
      <c r="LVV909" t="s">
        <v>1325</v>
      </c>
      <c r="LVW909" t="s">
        <v>619</v>
      </c>
      <c r="LVX909" t="s">
        <v>619</v>
      </c>
      <c r="LVY909" t="s">
        <v>619</v>
      </c>
      <c r="LVZ909">
        <v>1850143</v>
      </c>
      <c r="LWA909">
        <v>2246408</v>
      </c>
      <c r="MFR909" t="s">
        <v>1325</v>
      </c>
      <c r="MFS909" t="s">
        <v>619</v>
      </c>
      <c r="MFT909" t="s">
        <v>619</v>
      </c>
      <c r="MFU909" t="s">
        <v>619</v>
      </c>
      <c r="MFV909">
        <v>1850143</v>
      </c>
      <c r="MFW909">
        <v>2246408</v>
      </c>
      <c r="MPN909" t="s">
        <v>1325</v>
      </c>
      <c r="MPO909" t="s">
        <v>619</v>
      </c>
      <c r="MPP909" t="s">
        <v>619</v>
      </c>
      <c r="MPQ909" t="s">
        <v>619</v>
      </c>
      <c r="MPR909">
        <v>1850143</v>
      </c>
      <c r="MPS909">
        <v>2246408</v>
      </c>
      <c r="MZJ909" t="s">
        <v>1325</v>
      </c>
      <c r="MZK909" t="s">
        <v>619</v>
      </c>
      <c r="MZL909" t="s">
        <v>619</v>
      </c>
      <c r="MZM909" t="s">
        <v>619</v>
      </c>
      <c r="MZN909">
        <v>1850143</v>
      </c>
      <c r="MZO909">
        <v>2246408</v>
      </c>
      <c r="NJF909" t="s">
        <v>1325</v>
      </c>
      <c r="NJG909" t="s">
        <v>619</v>
      </c>
      <c r="NJH909" t="s">
        <v>619</v>
      </c>
      <c r="NJI909" t="s">
        <v>619</v>
      </c>
      <c r="NJJ909">
        <v>1850143</v>
      </c>
      <c r="NJK909">
        <v>2246408</v>
      </c>
      <c r="NTB909" t="s">
        <v>1325</v>
      </c>
      <c r="NTC909" t="s">
        <v>619</v>
      </c>
      <c r="NTD909" t="s">
        <v>619</v>
      </c>
      <c r="NTE909" t="s">
        <v>619</v>
      </c>
      <c r="NTF909">
        <v>1850143</v>
      </c>
      <c r="NTG909">
        <v>2246408</v>
      </c>
      <c r="OCX909" t="s">
        <v>1325</v>
      </c>
      <c r="OCY909" t="s">
        <v>619</v>
      </c>
      <c r="OCZ909" t="s">
        <v>619</v>
      </c>
      <c r="ODA909" t="s">
        <v>619</v>
      </c>
      <c r="ODB909">
        <v>1850143</v>
      </c>
      <c r="ODC909">
        <v>2246408</v>
      </c>
      <c r="OMT909" t="s">
        <v>1325</v>
      </c>
      <c r="OMU909" t="s">
        <v>619</v>
      </c>
      <c r="OMV909" t="s">
        <v>619</v>
      </c>
      <c r="OMW909" t="s">
        <v>619</v>
      </c>
      <c r="OMX909">
        <v>1850143</v>
      </c>
      <c r="OMY909">
        <v>2246408</v>
      </c>
      <c r="OWP909" t="s">
        <v>1325</v>
      </c>
      <c r="OWQ909" t="s">
        <v>619</v>
      </c>
      <c r="OWR909" t="s">
        <v>619</v>
      </c>
      <c r="OWS909" t="s">
        <v>619</v>
      </c>
      <c r="OWT909">
        <v>1850143</v>
      </c>
      <c r="OWU909">
        <v>2246408</v>
      </c>
      <c r="PGL909" t="s">
        <v>1325</v>
      </c>
      <c r="PGM909" t="s">
        <v>619</v>
      </c>
      <c r="PGN909" t="s">
        <v>619</v>
      </c>
      <c r="PGO909" t="s">
        <v>619</v>
      </c>
      <c r="PGP909">
        <v>1850143</v>
      </c>
      <c r="PGQ909">
        <v>2246408</v>
      </c>
      <c r="PQH909" t="s">
        <v>1325</v>
      </c>
      <c r="PQI909" t="s">
        <v>619</v>
      </c>
      <c r="PQJ909" t="s">
        <v>619</v>
      </c>
      <c r="PQK909" t="s">
        <v>619</v>
      </c>
      <c r="PQL909">
        <v>1850143</v>
      </c>
      <c r="PQM909">
        <v>2246408</v>
      </c>
      <c r="QAD909" t="s">
        <v>1325</v>
      </c>
      <c r="QAE909" t="s">
        <v>619</v>
      </c>
      <c r="QAF909" t="s">
        <v>619</v>
      </c>
      <c r="QAG909" t="s">
        <v>619</v>
      </c>
      <c r="QAH909">
        <v>1850143</v>
      </c>
      <c r="QAI909">
        <v>2246408</v>
      </c>
      <c r="QJZ909" t="s">
        <v>1325</v>
      </c>
      <c r="QKA909" t="s">
        <v>619</v>
      </c>
      <c r="QKB909" t="s">
        <v>619</v>
      </c>
      <c r="QKC909" t="s">
        <v>619</v>
      </c>
      <c r="QKD909">
        <v>1850143</v>
      </c>
      <c r="QKE909">
        <v>2246408</v>
      </c>
      <c r="QTV909" t="s">
        <v>1325</v>
      </c>
      <c r="QTW909" t="s">
        <v>619</v>
      </c>
      <c r="QTX909" t="s">
        <v>619</v>
      </c>
      <c r="QTY909" t="s">
        <v>619</v>
      </c>
      <c r="QTZ909">
        <v>1850143</v>
      </c>
      <c r="QUA909">
        <v>2246408</v>
      </c>
      <c r="RDR909" t="s">
        <v>1325</v>
      </c>
      <c r="RDS909" t="s">
        <v>619</v>
      </c>
      <c r="RDT909" t="s">
        <v>619</v>
      </c>
      <c r="RDU909" t="s">
        <v>619</v>
      </c>
      <c r="RDV909">
        <v>1850143</v>
      </c>
      <c r="RDW909">
        <v>2246408</v>
      </c>
      <c r="RNN909" t="s">
        <v>1325</v>
      </c>
      <c r="RNO909" t="s">
        <v>619</v>
      </c>
      <c r="RNP909" t="s">
        <v>619</v>
      </c>
      <c r="RNQ909" t="s">
        <v>619</v>
      </c>
      <c r="RNR909">
        <v>1850143</v>
      </c>
      <c r="RNS909">
        <v>2246408</v>
      </c>
      <c r="RXJ909" t="s">
        <v>1325</v>
      </c>
      <c r="RXK909" t="s">
        <v>619</v>
      </c>
      <c r="RXL909" t="s">
        <v>619</v>
      </c>
      <c r="RXM909" t="s">
        <v>619</v>
      </c>
      <c r="RXN909">
        <v>1850143</v>
      </c>
      <c r="RXO909">
        <v>2246408</v>
      </c>
      <c r="SHF909" t="s">
        <v>1325</v>
      </c>
      <c r="SHG909" t="s">
        <v>619</v>
      </c>
      <c r="SHH909" t="s">
        <v>619</v>
      </c>
      <c r="SHI909" t="s">
        <v>619</v>
      </c>
      <c r="SHJ909">
        <v>1850143</v>
      </c>
      <c r="SHK909">
        <v>2246408</v>
      </c>
      <c r="SRB909" t="s">
        <v>1325</v>
      </c>
      <c r="SRC909" t="s">
        <v>619</v>
      </c>
      <c r="SRD909" t="s">
        <v>619</v>
      </c>
      <c r="SRE909" t="s">
        <v>619</v>
      </c>
      <c r="SRF909">
        <v>1850143</v>
      </c>
      <c r="SRG909">
        <v>2246408</v>
      </c>
      <c r="TAX909" t="s">
        <v>1325</v>
      </c>
      <c r="TAY909" t="s">
        <v>619</v>
      </c>
      <c r="TAZ909" t="s">
        <v>619</v>
      </c>
      <c r="TBA909" t="s">
        <v>619</v>
      </c>
      <c r="TBB909">
        <v>1850143</v>
      </c>
      <c r="TBC909">
        <v>2246408</v>
      </c>
      <c r="TKT909" t="s">
        <v>1325</v>
      </c>
      <c r="TKU909" t="s">
        <v>619</v>
      </c>
      <c r="TKV909" t="s">
        <v>619</v>
      </c>
      <c r="TKW909" t="s">
        <v>619</v>
      </c>
      <c r="TKX909">
        <v>1850143</v>
      </c>
      <c r="TKY909">
        <v>2246408</v>
      </c>
      <c r="TUP909" t="s">
        <v>1325</v>
      </c>
      <c r="TUQ909" t="s">
        <v>619</v>
      </c>
      <c r="TUR909" t="s">
        <v>619</v>
      </c>
      <c r="TUS909" t="s">
        <v>619</v>
      </c>
      <c r="TUT909">
        <v>1850143</v>
      </c>
      <c r="TUU909">
        <v>2246408</v>
      </c>
      <c r="UEL909" t="s">
        <v>1325</v>
      </c>
      <c r="UEM909" t="s">
        <v>619</v>
      </c>
      <c r="UEN909" t="s">
        <v>619</v>
      </c>
      <c r="UEO909" t="s">
        <v>619</v>
      </c>
      <c r="UEP909">
        <v>1850143</v>
      </c>
      <c r="UEQ909">
        <v>2246408</v>
      </c>
      <c r="UOH909" t="s">
        <v>1325</v>
      </c>
      <c r="UOI909" t="s">
        <v>619</v>
      </c>
      <c r="UOJ909" t="s">
        <v>619</v>
      </c>
      <c r="UOK909" t="s">
        <v>619</v>
      </c>
      <c r="UOL909">
        <v>1850143</v>
      </c>
      <c r="UOM909">
        <v>2246408</v>
      </c>
      <c r="UYD909" t="s">
        <v>1325</v>
      </c>
      <c r="UYE909" t="s">
        <v>619</v>
      </c>
      <c r="UYF909" t="s">
        <v>619</v>
      </c>
      <c r="UYG909" t="s">
        <v>619</v>
      </c>
      <c r="UYH909">
        <v>1850143</v>
      </c>
      <c r="UYI909">
        <v>2246408</v>
      </c>
      <c r="VHZ909" t="s">
        <v>1325</v>
      </c>
      <c r="VIA909" t="s">
        <v>619</v>
      </c>
      <c r="VIB909" t="s">
        <v>619</v>
      </c>
      <c r="VIC909" t="s">
        <v>619</v>
      </c>
      <c r="VID909">
        <v>1850143</v>
      </c>
      <c r="VIE909">
        <v>2246408</v>
      </c>
      <c r="VRV909" t="s">
        <v>1325</v>
      </c>
      <c r="VRW909" t="s">
        <v>619</v>
      </c>
      <c r="VRX909" t="s">
        <v>619</v>
      </c>
      <c r="VRY909" t="s">
        <v>619</v>
      </c>
      <c r="VRZ909">
        <v>1850143</v>
      </c>
      <c r="VSA909">
        <v>2246408</v>
      </c>
      <c r="WBR909" t="s">
        <v>1325</v>
      </c>
      <c r="WBS909" t="s">
        <v>619</v>
      </c>
      <c r="WBT909" t="s">
        <v>619</v>
      </c>
      <c r="WBU909" t="s">
        <v>619</v>
      </c>
      <c r="WBV909">
        <v>1850143</v>
      </c>
      <c r="WBW909">
        <v>2246408</v>
      </c>
      <c r="WLN909" t="s">
        <v>1325</v>
      </c>
      <c r="WLO909" t="s">
        <v>619</v>
      </c>
      <c r="WLP909" t="s">
        <v>619</v>
      </c>
      <c r="WLQ909" t="s">
        <v>619</v>
      </c>
      <c r="WLR909">
        <v>1850143</v>
      </c>
      <c r="WLS909">
        <v>2246408</v>
      </c>
      <c r="WVJ909" t="s">
        <v>1325</v>
      </c>
      <c r="WVK909" t="s">
        <v>619</v>
      </c>
      <c r="WVL909" t="s">
        <v>619</v>
      </c>
      <c r="WVM909" t="s">
        <v>619</v>
      </c>
      <c r="WVN909">
        <v>1850143</v>
      </c>
      <c r="WVO909">
        <v>2246408</v>
      </c>
    </row>
    <row r="910" spans="1:775 1026:1799 2050:2823 3074:3847 4098:4871 5122:5895 6146:6919 7170:7943 8194:8967 9218:9991 10242:11015 11266:12039 12290:13063 13314:14087 14338:15111 15362:16135">
      <c r="A910" s="1427" t="s">
        <v>1326</v>
      </c>
      <c r="B910" t="s">
        <v>1069</v>
      </c>
      <c r="C910" s="98">
        <v>0</v>
      </c>
      <c r="D910" s="98">
        <v>0</v>
      </c>
      <c r="E910" s="100">
        <v>-44645</v>
      </c>
      <c r="F910" s="98">
        <v>0</v>
      </c>
      <c r="G910" s="98">
        <v>0</v>
      </c>
      <c r="H910" s="98"/>
      <c r="IX910" t="s">
        <v>1326</v>
      </c>
      <c r="IY910" t="s">
        <v>619</v>
      </c>
      <c r="IZ910" t="s">
        <v>619</v>
      </c>
      <c r="JA910">
        <v>-44645</v>
      </c>
      <c r="JB910" t="s">
        <v>619</v>
      </c>
      <c r="JC910" t="s">
        <v>619</v>
      </c>
      <c r="ST910" t="s">
        <v>1326</v>
      </c>
      <c r="SU910" t="s">
        <v>619</v>
      </c>
      <c r="SV910" t="s">
        <v>619</v>
      </c>
      <c r="SW910">
        <v>-44645</v>
      </c>
      <c r="SX910" t="s">
        <v>619</v>
      </c>
      <c r="SY910" t="s">
        <v>619</v>
      </c>
      <c r="ACP910" t="s">
        <v>1326</v>
      </c>
      <c r="ACQ910" t="s">
        <v>619</v>
      </c>
      <c r="ACR910" t="s">
        <v>619</v>
      </c>
      <c r="ACS910">
        <v>-44645</v>
      </c>
      <c r="ACT910" t="s">
        <v>619</v>
      </c>
      <c r="ACU910" t="s">
        <v>619</v>
      </c>
      <c r="AML910" t="s">
        <v>1326</v>
      </c>
      <c r="AMM910" t="s">
        <v>619</v>
      </c>
      <c r="AMN910" t="s">
        <v>619</v>
      </c>
      <c r="AMO910">
        <v>-44645</v>
      </c>
      <c r="AMP910" t="s">
        <v>619</v>
      </c>
      <c r="AMQ910" t="s">
        <v>619</v>
      </c>
      <c r="AWH910" t="s">
        <v>1326</v>
      </c>
      <c r="AWI910" t="s">
        <v>619</v>
      </c>
      <c r="AWJ910" t="s">
        <v>619</v>
      </c>
      <c r="AWK910">
        <v>-44645</v>
      </c>
      <c r="AWL910" t="s">
        <v>619</v>
      </c>
      <c r="AWM910" t="s">
        <v>619</v>
      </c>
      <c r="BGD910" t="s">
        <v>1326</v>
      </c>
      <c r="BGE910" t="s">
        <v>619</v>
      </c>
      <c r="BGF910" t="s">
        <v>619</v>
      </c>
      <c r="BGG910">
        <v>-44645</v>
      </c>
      <c r="BGH910" t="s">
        <v>619</v>
      </c>
      <c r="BGI910" t="s">
        <v>619</v>
      </c>
      <c r="BPZ910" t="s">
        <v>1326</v>
      </c>
      <c r="BQA910" t="s">
        <v>619</v>
      </c>
      <c r="BQB910" t="s">
        <v>619</v>
      </c>
      <c r="BQC910">
        <v>-44645</v>
      </c>
      <c r="BQD910" t="s">
        <v>619</v>
      </c>
      <c r="BQE910" t="s">
        <v>619</v>
      </c>
      <c r="BZV910" t="s">
        <v>1326</v>
      </c>
      <c r="BZW910" t="s">
        <v>619</v>
      </c>
      <c r="BZX910" t="s">
        <v>619</v>
      </c>
      <c r="BZY910">
        <v>-44645</v>
      </c>
      <c r="BZZ910" t="s">
        <v>619</v>
      </c>
      <c r="CAA910" t="s">
        <v>619</v>
      </c>
      <c r="CJR910" t="s">
        <v>1326</v>
      </c>
      <c r="CJS910" t="s">
        <v>619</v>
      </c>
      <c r="CJT910" t="s">
        <v>619</v>
      </c>
      <c r="CJU910">
        <v>-44645</v>
      </c>
      <c r="CJV910" t="s">
        <v>619</v>
      </c>
      <c r="CJW910" t="s">
        <v>619</v>
      </c>
      <c r="CTN910" t="s">
        <v>1326</v>
      </c>
      <c r="CTO910" t="s">
        <v>619</v>
      </c>
      <c r="CTP910" t="s">
        <v>619</v>
      </c>
      <c r="CTQ910">
        <v>-44645</v>
      </c>
      <c r="CTR910" t="s">
        <v>619</v>
      </c>
      <c r="CTS910" t="s">
        <v>619</v>
      </c>
      <c r="DDJ910" t="s">
        <v>1326</v>
      </c>
      <c r="DDK910" t="s">
        <v>619</v>
      </c>
      <c r="DDL910" t="s">
        <v>619</v>
      </c>
      <c r="DDM910">
        <v>-44645</v>
      </c>
      <c r="DDN910" t="s">
        <v>619</v>
      </c>
      <c r="DDO910" t="s">
        <v>619</v>
      </c>
      <c r="DNF910" t="s">
        <v>1326</v>
      </c>
      <c r="DNG910" t="s">
        <v>619</v>
      </c>
      <c r="DNH910" t="s">
        <v>619</v>
      </c>
      <c r="DNI910">
        <v>-44645</v>
      </c>
      <c r="DNJ910" t="s">
        <v>619</v>
      </c>
      <c r="DNK910" t="s">
        <v>619</v>
      </c>
      <c r="DXB910" t="s">
        <v>1326</v>
      </c>
      <c r="DXC910" t="s">
        <v>619</v>
      </c>
      <c r="DXD910" t="s">
        <v>619</v>
      </c>
      <c r="DXE910">
        <v>-44645</v>
      </c>
      <c r="DXF910" t="s">
        <v>619</v>
      </c>
      <c r="DXG910" t="s">
        <v>619</v>
      </c>
      <c r="EGX910" t="s">
        <v>1326</v>
      </c>
      <c r="EGY910" t="s">
        <v>619</v>
      </c>
      <c r="EGZ910" t="s">
        <v>619</v>
      </c>
      <c r="EHA910">
        <v>-44645</v>
      </c>
      <c r="EHB910" t="s">
        <v>619</v>
      </c>
      <c r="EHC910" t="s">
        <v>619</v>
      </c>
      <c r="EQT910" t="s">
        <v>1326</v>
      </c>
      <c r="EQU910" t="s">
        <v>619</v>
      </c>
      <c r="EQV910" t="s">
        <v>619</v>
      </c>
      <c r="EQW910">
        <v>-44645</v>
      </c>
      <c r="EQX910" t="s">
        <v>619</v>
      </c>
      <c r="EQY910" t="s">
        <v>619</v>
      </c>
      <c r="FAP910" t="s">
        <v>1326</v>
      </c>
      <c r="FAQ910" t="s">
        <v>619</v>
      </c>
      <c r="FAR910" t="s">
        <v>619</v>
      </c>
      <c r="FAS910">
        <v>-44645</v>
      </c>
      <c r="FAT910" t="s">
        <v>619</v>
      </c>
      <c r="FAU910" t="s">
        <v>619</v>
      </c>
      <c r="FKL910" t="s">
        <v>1326</v>
      </c>
      <c r="FKM910" t="s">
        <v>619</v>
      </c>
      <c r="FKN910" t="s">
        <v>619</v>
      </c>
      <c r="FKO910">
        <v>-44645</v>
      </c>
      <c r="FKP910" t="s">
        <v>619</v>
      </c>
      <c r="FKQ910" t="s">
        <v>619</v>
      </c>
      <c r="FUH910" t="s">
        <v>1326</v>
      </c>
      <c r="FUI910" t="s">
        <v>619</v>
      </c>
      <c r="FUJ910" t="s">
        <v>619</v>
      </c>
      <c r="FUK910">
        <v>-44645</v>
      </c>
      <c r="FUL910" t="s">
        <v>619</v>
      </c>
      <c r="FUM910" t="s">
        <v>619</v>
      </c>
      <c r="GED910" t="s">
        <v>1326</v>
      </c>
      <c r="GEE910" t="s">
        <v>619</v>
      </c>
      <c r="GEF910" t="s">
        <v>619</v>
      </c>
      <c r="GEG910">
        <v>-44645</v>
      </c>
      <c r="GEH910" t="s">
        <v>619</v>
      </c>
      <c r="GEI910" t="s">
        <v>619</v>
      </c>
      <c r="GNZ910" t="s">
        <v>1326</v>
      </c>
      <c r="GOA910" t="s">
        <v>619</v>
      </c>
      <c r="GOB910" t="s">
        <v>619</v>
      </c>
      <c r="GOC910">
        <v>-44645</v>
      </c>
      <c r="GOD910" t="s">
        <v>619</v>
      </c>
      <c r="GOE910" t="s">
        <v>619</v>
      </c>
      <c r="GXV910" t="s">
        <v>1326</v>
      </c>
      <c r="GXW910" t="s">
        <v>619</v>
      </c>
      <c r="GXX910" t="s">
        <v>619</v>
      </c>
      <c r="GXY910">
        <v>-44645</v>
      </c>
      <c r="GXZ910" t="s">
        <v>619</v>
      </c>
      <c r="GYA910" t="s">
        <v>619</v>
      </c>
      <c r="HHR910" t="s">
        <v>1326</v>
      </c>
      <c r="HHS910" t="s">
        <v>619</v>
      </c>
      <c r="HHT910" t="s">
        <v>619</v>
      </c>
      <c r="HHU910">
        <v>-44645</v>
      </c>
      <c r="HHV910" t="s">
        <v>619</v>
      </c>
      <c r="HHW910" t="s">
        <v>619</v>
      </c>
      <c r="HRN910" t="s">
        <v>1326</v>
      </c>
      <c r="HRO910" t="s">
        <v>619</v>
      </c>
      <c r="HRP910" t="s">
        <v>619</v>
      </c>
      <c r="HRQ910">
        <v>-44645</v>
      </c>
      <c r="HRR910" t="s">
        <v>619</v>
      </c>
      <c r="HRS910" t="s">
        <v>619</v>
      </c>
      <c r="IBJ910" t="s">
        <v>1326</v>
      </c>
      <c r="IBK910" t="s">
        <v>619</v>
      </c>
      <c r="IBL910" t="s">
        <v>619</v>
      </c>
      <c r="IBM910">
        <v>-44645</v>
      </c>
      <c r="IBN910" t="s">
        <v>619</v>
      </c>
      <c r="IBO910" t="s">
        <v>619</v>
      </c>
      <c r="ILF910" t="s">
        <v>1326</v>
      </c>
      <c r="ILG910" t="s">
        <v>619</v>
      </c>
      <c r="ILH910" t="s">
        <v>619</v>
      </c>
      <c r="ILI910">
        <v>-44645</v>
      </c>
      <c r="ILJ910" t="s">
        <v>619</v>
      </c>
      <c r="ILK910" t="s">
        <v>619</v>
      </c>
      <c r="IVB910" t="s">
        <v>1326</v>
      </c>
      <c r="IVC910" t="s">
        <v>619</v>
      </c>
      <c r="IVD910" t="s">
        <v>619</v>
      </c>
      <c r="IVE910">
        <v>-44645</v>
      </c>
      <c r="IVF910" t="s">
        <v>619</v>
      </c>
      <c r="IVG910" t="s">
        <v>619</v>
      </c>
      <c r="JEX910" t="s">
        <v>1326</v>
      </c>
      <c r="JEY910" t="s">
        <v>619</v>
      </c>
      <c r="JEZ910" t="s">
        <v>619</v>
      </c>
      <c r="JFA910">
        <v>-44645</v>
      </c>
      <c r="JFB910" t="s">
        <v>619</v>
      </c>
      <c r="JFC910" t="s">
        <v>619</v>
      </c>
      <c r="JOT910" t="s">
        <v>1326</v>
      </c>
      <c r="JOU910" t="s">
        <v>619</v>
      </c>
      <c r="JOV910" t="s">
        <v>619</v>
      </c>
      <c r="JOW910">
        <v>-44645</v>
      </c>
      <c r="JOX910" t="s">
        <v>619</v>
      </c>
      <c r="JOY910" t="s">
        <v>619</v>
      </c>
      <c r="JYP910" t="s">
        <v>1326</v>
      </c>
      <c r="JYQ910" t="s">
        <v>619</v>
      </c>
      <c r="JYR910" t="s">
        <v>619</v>
      </c>
      <c r="JYS910">
        <v>-44645</v>
      </c>
      <c r="JYT910" t="s">
        <v>619</v>
      </c>
      <c r="JYU910" t="s">
        <v>619</v>
      </c>
      <c r="KIL910" t="s">
        <v>1326</v>
      </c>
      <c r="KIM910" t="s">
        <v>619</v>
      </c>
      <c r="KIN910" t="s">
        <v>619</v>
      </c>
      <c r="KIO910">
        <v>-44645</v>
      </c>
      <c r="KIP910" t="s">
        <v>619</v>
      </c>
      <c r="KIQ910" t="s">
        <v>619</v>
      </c>
      <c r="KSH910" t="s">
        <v>1326</v>
      </c>
      <c r="KSI910" t="s">
        <v>619</v>
      </c>
      <c r="KSJ910" t="s">
        <v>619</v>
      </c>
      <c r="KSK910">
        <v>-44645</v>
      </c>
      <c r="KSL910" t="s">
        <v>619</v>
      </c>
      <c r="KSM910" t="s">
        <v>619</v>
      </c>
      <c r="LCD910" t="s">
        <v>1326</v>
      </c>
      <c r="LCE910" t="s">
        <v>619</v>
      </c>
      <c r="LCF910" t="s">
        <v>619</v>
      </c>
      <c r="LCG910">
        <v>-44645</v>
      </c>
      <c r="LCH910" t="s">
        <v>619</v>
      </c>
      <c r="LCI910" t="s">
        <v>619</v>
      </c>
      <c r="LLZ910" t="s">
        <v>1326</v>
      </c>
      <c r="LMA910" t="s">
        <v>619</v>
      </c>
      <c r="LMB910" t="s">
        <v>619</v>
      </c>
      <c r="LMC910">
        <v>-44645</v>
      </c>
      <c r="LMD910" t="s">
        <v>619</v>
      </c>
      <c r="LME910" t="s">
        <v>619</v>
      </c>
      <c r="LVV910" t="s">
        <v>1326</v>
      </c>
      <c r="LVW910" t="s">
        <v>619</v>
      </c>
      <c r="LVX910" t="s">
        <v>619</v>
      </c>
      <c r="LVY910">
        <v>-44645</v>
      </c>
      <c r="LVZ910" t="s">
        <v>619</v>
      </c>
      <c r="LWA910" t="s">
        <v>619</v>
      </c>
      <c r="MFR910" t="s">
        <v>1326</v>
      </c>
      <c r="MFS910" t="s">
        <v>619</v>
      </c>
      <c r="MFT910" t="s">
        <v>619</v>
      </c>
      <c r="MFU910">
        <v>-44645</v>
      </c>
      <c r="MFV910" t="s">
        <v>619</v>
      </c>
      <c r="MFW910" t="s">
        <v>619</v>
      </c>
      <c r="MPN910" t="s">
        <v>1326</v>
      </c>
      <c r="MPO910" t="s">
        <v>619</v>
      </c>
      <c r="MPP910" t="s">
        <v>619</v>
      </c>
      <c r="MPQ910">
        <v>-44645</v>
      </c>
      <c r="MPR910" t="s">
        <v>619</v>
      </c>
      <c r="MPS910" t="s">
        <v>619</v>
      </c>
      <c r="MZJ910" t="s">
        <v>1326</v>
      </c>
      <c r="MZK910" t="s">
        <v>619</v>
      </c>
      <c r="MZL910" t="s">
        <v>619</v>
      </c>
      <c r="MZM910">
        <v>-44645</v>
      </c>
      <c r="MZN910" t="s">
        <v>619</v>
      </c>
      <c r="MZO910" t="s">
        <v>619</v>
      </c>
      <c r="NJF910" t="s">
        <v>1326</v>
      </c>
      <c r="NJG910" t="s">
        <v>619</v>
      </c>
      <c r="NJH910" t="s">
        <v>619</v>
      </c>
      <c r="NJI910">
        <v>-44645</v>
      </c>
      <c r="NJJ910" t="s">
        <v>619</v>
      </c>
      <c r="NJK910" t="s">
        <v>619</v>
      </c>
      <c r="NTB910" t="s">
        <v>1326</v>
      </c>
      <c r="NTC910" t="s">
        <v>619</v>
      </c>
      <c r="NTD910" t="s">
        <v>619</v>
      </c>
      <c r="NTE910">
        <v>-44645</v>
      </c>
      <c r="NTF910" t="s">
        <v>619</v>
      </c>
      <c r="NTG910" t="s">
        <v>619</v>
      </c>
      <c r="OCX910" t="s">
        <v>1326</v>
      </c>
      <c r="OCY910" t="s">
        <v>619</v>
      </c>
      <c r="OCZ910" t="s">
        <v>619</v>
      </c>
      <c r="ODA910">
        <v>-44645</v>
      </c>
      <c r="ODB910" t="s">
        <v>619</v>
      </c>
      <c r="ODC910" t="s">
        <v>619</v>
      </c>
      <c r="OMT910" t="s">
        <v>1326</v>
      </c>
      <c r="OMU910" t="s">
        <v>619</v>
      </c>
      <c r="OMV910" t="s">
        <v>619</v>
      </c>
      <c r="OMW910">
        <v>-44645</v>
      </c>
      <c r="OMX910" t="s">
        <v>619</v>
      </c>
      <c r="OMY910" t="s">
        <v>619</v>
      </c>
      <c r="OWP910" t="s">
        <v>1326</v>
      </c>
      <c r="OWQ910" t="s">
        <v>619</v>
      </c>
      <c r="OWR910" t="s">
        <v>619</v>
      </c>
      <c r="OWS910">
        <v>-44645</v>
      </c>
      <c r="OWT910" t="s">
        <v>619</v>
      </c>
      <c r="OWU910" t="s">
        <v>619</v>
      </c>
      <c r="PGL910" t="s">
        <v>1326</v>
      </c>
      <c r="PGM910" t="s">
        <v>619</v>
      </c>
      <c r="PGN910" t="s">
        <v>619</v>
      </c>
      <c r="PGO910">
        <v>-44645</v>
      </c>
      <c r="PGP910" t="s">
        <v>619</v>
      </c>
      <c r="PGQ910" t="s">
        <v>619</v>
      </c>
      <c r="PQH910" t="s">
        <v>1326</v>
      </c>
      <c r="PQI910" t="s">
        <v>619</v>
      </c>
      <c r="PQJ910" t="s">
        <v>619</v>
      </c>
      <c r="PQK910">
        <v>-44645</v>
      </c>
      <c r="PQL910" t="s">
        <v>619</v>
      </c>
      <c r="PQM910" t="s">
        <v>619</v>
      </c>
      <c r="QAD910" t="s">
        <v>1326</v>
      </c>
      <c r="QAE910" t="s">
        <v>619</v>
      </c>
      <c r="QAF910" t="s">
        <v>619</v>
      </c>
      <c r="QAG910">
        <v>-44645</v>
      </c>
      <c r="QAH910" t="s">
        <v>619</v>
      </c>
      <c r="QAI910" t="s">
        <v>619</v>
      </c>
      <c r="QJZ910" t="s">
        <v>1326</v>
      </c>
      <c r="QKA910" t="s">
        <v>619</v>
      </c>
      <c r="QKB910" t="s">
        <v>619</v>
      </c>
      <c r="QKC910">
        <v>-44645</v>
      </c>
      <c r="QKD910" t="s">
        <v>619</v>
      </c>
      <c r="QKE910" t="s">
        <v>619</v>
      </c>
      <c r="QTV910" t="s">
        <v>1326</v>
      </c>
      <c r="QTW910" t="s">
        <v>619</v>
      </c>
      <c r="QTX910" t="s">
        <v>619</v>
      </c>
      <c r="QTY910">
        <v>-44645</v>
      </c>
      <c r="QTZ910" t="s">
        <v>619</v>
      </c>
      <c r="QUA910" t="s">
        <v>619</v>
      </c>
      <c r="RDR910" t="s">
        <v>1326</v>
      </c>
      <c r="RDS910" t="s">
        <v>619</v>
      </c>
      <c r="RDT910" t="s">
        <v>619</v>
      </c>
      <c r="RDU910">
        <v>-44645</v>
      </c>
      <c r="RDV910" t="s">
        <v>619</v>
      </c>
      <c r="RDW910" t="s">
        <v>619</v>
      </c>
      <c r="RNN910" t="s">
        <v>1326</v>
      </c>
      <c r="RNO910" t="s">
        <v>619</v>
      </c>
      <c r="RNP910" t="s">
        <v>619</v>
      </c>
      <c r="RNQ910">
        <v>-44645</v>
      </c>
      <c r="RNR910" t="s">
        <v>619</v>
      </c>
      <c r="RNS910" t="s">
        <v>619</v>
      </c>
      <c r="RXJ910" t="s">
        <v>1326</v>
      </c>
      <c r="RXK910" t="s">
        <v>619</v>
      </c>
      <c r="RXL910" t="s">
        <v>619</v>
      </c>
      <c r="RXM910">
        <v>-44645</v>
      </c>
      <c r="RXN910" t="s">
        <v>619</v>
      </c>
      <c r="RXO910" t="s">
        <v>619</v>
      </c>
      <c r="SHF910" t="s">
        <v>1326</v>
      </c>
      <c r="SHG910" t="s">
        <v>619</v>
      </c>
      <c r="SHH910" t="s">
        <v>619</v>
      </c>
      <c r="SHI910">
        <v>-44645</v>
      </c>
      <c r="SHJ910" t="s">
        <v>619</v>
      </c>
      <c r="SHK910" t="s">
        <v>619</v>
      </c>
      <c r="SRB910" t="s">
        <v>1326</v>
      </c>
      <c r="SRC910" t="s">
        <v>619</v>
      </c>
      <c r="SRD910" t="s">
        <v>619</v>
      </c>
      <c r="SRE910">
        <v>-44645</v>
      </c>
      <c r="SRF910" t="s">
        <v>619</v>
      </c>
      <c r="SRG910" t="s">
        <v>619</v>
      </c>
      <c r="TAX910" t="s">
        <v>1326</v>
      </c>
      <c r="TAY910" t="s">
        <v>619</v>
      </c>
      <c r="TAZ910" t="s">
        <v>619</v>
      </c>
      <c r="TBA910">
        <v>-44645</v>
      </c>
      <c r="TBB910" t="s">
        <v>619</v>
      </c>
      <c r="TBC910" t="s">
        <v>619</v>
      </c>
      <c r="TKT910" t="s">
        <v>1326</v>
      </c>
      <c r="TKU910" t="s">
        <v>619</v>
      </c>
      <c r="TKV910" t="s">
        <v>619</v>
      </c>
      <c r="TKW910">
        <v>-44645</v>
      </c>
      <c r="TKX910" t="s">
        <v>619</v>
      </c>
      <c r="TKY910" t="s">
        <v>619</v>
      </c>
      <c r="TUP910" t="s">
        <v>1326</v>
      </c>
      <c r="TUQ910" t="s">
        <v>619</v>
      </c>
      <c r="TUR910" t="s">
        <v>619</v>
      </c>
      <c r="TUS910">
        <v>-44645</v>
      </c>
      <c r="TUT910" t="s">
        <v>619</v>
      </c>
      <c r="TUU910" t="s">
        <v>619</v>
      </c>
      <c r="UEL910" t="s">
        <v>1326</v>
      </c>
      <c r="UEM910" t="s">
        <v>619</v>
      </c>
      <c r="UEN910" t="s">
        <v>619</v>
      </c>
      <c r="UEO910">
        <v>-44645</v>
      </c>
      <c r="UEP910" t="s">
        <v>619</v>
      </c>
      <c r="UEQ910" t="s">
        <v>619</v>
      </c>
      <c r="UOH910" t="s">
        <v>1326</v>
      </c>
      <c r="UOI910" t="s">
        <v>619</v>
      </c>
      <c r="UOJ910" t="s">
        <v>619</v>
      </c>
      <c r="UOK910">
        <v>-44645</v>
      </c>
      <c r="UOL910" t="s">
        <v>619</v>
      </c>
      <c r="UOM910" t="s">
        <v>619</v>
      </c>
      <c r="UYD910" t="s">
        <v>1326</v>
      </c>
      <c r="UYE910" t="s">
        <v>619</v>
      </c>
      <c r="UYF910" t="s">
        <v>619</v>
      </c>
      <c r="UYG910">
        <v>-44645</v>
      </c>
      <c r="UYH910" t="s">
        <v>619</v>
      </c>
      <c r="UYI910" t="s">
        <v>619</v>
      </c>
      <c r="VHZ910" t="s">
        <v>1326</v>
      </c>
      <c r="VIA910" t="s">
        <v>619</v>
      </c>
      <c r="VIB910" t="s">
        <v>619</v>
      </c>
      <c r="VIC910">
        <v>-44645</v>
      </c>
      <c r="VID910" t="s">
        <v>619</v>
      </c>
      <c r="VIE910" t="s">
        <v>619</v>
      </c>
      <c r="VRV910" t="s">
        <v>1326</v>
      </c>
      <c r="VRW910" t="s">
        <v>619</v>
      </c>
      <c r="VRX910" t="s">
        <v>619</v>
      </c>
      <c r="VRY910">
        <v>-44645</v>
      </c>
      <c r="VRZ910" t="s">
        <v>619</v>
      </c>
      <c r="VSA910" t="s">
        <v>619</v>
      </c>
      <c r="WBR910" t="s">
        <v>1326</v>
      </c>
      <c r="WBS910" t="s">
        <v>619</v>
      </c>
      <c r="WBT910" t="s">
        <v>619</v>
      </c>
      <c r="WBU910">
        <v>-44645</v>
      </c>
      <c r="WBV910" t="s">
        <v>619</v>
      </c>
      <c r="WBW910" t="s">
        <v>619</v>
      </c>
      <c r="WLN910" t="s">
        <v>1326</v>
      </c>
      <c r="WLO910" t="s">
        <v>619</v>
      </c>
      <c r="WLP910" t="s">
        <v>619</v>
      </c>
      <c r="WLQ910">
        <v>-44645</v>
      </c>
      <c r="WLR910" t="s">
        <v>619</v>
      </c>
      <c r="WLS910" t="s">
        <v>619</v>
      </c>
      <c r="WVJ910" t="s">
        <v>1326</v>
      </c>
      <c r="WVK910" t="s">
        <v>619</v>
      </c>
      <c r="WVL910" t="s">
        <v>619</v>
      </c>
      <c r="WVM910">
        <v>-44645</v>
      </c>
      <c r="WVN910" t="s">
        <v>619</v>
      </c>
      <c r="WVO910" t="s">
        <v>619</v>
      </c>
    </row>
    <row r="911" spans="1:775 1026:1799 2050:2823 3074:3847 4098:4871 5122:5895 6146:6919 7170:7943 8194:8967 9218:9991 10242:11015 11266:12039 12290:13063 13314:14087 14338:15111 15362:16135" s="1336" customFormat="1">
      <c r="A911" s="1428" t="s">
        <v>699</v>
      </c>
      <c r="C911" s="1429">
        <v>12169632</v>
      </c>
      <c r="D911" s="1429">
        <v>4928008</v>
      </c>
      <c r="E911" s="1429">
        <v>46206817</v>
      </c>
      <c r="F911" s="1429">
        <v>63641315</v>
      </c>
      <c r="G911" s="1429">
        <v>59149752</v>
      </c>
      <c r="H911" s="1429"/>
      <c r="IX911" s="1336" t="s">
        <v>699</v>
      </c>
      <c r="IY911" s="1336">
        <v>12169632</v>
      </c>
      <c r="IZ911" s="1336">
        <v>4928008</v>
      </c>
      <c r="JA911" s="1336">
        <v>46206817</v>
      </c>
      <c r="JB911" s="1336">
        <v>63641315</v>
      </c>
      <c r="JC911" s="1336">
        <v>59149752</v>
      </c>
      <c r="ST911" s="1336" t="s">
        <v>699</v>
      </c>
      <c r="SU911" s="1336">
        <v>12169632</v>
      </c>
      <c r="SV911" s="1336">
        <v>4928008</v>
      </c>
      <c r="SW911" s="1336">
        <v>46206817</v>
      </c>
      <c r="SX911" s="1336">
        <v>63641315</v>
      </c>
      <c r="SY911" s="1336">
        <v>59149752</v>
      </c>
      <c r="ACP911" s="1336" t="s">
        <v>699</v>
      </c>
      <c r="ACQ911" s="1336">
        <v>12169632</v>
      </c>
      <c r="ACR911" s="1336">
        <v>4928008</v>
      </c>
      <c r="ACS911" s="1336">
        <v>46206817</v>
      </c>
      <c r="ACT911" s="1336">
        <v>63641315</v>
      </c>
      <c r="ACU911" s="1336">
        <v>59149752</v>
      </c>
      <c r="AML911" s="1336" t="s">
        <v>699</v>
      </c>
      <c r="AMM911" s="1336">
        <v>12169632</v>
      </c>
      <c r="AMN911" s="1336">
        <v>4928008</v>
      </c>
      <c r="AMO911" s="1336">
        <v>46206817</v>
      </c>
      <c r="AMP911" s="1336">
        <v>63641315</v>
      </c>
      <c r="AMQ911" s="1336">
        <v>59149752</v>
      </c>
      <c r="AWH911" s="1336" t="s">
        <v>699</v>
      </c>
      <c r="AWI911" s="1336">
        <v>12169632</v>
      </c>
      <c r="AWJ911" s="1336">
        <v>4928008</v>
      </c>
      <c r="AWK911" s="1336">
        <v>46206817</v>
      </c>
      <c r="AWL911" s="1336">
        <v>63641315</v>
      </c>
      <c r="AWM911" s="1336">
        <v>59149752</v>
      </c>
      <c r="BGD911" s="1336" t="s">
        <v>699</v>
      </c>
      <c r="BGE911" s="1336">
        <v>12169632</v>
      </c>
      <c r="BGF911" s="1336">
        <v>4928008</v>
      </c>
      <c r="BGG911" s="1336">
        <v>46206817</v>
      </c>
      <c r="BGH911" s="1336">
        <v>63641315</v>
      </c>
      <c r="BGI911" s="1336">
        <v>59149752</v>
      </c>
      <c r="BPZ911" s="1336" t="s">
        <v>699</v>
      </c>
      <c r="BQA911" s="1336">
        <v>12169632</v>
      </c>
      <c r="BQB911" s="1336">
        <v>4928008</v>
      </c>
      <c r="BQC911" s="1336">
        <v>46206817</v>
      </c>
      <c r="BQD911" s="1336">
        <v>63641315</v>
      </c>
      <c r="BQE911" s="1336">
        <v>59149752</v>
      </c>
      <c r="BZV911" s="1336" t="s">
        <v>699</v>
      </c>
      <c r="BZW911" s="1336">
        <v>12169632</v>
      </c>
      <c r="BZX911" s="1336">
        <v>4928008</v>
      </c>
      <c r="BZY911" s="1336">
        <v>46206817</v>
      </c>
      <c r="BZZ911" s="1336">
        <v>63641315</v>
      </c>
      <c r="CAA911" s="1336">
        <v>59149752</v>
      </c>
      <c r="CJR911" s="1336" t="s">
        <v>699</v>
      </c>
      <c r="CJS911" s="1336">
        <v>12169632</v>
      </c>
      <c r="CJT911" s="1336">
        <v>4928008</v>
      </c>
      <c r="CJU911" s="1336">
        <v>46206817</v>
      </c>
      <c r="CJV911" s="1336">
        <v>63641315</v>
      </c>
      <c r="CJW911" s="1336">
        <v>59149752</v>
      </c>
      <c r="CTN911" s="1336" t="s">
        <v>699</v>
      </c>
      <c r="CTO911" s="1336">
        <v>12169632</v>
      </c>
      <c r="CTP911" s="1336">
        <v>4928008</v>
      </c>
      <c r="CTQ911" s="1336">
        <v>46206817</v>
      </c>
      <c r="CTR911" s="1336">
        <v>63641315</v>
      </c>
      <c r="CTS911" s="1336">
        <v>59149752</v>
      </c>
      <c r="DDJ911" s="1336" t="s">
        <v>699</v>
      </c>
      <c r="DDK911" s="1336">
        <v>12169632</v>
      </c>
      <c r="DDL911" s="1336">
        <v>4928008</v>
      </c>
      <c r="DDM911" s="1336">
        <v>46206817</v>
      </c>
      <c r="DDN911" s="1336">
        <v>63641315</v>
      </c>
      <c r="DDO911" s="1336">
        <v>59149752</v>
      </c>
      <c r="DNF911" s="1336" t="s">
        <v>699</v>
      </c>
      <c r="DNG911" s="1336">
        <v>12169632</v>
      </c>
      <c r="DNH911" s="1336">
        <v>4928008</v>
      </c>
      <c r="DNI911" s="1336">
        <v>46206817</v>
      </c>
      <c r="DNJ911" s="1336">
        <v>63641315</v>
      </c>
      <c r="DNK911" s="1336">
        <v>59149752</v>
      </c>
      <c r="DXB911" s="1336" t="s">
        <v>699</v>
      </c>
      <c r="DXC911" s="1336">
        <v>12169632</v>
      </c>
      <c r="DXD911" s="1336">
        <v>4928008</v>
      </c>
      <c r="DXE911" s="1336">
        <v>46206817</v>
      </c>
      <c r="DXF911" s="1336">
        <v>63641315</v>
      </c>
      <c r="DXG911" s="1336">
        <v>59149752</v>
      </c>
      <c r="EGX911" s="1336" t="s">
        <v>699</v>
      </c>
      <c r="EGY911" s="1336">
        <v>12169632</v>
      </c>
      <c r="EGZ911" s="1336">
        <v>4928008</v>
      </c>
      <c r="EHA911" s="1336">
        <v>46206817</v>
      </c>
      <c r="EHB911" s="1336">
        <v>63641315</v>
      </c>
      <c r="EHC911" s="1336">
        <v>59149752</v>
      </c>
      <c r="EQT911" s="1336" t="s">
        <v>699</v>
      </c>
      <c r="EQU911" s="1336">
        <v>12169632</v>
      </c>
      <c r="EQV911" s="1336">
        <v>4928008</v>
      </c>
      <c r="EQW911" s="1336">
        <v>46206817</v>
      </c>
      <c r="EQX911" s="1336">
        <v>63641315</v>
      </c>
      <c r="EQY911" s="1336">
        <v>59149752</v>
      </c>
      <c r="FAP911" s="1336" t="s">
        <v>699</v>
      </c>
      <c r="FAQ911" s="1336">
        <v>12169632</v>
      </c>
      <c r="FAR911" s="1336">
        <v>4928008</v>
      </c>
      <c r="FAS911" s="1336">
        <v>46206817</v>
      </c>
      <c r="FAT911" s="1336">
        <v>63641315</v>
      </c>
      <c r="FAU911" s="1336">
        <v>59149752</v>
      </c>
      <c r="FKL911" s="1336" t="s">
        <v>699</v>
      </c>
      <c r="FKM911" s="1336">
        <v>12169632</v>
      </c>
      <c r="FKN911" s="1336">
        <v>4928008</v>
      </c>
      <c r="FKO911" s="1336">
        <v>46206817</v>
      </c>
      <c r="FKP911" s="1336">
        <v>63641315</v>
      </c>
      <c r="FKQ911" s="1336">
        <v>59149752</v>
      </c>
      <c r="FUH911" s="1336" t="s">
        <v>699</v>
      </c>
      <c r="FUI911" s="1336">
        <v>12169632</v>
      </c>
      <c r="FUJ911" s="1336">
        <v>4928008</v>
      </c>
      <c r="FUK911" s="1336">
        <v>46206817</v>
      </c>
      <c r="FUL911" s="1336">
        <v>63641315</v>
      </c>
      <c r="FUM911" s="1336">
        <v>59149752</v>
      </c>
      <c r="GED911" s="1336" t="s">
        <v>699</v>
      </c>
      <c r="GEE911" s="1336">
        <v>12169632</v>
      </c>
      <c r="GEF911" s="1336">
        <v>4928008</v>
      </c>
      <c r="GEG911" s="1336">
        <v>46206817</v>
      </c>
      <c r="GEH911" s="1336">
        <v>63641315</v>
      </c>
      <c r="GEI911" s="1336">
        <v>59149752</v>
      </c>
      <c r="GNZ911" s="1336" t="s">
        <v>699</v>
      </c>
      <c r="GOA911" s="1336">
        <v>12169632</v>
      </c>
      <c r="GOB911" s="1336">
        <v>4928008</v>
      </c>
      <c r="GOC911" s="1336">
        <v>46206817</v>
      </c>
      <c r="GOD911" s="1336">
        <v>63641315</v>
      </c>
      <c r="GOE911" s="1336">
        <v>59149752</v>
      </c>
      <c r="GXV911" s="1336" t="s">
        <v>699</v>
      </c>
      <c r="GXW911" s="1336">
        <v>12169632</v>
      </c>
      <c r="GXX911" s="1336">
        <v>4928008</v>
      </c>
      <c r="GXY911" s="1336">
        <v>46206817</v>
      </c>
      <c r="GXZ911" s="1336">
        <v>63641315</v>
      </c>
      <c r="GYA911" s="1336">
        <v>59149752</v>
      </c>
      <c r="HHR911" s="1336" t="s">
        <v>699</v>
      </c>
      <c r="HHS911" s="1336">
        <v>12169632</v>
      </c>
      <c r="HHT911" s="1336">
        <v>4928008</v>
      </c>
      <c r="HHU911" s="1336">
        <v>46206817</v>
      </c>
      <c r="HHV911" s="1336">
        <v>63641315</v>
      </c>
      <c r="HHW911" s="1336">
        <v>59149752</v>
      </c>
      <c r="HRN911" s="1336" t="s">
        <v>699</v>
      </c>
      <c r="HRO911" s="1336">
        <v>12169632</v>
      </c>
      <c r="HRP911" s="1336">
        <v>4928008</v>
      </c>
      <c r="HRQ911" s="1336">
        <v>46206817</v>
      </c>
      <c r="HRR911" s="1336">
        <v>63641315</v>
      </c>
      <c r="HRS911" s="1336">
        <v>59149752</v>
      </c>
      <c r="IBJ911" s="1336" t="s">
        <v>699</v>
      </c>
      <c r="IBK911" s="1336">
        <v>12169632</v>
      </c>
      <c r="IBL911" s="1336">
        <v>4928008</v>
      </c>
      <c r="IBM911" s="1336">
        <v>46206817</v>
      </c>
      <c r="IBN911" s="1336">
        <v>63641315</v>
      </c>
      <c r="IBO911" s="1336">
        <v>59149752</v>
      </c>
      <c r="ILF911" s="1336" t="s">
        <v>699</v>
      </c>
      <c r="ILG911" s="1336">
        <v>12169632</v>
      </c>
      <c r="ILH911" s="1336">
        <v>4928008</v>
      </c>
      <c r="ILI911" s="1336">
        <v>46206817</v>
      </c>
      <c r="ILJ911" s="1336">
        <v>63641315</v>
      </c>
      <c r="ILK911" s="1336">
        <v>59149752</v>
      </c>
      <c r="IVB911" s="1336" t="s">
        <v>699</v>
      </c>
      <c r="IVC911" s="1336">
        <v>12169632</v>
      </c>
      <c r="IVD911" s="1336">
        <v>4928008</v>
      </c>
      <c r="IVE911" s="1336">
        <v>46206817</v>
      </c>
      <c r="IVF911" s="1336">
        <v>63641315</v>
      </c>
      <c r="IVG911" s="1336">
        <v>59149752</v>
      </c>
      <c r="JEX911" s="1336" t="s">
        <v>699</v>
      </c>
      <c r="JEY911" s="1336">
        <v>12169632</v>
      </c>
      <c r="JEZ911" s="1336">
        <v>4928008</v>
      </c>
      <c r="JFA911" s="1336">
        <v>46206817</v>
      </c>
      <c r="JFB911" s="1336">
        <v>63641315</v>
      </c>
      <c r="JFC911" s="1336">
        <v>59149752</v>
      </c>
      <c r="JOT911" s="1336" t="s">
        <v>699</v>
      </c>
      <c r="JOU911" s="1336">
        <v>12169632</v>
      </c>
      <c r="JOV911" s="1336">
        <v>4928008</v>
      </c>
      <c r="JOW911" s="1336">
        <v>46206817</v>
      </c>
      <c r="JOX911" s="1336">
        <v>63641315</v>
      </c>
      <c r="JOY911" s="1336">
        <v>59149752</v>
      </c>
      <c r="JYP911" s="1336" t="s">
        <v>699</v>
      </c>
      <c r="JYQ911" s="1336">
        <v>12169632</v>
      </c>
      <c r="JYR911" s="1336">
        <v>4928008</v>
      </c>
      <c r="JYS911" s="1336">
        <v>46206817</v>
      </c>
      <c r="JYT911" s="1336">
        <v>63641315</v>
      </c>
      <c r="JYU911" s="1336">
        <v>59149752</v>
      </c>
      <c r="KIL911" s="1336" t="s">
        <v>699</v>
      </c>
      <c r="KIM911" s="1336">
        <v>12169632</v>
      </c>
      <c r="KIN911" s="1336">
        <v>4928008</v>
      </c>
      <c r="KIO911" s="1336">
        <v>46206817</v>
      </c>
      <c r="KIP911" s="1336">
        <v>63641315</v>
      </c>
      <c r="KIQ911" s="1336">
        <v>59149752</v>
      </c>
      <c r="KSH911" s="1336" t="s">
        <v>699</v>
      </c>
      <c r="KSI911" s="1336">
        <v>12169632</v>
      </c>
      <c r="KSJ911" s="1336">
        <v>4928008</v>
      </c>
      <c r="KSK911" s="1336">
        <v>46206817</v>
      </c>
      <c r="KSL911" s="1336">
        <v>63641315</v>
      </c>
      <c r="KSM911" s="1336">
        <v>59149752</v>
      </c>
      <c r="LCD911" s="1336" t="s">
        <v>699</v>
      </c>
      <c r="LCE911" s="1336">
        <v>12169632</v>
      </c>
      <c r="LCF911" s="1336">
        <v>4928008</v>
      </c>
      <c r="LCG911" s="1336">
        <v>46206817</v>
      </c>
      <c r="LCH911" s="1336">
        <v>63641315</v>
      </c>
      <c r="LCI911" s="1336">
        <v>59149752</v>
      </c>
      <c r="LLZ911" s="1336" t="s">
        <v>699</v>
      </c>
      <c r="LMA911" s="1336">
        <v>12169632</v>
      </c>
      <c r="LMB911" s="1336">
        <v>4928008</v>
      </c>
      <c r="LMC911" s="1336">
        <v>46206817</v>
      </c>
      <c r="LMD911" s="1336">
        <v>63641315</v>
      </c>
      <c r="LME911" s="1336">
        <v>59149752</v>
      </c>
      <c r="LVV911" s="1336" t="s">
        <v>699</v>
      </c>
      <c r="LVW911" s="1336">
        <v>12169632</v>
      </c>
      <c r="LVX911" s="1336">
        <v>4928008</v>
      </c>
      <c r="LVY911" s="1336">
        <v>46206817</v>
      </c>
      <c r="LVZ911" s="1336">
        <v>63641315</v>
      </c>
      <c r="LWA911" s="1336">
        <v>59149752</v>
      </c>
      <c r="MFR911" s="1336" t="s">
        <v>699</v>
      </c>
      <c r="MFS911" s="1336">
        <v>12169632</v>
      </c>
      <c r="MFT911" s="1336">
        <v>4928008</v>
      </c>
      <c r="MFU911" s="1336">
        <v>46206817</v>
      </c>
      <c r="MFV911" s="1336">
        <v>63641315</v>
      </c>
      <c r="MFW911" s="1336">
        <v>59149752</v>
      </c>
      <c r="MPN911" s="1336" t="s">
        <v>699</v>
      </c>
      <c r="MPO911" s="1336">
        <v>12169632</v>
      </c>
      <c r="MPP911" s="1336">
        <v>4928008</v>
      </c>
      <c r="MPQ911" s="1336">
        <v>46206817</v>
      </c>
      <c r="MPR911" s="1336">
        <v>63641315</v>
      </c>
      <c r="MPS911" s="1336">
        <v>59149752</v>
      </c>
      <c r="MZJ911" s="1336" t="s">
        <v>699</v>
      </c>
      <c r="MZK911" s="1336">
        <v>12169632</v>
      </c>
      <c r="MZL911" s="1336">
        <v>4928008</v>
      </c>
      <c r="MZM911" s="1336">
        <v>46206817</v>
      </c>
      <c r="MZN911" s="1336">
        <v>63641315</v>
      </c>
      <c r="MZO911" s="1336">
        <v>59149752</v>
      </c>
      <c r="NJF911" s="1336" t="s">
        <v>699</v>
      </c>
      <c r="NJG911" s="1336">
        <v>12169632</v>
      </c>
      <c r="NJH911" s="1336">
        <v>4928008</v>
      </c>
      <c r="NJI911" s="1336">
        <v>46206817</v>
      </c>
      <c r="NJJ911" s="1336">
        <v>63641315</v>
      </c>
      <c r="NJK911" s="1336">
        <v>59149752</v>
      </c>
      <c r="NTB911" s="1336" t="s">
        <v>699</v>
      </c>
      <c r="NTC911" s="1336">
        <v>12169632</v>
      </c>
      <c r="NTD911" s="1336">
        <v>4928008</v>
      </c>
      <c r="NTE911" s="1336">
        <v>46206817</v>
      </c>
      <c r="NTF911" s="1336">
        <v>63641315</v>
      </c>
      <c r="NTG911" s="1336">
        <v>59149752</v>
      </c>
      <c r="OCX911" s="1336" t="s">
        <v>699</v>
      </c>
      <c r="OCY911" s="1336">
        <v>12169632</v>
      </c>
      <c r="OCZ911" s="1336">
        <v>4928008</v>
      </c>
      <c r="ODA911" s="1336">
        <v>46206817</v>
      </c>
      <c r="ODB911" s="1336">
        <v>63641315</v>
      </c>
      <c r="ODC911" s="1336">
        <v>59149752</v>
      </c>
      <c r="OMT911" s="1336" t="s">
        <v>699</v>
      </c>
      <c r="OMU911" s="1336">
        <v>12169632</v>
      </c>
      <c r="OMV911" s="1336">
        <v>4928008</v>
      </c>
      <c r="OMW911" s="1336">
        <v>46206817</v>
      </c>
      <c r="OMX911" s="1336">
        <v>63641315</v>
      </c>
      <c r="OMY911" s="1336">
        <v>59149752</v>
      </c>
      <c r="OWP911" s="1336" t="s">
        <v>699</v>
      </c>
      <c r="OWQ911" s="1336">
        <v>12169632</v>
      </c>
      <c r="OWR911" s="1336">
        <v>4928008</v>
      </c>
      <c r="OWS911" s="1336">
        <v>46206817</v>
      </c>
      <c r="OWT911" s="1336">
        <v>63641315</v>
      </c>
      <c r="OWU911" s="1336">
        <v>59149752</v>
      </c>
      <c r="PGL911" s="1336" t="s">
        <v>699</v>
      </c>
      <c r="PGM911" s="1336">
        <v>12169632</v>
      </c>
      <c r="PGN911" s="1336">
        <v>4928008</v>
      </c>
      <c r="PGO911" s="1336">
        <v>46206817</v>
      </c>
      <c r="PGP911" s="1336">
        <v>63641315</v>
      </c>
      <c r="PGQ911" s="1336">
        <v>59149752</v>
      </c>
      <c r="PQH911" s="1336" t="s">
        <v>699</v>
      </c>
      <c r="PQI911" s="1336">
        <v>12169632</v>
      </c>
      <c r="PQJ911" s="1336">
        <v>4928008</v>
      </c>
      <c r="PQK911" s="1336">
        <v>46206817</v>
      </c>
      <c r="PQL911" s="1336">
        <v>63641315</v>
      </c>
      <c r="PQM911" s="1336">
        <v>59149752</v>
      </c>
      <c r="QAD911" s="1336" t="s">
        <v>699</v>
      </c>
      <c r="QAE911" s="1336">
        <v>12169632</v>
      </c>
      <c r="QAF911" s="1336">
        <v>4928008</v>
      </c>
      <c r="QAG911" s="1336">
        <v>46206817</v>
      </c>
      <c r="QAH911" s="1336">
        <v>63641315</v>
      </c>
      <c r="QAI911" s="1336">
        <v>59149752</v>
      </c>
      <c r="QJZ911" s="1336" t="s">
        <v>699</v>
      </c>
      <c r="QKA911" s="1336">
        <v>12169632</v>
      </c>
      <c r="QKB911" s="1336">
        <v>4928008</v>
      </c>
      <c r="QKC911" s="1336">
        <v>46206817</v>
      </c>
      <c r="QKD911" s="1336">
        <v>63641315</v>
      </c>
      <c r="QKE911" s="1336">
        <v>59149752</v>
      </c>
      <c r="QTV911" s="1336" t="s">
        <v>699</v>
      </c>
      <c r="QTW911" s="1336">
        <v>12169632</v>
      </c>
      <c r="QTX911" s="1336">
        <v>4928008</v>
      </c>
      <c r="QTY911" s="1336">
        <v>46206817</v>
      </c>
      <c r="QTZ911" s="1336">
        <v>63641315</v>
      </c>
      <c r="QUA911" s="1336">
        <v>59149752</v>
      </c>
      <c r="RDR911" s="1336" t="s">
        <v>699</v>
      </c>
      <c r="RDS911" s="1336">
        <v>12169632</v>
      </c>
      <c r="RDT911" s="1336">
        <v>4928008</v>
      </c>
      <c r="RDU911" s="1336">
        <v>46206817</v>
      </c>
      <c r="RDV911" s="1336">
        <v>63641315</v>
      </c>
      <c r="RDW911" s="1336">
        <v>59149752</v>
      </c>
      <c r="RNN911" s="1336" t="s">
        <v>699</v>
      </c>
      <c r="RNO911" s="1336">
        <v>12169632</v>
      </c>
      <c r="RNP911" s="1336">
        <v>4928008</v>
      </c>
      <c r="RNQ911" s="1336">
        <v>46206817</v>
      </c>
      <c r="RNR911" s="1336">
        <v>63641315</v>
      </c>
      <c r="RNS911" s="1336">
        <v>59149752</v>
      </c>
      <c r="RXJ911" s="1336" t="s">
        <v>699</v>
      </c>
      <c r="RXK911" s="1336">
        <v>12169632</v>
      </c>
      <c r="RXL911" s="1336">
        <v>4928008</v>
      </c>
      <c r="RXM911" s="1336">
        <v>46206817</v>
      </c>
      <c r="RXN911" s="1336">
        <v>63641315</v>
      </c>
      <c r="RXO911" s="1336">
        <v>59149752</v>
      </c>
      <c r="SHF911" s="1336" t="s">
        <v>699</v>
      </c>
      <c r="SHG911" s="1336">
        <v>12169632</v>
      </c>
      <c r="SHH911" s="1336">
        <v>4928008</v>
      </c>
      <c r="SHI911" s="1336">
        <v>46206817</v>
      </c>
      <c r="SHJ911" s="1336">
        <v>63641315</v>
      </c>
      <c r="SHK911" s="1336">
        <v>59149752</v>
      </c>
      <c r="SRB911" s="1336" t="s">
        <v>699</v>
      </c>
      <c r="SRC911" s="1336">
        <v>12169632</v>
      </c>
      <c r="SRD911" s="1336">
        <v>4928008</v>
      </c>
      <c r="SRE911" s="1336">
        <v>46206817</v>
      </c>
      <c r="SRF911" s="1336">
        <v>63641315</v>
      </c>
      <c r="SRG911" s="1336">
        <v>59149752</v>
      </c>
      <c r="TAX911" s="1336" t="s">
        <v>699</v>
      </c>
      <c r="TAY911" s="1336">
        <v>12169632</v>
      </c>
      <c r="TAZ911" s="1336">
        <v>4928008</v>
      </c>
      <c r="TBA911" s="1336">
        <v>46206817</v>
      </c>
      <c r="TBB911" s="1336">
        <v>63641315</v>
      </c>
      <c r="TBC911" s="1336">
        <v>59149752</v>
      </c>
      <c r="TKT911" s="1336" t="s">
        <v>699</v>
      </c>
      <c r="TKU911" s="1336">
        <v>12169632</v>
      </c>
      <c r="TKV911" s="1336">
        <v>4928008</v>
      </c>
      <c r="TKW911" s="1336">
        <v>46206817</v>
      </c>
      <c r="TKX911" s="1336">
        <v>63641315</v>
      </c>
      <c r="TKY911" s="1336">
        <v>59149752</v>
      </c>
      <c r="TUP911" s="1336" t="s">
        <v>699</v>
      </c>
      <c r="TUQ911" s="1336">
        <v>12169632</v>
      </c>
      <c r="TUR911" s="1336">
        <v>4928008</v>
      </c>
      <c r="TUS911" s="1336">
        <v>46206817</v>
      </c>
      <c r="TUT911" s="1336">
        <v>63641315</v>
      </c>
      <c r="TUU911" s="1336">
        <v>59149752</v>
      </c>
      <c r="UEL911" s="1336" t="s">
        <v>699</v>
      </c>
      <c r="UEM911" s="1336">
        <v>12169632</v>
      </c>
      <c r="UEN911" s="1336">
        <v>4928008</v>
      </c>
      <c r="UEO911" s="1336">
        <v>46206817</v>
      </c>
      <c r="UEP911" s="1336">
        <v>63641315</v>
      </c>
      <c r="UEQ911" s="1336">
        <v>59149752</v>
      </c>
      <c r="UOH911" s="1336" t="s">
        <v>699</v>
      </c>
      <c r="UOI911" s="1336">
        <v>12169632</v>
      </c>
      <c r="UOJ911" s="1336">
        <v>4928008</v>
      </c>
      <c r="UOK911" s="1336">
        <v>46206817</v>
      </c>
      <c r="UOL911" s="1336">
        <v>63641315</v>
      </c>
      <c r="UOM911" s="1336">
        <v>59149752</v>
      </c>
      <c r="UYD911" s="1336" t="s">
        <v>699</v>
      </c>
      <c r="UYE911" s="1336">
        <v>12169632</v>
      </c>
      <c r="UYF911" s="1336">
        <v>4928008</v>
      </c>
      <c r="UYG911" s="1336">
        <v>46206817</v>
      </c>
      <c r="UYH911" s="1336">
        <v>63641315</v>
      </c>
      <c r="UYI911" s="1336">
        <v>59149752</v>
      </c>
      <c r="VHZ911" s="1336" t="s">
        <v>699</v>
      </c>
      <c r="VIA911" s="1336">
        <v>12169632</v>
      </c>
      <c r="VIB911" s="1336">
        <v>4928008</v>
      </c>
      <c r="VIC911" s="1336">
        <v>46206817</v>
      </c>
      <c r="VID911" s="1336">
        <v>63641315</v>
      </c>
      <c r="VIE911" s="1336">
        <v>59149752</v>
      </c>
      <c r="VRV911" s="1336" t="s">
        <v>699</v>
      </c>
      <c r="VRW911" s="1336">
        <v>12169632</v>
      </c>
      <c r="VRX911" s="1336">
        <v>4928008</v>
      </c>
      <c r="VRY911" s="1336">
        <v>46206817</v>
      </c>
      <c r="VRZ911" s="1336">
        <v>63641315</v>
      </c>
      <c r="VSA911" s="1336">
        <v>59149752</v>
      </c>
      <c r="WBR911" s="1336" t="s">
        <v>699</v>
      </c>
      <c r="WBS911" s="1336">
        <v>12169632</v>
      </c>
      <c r="WBT911" s="1336">
        <v>4928008</v>
      </c>
      <c r="WBU911" s="1336">
        <v>46206817</v>
      </c>
      <c r="WBV911" s="1336">
        <v>63641315</v>
      </c>
      <c r="WBW911" s="1336">
        <v>59149752</v>
      </c>
      <c r="WLN911" s="1336" t="s">
        <v>699</v>
      </c>
      <c r="WLO911" s="1336">
        <v>12169632</v>
      </c>
      <c r="WLP911" s="1336">
        <v>4928008</v>
      </c>
      <c r="WLQ911" s="1336">
        <v>46206817</v>
      </c>
      <c r="WLR911" s="1336">
        <v>63641315</v>
      </c>
      <c r="WLS911" s="1336">
        <v>59149752</v>
      </c>
      <c r="WVJ911" s="1336" t="s">
        <v>699</v>
      </c>
      <c r="WVK911" s="1336">
        <v>12169632</v>
      </c>
      <c r="WVL911" s="1336">
        <v>4928008</v>
      </c>
      <c r="WVM911" s="1336">
        <v>46206817</v>
      </c>
      <c r="WVN911" s="1336">
        <v>63641315</v>
      </c>
      <c r="WVO911" s="1336">
        <v>59149752</v>
      </c>
    </row>
    <row r="912" spans="1:775 1026:1799 2050:2823 3074:3847 4098:4871 5122:5895 6146:6919 7170:7943 8194:8967 9218:9991 10242:11015 11266:12039 12290:13063 13314:14087 14338:15111 15362:16135" s="1337" customFormat="1" ht="14.5" thickBot="1">
      <c r="A912" s="1433" t="s">
        <v>700</v>
      </c>
      <c r="C912" s="1430"/>
      <c r="D912" s="1430"/>
      <c r="E912" s="1430"/>
      <c r="F912" s="1430"/>
      <c r="G912" s="1430"/>
      <c r="H912" s="1430"/>
      <c r="IX912" s="1337" t="s">
        <v>700</v>
      </c>
      <c r="ST912" s="1337" t="s">
        <v>700</v>
      </c>
      <c r="ACP912" s="1337" t="s">
        <v>700</v>
      </c>
      <c r="AML912" s="1337" t="s">
        <v>700</v>
      </c>
      <c r="AWH912" s="1337" t="s">
        <v>700</v>
      </c>
      <c r="BGD912" s="1337" t="s">
        <v>700</v>
      </c>
      <c r="BPZ912" s="1337" t="s">
        <v>700</v>
      </c>
      <c r="BZV912" s="1337" t="s">
        <v>700</v>
      </c>
      <c r="CJR912" s="1337" t="s">
        <v>700</v>
      </c>
      <c r="CTN912" s="1337" t="s">
        <v>700</v>
      </c>
      <c r="DDJ912" s="1337" t="s">
        <v>700</v>
      </c>
      <c r="DNF912" s="1337" t="s">
        <v>700</v>
      </c>
      <c r="DXB912" s="1337" t="s">
        <v>700</v>
      </c>
      <c r="EGX912" s="1337" t="s">
        <v>700</v>
      </c>
      <c r="EQT912" s="1337" t="s">
        <v>700</v>
      </c>
      <c r="FAP912" s="1337" t="s">
        <v>700</v>
      </c>
      <c r="FKL912" s="1337" t="s">
        <v>700</v>
      </c>
      <c r="FUH912" s="1337" t="s">
        <v>700</v>
      </c>
      <c r="GED912" s="1337" t="s">
        <v>700</v>
      </c>
      <c r="GNZ912" s="1337" t="s">
        <v>700</v>
      </c>
      <c r="GXV912" s="1337" t="s">
        <v>700</v>
      </c>
      <c r="HHR912" s="1337" t="s">
        <v>700</v>
      </c>
      <c r="HRN912" s="1337" t="s">
        <v>700</v>
      </c>
      <c r="IBJ912" s="1337" t="s">
        <v>700</v>
      </c>
      <c r="ILF912" s="1337" t="s">
        <v>700</v>
      </c>
      <c r="IVB912" s="1337" t="s">
        <v>700</v>
      </c>
      <c r="JEX912" s="1337" t="s">
        <v>700</v>
      </c>
      <c r="JOT912" s="1337" t="s">
        <v>700</v>
      </c>
      <c r="JYP912" s="1337" t="s">
        <v>700</v>
      </c>
      <c r="KIL912" s="1337" t="s">
        <v>700</v>
      </c>
      <c r="KSH912" s="1337" t="s">
        <v>700</v>
      </c>
      <c r="LCD912" s="1337" t="s">
        <v>700</v>
      </c>
      <c r="LLZ912" s="1337" t="s">
        <v>700</v>
      </c>
      <c r="LVV912" s="1337" t="s">
        <v>700</v>
      </c>
      <c r="MFR912" s="1337" t="s">
        <v>700</v>
      </c>
      <c r="MPN912" s="1337" t="s">
        <v>700</v>
      </c>
      <c r="MZJ912" s="1337" t="s">
        <v>700</v>
      </c>
      <c r="NJF912" s="1337" t="s">
        <v>700</v>
      </c>
      <c r="NTB912" s="1337" t="s">
        <v>700</v>
      </c>
      <c r="OCX912" s="1337" t="s">
        <v>700</v>
      </c>
      <c r="OMT912" s="1337" t="s">
        <v>700</v>
      </c>
      <c r="OWP912" s="1337" t="s">
        <v>700</v>
      </c>
      <c r="PGL912" s="1337" t="s">
        <v>700</v>
      </c>
      <c r="PQH912" s="1337" t="s">
        <v>700</v>
      </c>
      <c r="QAD912" s="1337" t="s">
        <v>700</v>
      </c>
      <c r="QJZ912" s="1337" t="s">
        <v>700</v>
      </c>
      <c r="QTV912" s="1337" t="s">
        <v>700</v>
      </c>
      <c r="RDR912" s="1337" t="s">
        <v>700</v>
      </c>
      <c r="RNN912" s="1337" t="s">
        <v>700</v>
      </c>
      <c r="RXJ912" s="1337" t="s">
        <v>700</v>
      </c>
      <c r="SHF912" s="1337" t="s">
        <v>700</v>
      </c>
      <c r="SRB912" s="1337" t="s">
        <v>700</v>
      </c>
      <c r="TAX912" s="1337" t="s">
        <v>700</v>
      </c>
      <c r="TKT912" s="1337" t="s">
        <v>700</v>
      </c>
      <c r="TUP912" s="1337" t="s">
        <v>700</v>
      </c>
      <c r="UEL912" s="1337" t="s">
        <v>700</v>
      </c>
      <c r="UOH912" s="1337" t="s">
        <v>700</v>
      </c>
      <c r="UYD912" s="1337" t="s">
        <v>700</v>
      </c>
      <c r="VHZ912" s="1337" t="s">
        <v>700</v>
      </c>
      <c r="VRV912" s="1337" t="s">
        <v>700</v>
      </c>
      <c r="WBR912" s="1337" t="s">
        <v>700</v>
      </c>
      <c r="WLN912" s="1337" t="s">
        <v>700</v>
      </c>
      <c r="WVJ912" s="1337" t="s">
        <v>700</v>
      </c>
    </row>
    <row r="913" spans="1:775 1026:1799 2050:2823 3074:3847 4098:4871 5122:5895 6146:6919 7170:7943 8194:8967 9218:9991 10242:11015 11266:12039 12290:13063 13314:14087 14338:15111 15362:16135">
      <c r="A913" s="96" t="s">
        <v>1327</v>
      </c>
      <c r="B913" t="s">
        <v>1078</v>
      </c>
      <c r="C913" s="98">
        <v>0</v>
      </c>
      <c r="D913" s="100">
        <v>1997672</v>
      </c>
      <c r="E913" s="100">
        <v>1350294</v>
      </c>
      <c r="F913" s="100">
        <v>2988374</v>
      </c>
      <c r="G913" s="100">
        <v>7374456</v>
      </c>
      <c r="H913" s="100"/>
      <c r="IX913" t="s">
        <v>1327</v>
      </c>
      <c r="IY913" t="s">
        <v>619</v>
      </c>
      <c r="IZ913">
        <v>1997672</v>
      </c>
      <c r="JA913">
        <v>1350294</v>
      </c>
      <c r="JB913">
        <v>2988374</v>
      </c>
      <c r="JC913">
        <v>7374456</v>
      </c>
      <c r="ST913" t="s">
        <v>1327</v>
      </c>
      <c r="SU913" t="s">
        <v>619</v>
      </c>
      <c r="SV913">
        <v>1997672</v>
      </c>
      <c r="SW913">
        <v>1350294</v>
      </c>
      <c r="SX913">
        <v>2988374</v>
      </c>
      <c r="SY913">
        <v>7374456</v>
      </c>
      <c r="ACP913" t="s">
        <v>1327</v>
      </c>
      <c r="ACQ913" t="s">
        <v>619</v>
      </c>
      <c r="ACR913">
        <v>1997672</v>
      </c>
      <c r="ACS913">
        <v>1350294</v>
      </c>
      <c r="ACT913">
        <v>2988374</v>
      </c>
      <c r="ACU913">
        <v>7374456</v>
      </c>
      <c r="AML913" t="s">
        <v>1327</v>
      </c>
      <c r="AMM913" t="s">
        <v>619</v>
      </c>
      <c r="AMN913">
        <v>1997672</v>
      </c>
      <c r="AMO913">
        <v>1350294</v>
      </c>
      <c r="AMP913">
        <v>2988374</v>
      </c>
      <c r="AMQ913">
        <v>7374456</v>
      </c>
      <c r="AWH913" t="s">
        <v>1327</v>
      </c>
      <c r="AWI913" t="s">
        <v>619</v>
      </c>
      <c r="AWJ913">
        <v>1997672</v>
      </c>
      <c r="AWK913">
        <v>1350294</v>
      </c>
      <c r="AWL913">
        <v>2988374</v>
      </c>
      <c r="AWM913">
        <v>7374456</v>
      </c>
      <c r="BGD913" t="s">
        <v>1327</v>
      </c>
      <c r="BGE913" t="s">
        <v>619</v>
      </c>
      <c r="BGF913">
        <v>1997672</v>
      </c>
      <c r="BGG913">
        <v>1350294</v>
      </c>
      <c r="BGH913">
        <v>2988374</v>
      </c>
      <c r="BGI913">
        <v>7374456</v>
      </c>
      <c r="BPZ913" t="s">
        <v>1327</v>
      </c>
      <c r="BQA913" t="s">
        <v>619</v>
      </c>
      <c r="BQB913">
        <v>1997672</v>
      </c>
      <c r="BQC913">
        <v>1350294</v>
      </c>
      <c r="BQD913">
        <v>2988374</v>
      </c>
      <c r="BQE913">
        <v>7374456</v>
      </c>
      <c r="BZV913" t="s">
        <v>1327</v>
      </c>
      <c r="BZW913" t="s">
        <v>619</v>
      </c>
      <c r="BZX913">
        <v>1997672</v>
      </c>
      <c r="BZY913">
        <v>1350294</v>
      </c>
      <c r="BZZ913">
        <v>2988374</v>
      </c>
      <c r="CAA913">
        <v>7374456</v>
      </c>
      <c r="CJR913" t="s">
        <v>1327</v>
      </c>
      <c r="CJS913" t="s">
        <v>619</v>
      </c>
      <c r="CJT913">
        <v>1997672</v>
      </c>
      <c r="CJU913">
        <v>1350294</v>
      </c>
      <c r="CJV913">
        <v>2988374</v>
      </c>
      <c r="CJW913">
        <v>7374456</v>
      </c>
      <c r="CTN913" t="s">
        <v>1327</v>
      </c>
      <c r="CTO913" t="s">
        <v>619</v>
      </c>
      <c r="CTP913">
        <v>1997672</v>
      </c>
      <c r="CTQ913">
        <v>1350294</v>
      </c>
      <c r="CTR913">
        <v>2988374</v>
      </c>
      <c r="CTS913">
        <v>7374456</v>
      </c>
      <c r="DDJ913" t="s">
        <v>1327</v>
      </c>
      <c r="DDK913" t="s">
        <v>619</v>
      </c>
      <c r="DDL913">
        <v>1997672</v>
      </c>
      <c r="DDM913">
        <v>1350294</v>
      </c>
      <c r="DDN913">
        <v>2988374</v>
      </c>
      <c r="DDO913">
        <v>7374456</v>
      </c>
      <c r="DNF913" t="s">
        <v>1327</v>
      </c>
      <c r="DNG913" t="s">
        <v>619</v>
      </c>
      <c r="DNH913">
        <v>1997672</v>
      </c>
      <c r="DNI913">
        <v>1350294</v>
      </c>
      <c r="DNJ913">
        <v>2988374</v>
      </c>
      <c r="DNK913">
        <v>7374456</v>
      </c>
      <c r="DXB913" t="s">
        <v>1327</v>
      </c>
      <c r="DXC913" t="s">
        <v>619</v>
      </c>
      <c r="DXD913">
        <v>1997672</v>
      </c>
      <c r="DXE913">
        <v>1350294</v>
      </c>
      <c r="DXF913">
        <v>2988374</v>
      </c>
      <c r="DXG913">
        <v>7374456</v>
      </c>
      <c r="EGX913" t="s">
        <v>1327</v>
      </c>
      <c r="EGY913" t="s">
        <v>619</v>
      </c>
      <c r="EGZ913">
        <v>1997672</v>
      </c>
      <c r="EHA913">
        <v>1350294</v>
      </c>
      <c r="EHB913">
        <v>2988374</v>
      </c>
      <c r="EHC913">
        <v>7374456</v>
      </c>
      <c r="EQT913" t="s">
        <v>1327</v>
      </c>
      <c r="EQU913" t="s">
        <v>619</v>
      </c>
      <c r="EQV913">
        <v>1997672</v>
      </c>
      <c r="EQW913">
        <v>1350294</v>
      </c>
      <c r="EQX913">
        <v>2988374</v>
      </c>
      <c r="EQY913">
        <v>7374456</v>
      </c>
      <c r="FAP913" t="s">
        <v>1327</v>
      </c>
      <c r="FAQ913" t="s">
        <v>619</v>
      </c>
      <c r="FAR913">
        <v>1997672</v>
      </c>
      <c r="FAS913">
        <v>1350294</v>
      </c>
      <c r="FAT913">
        <v>2988374</v>
      </c>
      <c r="FAU913">
        <v>7374456</v>
      </c>
      <c r="FKL913" t="s">
        <v>1327</v>
      </c>
      <c r="FKM913" t="s">
        <v>619</v>
      </c>
      <c r="FKN913">
        <v>1997672</v>
      </c>
      <c r="FKO913">
        <v>1350294</v>
      </c>
      <c r="FKP913">
        <v>2988374</v>
      </c>
      <c r="FKQ913">
        <v>7374456</v>
      </c>
      <c r="FUH913" t="s">
        <v>1327</v>
      </c>
      <c r="FUI913" t="s">
        <v>619</v>
      </c>
      <c r="FUJ913">
        <v>1997672</v>
      </c>
      <c r="FUK913">
        <v>1350294</v>
      </c>
      <c r="FUL913">
        <v>2988374</v>
      </c>
      <c r="FUM913">
        <v>7374456</v>
      </c>
      <c r="GED913" t="s">
        <v>1327</v>
      </c>
      <c r="GEE913" t="s">
        <v>619</v>
      </c>
      <c r="GEF913">
        <v>1997672</v>
      </c>
      <c r="GEG913">
        <v>1350294</v>
      </c>
      <c r="GEH913">
        <v>2988374</v>
      </c>
      <c r="GEI913">
        <v>7374456</v>
      </c>
      <c r="GNZ913" t="s">
        <v>1327</v>
      </c>
      <c r="GOA913" t="s">
        <v>619</v>
      </c>
      <c r="GOB913">
        <v>1997672</v>
      </c>
      <c r="GOC913">
        <v>1350294</v>
      </c>
      <c r="GOD913">
        <v>2988374</v>
      </c>
      <c r="GOE913">
        <v>7374456</v>
      </c>
      <c r="GXV913" t="s">
        <v>1327</v>
      </c>
      <c r="GXW913" t="s">
        <v>619</v>
      </c>
      <c r="GXX913">
        <v>1997672</v>
      </c>
      <c r="GXY913">
        <v>1350294</v>
      </c>
      <c r="GXZ913">
        <v>2988374</v>
      </c>
      <c r="GYA913">
        <v>7374456</v>
      </c>
      <c r="HHR913" t="s">
        <v>1327</v>
      </c>
      <c r="HHS913" t="s">
        <v>619</v>
      </c>
      <c r="HHT913">
        <v>1997672</v>
      </c>
      <c r="HHU913">
        <v>1350294</v>
      </c>
      <c r="HHV913">
        <v>2988374</v>
      </c>
      <c r="HHW913">
        <v>7374456</v>
      </c>
      <c r="HRN913" t="s">
        <v>1327</v>
      </c>
      <c r="HRO913" t="s">
        <v>619</v>
      </c>
      <c r="HRP913">
        <v>1997672</v>
      </c>
      <c r="HRQ913">
        <v>1350294</v>
      </c>
      <c r="HRR913">
        <v>2988374</v>
      </c>
      <c r="HRS913">
        <v>7374456</v>
      </c>
      <c r="IBJ913" t="s">
        <v>1327</v>
      </c>
      <c r="IBK913" t="s">
        <v>619</v>
      </c>
      <c r="IBL913">
        <v>1997672</v>
      </c>
      <c r="IBM913">
        <v>1350294</v>
      </c>
      <c r="IBN913">
        <v>2988374</v>
      </c>
      <c r="IBO913">
        <v>7374456</v>
      </c>
      <c r="ILF913" t="s">
        <v>1327</v>
      </c>
      <c r="ILG913" t="s">
        <v>619</v>
      </c>
      <c r="ILH913">
        <v>1997672</v>
      </c>
      <c r="ILI913">
        <v>1350294</v>
      </c>
      <c r="ILJ913">
        <v>2988374</v>
      </c>
      <c r="ILK913">
        <v>7374456</v>
      </c>
      <c r="IVB913" t="s">
        <v>1327</v>
      </c>
      <c r="IVC913" t="s">
        <v>619</v>
      </c>
      <c r="IVD913">
        <v>1997672</v>
      </c>
      <c r="IVE913">
        <v>1350294</v>
      </c>
      <c r="IVF913">
        <v>2988374</v>
      </c>
      <c r="IVG913">
        <v>7374456</v>
      </c>
      <c r="JEX913" t="s">
        <v>1327</v>
      </c>
      <c r="JEY913" t="s">
        <v>619</v>
      </c>
      <c r="JEZ913">
        <v>1997672</v>
      </c>
      <c r="JFA913">
        <v>1350294</v>
      </c>
      <c r="JFB913">
        <v>2988374</v>
      </c>
      <c r="JFC913">
        <v>7374456</v>
      </c>
      <c r="JOT913" t="s">
        <v>1327</v>
      </c>
      <c r="JOU913" t="s">
        <v>619</v>
      </c>
      <c r="JOV913">
        <v>1997672</v>
      </c>
      <c r="JOW913">
        <v>1350294</v>
      </c>
      <c r="JOX913">
        <v>2988374</v>
      </c>
      <c r="JOY913">
        <v>7374456</v>
      </c>
      <c r="JYP913" t="s">
        <v>1327</v>
      </c>
      <c r="JYQ913" t="s">
        <v>619</v>
      </c>
      <c r="JYR913">
        <v>1997672</v>
      </c>
      <c r="JYS913">
        <v>1350294</v>
      </c>
      <c r="JYT913">
        <v>2988374</v>
      </c>
      <c r="JYU913">
        <v>7374456</v>
      </c>
      <c r="KIL913" t="s">
        <v>1327</v>
      </c>
      <c r="KIM913" t="s">
        <v>619</v>
      </c>
      <c r="KIN913">
        <v>1997672</v>
      </c>
      <c r="KIO913">
        <v>1350294</v>
      </c>
      <c r="KIP913">
        <v>2988374</v>
      </c>
      <c r="KIQ913">
        <v>7374456</v>
      </c>
      <c r="KSH913" t="s">
        <v>1327</v>
      </c>
      <c r="KSI913" t="s">
        <v>619</v>
      </c>
      <c r="KSJ913">
        <v>1997672</v>
      </c>
      <c r="KSK913">
        <v>1350294</v>
      </c>
      <c r="KSL913">
        <v>2988374</v>
      </c>
      <c r="KSM913">
        <v>7374456</v>
      </c>
      <c r="LCD913" t="s">
        <v>1327</v>
      </c>
      <c r="LCE913" t="s">
        <v>619</v>
      </c>
      <c r="LCF913">
        <v>1997672</v>
      </c>
      <c r="LCG913">
        <v>1350294</v>
      </c>
      <c r="LCH913">
        <v>2988374</v>
      </c>
      <c r="LCI913">
        <v>7374456</v>
      </c>
      <c r="LLZ913" t="s">
        <v>1327</v>
      </c>
      <c r="LMA913" t="s">
        <v>619</v>
      </c>
      <c r="LMB913">
        <v>1997672</v>
      </c>
      <c r="LMC913">
        <v>1350294</v>
      </c>
      <c r="LMD913">
        <v>2988374</v>
      </c>
      <c r="LME913">
        <v>7374456</v>
      </c>
      <c r="LVV913" t="s">
        <v>1327</v>
      </c>
      <c r="LVW913" t="s">
        <v>619</v>
      </c>
      <c r="LVX913">
        <v>1997672</v>
      </c>
      <c r="LVY913">
        <v>1350294</v>
      </c>
      <c r="LVZ913">
        <v>2988374</v>
      </c>
      <c r="LWA913">
        <v>7374456</v>
      </c>
      <c r="MFR913" t="s">
        <v>1327</v>
      </c>
      <c r="MFS913" t="s">
        <v>619</v>
      </c>
      <c r="MFT913">
        <v>1997672</v>
      </c>
      <c r="MFU913">
        <v>1350294</v>
      </c>
      <c r="MFV913">
        <v>2988374</v>
      </c>
      <c r="MFW913">
        <v>7374456</v>
      </c>
      <c r="MPN913" t="s">
        <v>1327</v>
      </c>
      <c r="MPO913" t="s">
        <v>619</v>
      </c>
      <c r="MPP913">
        <v>1997672</v>
      </c>
      <c r="MPQ913">
        <v>1350294</v>
      </c>
      <c r="MPR913">
        <v>2988374</v>
      </c>
      <c r="MPS913">
        <v>7374456</v>
      </c>
      <c r="MZJ913" t="s">
        <v>1327</v>
      </c>
      <c r="MZK913" t="s">
        <v>619</v>
      </c>
      <c r="MZL913">
        <v>1997672</v>
      </c>
      <c r="MZM913">
        <v>1350294</v>
      </c>
      <c r="MZN913">
        <v>2988374</v>
      </c>
      <c r="MZO913">
        <v>7374456</v>
      </c>
      <c r="NJF913" t="s">
        <v>1327</v>
      </c>
      <c r="NJG913" t="s">
        <v>619</v>
      </c>
      <c r="NJH913">
        <v>1997672</v>
      </c>
      <c r="NJI913">
        <v>1350294</v>
      </c>
      <c r="NJJ913">
        <v>2988374</v>
      </c>
      <c r="NJK913">
        <v>7374456</v>
      </c>
      <c r="NTB913" t="s">
        <v>1327</v>
      </c>
      <c r="NTC913" t="s">
        <v>619</v>
      </c>
      <c r="NTD913">
        <v>1997672</v>
      </c>
      <c r="NTE913">
        <v>1350294</v>
      </c>
      <c r="NTF913">
        <v>2988374</v>
      </c>
      <c r="NTG913">
        <v>7374456</v>
      </c>
      <c r="OCX913" t="s">
        <v>1327</v>
      </c>
      <c r="OCY913" t="s">
        <v>619</v>
      </c>
      <c r="OCZ913">
        <v>1997672</v>
      </c>
      <c r="ODA913">
        <v>1350294</v>
      </c>
      <c r="ODB913">
        <v>2988374</v>
      </c>
      <c r="ODC913">
        <v>7374456</v>
      </c>
      <c r="OMT913" t="s">
        <v>1327</v>
      </c>
      <c r="OMU913" t="s">
        <v>619</v>
      </c>
      <c r="OMV913">
        <v>1997672</v>
      </c>
      <c r="OMW913">
        <v>1350294</v>
      </c>
      <c r="OMX913">
        <v>2988374</v>
      </c>
      <c r="OMY913">
        <v>7374456</v>
      </c>
      <c r="OWP913" t="s">
        <v>1327</v>
      </c>
      <c r="OWQ913" t="s">
        <v>619</v>
      </c>
      <c r="OWR913">
        <v>1997672</v>
      </c>
      <c r="OWS913">
        <v>1350294</v>
      </c>
      <c r="OWT913">
        <v>2988374</v>
      </c>
      <c r="OWU913">
        <v>7374456</v>
      </c>
      <c r="PGL913" t="s">
        <v>1327</v>
      </c>
      <c r="PGM913" t="s">
        <v>619</v>
      </c>
      <c r="PGN913">
        <v>1997672</v>
      </c>
      <c r="PGO913">
        <v>1350294</v>
      </c>
      <c r="PGP913">
        <v>2988374</v>
      </c>
      <c r="PGQ913">
        <v>7374456</v>
      </c>
      <c r="PQH913" t="s">
        <v>1327</v>
      </c>
      <c r="PQI913" t="s">
        <v>619</v>
      </c>
      <c r="PQJ913">
        <v>1997672</v>
      </c>
      <c r="PQK913">
        <v>1350294</v>
      </c>
      <c r="PQL913">
        <v>2988374</v>
      </c>
      <c r="PQM913">
        <v>7374456</v>
      </c>
      <c r="QAD913" t="s">
        <v>1327</v>
      </c>
      <c r="QAE913" t="s">
        <v>619</v>
      </c>
      <c r="QAF913">
        <v>1997672</v>
      </c>
      <c r="QAG913">
        <v>1350294</v>
      </c>
      <c r="QAH913">
        <v>2988374</v>
      </c>
      <c r="QAI913">
        <v>7374456</v>
      </c>
      <c r="QJZ913" t="s">
        <v>1327</v>
      </c>
      <c r="QKA913" t="s">
        <v>619</v>
      </c>
      <c r="QKB913">
        <v>1997672</v>
      </c>
      <c r="QKC913">
        <v>1350294</v>
      </c>
      <c r="QKD913">
        <v>2988374</v>
      </c>
      <c r="QKE913">
        <v>7374456</v>
      </c>
      <c r="QTV913" t="s">
        <v>1327</v>
      </c>
      <c r="QTW913" t="s">
        <v>619</v>
      </c>
      <c r="QTX913">
        <v>1997672</v>
      </c>
      <c r="QTY913">
        <v>1350294</v>
      </c>
      <c r="QTZ913">
        <v>2988374</v>
      </c>
      <c r="QUA913">
        <v>7374456</v>
      </c>
      <c r="RDR913" t="s">
        <v>1327</v>
      </c>
      <c r="RDS913" t="s">
        <v>619</v>
      </c>
      <c r="RDT913">
        <v>1997672</v>
      </c>
      <c r="RDU913">
        <v>1350294</v>
      </c>
      <c r="RDV913">
        <v>2988374</v>
      </c>
      <c r="RDW913">
        <v>7374456</v>
      </c>
      <c r="RNN913" t="s">
        <v>1327</v>
      </c>
      <c r="RNO913" t="s">
        <v>619</v>
      </c>
      <c r="RNP913">
        <v>1997672</v>
      </c>
      <c r="RNQ913">
        <v>1350294</v>
      </c>
      <c r="RNR913">
        <v>2988374</v>
      </c>
      <c r="RNS913">
        <v>7374456</v>
      </c>
      <c r="RXJ913" t="s">
        <v>1327</v>
      </c>
      <c r="RXK913" t="s">
        <v>619</v>
      </c>
      <c r="RXL913">
        <v>1997672</v>
      </c>
      <c r="RXM913">
        <v>1350294</v>
      </c>
      <c r="RXN913">
        <v>2988374</v>
      </c>
      <c r="RXO913">
        <v>7374456</v>
      </c>
      <c r="SHF913" t="s">
        <v>1327</v>
      </c>
      <c r="SHG913" t="s">
        <v>619</v>
      </c>
      <c r="SHH913">
        <v>1997672</v>
      </c>
      <c r="SHI913">
        <v>1350294</v>
      </c>
      <c r="SHJ913">
        <v>2988374</v>
      </c>
      <c r="SHK913">
        <v>7374456</v>
      </c>
      <c r="SRB913" t="s">
        <v>1327</v>
      </c>
      <c r="SRC913" t="s">
        <v>619</v>
      </c>
      <c r="SRD913">
        <v>1997672</v>
      </c>
      <c r="SRE913">
        <v>1350294</v>
      </c>
      <c r="SRF913">
        <v>2988374</v>
      </c>
      <c r="SRG913">
        <v>7374456</v>
      </c>
      <c r="TAX913" t="s">
        <v>1327</v>
      </c>
      <c r="TAY913" t="s">
        <v>619</v>
      </c>
      <c r="TAZ913">
        <v>1997672</v>
      </c>
      <c r="TBA913">
        <v>1350294</v>
      </c>
      <c r="TBB913">
        <v>2988374</v>
      </c>
      <c r="TBC913">
        <v>7374456</v>
      </c>
      <c r="TKT913" t="s">
        <v>1327</v>
      </c>
      <c r="TKU913" t="s">
        <v>619</v>
      </c>
      <c r="TKV913">
        <v>1997672</v>
      </c>
      <c r="TKW913">
        <v>1350294</v>
      </c>
      <c r="TKX913">
        <v>2988374</v>
      </c>
      <c r="TKY913">
        <v>7374456</v>
      </c>
      <c r="TUP913" t="s">
        <v>1327</v>
      </c>
      <c r="TUQ913" t="s">
        <v>619</v>
      </c>
      <c r="TUR913">
        <v>1997672</v>
      </c>
      <c r="TUS913">
        <v>1350294</v>
      </c>
      <c r="TUT913">
        <v>2988374</v>
      </c>
      <c r="TUU913">
        <v>7374456</v>
      </c>
      <c r="UEL913" t="s">
        <v>1327</v>
      </c>
      <c r="UEM913" t="s">
        <v>619</v>
      </c>
      <c r="UEN913">
        <v>1997672</v>
      </c>
      <c r="UEO913">
        <v>1350294</v>
      </c>
      <c r="UEP913">
        <v>2988374</v>
      </c>
      <c r="UEQ913">
        <v>7374456</v>
      </c>
      <c r="UOH913" t="s">
        <v>1327</v>
      </c>
      <c r="UOI913" t="s">
        <v>619</v>
      </c>
      <c r="UOJ913">
        <v>1997672</v>
      </c>
      <c r="UOK913">
        <v>1350294</v>
      </c>
      <c r="UOL913">
        <v>2988374</v>
      </c>
      <c r="UOM913">
        <v>7374456</v>
      </c>
      <c r="UYD913" t="s">
        <v>1327</v>
      </c>
      <c r="UYE913" t="s">
        <v>619</v>
      </c>
      <c r="UYF913">
        <v>1997672</v>
      </c>
      <c r="UYG913">
        <v>1350294</v>
      </c>
      <c r="UYH913">
        <v>2988374</v>
      </c>
      <c r="UYI913">
        <v>7374456</v>
      </c>
      <c r="VHZ913" t="s">
        <v>1327</v>
      </c>
      <c r="VIA913" t="s">
        <v>619</v>
      </c>
      <c r="VIB913">
        <v>1997672</v>
      </c>
      <c r="VIC913">
        <v>1350294</v>
      </c>
      <c r="VID913">
        <v>2988374</v>
      </c>
      <c r="VIE913">
        <v>7374456</v>
      </c>
      <c r="VRV913" t="s">
        <v>1327</v>
      </c>
      <c r="VRW913" t="s">
        <v>619</v>
      </c>
      <c r="VRX913">
        <v>1997672</v>
      </c>
      <c r="VRY913">
        <v>1350294</v>
      </c>
      <c r="VRZ913">
        <v>2988374</v>
      </c>
      <c r="VSA913">
        <v>7374456</v>
      </c>
      <c r="WBR913" t="s">
        <v>1327</v>
      </c>
      <c r="WBS913" t="s">
        <v>619</v>
      </c>
      <c r="WBT913">
        <v>1997672</v>
      </c>
      <c r="WBU913">
        <v>1350294</v>
      </c>
      <c r="WBV913">
        <v>2988374</v>
      </c>
      <c r="WBW913">
        <v>7374456</v>
      </c>
      <c r="WLN913" t="s">
        <v>1327</v>
      </c>
      <c r="WLO913" t="s">
        <v>619</v>
      </c>
      <c r="WLP913">
        <v>1997672</v>
      </c>
      <c r="WLQ913">
        <v>1350294</v>
      </c>
      <c r="WLR913">
        <v>2988374</v>
      </c>
      <c r="WLS913">
        <v>7374456</v>
      </c>
      <c r="WVJ913" t="s">
        <v>1327</v>
      </c>
      <c r="WVK913" t="s">
        <v>619</v>
      </c>
      <c r="WVL913">
        <v>1997672</v>
      </c>
      <c r="WVM913">
        <v>1350294</v>
      </c>
      <c r="WVN913">
        <v>2988374</v>
      </c>
      <c r="WVO913">
        <v>7374456</v>
      </c>
    </row>
    <row r="914" spans="1:775 1026:1799 2050:2823 3074:3847 4098:4871 5122:5895 6146:6919 7170:7943 8194:8967 9218:9991 10242:11015 11266:12039 12290:13063 13314:14087 14338:15111 15362:16135">
      <c r="A914" s="96" t="s">
        <v>703</v>
      </c>
      <c r="B914" t="s">
        <v>702</v>
      </c>
      <c r="C914" s="100">
        <v>4853157</v>
      </c>
      <c r="D914" s="100">
        <v>5533064</v>
      </c>
      <c r="E914" s="100">
        <v>4996228</v>
      </c>
      <c r="F914" s="100">
        <v>7399516</v>
      </c>
      <c r="G914" s="100">
        <v>15658666</v>
      </c>
      <c r="H914" s="100"/>
      <c r="IX914" t="s">
        <v>703</v>
      </c>
      <c r="IY914">
        <v>4853157</v>
      </c>
      <c r="IZ914">
        <v>5533064</v>
      </c>
      <c r="JA914">
        <v>4996228</v>
      </c>
      <c r="JB914">
        <v>7399516</v>
      </c>
      <c r="JC914">
        <v>15658666</v>
      </c>
      <c r="ST914" t="s">
        <v>703</v>
      </c>
      <c r="SU914">
        <v>4853157</v>
      </c>
      <c r="SV914">
        <v>5533064</v>
      </c>
      <c r="SW914">
        <v>4996228</v>
      </c>
      <c r="SX914">
        <v>7399516</v>
      </c>
      <c r="SY914">
        <v>15658666</v>
      </c>
      <c r="ACP914" t="s">
        <v>703</v>
      </c>
      <c r="ACQ914">
        <v>4853157</v>
      </c>
      <c r="ACR914">
        <v>5533064</v>
      </c>
      <c r="ACS914">
        <v>4996228</v>
      </c>
      <c r="ACT914">
        <v>7399516</v>
      </c>
      <c r="ACU914">
        <v>15658666</v>
      </c>
      <c r="AML914" t="s">
        <v>703</v>
      </c>
      <c r="AMM914">
        <v>4853157</v>
      </c>
      <c r="AMN914">
        <v>5533064</v>
      </c>
      <c r="AMO914">
        <v>4996228</v>
      </c>
      <c r="AMP914">
        <v>7399516</v>
      </c>
      <c r="AMQ914">
        <v>15658666</v>
      </c>
      <c r="AWH914" t="s">
        <v>703</v>
      </c>
      <c r="AWI914">
        <v>4853157</v>
      </c>
      <c r="AWJ914">
        <v>5533064</v>
      </c>
      <c r="AWK914">
        <v>4996228</v>
      </c>
      <c r="AWL914">
        <v>7399516</v>
      </c>
      <c r="AWM914">
        <v>15658666</v>
      </c>
      <c r="BGD914" t="s">
        <v>703</v>
      </c>
      <c r="BGE914">
        <v>4853157</v>
      </c>
      <c r="BGF914">
        <v>5533064</v>
      </c>
      <c r="BGG914">
        <v>4996228</v>
      </c>
      <c r="BGH914">
        <v>7399516</v>
      </c>
      <c r="BGI914">
        <v>15658666</v>
      </c>
      <c r="BPZ914" t="s">
        <v>703</v>
      </c>
      <c r="BQA914">
        <v>4853157</v>
      </c>
      <c r="BQB914">
        <v>5533064</v>
      </c>
      <c r="BQC914">
        <v>4996228</v>
      </c>
      <c r="BQD914">
        <v>7399516</v>
      </c>
      <c r="BQE914">
        <v>15658666</v>
      </c>
      <c r="BZV914" t="s">
        <v>703</v>
      </c>
      <c r="BZW914">
        <v>4853157</v>
      </c>
      <c r="BZX914">
        <v>5533064</v>
      </c>
      <c r="BZY914">
        <v>4996228</v>
      </c>
      <c r="BZZ914">
        <v>7399516</v>
      </c>
      <c r="CAA914">
        <v>15658666</v>
      </c>
      <c r="CJR914" t="s">
        <v>703</v>
      </c>
      <c r="CJS914">
        <v>4853157</v>
      </c>
      <c r="CJT914">
        <v>5533064</v>
      </c>
      <c r="CJU914">
        <v>4996228</v>
      </c>
      <c r="CJV914">
        <v>7399516</v>
      </c>
      <c r="CJW914">
        <v>15658666</v>
      </c>
      <c r="CTN914" t="s">
        <v>703</v>
      </c>
      <c r="CTO914">
        <v>4853157</v>
      </c>
      <c r="CTP914">
        <v>5533064</v>
      </c>
      <c r="CTQ914">
        <v>4996228</v>
      </c>
      <c r="CTR914">
        <v>7399516</v>
      </c>
      <c r="CTS914">
        <v>15658666</v>
      </c>
      <c r="DDJ914" t="s">
        <v>703</v>
      </c>
      <c r="DDK914">
        <v>4853157</v>
      </c>
      <c r="DDL914">
        <v>5533064</v>
      </c>
      <c r="DDM914">
        <v>4996228</v>
      </c>
      <c r="DDN914">
        <v>7399516</v>
      </c>
      <c r="DDO914">
        <v>15658666</v>
      </c>
      <c r="DNF914" t="s">
        <v>703</v>
      </c>
      <c r="DNG914">
        <v>4853157</v>
      </c>
      <c r="DNH914">
        <v>5533064</v>
      </c>
      <c r="DNI914">
        <v>4996228</v>
      </c>
      <c r="DNJ914">
        <v>7399516</v>
      </c>
      <c r="DNK914">
        <v>15658666</v>
      </c>
      <c r="DXB914" t="s">
        <v>703</v>
      </c>
      <c r="DXC914">
        <v>4853157</v>
      </c>
      <c r="DXD914">
        <v>5533064</v>
      </c>
      <c r="DXE914">
        <v>4996228</v>
      </c>
      <c r="DXF914">
        <v>7399516</v>
      </c>
      <c r="DXG914">
        <v>15658666</v>
      </c>
      <c r="EGX914" t="s">
        <v>703</v>
      </c>
      <c r="EGY914">
        <v>4853157</v>
      </c>
      <c r="EGZ914">
        <v>5533064</v>
      </c>
      <c r="EHA914">
        <v>4996228</v>
      </c>
      <c r="EHB914">
        <v>7399516</v>
      </c>
      <c r="EHC914">
        <v>15658666</v>
      </c>
      <c r="EQT914" t="s">
        <v>703</v>
      </c>
      <c r="EQU914">
        <v>4853157</v>
      </c>
      <c r="EQV914">
        <v>5533064</v>
      </c>
      <c r="EQW914">
        <v>4996228</v>
      </c>
      <c r="EQX914">
        <v>7399516</v>
      </c>
      <c r="EQY914">
        <v>15658666</v>
      </c>
      <c r="FAP914" t="s">
        <v>703</v>
      </c>
      <c r="FAQ914">
        <v>4853157</v>
      </c>
      <c r="FAR914">
        <v>5533064</v>
      </c>
      <c r="FAS914">
        <v>4996228</v>
      </c>
      <c r="FAT914">
        <v>7399516</v>
      </c>
      <c r="FAU914">
        <v>15658666</v>
      </c>
      <c r="FKL914" t="s">
        <v>703</v>
      </c>
      <c r="FKM914">
        <v>4853157</v>
      </c>
      <c r="FKN914">
        <v>5533064</v>
      </c>
      <c r="FKO914">
        <v>4996228</v>
      </c>
      <c r="FKP914">
        <v>7399516</v>
      </c>
      <c r="FKQ914">
        <v>15658666</v>
      </c>
      <c r="FUH914" t="s">
        <v>703</v>
      </c>
      <c r="FUI914">
        <v>4853157</v>
      </c>
      <c r="FUJ914">
        <v>5533064</v>
      </c>
      <c r="FUK914">
        <v>4996228</v>
      </c>
      <c r="FUL914">
        <v>7399516</v>
      </c>
      <c r="FUM914">
        <v>15658666</v>
      </c>
      <c r="GED914" t="s">
        <v>703</v>
      </c>
      <c r="GEE914">
        <v>4853157</v>
      </c>
      <c r="GEF914">
        <v>5533064</v>
      </c>
      <c r="GEG914">
        <v>4996228</v>
      </c>
      <c r="GEH914">
        <v>7399516</v>
      </c>
      <c r="GEI914">
        <v>15658666</v>
      </c>
      <c r="GNZ914" t="s">
        <v>703</v>
      </c>
      <c r="GOA914">
        <v>4853157</v>
      </c>
      <c r="GOB914">
        <v>5533064</v>
      </c>
      <c r="GOC914">
        <v>4996228</v>
      </c>
      <c r="GOD914">
        <v>7399516</v>
      </c>
      <c r="GOE914">
        <v>15658666</v>
      </c>
      <c r="GXV914" t="s">
        <v>703</v>
      </c>
      <c r="GXW914">
        <v>4853157</v>
      </c>
      <c r="GXX914">
        <v>5533064</v>
      </c>
      <c r="GXY914">
        <v>4996228</v>
      </c>
      <c r="GXZ914">
        <v>7399516</v>
      </c>
      <c r="GYA914">
        <v>15658666</v>
      </c>
      <c r="HHR914" t="s">
        <v>703</v>
      </c>
      <c r="HHS914">
        <v>4853157</v>
      </c>
      <c r="HHT914">
        <v>5533064</v>
      </c>
      <c r="HHU914">
        <v>4996228</v>
      </c>
      <c r="HHV914">
        <v>7399516</v>
      </c>
      <c r="HHW914">
        <v>15658666</v>
      </c>
      <c r="HRN914" t="s">
        <v>703</v>
      </c>
      <c r="HRO914">
        <v>4853157</v>
      </c>
      <c r="HRP914">
        <v>5533064</v>
      </c>
      <c r="HRQ914">
        <v>4996228</v>
      </c>
      <c r="HRR914">
        <v>7399516</v>
      </c>
      <c r="HRS914">
        <v>15658666</v>
      </c>
      <c r="IBJ914" t="s">
        <v>703</v>
      </c>
      <c r="IBK914">
        <v>4853157</v>
      </c>
      <c r="IBL914">
        <v>5533064</v>
      </c>
      <c r="IBM914">
        <v>4996228</v>
      </c>
      <c r="IBN914">
        <v>7399516</v>
      </c>
      <c r="IBO914">
        <v>15658666</v>
      </c>
      <c r="ILF914" t="s">
        <v>703</v>
      </c>
      <c r="ILG914">
        <v>4853157</v>
      </c>
      <c r="ILH914">
        <v>5533064</v>
      </c>
      <c r="ILI914">
        <v>4996228</v>
      </c>
      <c r="ILJ914">
        <v>7399516</v>
      </c>
      <c r="ILK914">
        <v>15658666</v>
      </c>
      <c r="IVB914" t="s">
        <v>703</v>
      </c>
      <c r="IVC914">
        <v>4853157</v>
      </c>
      <c r="IVD914">
        <v>5533064</v>
      </c>
      <c r="IVE914">
        <v>4996228</v>
      </c>
      <c r="IVF914">
        <v>7399516</v>
      </c>
      <c r="IVG914">
        <v>15658666</v>
      </c>
      <c r="JEX914" t="s">
        <v>703</v>
      </c>
      <c r="JEY914">
        <v>4853157</v>
      </c>
      <c r="JEZ914">
        <v>5533064</v>
      </c>
      <c r="JFA914">
        <v>4996228</v>
      </c>
      <c r="JFB914">
        <v>7399516</v>
      </c>
      <c r="JFC914">
        <v>15658666</v>
      </c>
      <c r="JOT914" t="s">
        <v>703</v>
      </c>
      <c r="JOU914">
        <v>4853157</v>
      </c>
      <c r="JOV914">
        <v>5533064</v>
      </c>
      <c r="JOW914">
        <v>4996228</v>
      </c>
      <c r="JOX914">
        <v>7399516</v>
      </c>
      <c r="JOY914">
        <v>15658666</v>
      </c>
      <c r="JYP914" t="s">
        <v>703</v>
      </c>
      <c r="JYQ914">
        <v>4853157</v>
      </c>
      <c r="JYR914">
        <v>5533064</v>
      </c>
      <c r="JYS914">
        <v>4996228</v>
      </c>
      <c r="JYT914">
        <v>7399516</v>
      </c>
      <c r="JYU914">
        <v>15658666</v>
      </c>
      <c r="KIL914" t="s">
        <v>703</v>
      </c>
      <c r="KIM914">
        <v>4853157</v>
      </c>
      <c r="KIN914">
        <v>5533064</v>
      </c>
      <c r="KIO914">
        <v>4996228</v>
      </c>
      <c r="KIP914">
        <v>7399516</v>
      </c>
      <c r="KIQ914">
        <v>15658666</v>
      </c>
      <c r="KSH914" t="s">
        <v>703</v>
      </c>
      <c r="KSI914">
        <v>4853157</v>
      </c>
      <c r="KSJ914">
        <v>5533064</v>
      </c>
      <c r="KSK914">
        <v>4996228</v>
      </c>
      <c r="KSL914">
        <v>7399516</v>
      </c>
      <c r="KSM914">
        <v>15658666</v>
      </c>
      <c r="LCD914" t="s">
        <v>703</v>
      </c>
      <c r="LCE914">
        <v>4853157</v>
      </c>
      <c r="LCF914">
        <v>5533064</v>
      </c>
      <c r="LCG914">
        <v>4996228</v>
      </c>
      <c r="LCH914">
        <v>7399516</v>
      </c>
      <c r="LCI914">
        <v>15658666</v>
      </c>
      <c r="LLZ914" t="s">
        <v>703</v>
      </c>
      <c r="LMA914">
        <v>4853157</v>
      </c>
      <c r="LMB914">
        <v>5533064</v>
      </c>
      <c r="LMC914">
        <v>4996228</v>
      </c>
      <c r="LMD914">
        <v>7399516</v>
      </c>
      <c r="LME914">
        <v>15658666</v>
      </c>
      <c r="LVV914" t="s">
        <v>703</v>
      </c>
      <c r="LVW914">
        <v>4853157</v>
      </c>
      <c r="LVX914">
        <v>5533064</v>
      </c>
      <c r="LVY914">
        <v>4996228</v>
      </c>
      <c r="LVZ914">
        <v>7399516</v>
      </c>
      <c r="LWA914">
        <v>15658666</v>
      </c>
      <c r="MFR914" t="s">
        <v>703</v>
      </c>
      <c r="MFS914">
        <v>4853157</v>
      </c>
      <c r="MFT914">
        <v>5533064</v>
      </c>
      <c r="MFU914">
        <v>4996228</v>
      </c>
      <c r="MFV914">
        <v>7399516</v>
      </c>
      <c r="MFW914">
        <v>15658666</v>
      </c>
      <c r="MPN914" t="s">
        <v>703</v>
      </c>
      <c r="MPO914">
        <v>4853157</v>
      </c>
      <c r="MPP914">
        <v>5533064</v>
      </c>
      <c r="MPQ914">
        <v>4996228</v>
      </c>
      <c r="MPR914">
        <v>7399516</v>
      </c>
      <c r="MPS914">
        <v>15658666</v>
      </c>
      <c r="MZJ914" t="s">
        <v>703</v>
      </c>
      <c r="MZK914">
        <v>4853157</v>
      </c>
      <c r="MZL914">
        <v>5533064</v>
      </c>
      <c r="MZM914">
        <v>4996228</v>
      </c>
      <c r="MZN914">
        <v>7399516</v>
      </c>
      <c r="MZO914">
        <v>15658666</v>
      </c>
      <c r="NJF914" t="s">
        <v>703</v>
      </c>
      <c r="NJG914">
        <v>4853157</v>
      </c>
      <c r="NJH914">
        <v>5533064</v>
      </c>
      <c r="NJI914">
        <v>4996228</v>
      </c>
      <c r="NJJ914">
        <v>7399516</v>
      </c>
      <c r="NJK914">
        <v>15658666</v>
      </c>
      <c r="NTB914" t="s">
        <v>703</v>
      </c>
      <c r="NTC914">
        <v>4853157</v>
      </c>
      <c r="NTD914">
        <v>5533064</v>
      </c>
      <c r="NTE914">
        <v>4996228</v>
      </c>
      <c r="NTF914">
        <v>7399516</v>
      </c>
      <c r="NTG914">
        <v>15658666</v>
      </c>
      <c r="OCX914" t="s">
        <v>703</v>
      </c>
      <c r="OCY914">
        <v>4853157</v>
      </c>
      <c r="OCZ914">
        <v>5533064</v>
      </c>
      <c r="ODA914">
        <v>4996228</v>
      </c>
      <c r="ODB914">
        <v>7399516</v>
      </c>
      <c r="ODC914">
        <v>15658666</v>
      </c>
      <c r="OMT914" t="s">
        <v>703</v>
      </c>
      <c r="OMU914">
        <v>4853157</v>
      </c>
      <c r="OMV914">
        <v>5533064</v>
      </c>
      <c r="OMW914">
        <v>4996228</v>
      </c>
      <c r="OMX914">
        <v>7399516</v>
      </c>
      <c r="OMY914">
        <v>15658666</v>
      </c>
      <c r="OWP914" t="s">
        <v>703</v>
      </c>
      <c r="OWQ914">
        <v>4853157</v>
      </c>
      <c r="OWR914">
        <v>5533064</v>
      </c>
      <c r="OWS914">
        <v>4996228</v>
      </c>
      <c r="OWT914">
        <v>7399516</v>
      </c>
      <c r="OWU914">
        <v>15658666</v>
      </c>
      <c r="PGL914" t="s">
        <v>703</v>
      </c>
      <c r="PGM914">
        <v>4853157</v>
      </c>
      <c r="PGN914">
        <v>5533064</v>
      </c>
      <c r="PGO914">
        <v>4996228</v>
      </c>
      <c r="PGP914">
        <v>7399516</v>
      </c>
      <c r="PGQ914">
        <v>15658666</v>
      </c>
      <c r="PQH914" t="s">
        <v>703</v>
      </c>
      <c r="PQI914">
        <v>4853157</v>
      </c>
      <c r="PQJ914">
        <v>5533064</v>
      </c>
      <c r="PQK914">
        <v>4996228</v>
      </c>
      <c r="PQL914">
        <v>7399516</v>
      </c>
      <c r="PQM914">
        <v>15658666</v>
      </c>
      <c r="QAD914" t="s">
        <v>703</v>
      </c>
      <c r="QAE914">
        <v>4853157</v>
      </c>
      <c r="QAF914">
        <v>5533064</v>
      </c>
      <c r="QAG914">
        <v>4996228</v>
      </c>
      <c r="QAH914">
        <v>7399516</v>
      </c>
      <c r="QAI914">
        <v>15658666</v>
      </c>
      <c r="QJZ914" t="s">
        <v>703</v>
      </c>
      <c r="QKA914">
        <v>4853157</v>
      </c>
      <c r="QKB914">
        <v>5533064</v>
      </c>
      <c r="QKC914">
        <v>4996228</v>
      </c>
      <c r="QKD914">
        <v>7399516</v>
      </c>
      <c r="QKE914">
        <v>15658666</v>
      </c>
      <c r="QTV914" t="s">
        <v>703</v>
      </c>
      <c r="QTW914">
        <v>4853157</v>
      </c>
      <c r="QTX914">
        <v>5533064</v>
      </c>
      <c r="QTY914">
        <v>4996228</v>
      </c>
      <c r="QTZ914">
        <v>7399516</v>
      </c>
      <c r="QUA914">
        <v>15658666</v>
      </c>
      <c r="RDR914" t="s">
        <v>703</v>
      </c>
      <c r="RDS914">
        <v>4853157</v>
      </c>
      <c r="RDT914">
        <v>5533064</v>
      </c>
      <c r="RDU914">
        <v>4996228</v>
      </c>
      <c r="RDV914">
        <v>7399516</v>
      </c>
      <c r="RDW914">
        <v>15658666</v>
      </c>
      <c r="RNN914" t="s">
        <v>703</v>
      </c>
      <c r="RNO914">
        <v>4853157</v>
      </c>
      <c r="RNP914">
        <v>5533064</v>
      </c>
      <c r="RNQ914">
        <v>4996228</v>
      </c>
      <c r="RNR914">
        <v>7399516</v>
      </c>
      <c r="RNS914">
        <v>15658666</v>
      </c>
      <c r="RXJ914" t="s">
        <v>703</v>
      </c>
      <c r="RXK914">
        <v>4853157</v>
      </c>
      <c r="RXL914">
        <v>5533064</v>
      </c>
      <c r="RXM914">
        <v>4996228</v>
      </c>
      <c r="RXN914">
        <v>7399516</v>
      </c>
      <c r="RXO914">
        <v>15658666</v>
      </c>
      <c r="SHF914" t="s">
        <v>703</v>
      </c>
      <c r="SHG914">
        <v>4853157</v>
      </c>
      <c r="SHH914">
        <v>5533064</v>
      </c>
      <c r="SHI914">
        <v>4996228</v>
      </c>
      <c r="SHJ914">
        <v>7399516</v>
      </c>
      <c r="SHK914">
        <v>15658666</v>
      </c>
      <c r="SRB914" t="s">
        <v>703</v>
      </c>
      <c r="SRC914">
        <v>4853157</v>
      </c>
      <c r="SRD914">
        <v>5533064</v>
      </c>
      <c r="SRE914">
        <v>4996228</v>
      </c>
      <c r="SRF914">
        <v>7399516</v>
      </c>
      <c r="SRG914">
        <v>15658666</v>
      </c>
      <c r="TAX914" t="s">
        <v>703</v>
      </c>
      <c r="TAY914">
        <v>4853157</v>
      </c>
      <c r="TAZ914">
        <v>5533064</v>
      </c>
      <c r="TBA914">
        <v>4996228</v>
      </c>
      <c r="TBB914">
        <v>7399516</v>
      </c>
      <c r="TBC914">
        <v>15658666</v>
      </c>
      <c r="TKT914" t="s">
        <v>703</v>
      </c>
      <c r="TKU914">
        <v>4853157</v>
      </c>
      <c r="TKV914">
        <v>5533064</v>
      </c>
      <c r="TKW914">
        <v>4996228</v>
      </c>
      <c r="TKX914">
        <v>7399516</v>
      </c>
      <c r="TKY914">
        <v>15658666</v>
      </c>
      <c r="TUP914" t="s">
        <v>703</v>
      </c>
      <c r="TUQ914">
        <v>4853157</v>
      </c>
      <c r="TUR914">
        <v>5533064</v>
      </c>
      <c r="TUS914">
        <v>4996228</v>
      </c>
      <c r="TUT914">
        <v>7399516</v>
      </c>
      <c r="TUU914">
        <v>15658666</v>
      </c>
      <c r="UEL914" t="s">
        <v>703</v>
      </c>
      <c r="UEM914">
        <v>4853157</v>
      </c>
      <c r="UEN914">
        <v>5533064</v>
      </c>
      <c r="UEO914">
        <v>4996228</v>
      </c>
      <c r="UEP914">
        <v>7399516</v>
      </c>
      <c r="UEQ914">
        <v>15658666</v>
      </c>
      <c r="UOH914" t="s">
        <v>703</v>
      </c>
      <c r="UOI914">
        <v>4853157</v>
      </c>
      <c r="UOJ914">
        <v>5533064</v>
      </c>
      <c r="UOK914">
        <v>4996228</v>
      </c>
      <c r="UOL914">
        <v>7399516</v>
      </c>
      <c r="UOM914">
        <v>15658666</v>
      </c>
      <c r="UYD914" t="s">
        <v>703</v>
      </c>
      <c r="UYE914">
        <v>4853157</v>
      </c>
      <c r="UYF914">
        <v>5533064</v>
      </c>
      <c r="UYG914">
        <v>4996228</v>
      </c>
      <c r="UYH914">
        <v>7399516</v>
      </c>
      <c r="UYI914">
        <v>15658666</v>
      </c>
      <c r="VHZ914" t="s">
        <v>703</v>
      </c>
      <c r="VIA914">
        <v>4853157</v>
      </c>
      <c r="VIB914">
        <v>5533064</v>
      </c>
      <c r="VIC914">
        <v>4996228</v>
      </c>
      <c r="VID914">
        <v>7399516</v>
      </c>
      <c r="VIE914">
        <v>15658666</v>
      </c>
      <c r="VRV914" t="s">
        <v>703</v>
      </c>
      <c r="VRW914">
        <v>4853157</v>
      </c>
      <c r="VRX914">
        <v>5533064</v>
      </c>
      <c r="VRY914">
        <v>4996228</v>
      </c>
      <c r="VRZ914">
        <v>7399516</v>
      </c>
      <c r="VSA914">
        <v>15658666</v>
      </c>
      <c r="WBR914" t="s">
        <v>703</v>
      </c>
      <c r="WBS914">
        <v>4853157</v>
      </c>
      <c r="WBT914">
        <v>5533064</v>
      </c>
      <c r="WBU914">
        <v>4996228</v>
      </c>
      <c r="WBV914">
        <v>7399516</v>
      </c>
      <c r="WBW914">
        <v>15658666</v>
      </c>
      <c r="WLN914" t="s">
        <v>703</v>
      </c>
      <c r="WLO914">
        <v>4853157</v>
      </c>
      <c r="WLP914">
        <v>5533064</v>
      </c>
      <c r="WLQ914">
        <v>4996228</v>
      </c>
      <c r="WLR914">
        <v>7399516</v>
      </c>
      <c r="WLS914">
        <v>15658666</v>
      </c>
      <c r="WVJ914" t="s">
        <v>703</v>
      </c>
      <c r="WVK914">
        <v>4853157</v>
      </c>
      <c r="WVL914">
        <v>5533064</v>
      </c>
      <c r="WVM914">
        <v>4996228</v>
      </c>
      <c r="WVN914">
        <v>7399516</v>
      </c>
      <c r="WVO914">
        <v>15658666</v>
      </c>
    </row>
    <row r="915" spans="1:775 1026:1799 2050:2823 3074:3847 4098:4871 5122:5895 6146:6919 7170:7943 8194:8967 9218:9991 10242:11015 11266:12039 12290:13063 13314:14087 14338:15111 15362:16135">
      <c r="A915" s="96" t="s">
        <v>1328</v>
      </c>
      <c r="B915" t="s">
        <v>895</v>
      </c>
      <c r="C915" s="100">
        <v>148303</v>
      </c>
      <c r="D915" s="100">
        <v>115325</v>
      </c>
      <c r="E915" s="100">
        <v>300121</v>
      </c>
      <c r="F915" s="100">
        <v>3059383</v>
      </c>
      <c r="G915" s="100">
        <v>6356411</v>
      </c>
      <c r="H915" s="100"/>
      <c r="IX915" t="s">
        <v>1328</v>
      </c>
      <c r="IY915">
        <v>148303</v>
      </c>
      <c r="IZ915">
        <v>115325</v>
      </c>
      <c r="JA915">
        <v>300121</v>
      </c>
      <c r="JB915">
        <v>3059383</v>
      </c>
      <c r="JC915">
        <v>6356411</v>
      </c>
      <c r="ST915" t="s">
        <v>1328</v>
      </c>
      <c r="SU915">
        <v>148303</v>
      </c>
      <c r="SV915">
        <v>115325</v>
      </c>
      <c r="SW915">
        <v>300121</v>
      </c>
      <c r="SX915">
        <v>3059383</v>
      </c>
      <c r="SY915">
        <v>6356411</v>
      </c>
      <c r="ACP915" t="s">
        <v>1328</v>
      </c>
      <c r="ACQ915">
        <v>148303</v>
      </c>
      <c r="ACR915">
        <v>115325</v>
      </c>
      <c r="ACS915">
        <v>300121</v>
      </c>
      <c r="ACT915">
        <v>3059383</v>
      </c>
      <c r="ACU915">
        <v>6356411</v>
      </c>
      <c r="AML915" t="s">
        <v>1328</v>
      </c>
      <c r="AMM915">
        <v>148303</v>
      </c>
      <c r="AMN915">
        <v>115325</v>
      </c>
      <c r="AMO915">
        <v>300121</v>
      </c>
      <c r="AMP915">
        <v>3059383</v>
      </c>
      <c r="AMQ915">
        <v>6356411</v>
      </c>
      <c r="AWH915" t="s">
        <v>1328</v>
      </c>
      <c r="AWI915">
        <v>148303</v>
      </c>
      <c r="AWJ915">
        <v>115325</v>
      </c>
      <c r="AWK915">
        <v>300121</v>
      </c>
      <c r="AWL915">
        <v>3059383</v>
      </c>
      <c r="AWM915">
        <v>6356411</v>
      </c>
      <c r="BGD915" t="s">
        <v>1328</v>
      </c>
      <c r="BGE915">
        <v>148303</v>
      </c>
      <c r="BGF915">
        <v>115325</v>
      </c>
      <c r="BGG915">
        <v>300121</v>
      </c>
      <c r="BGH915">
        <v>3059383</v>
      </c>
      <c r="BGI915">
        <v>6356411</v>
      </c>
      <c r="BPZ915" t="s">
        <v>1328</v>
      </c>
      <c r="BQA915">
        <v>148303</v>
      </c>
      <c r="BQB915">
        <v>115325</v>
      </c>
      <c r="BQC915">
        <v>300121</v>
      </c>
      <c r="BQD915">
        <v>3059383</v>
      </c>
      <c r="BQE915">
        <v>6356411</v>
      </c>
      <c r="BZV915" t="s">
        <v>1328</v>
      </c>
      <c r="BZW915">
        <v>148303</v>
      </c>
      <c r="BZX915">
        <v>115325</v>
      </c>
      <c r="BZY915">
        <v>300121</v>
      </c>
      <c r="BZZ915">
        <v>3059383</v>
      </c>
      <c r="CAA915">
        <v>6356411</v>
      </c>
      <c r="CJR915" t="s">
        <v>1328</v>
      </c>
      <c r="CJS915">
        <v>148303</v>
      </c>
      <c r="CJT915">
        <v>115325</v>
      </c>
      <c r="CJU915">
        <v>300121</v>
      </c>
      <c r="CJV915">
        <v>3059383</v>
      </c>
      <c r="CJW915">
        <v>6356411</v>
      </c>
      <c r="CTN915" t="s">
        <v>1328</v>
      </c>
      <c r="CTO915">
        <v>148303</v>
      </c>
      <c r="CTP915">
        <v>115325</v>
      </c>
      <c r="CTQ915">
        <v>300121</v>
      </c>
      <c r="CTR915">
        <v>3059383</v>
      </c>
      <c r="CTS915">
        <v>6356411</v>
      </c>
      <c r="DDJ915" t="s">
        <v>1328</v>
      </c>
      <c r="DDK915">
        <v>148303</v>
      </c>
      <c r="DDL915">
        <v>115325</v>
      </c>
      <c r="DDM915">
        <v>300121</v>
      </c>
      <c r="DDN915">
        <v>3059383</v>
      </c>
      <c r="DDO915">
        <v>6356411</v>
      </c>
      <c r="DNF915" t="s">
        <v>1328</v>
      </c>
      <c r="DNG915">
        <v>148303</v>
      </c>
      <c r="DNH915">
        <v>115325</v>
      </c>
      <c r="DNI915">
        <v>300121</v>
      </c>
      <c r="DNJ915">
        <v>3059383</v>
      </c>
      <c r="DNK915">
        <v>6356411</v>
      </c>
      <c r="DXB915" t="s">
        <v>1328</v>
      </c>
      <c r="DXC915">
        <v>148303</v>
      </c>
      <c r="DXD915">
        <v>115325</v>
      </c>
      <c r="DXE915">
        <v>300121</v>
      </c>
      <c r="DXF915">
        <v>3059383</v>
      </c>
      <c r="DXG915">
        <v>6356411</v>
      </c>
      <c r="EGX915" t="s">
        <v>1328</v>
      </c>
      <c r="EGY915">
        <v>148303</v>
      </c>
      <c r="EGZ915">
        <v>115325</v>
      </c>
      <c r="EHA915">
        <v>300121</v>
      </c>
      <c r="EHB915">
        <v>3059383</v>
      </c>
      <c r="EHC915">
        <v>6356411</v>
      </c>
      <c r="EQT915" t="s">
        <v>1328</v>
      </c>
      <c r="EQU915">
        <v>148303</v>
      </c>
      <c r="EQV915">
        <v>115325</v>
      </c>
      <c r="EQW915">
        <v>300121</v>
      </c>
      <c r="EQX915">
        <v>3059383</v>
      </c>
      <c r="EQY915">
        <v>6356411</v>
      </c>
      <c r="FAP915" t="s">
        <v>1328</v>
      </c>
      <c r="FAQ915">
        <v>148303</v>
      </c>
      <c r="FAR915">
        <v>115325</v>
      </c>
      <c r="FAS915">
        <v>300121</v>
      </c>
      <c r="FAT915">
        <v>3059383</v>
      </c>
      <c r="FAU915">
        <v>6356411</v>
      </c>
      <c r="FKL915" t="s">
        <v>1328</v>
      </c>
      <c r="FKM915">
        <v>148303</v>
      </c>
      <c r="FKN915">
        <v>115325</v>
      </c>
      <c r="FKO915">
        <v>300121</v>
      </c>
      <c r="FKP915">
        <v>3059383</v>
      </c>
      <c r="FKQ915">
        <v>6356411</v>
      </c>
      <c r="FUH915" t="s">
        <v>1328</v>
      </c>
      <c r="FUI915">
        <v>148303</v>
      </c>
      <c r="FUJ915">
        <v>115325</v>
      </c>
      <c r="FUK915">
        <v>300121</v>
      </c>
      <c r="FUL915">
        <v>3059383</v>
      </c>
      <c r="FUM915">
        <v>6356411</v>
      </c>
      <c r="GED915" t="s">
        <v>1328</v>
      </c>
      <c r="GEE915">
        <v>148303</v>
      </c>
      <c r="GEF915">
        <v>115325</v>
      </c>
      <c r="GEG915">
        <v>300121</v>
      </c>
      <c r="GEH915">
        <v>3059383</v>
      </c>
      <c r="GEI915">
        <v>6356411</v>
      </c>
      <c r="GNZ915" t="s">
        <v>1328</v>
      </c>
      <c r="GOA915">
        <v>148303</v>
      </c>
      <c r="GOB915">
        <v>115325</v>
      </c>
      <c r="GOC915">
        <v>300121</v>
      </c>
      <c r="GOD915">
        <v>3059383</v>
      </c>
      <c r="GOE915">
        <v>6356411</v>
      </c>
      <c r="GXV915" t="s">
        <v>1328</v>
      </c>
      <c r="GXW915">
        <v>148303</v>
      </c>
      <c r="GXX915">
        <v>115325</v>
      </c>
      <c r="GXY915">
        <v>300121</v>
      </c>
      <c r="GXZ915">
        <v>3059383</v>
      </c>
      <c r="GYA915">
        <v>6356411</v>
      </c>
      <c r="HHR915" t="s">
        <v>1328</v>
      </c>
      <c r="HHS915">
        <v>148303</v>
      </c>
      <c r="HHT915">
        <v>115325</v>
      </c>
      <c r="HHU915">
        <v>300121</v>
      </c>
      <c r="HHV915">
        <v>3059383</v>
      </c>
      <c r="HHW915">
        <v>6356411</v>
      </c>
      <c r="HRN915" t="s">
        <v>1328</v>
      </c>
      <c r="HRO915">
        <v>148303</v>
      </c>
      <c r="HRP915">
        <v>115325</v>
      </c>
      <c r="HRQ915">
        <v>300121</v>
      </c>
      <c r="HRR915">
        <v>3059383</v>
      </c>
      <c r="HRS915">
        <v>6356411</v>
      </c>
      <c r="IBJ915" t="s">
        <v>1328</v>
      </c>
      <c r="IBK915">
        <v>148303</v>
      </c>
      <c r="IBL915">
        <v>115325</v>
      </c>
      <c r="IBM915">
        <v>300121</v>
      </c>
      <c r="IBN915">
        <v>3059383</v>
      </c>
      <c r="IBO915">
        <v>6356411</v>
      </c>
      <c r="ILF915" t="s">
        <v>1328</v>
      </c>
      <c r="ILG915">
        <v>148303</v>
      </c>
      <c r="ILH915">
        <v>115325</v>
      </c>
      <c r="ILI915">
        <v>300121</v>
      </c>
      <c r="ILJ915">
        <v>3059383</v>
      </c>
      <c r="ILK915">
        <v>6356411</v>
      </c>
      <c r="IVB915" t="s">
        <v>1328</v>
      </c>
      <c r="IVC915">
        <v>148303</v>
      </c>
      <c r="IVD915">
        <v>115325</v>
      </c>
      <c r="IVE915">
        <v>300121</v>
      </c>
      <c r="IVF915">
        <v>3059383</v>
      </c>
      <c r="IVG915">
        <v>6356411</v>
      </c>
      <c r="JEX915" t="s">
        <v>1328</v>
      </c>
      <c r="JEY915">
        <v>148303</v>
      </c>
      <c r="JEZ915">
        <v>115325</v>
      </c>
      <c r="JFA915">
        <v>300121</v>
      </c>
      <c r="JFB915">
        <v>3059383</v>
      </c>
      <c r="JFC915">
        <v>6356411</v>
      </c>
      <c r="JOT915" t="s">
        <v>1328</v>
      </c>
      <c r="JOU915">
        <v>148303</v>
      </c>
      <c r="JOV915">
        <v>115325</v>
      </c>
      <c r="JOW915">
        <v>300121</v>
      </c>
      <c r="JOX915">
        <v>3059383</v>
      </c>
      <c r="JOY915">
        <v>6356411</v>
      </c>
      <c r="JYP915" t="s">
        <v>1328</v>
      </c>
      <c r="JYQ915">
        <v>148303</v>
      </c>
      <c r="JYR915">
        <v>115325</v>
      </c>
      <c r="JYS915">
        <v>300121</v>
      </c>
      <c r="JYT915">
        <v>3059383</v>
      </c>
      <c r="JYU915">
        <v>6356411</v>
      </c>
      <c r="KIL915" t="s">
        <v>1328</v>
      </c>
      <c r="KIM915">
        <v>148303</v>
      </c>
      <c r="KIN915">
        <v>115325</v>
      </c>
      <c r="KIO915">
        <v>300121</v>
      </c>
      <c r="KIP915">
        <v>3059383</v>
      </c>
      <c r="KIQ915">
        <v>6356411</v>
      </c>
      <c r="KSH915" t="s">
        <v>1328</v>
      </c>
      <c r="KSI915">
        <v>148303</v>
      </c>
      <c r="KSJ915">
        <v>115325</v>
      </c>
      <c r="KSK915">
        <v>300121</v>
      </c>
      <c r="KSL915">
        <v>3059383</v>
      </c>
      <c r="KSM915">
        <v>6356411</v>
      </c>
      <c r="LCD915" t="s">
        <v>1328</v>
      </c>
      <c r="LCE915">
        <v>148303</v>
      </c>
      <c r="LCF915">
        <v>115325</v>
      </c>
      <c r="LCG915">
        <v>300121</v>
      </c>
      <c r="LCH915">
        <v>3059383</v>
      </c>
      <c r="LCI915">
        <v>6356411</v>
      </c>
      <c r="LLZ915" t="s">
        <v>1328</v>
      </c>
      <c r="LMA915">
        <v>148303</v>
      </c>
      <c r="LMB915">
        <v>115325</v>
      </c>
      <c r="LMC915">
        <v>300121</v>
      </c>
      <c r="LMD915">
        <v>3059383</v>
      </c>
      <c r="LME915">
        <v>6356411</v>
      </c>
      <c r="LVV915" t="s">
        <v>1328</v>
      </c>
      <c r="LVW915">
        <v>148303</v>
      </c>
      <c r="LVX915">
        <v>115325</v>
      </c>
      <c r="LVY915">
        <v>300121</v>
      </c>
      <c r="LVZ915">
        <v>3059383</v>
      </c>
      <c r="LWA915">
        <v>6356411</v>
      </c>
      <c r="MFR915" t="s">
        <v>1328</v>
      </c>
      <c r="MFS915">
        <v>148303</v>
      </c>
      <c r="MFT915">
        <v>115325</v>
      </c>
      <c r="MFU915">
        <v>300121</v>
      </c>
      <c r="MFV915">
        <v>3059383</v>
      </c>
      <c r="MFW915">
        <v>6356411</v>
      </c>
      <c r="MPN915" t="s">
        <v>1328</v>
      </c>
      <c r="MPO915">
        <v>148303</v>
      </c>
      <c r="MPP915">
        <v>115325</v>
      </c>
      <c r="MPQ915">
        <v>300121</v>
      </c>
      <c r="MPR915">
        <v>3059383</v>
      </c>
      <c r="MPS915">
        <v>6356411</v>
      </c>
      <c r="MZJ915" t="s">
        <v>1328</v>
      </c>
      <c r="MZK915">
        <v>148303</v>
      </c>
      <c r="MZL915">
        <v>115325</v>
      </c>
      <c r="MZM915">
        <v>300121</v>
      </c>
      <c r="MZN915">
        <v>3059383</v>
      </c>
      <c r="MZO915">
        <v>6356411</v>
      </c>
      <c r="NJF915" t="s">
        <v>1328</v>
      </c>
      <c r="NJG915">
        <v>148303</v>
      </c>
      <c r="NJH915">
        <v>115325</v>
      </c>
      <c r="NJI915">
        <v>300121</v>
      </c>
      <c r="NJJ915">
        <v>3059383</v>
      </c>
      <c r="NJK915">
        <v>6356411</v>
      </c>
      <c r="NTB915" t="s">
        <v>1328</v>
      </c>
      <c r="NTC915">
        <v>148303</v>
      </c>
      <c r="NTD915">
        <v>115325</v>
      </c>
      <c r="NTE915">
        <v>300121</v>
      </c>
      <c r="NTF915">
        <v>3059383</v>
      </c>
      <c r="NTG915">
        <v>6356411</v>
      </c>
      <c r="OCX915" t="s">
        <v>1328</v>
      </c>
      <c r="OCY915">
        <v>148303</v>
      </c>
      <c r="OCZ915">
        <v>115325</v>
      </c>
      <c r="ODA915">
        <v>300121</v>
      </c>
      <c r="ODB915">
        <v>3059383</v>
      </c>
      <c r="ODC915">
        <v>6356411</v>
      </c>
      <c r="OMT915" t="s">
        <v>1328</v>
      </c>
      <c r="OMU915">
        <v>148303</v>
      </c>
      <c r="OMV915">
        <v>115325</v>
      </c>
      <c r="OMW915">
        <v>300121</v>
      </c>
      <c r="OMX915">
        <v>3059383</v>
      </c>
      <c r="OMY915">
        <v>6356411</v>
      </c>
      <c r="OWP915" t="s">
        <v>1328</v>
      </c>
      <c r="OWQ915">
        <v>148303</v>
      </c>
      <c r="OWR915">
        <v>115325</v>
      </c>
      <c r="OWS915">
        <v>300121</v>
      </c>
      <c r="OWT915">
        <v>3059383</v>
      </c>
      <c r="OWU915">
        <v>6356411</v>
      </c>
      <c r="PGL915" t="s">
        <v>1328</v>
      </c>
      <c r="PGM915">
        <v>148303</v>
      </c>
      <c r="PGN915">
        <v>115325</v>
      </c>
      <c r="PGO915">
        <v>300121</v>
      </c>
      <c r="PGP915">
        <v>3059383</v>
      </c>
      <c r="PGQ915">
        <v>6356411</v>
      </c>
      <c r="PQH915" t="s">
        <v>1328</v>
      </c>
      <c r="PQI915">
        <v>148303</v>
      </c>
      <c r="PQJ915">
        <v>115325</v>
      </c>
      <c r="PQK915">
        <v>300121</v>
      </c>
      <c r="PQL915">
        <v>3059383</v>
      </c>
      <c r="PQM915">
        <v>6356411</v>
      </c>
      <c r="QAD915" t="s">
        <v>1328</v>
      </c>
      <c r="QAE915">
        <v>148303</v>
      </c>
      <c r="QAF915">
        <v>115325</v>
      </c>
      <c r="QAG915">
        <v>300121</v>
      </c>
      <c r="QAH915">
        <v>3059383</v>
      </c>
      <c r="QAI915">
        <v>6356411</v>
      </c>
      <c r="QJZ915" t="s">
        <v>1328</v>
      </c>
      <c r="QKA915">
        <v>148303</v>
      </c>
      <c r="QKB915">
        <v>115325</v>
      </c>
      <c r="QKC915">
        <v>300121</v>
      </c>
      <c r="QKD915">
        <v>3059383</v>
      </c>
      <c r="QKE915">
        <v>6356411</v>
      </c>
      <c r="QTV915" t="s">
        <v>1328</v>
      </c>
      <c r="QTW915">
        <v>148303</v>
      </c>
      <c r="QTX915">
        <v>115325</v>
      </c>
      <c r="QTY915">
        <v>300121</v>
      </c>
      <c r="QTZ915">
        <v>3059383</v>
      </c>
      <c r="QUA915">
        <v>6356411</v>
      </c>
      <c r="RDR915" t="s">
        <v>1328</v>
      </c>
      <c r="RDS915">
        <v>148303</v>
      </c>
      <c r="RDT915">
        <v>115325</v>
      </c>
      <c r="RDU915">
        <v>300121</v>
      </c>
      <c r="RDV915">
        <v>3059383</v>
      </c>
      <c r="RDW915">
        <v>6356411</v>
      </c>
      <c r="RNN915" t="s">
        <v>1328</v>
      </c>
      <c r="RNO915">
        <v>148303</v>
      </c>
      <c r="RNP915">
        <v>115325</v>
      </c>
      <c r="RNQ915">
        <v>300121</v>
      </c>
      <c r="RNR915">
        <v>3059383</v>
      </c>
      <c r="RNS915">
        <v>6356411</v>
      </c>
      <c r="RXJ915" t="s">
        <v>1328</v>
      </c>
      <c r="RXK915">
        <v>148303</v>
      </c>
      <c r="RXL915">
        <v>115325</v>
      </c>
      <c r="RXM915">
        <v>300121</v>
      </c>
      <c r="RXN915">
        <v>3059383</v>
      </c>
      <c r="RXO915">
        <v>6356411</v>
      </c>
      <c r="SHF915" t="s">
        <v>1328</v>
      </c>
      <c r="SHG915">
        <v>148303</v>
      </c>
      <c r="SHH915">
        <v>115325</v>
      </c>
      <c r="SHI915">
        <v>300121</v>
      </c>
      <c r="SHJ915">
        <v>3059383</v>
      </c>
      <c r="SHK915">
        <v>6356411</v>
      </c>
      <c r="SRB915" t="s">
        <v>1328</v>
      </c>
      <c r="SRC915">
        <v>148303</v>
      </c>
      <c r="SRD915">
        <v>115325</v>
      </c>
      <c r="SRE915">
        <v>300121</v>
      </c>
      <c r="SRF915">
        <v>3059383</v>
      </c>
      <c r="SRG915">
        <v>6356411</v>
      </c>
      <c r="TAX915" t="s">
        <v>1328</v>
      </c>
      <c r="TAY915">
        <v>148303</v>
      </c>
      <c r="TAZ915">
        <v>115325</v>
      </c>
      <c r="TBA915">
        <v>300121</v>
      </c>
      <c r="TBB915">
        <v>3059383</v>
      </c>
      <c r="TBC915">
        <v>6356411</v>
      </c>
      <c r="TKT915" t="s">
        <v>1328</v>
      </c>
      <c r="TKU915">
        <v>148303</v>
      </c>
      <c r="TKV915">
        <v>115325</v>
      </c>
      <c r="TKW915">
        <v>300121</v>
      </c>
      <c r="TKX915">
        <v>3059383</v>
      </c>
      <c r="TKY915">
        <v>6356411</v>
      </c>
      <c r="TUP915" t="s">
        <v>1328</v>
      </c>
      <c r="TUQ915">
        <v>148303</v>
      </c>
      <c r="TUR915">
        <v>115325</v>
      </c>
      <c r="TUS915">
        <v>300121</v>
      </c>
      <c r="TUT915">
        <v>3059383</v>
      </c>
      <c r="TUU915">
        <v>6356411</v>
      </c>
      <c r="UEL915" t="s">
        <v>1328</v>
      </c>
      <c r="UEM915">
        <v>148303</v>
      </c>
      <c r="UEN915">
        <v>115325</v>
      </c>
      <c r="UEO915">
        <v>300121</v>
      </c>
      <c r="UEP915">
        <v>3059383</v>
      </c>
      <c r="UEQ915">
        <v>6356411</v>
      </c>
      <c r="UOH915" t="s">
        <v>1328</v>
      </c>
      <c r="UOI915">
        <v>148303</v>
      </c>
      <c r="UOJ915">
        <v>115325</v>
      </c>
      <c r="UOK915">
        <v>300121</v>
      </c>
      <c r="UOL915">
        <v>3059383</v>
      </c>
      <c r="UOM915">
        <v>6356411</v>
      </c>
      <c r="UYD915" t="s">
        <v>1328</v>
      </c>
      <c r="UYE915">
        <v>148303</v>
      </c>
      <c r="UYF915">
        <v>115325</v>
      </c>
      <c r="UYG915">
        <v>300121</v>
      </c>
      <c r="UYH915">
        <v>3059383</v>
      </c>
      <c r="UYI915">
        <v>6356411</v>
      </c>
      <c r="VHZ915" t="s">
        <v>1328</v>
      </c>
      <c r="VIA915">
        <v>148303</v>
      </c>
      <c r="VIB915">
        <v>115325</v>
      </c>
      <c r="VIC915">
        <v>300121</v>
      </c>
      <c r="VID915">
        <v>3059383</v>
      </c>
      <c r="VIE915">
        <v>6356411</v>
      </c>
      <c r="VRV915" t="s">
        <v>1328</v>
      </c>
      <c r="VRW915">
        <v>148303</v>
      </c>
      <c r="VRX915">
        <v>115325</v>
      </c>
      <c r="VRY915">
        <v>300121</v>
      </c>
      <c r="VRZ915">
        <v>3059383</v>
      </c>
      <c r="VSA915">
        <v>6356411</v>
      </c>
      <c r="WBR915" t="s">
        <v>1328</v>
      </c>
      <c r="WBS915">
        <v>148303</v>
      </c>
      <c r="WBT915">
        <v>115325</v>
      </c>
      <c r="WBU915">
        <v>300121</v>
      </c>
      <c r="WBV915">
        <v>3059383</v>
      </c>
      <c r="WBW915">
        <v>6356411</v>
      </c>
      <c r="WLN915" t="s">
        <v>1328</v>
      </c>
      <c r="WLO915">
        <v>148303</v>
      </c>
      <c r="WLP915">
        <v>115325</v>
      </c>
      <c r="WLQ915">
        <v>300121</v>
      </c>
      <c r="WLR915">
        <v>3059383</v>
      </c>
      <c r="WLS915">
        <v>6356411</v>
      </c>
      <c r="WVJ915" t="s">
        <v>1328</v>
      </c>
      <c r="WVK915">
        <v>148303</v>
      </c>
      <c r="WVL915">
        <v>115325</v>
      </c>
      <c r="WVM915">
        <v>300121</v>
      </c>
      <c r="WVN915">
        <v>3059383</v>
      </c>
      <c r="WVO915">
        <v>6356411</v>
      </c>
    </row>
    <row r="916" spans="1:775 1026:1799 2050:2823 3074:3847 4098:4871 5122:5895 6146:6919 7170:7943 8194:8967 9218:9991 10242:11015 11266:12039 12290:13063 13314:14087 14338:15111 15362:16135">
      <c r="A916" s="96" t="s">
        <v>1322</v>
      </c>
      <c r="B916" t="s">
        <v>1081</v>
      </c>
      <c r="C916" s="100">
        <v>7970</v>
      </c>
      <c r="D916" s="98">
        <v>0</v>
      </c>
      <c r="E916" s="100">
        <v>617</v>
      </c>
      <c r="F916" s="98">
        <v>0</v>
      </c>
      <c r="G916" s="98">
        <v>0</v>
      </c>
      <c r="H916" s="98"/>
      <c r="IX916" t="s">
        <v>1322</v>
      </c>
      <c r="IY916">
        <v>7970</v>
      </c>
      <c r="IZ916" t="s">
        <v>619</v>
      </c>
      <c r="JA916">
        <v>617</v>
      </c>
      <c r="JB916" t="s">
        <v>619</v>
      </c>
      <c r="JC916" t="s">
        <v>619</v>
      </c>
      <c r="ST916" t="s">
        <v>1322</v>
      </c>
      <c r="SU916">
        <v>7970</v>
      </c>
      <c r="SV916" t="s">
        <v>619</v>
      </c>
      <c r="SW916">
        <v>617</v>
      </c>
      <c r="SX916" t="s">
        <v>619</v>
      </c>
      <c r="SY916" t="s">
        <v>619</v>
      </c>
      <c r="ACP916" t="s">
        <v>1322</v>
      </c>
      <c r="ACQ916">
        <v>7970</v>
      </c>
      <c r="ACR916" t="s">
        <v>619</v>
      </c>
      <c r="ACS916">
        <v>617</v>
      </c>
      <c r="ACT916" t="s">
        <v>619</v>
      </c>
      <c r="ACU916" t="s">
        <v>619</v>
      </c>
      <c r="AML916" t="s">
        <v>1322</v>
      </c>
      <c r="AMM916">
        <v>7970</v>
      </c>
      <c r="AMN916" t="s">
        <v>619</v>
      </c>
      <c r="AMO916">
        <v>617</v>
      </c>
      <c r="AMP916" t="s">
        <v>619</v>
      </c>
      <c r="AMQ916" t="s">
        <v>619</v>
      </c>
      <c r="AWH916" t="s">
        <v>1322</v>
      </c>
      <c r="AWI916">
        <v>7970</v>
      </c>
      <c r="AWJ916" t="s">
        <v>619</v>
      </c>
      <c r="AWK916">
        <v>617</v>
      </c>
      <c r="AWL916" t="s">
        <v>619</v>
      </c>
      <c r="AWM916" t="s">
        <v>619</v>
      </c>
      <c r="BGD916" t="s">
        <v>1322</v>
      </c>
      <c r="BGE916">
        <v>7970</v>
      </c>
      <c r="BGF916" t="s">
        <v>619</v>
      </c>
      <c r="BGG916">
        <v>617</v>
      </c>
      <c r="BGH916" t="s">
        <v>619</v>
      </c>
      <c r="BGI916" t="s">
        <v>619</v>
      </c>
      <c r="BPZ916" t="s">
        <v>1322</v>
      </c>
      <c r="BQA916">
        <v>7970</v>
      </c>
      <c r="BQB916" t="s">
        <v>619</v>
      </c>
      <c r="BQC916">
        <v>617</v>
      </c>
      <c r="BQD916" t="s">
        <v>619</v>
      </c>
      <c r="BQE916" t="s">
        <v>619</v>
      </c>
      <c r="BZV916" t="s">
        <v>1322</v>
      </c>
      <c r="BZW916">
        <v>7970</v>
      </c>
      <c r="BZX916" t="s">
        <v>619</v>
      </c>
      <c r="BZY916">
        <v>617</v>
      </c>
      <c r="BZZ916" t="s">
        <v>619</v>
      </c>
      <c r="CAA916" t="s">
        <v>619</v>
      </c>
      <c r="CJR916" t="s">
        <v>1322</v>
      </c>
      <c r="CJS916">
        <v>7970</v>
      </c>
      <c r="CJT916" t="s">
        <v>619</v>
      </c>
      <c r="CJU916">
        <v>617</v>
      </c>
      <c r="CJV916" t="s">
        <v>619</v>
      </c>
      <c r="CJW916" t="s">
        <v>619</v>
      </c>
      <c r="CTN916" t="s">
        <v>1322</v>
      </c>
      <c r="CTO916">
        <v>7970</v>
      </c>
      <c r="CTP916" t="s">
        <v>619</v>
      </c>
      <c r="CTQ916">
        <v>617</v>
      </c>
      <c r="CTR916" t="s">
        <v>619</v>
      </c>
      <c r="CTS916" t="s">
        <v>619</v>
      </c>
      <c r="DDJ916" t="s">
        <v>1322</v>
      </c>
      <c r="DDK916">
        <v>7970</v>
      </c>
      <c r="DDL916" t="s">
        <v>619</v>
      </c>
      <c r="DDM916">
        <v>617</v>
      </c>
      <c r="DDN916" t="s">
        <v>619</v>
      </c>
      <c r="DDO916" t="s">
        <v>619</v>
      </c>
      <c r="DNF916" t="s">
        <v>1322</v>
      </c>
      <c r="DNG916">
        <v>7970</v>
      </c>
      <c r="DNH916" t="s">
        <v>619</v>
      </c>
      <c r="DNI916">
        <v>617</v>
      </c>
      <c r="DNJ916" t="s">
        <v>619</v>
      </c>
      <c r="DNK916" t="s">
        <v>619</v>
      </c>
      <c r="DXB916" t="s">
        <v>1322</v>
      </c>
      <c r="DXC916">
        <v>7970</v>
      </c>
      <c r="DXD916" t="s">
        <v>619</v>
      </c>
      <c r="DXE916">
        <v>617</v>
      </c>
      <c r="DXF916" t="s">
        <v>619</v>
      </c>
      <c r="DXG916" t="s">
        <v>619</v>
      </c>
      <c r="EGX916" t="s">
        <v>1322</v>
      </c>
      <c r="EGY916">
        <v>7970</v>
      </c>
      <c r="EGZ916" t="s">
        <v>619</v>
      </c>
      <c r="EHA916">
        <v>617</v>
      </c>
      <c r="EHB916" t="s">
        <v>619</v>
      </c>
      <c r="EHC916" t="s">
        <v>619</v>
      </c>
      <c r="EQT916" t="s">
        <v>1322</v>
      </c>
      <c r="EQU916">
        <v>7970</v>
      </c>
      <c r="EQV916" t="s">
        <v>619</v>
      </c>
      <c r="EQW916">
        <v>617</v>
      </c>
      <c r="EQX916" t="s">
        <v>619</v>
      </c>
      <c r="EQY916" t="s">
        <v>619</v>
      </c>
      <c r="FAP916" t="s">
        <v>1322</v>
      </c>
      <c r="FAQ916">
        <v>7970</v>
      </c>
      <c r="FAR916" t="s">
        <v>619</v>
      </c>
      <c r="FAS916">
        <v>617</v>
      </c>
      <c r="FAT916" t="s">
        <v>619</v>
      </c>
      <c r="FAU916" t="s">
        <v>619</v>
      </c>
      <c r="FKL916" t="s">
        <v>1322</v>
      </c>
      <c r="FKM916">
        <v>7970</v>
      </c>
      <c r="FKN916" t="s">
        <v>619</v>
      </c>
      <c r="FKO916">
        <v>617</v>
      </c>
      <c r="FKP916" t="s">
        <v>619</v>
      </c>
      <c r="FKQ916" t="s">
        <v>619</v>
      </c>
      <c r="FUH916" t="s">
        <v>1322</v>
      </c>
      <c r="FUI916">
        <v>7970</v>
      </c>
      <c r="FUJ916" t="s">
        <v>619</v>
      </c>
      <c r="FUK916">
        <v>617</v>
      </c>
      <c r="FUL916" t="s">
        <v>619</v>
      </c>
      <c r="FUM916" t="s">
        <v>619</v>
      </c>
      <c r="GED916" t="s">
        <v>1322</v>
      </c>
      <c r="GEE916">
        <v>7970</v>
      </c>
      <c r="GEF916" t="s">
        <v>619</v>
      </c>
      <c r="GEG916">
        <v>617</v>
      </c>
      <c r="GEH916" t="s">
        <v>619</v>
      </c>
      <c r="GEI916" t="s">
        <v>619</v>
      </c>
      <c r="GNZ916" t="s">
        <v>1322</v>
      </c>
      <c r="GOA916">
        <v>7970</v>
      </c>
      <c r="GOB916" t="s">
        <v>619</v>
      </c>
      <c r="GOC916">
        <v>617</v>
      </c>
      <c r="GOD916" t="s">
        <v>619</v>
      </c>
      <c r="GOE916" t="s">
        <v>619</v>
      </c>
      <c r="GXV916" t="s">
        <v>1322</v>
      </c>
      <c r="GXW916">
        <v>7970</v>
      </c>
      <c r="GXX916" t="s">
        <v>619</v>
      </c>
      <c r="GXY916">
        <v>617</v>
      </c>
      <c r="GXZ916" t="s">
        <v>619</v>
      </c>
      <c r="GYA916" t="s">
        <v>619</v>
      </c>
      <c r="HHR916" t="s">
        <v>1322</v>
      </c>
      <c r="HHS916">
        <v>7970</v>
      </c>
      <c r="HHT916" t="s">
        <v>619</v>
      </c>
      <c r="HHU916">
        <v>617</v>
      </c>
      <c r="HHV916" t="s">
        <v>619</v>
      </c>
      <c r="HHW916" t="s">
        <v>619</v>
      </c>
      <c r="HRN916" t="s">
        <v>1322</v>
      </c>
      <c r="HRO916">
        <v>7970</v>
      </c>
      <c r="HRP916" t="s">
        <v>619</v>
      </c>
      <c r="HRQ916">
        <v>617</v>
      </c>
      <c r="HRR916" t="s">
        <v>619</v>
      </c>
      <c r="HRS916" t="s">
        <v>619</v>
      </c>
      <c r="IBJ916" t="s">
        <v>1322</v>
      </c>
      <c r="IBK916">
        <v>7970</v>
      </c>
      <c r="IBL916" t="s">
        <v>619</v>
      </c>
      <c r="IBM916">
        <v>617</v>
      </c>
      <c r="IBN916" t="s">
        <v>619</v>
      </c>
      <c r="IBO916" t="s">
        <v>619</v>
      </c>
      <c r="ILF916" t="s">
        <v>1322</v>
      </c>
      <c r="ILG916">
        <v>7970</v>
      </c>
      <c r="ILH916" t="s">
        <v>619</v>
      </c>
      <c r="ILI916">
        <v>617</v>
      </c>
      <c r="ILJ916" t="s">
        <v>619</v>
      </c>
      <c r="ILK916" t="s">
        <v>619</v>
      </c>
      <c r="IVB916" t="s">
        <v>1322</v>
      </c>
      <c r="IVC916">
        <v>7970</v>
      </c>
      <c r="IVD916" t="s">
        <v>619</v>
      </c>
      <c r="IVE916">
        <v>617</v>
      </c>
      <c r="IVF916" t="s">
        <v>619</v>
      </c>
      <c r="IVG916" t="s">
        <v>619</v>
      </c>
      <c r="JEX916" t="s">
        <v>1322</v>
      </c>
      <c r="JEY916">
        <v>7970</v>
      </c>
      <c r="JEZ916" t="s">
        <v>619</v>
      </c>
      <c r="JFA916">
        <v>617</v>
      </c>
      <c r="JFB916" t="s">
        <v>619</v>
      </c>
      <c r="JFC916" t="s">
        <v>619</v>
      </c>
      <c r="JOT916" t="s">
        <v>1322</v>
      </c>
      <c r="JOU916">
        <v>7970</v>
      </c>
      <c r="JOV916" t="s">
        <v>619</v>
      </c>
      <c r="JOW916">
        <v>617</v>
      </c>
      <c r="JOX916" t="s">
        <v>619</v>
      </c>
      <c r="JOY916" t="s">
        <v>619</v>
      </c>
      <c r="JYP916" t="s">
        <v>1322</v>
      </c>
      <c r="JYQ916">
        <v>7970</v>
      </c>
      <c r="JYR916" t="s">
        <v>619</v>
      </c>
      <c r="JYS916">
        <v>617</v>
      </c>
      <c r="JYT916" t="s">
        <v>619</v>
      </c>
      <c r="JYU916" t="s">
        <v>619</v>
      </c>
      <c r="KIL916" t="s">
        <v>1322</v>
      </c>
      <c r="KIM916">
        <v>7970</v>
      </c>
      <c r="KIN916" t="s">
        <v>619</v>
      </c>
      <c r="KIO916">
        <v>617</v>
      </c>
      <c r="KIP916" t="s">
        <v>619</v>
      </c>
      <c r="KIQ916" t="s">
        <v>619</v>
      </c>
      <c r="KSH916" t="s">
        <v>1322</v>
      </c>
      <c r="KSI916">
        <v>7970</v>
      </c>
      <c r="KSJ916" t="s">
        <v>619</v>
      </c>
      <c r="KSK916">
        <v>617</v>
      </c>
      <c r="KSL916" t="s">
        <v>619</v>
      </c>
      <c r="KSM916" t="s">
        <v>619</v>
      </c>
      <c r="LCD916" t="s">
        <v>1322</v>
      </c>
      <c r="LCE916">
        <v>7970</v>
      </c>
      <c r="LCF916" t="s">
        <v>619</v>
      </c>
      <c r="LCG916">
        <v>617</v>
      </c>
      <c r="LCH916" t="s">
        <v>619</v>
      </c>
      <c r="LCI916" t="s">
        <v>619</v>
      </c>
      <c r="LLZ916" t="s">
        <v>1322</v>
      </c>
      <c r="LMA916">
        <v>7970</v>
      </c>
      <c r="LMB916" t="s">
        <v>619</v>
      </c>
      <c r="LMC916">
        <v>617</v>
      </c>
      <c r="LMD916" t="s">
        <v>619</v>
      </c>
      <c r="LME916" t="s">
        <v>619</v>
      </c>
      <c r="LVV916" t="s">
        <v>1322</v>
      </c>
      <c r="LVW916">
        <v>7970</v>
      </c>
      <c r="LVX916" t="s">
        <v>619</v>
      </c>
      <c r="LVY916">
        <v>617</v>
      </c>
      <c r="LVZ916" t="s">
        <v>619</v>
      </c>
      <c r="LWA916" t="s">
        <v>619</v>
      </c>
      <c r="MFR916" t="s">
        <v>1322</v>
      </c>
      <c r="MFS916">
        <v>7970</v>
      </c>
      <c r="MFT916" t="s">
        <v>619</v>
      </c>
      <c r="MFU916">
        <v>617</v>
      </c>
      <c r="MFV916" t="s">
        <v>619</v>
      </c>
      <c r="MFW916" t="s">
        <v>619</v>
      </c>
      <c r="MPN916" t="s">
        <v>1322</v>
      </c>
      <c r="MPO916">
        <v>7970</v>
      </c>
      <c r="MPP916" t="s">
        <v>619</v>
      </c>
      <c r="MPQ916">
        <v>617</v>
      </c>
      <c r="MPR916" t="s">
        <v>619</v>
      </c>
      <c r="MPS916" t="s">
        <v>619</v>
      </c>
      <c r="MZJ916" t="s">
        <v>1322</v>
      </c>
      <c r="MZK916">
        <v>7970</v>
      </c>
      <c r="MZL916" t="s">
        <v>619</v>
      </c>
      <c r="MZM916">
        <v>617</v>
      </c>
      <c r="MZN916" t="s">
        <v>619</v>
      </c>
      <c r="MZO916" t="s">
        <v>619</v>
      </c>
      <c r="NJF916" t="s">
        <v>1322</v>
      </c>
      <c r="NJG916">
        <v>7970</v>
      </c>
      <c r="NJH916" t="s">
        <v>619</v>
      </c>
      <c r="NJI916">
        <v>617</v>
      </c>
      <c r="NJJ916" t="s">
        <v>619</v>
      </c>
      <c r="NJK916" t="s">
        <v>619</v>
      </c>
      <c r="NTB916" t="s">
        <v>1322</v>
      </c>
      <c r="NTC916">
        <v>7970</v>
      </c>
      <c r="NTD916" t="s">
        <v>619</v>
      </c>
      <c r="NTE916">
        <v>617</v>
      </c>
      <c r="NTF916" t="s">
        <v>619</v>
      </c>
      <c r="NTG916" t="s">
        <v>619</v>
      </c>
      <c r="OCX916" t="s">
        <v>1322</v>
      </c>
      <c r="OCY916">
        <v>7970</v>
      </c>
      <c r="OCZ916" t="s">
        <v>619</v>
      </c>
      <c r="ODA916">
        <v>617</v>
      </c>
      <c r="ODB916" t="s">
        <v>619</v>
      </c>
      <c r="ODC916" t="s">
        <v>619</v>
      </c>
      <c r="OMT916" t="s">
        <v>1322</v>
      </c>
      <c r="OMU916">
        <v>7970</v>
      </c>
      <c r="OMV916" t="s">
        <v>619</v>
      </c>
      <c r="OMW916">
        <v>617</v>
      </c>
      <c r="OMX916" t="s">
        <v>619</v>
      </c>
      <c r="OMY916" t="s">
        <v>619</v>
      </c>
      <c r="OWP916" t="s">
        <v>1322</v>
      </c>
      <c r="OWQ916">
        <v>7970</v>
      </c>
      <c r="OWR916" t="s">
        <v>619</v>
      </c>
      <c r="OWS916">
        <v>617</v>
      </c>
      <c r="OWT916" t="s">
        <v>619</v>
      </c>
      <c r="OWU916" t="s">
        <v>619</v>
      </c>
      <c r="PGL916" t="s">
        <v>1322</v>
      </c>
      <c r="PGM916">
        <v>7970</v>
      </c>
      <c r="PGN916" t="s">
        <v>619</v>
      </c>
      <c r="PGO916">
        <v>617</v>
      </c>
      <c r="PGP916" t="s">
        <v>619</v>
      </c>
      <c r="PGQ916" t="s">
        <v>619</v>
      </c>
      <c r="PQH916" t="s">
        <v>1322</v>
      </c>
      <c r="PQI916">
        <v>7970</v>
      </c>
      <c r="PQJ916" t="s">
        <v>619</v>
      </c>
      <c r="PQK916">
        <v>617</v>
      </c>
      <c r="PQL916" t="s">
        <v>619</v>
      </c>
      <c r="PQM916" t="s">
        <v>619</v>
      </c>
      <c r="QAD916" t="s">
        <v>1322</v>
      </c>
      <c r="QAE916">
        <v>7970</v>
      </c>
      <c r="QAF916" t="s">
        <v>619</v>
      </c>
      <c r="QAG916">
        <v>617</v>
      </c>
      <c r="QAH916" t="s">
        <v>619</v>
      </c>
      <c r="QAI916" t="s">
        <v>619</v>
      </c>
      <c r="QJZ916" t="s">
        <v>1322</v>
      </c>
      <c r="QKA916">
        <v>7970</v>
      </c>
      <c r="QKB916" t="s">
        <v>619</v>
      </c>
      <c r="QKC916">
        <v>617</v>
      </c>
      <c r="QKD916" t="s">
        <v>619</v>
      </c>
      <c r="QKE916" t="s">
        <v>619</v>
      </c>
      <c r="QTV916" t="s">
        <v>1322</v>
      </c>
      <c r="QTW916">
        <v>7970</v>
      </c>
      <c r="QTX916" t="s">
        <v>619</v>
      </c>
      <c r="QTY916">
        <v>617</v>
      </c>
      <c r="QTZ916" t="s">
        <v>619</v>
      </c>
      <c r="QUA916" t="s">
        <v>619</v>
      </c>
      <c r="RDR916" t="s">
        <v>1322</v>
      </c>
      <c r="RDS916">
        <v>7970</v>
      </c>
      <c r="RDT916" t="s">
        <v>619</v>
      </c>
      <c r="RDU916">
        <v>617</v>
      </c>
      <c r="RDV916" t="s">
        <v>619</v>
      </c>
      <c r="RDW916" t="s">
        <v>619</v>
      </c>
      <c r="RNN916" t="s">
        <v>1322</v>
      </c>
      <c r="RNO916">
        <v>7970</v>
      </c>
      <c r="RNP916" t="s">
        <v>619</v>
      </c>
      <c r="RNQ916">
        <v>617</v>
      </c>
      <c r="RNR916" t="s">
        <v>619</v>
      </c>
      <c r="RNS916" t="s">
        <v>619</v>
      </c>
      <c r="RXJ916" t="s">
        <v>1322</v>
      </c>
      <c r="RXK916">
        <v>7970</v>
      </c>
      <c r="RXL916" t="s">
        <v>619</v>
      </c>
      <c r="RXM916">
        <v>617</v>
      </c>
      <c r="RXN916" t="s">
        <v>619</v>
      </c>
      <c r="RXO916" t="s">
        <v>619</v>
      </c>
      <c r="SHF916" t="s">
        <v>1322</v>
      </c>
      <c r="SHG916">
        <v>7970</v>
      </c>
      <c r="SHH916" t="s">
        <v>619</v>
      </c>
      <c r="SHI916">
        <v>617</v>
      </c>
      <c r="SHJ916" t="s">
        <v>619</v>
      </c>
      <c r="SHK916" t="s">
        <v>619</v>
      </c>
      <c r="SRB916" t="s">
        <v>1322</v>
      </c>
      <c r="SRC916">
        <v>7970</v>
      </c>
      <c r="SRD916" t="s">
        <v>619</v>
      </c>
      <c r="SRE916">
        <v>617</v>
      </c>
      <c r="SRF916" t="s">
        <v>619</v>
      </c>
      <c r="SRG916" t="s">
        <v>619</v>
      </c>
      <c r="TAX916" t="s">
        <v>1322</v>
      </c>
      <c r="TAY916">
        <v>7970</v>
      </c>
      <c r="TAZ916" t="s">
        <v>619</v>
      </c>
      <c r="TBA916">
        <v>617</v>
      </c>
      <c r="TBB916" t="s">
        <v>619</v>
      </c>
      <c r="TBC916" t="s">
        <v>619</v>
      </c>
      <c r="TKT916" t="s">
        <v>1322</v>
      </c>
      <c r="TKU916">
        <v>7970</v>
      </c>
      <c r="TKV916" t="s">
        <v>619</v>
      </c>
      <c r="TKW916">
        <v>617</v>
      </c>
      <c r="TKX916" t="s">
        <v>619</v>
      </c>
      <c r="TKY916" t="s">
        <v>619</v>
      </c>
      <c r="TUP916" t="s">
        <v>1322</v>
      </c>
      <c r="TUQ916">
        <v>7970</v>
      </c>
      <c r="TUR916" t="s">
        <v>619</v>
      </c>
      <c r="TUS916">
        <v>617</v>
      </c>
      <c r="TUT916" t="s">
        <v>619</v>
      </c>
      <c r="TUU916" t="s">
        <v>619</v>
      </c>
      <c r="UEL916" t="s">
        <v>1322</v>
      </c>
      <c r="UEM916">
        <v>7970</v>
      </c>
      <c r="UEN916" t="s">
        <v>619</v>
      </c>
      <c r="UEO916">
        <v>617</v>
      </c>
      <c r="UEP916" t="s">
        <v>619</v>
      </c>
      <c r="UEQ916" t="s">
        <v>619</v>
      </c>
      <c r="UOH916" t="s">
        <v>1322</v>
      </c>
      <c r="UOI916">
        <v>7970</v>
      </c>
      <c r="UOJ916" t="s">
        <v>619</v>
      </c>
      <c r="UOK916">
        <v>617</v>
      </c>
      <c r="UOL916" t="s">
        <v>619</v>
      </c>
      <c r="UOM916" t="s">
        <v>619</v>
      </c>
      <c r="UYD916" t="s">
        <v>1322</v>
      </c>
      <c r="UYE916">
        <v>7970</v>
      </c>
      <c r="UYF916" t="s">
        <v>619</v>
      </c>
      <c r="UYG916">
        <v>617</v>
      </c>
      <c r="UYH916" t="s">
        <v>619</v>
      </c>
      <c r="UYI916" t="s">
        <v>619</v>
      </c>
      <c r="VHZ916" t="s">
        <v>1322</v>
      </c>
      <c r="VIA916">
        <v>7970</v>
      </c>
      <c r="VIB916" t="s">
        <v>619</v>
      </c>
      <c r="VIC916">
        <v>617</v>
      </c>
      <c r="VID916" t="s">
        <v>619</v>
      </c>
      <c r="VIE916" t="s">
        <v>619</v>
      </c>
      <c r="VRV916" t="s">
        <v>1322</v>
      </c>
      <c r="VRW916">
        <v>7970</v>
      </c>
      <c r="VRX916" t="s">
        <v>619</v>
      </c>
      <c r="VRY916">
        <v>617</v>
      </c>
      <c r="VRZ916" t="s">
        <v>619</v>
      </c>
      <c r="VSA916" t="s">
        <v>619</v>
      </c>
      <c r="WBR916" t="s">
        <v>1322</v>
      </c>
      <c r="WBS916">
        <v>7970</v>
      </c>
      <c r="WBT916" t="s">
        <v>619</v>
      </c>
      <c r="WBU916">
        <v>617</v>
      </c>
      <c r="WBV916" t="s">
        <v>619</v>
      </c>
      <c r="WBW916" t="s">
        <v>619</v>
      </c>
      <c r="WLN916" t="s">
        <v>1322</v>
      </c>
      <c r="WLO916">
        <v>7970</v>
      </c>
      <c r="WLP916" t="s">
        <v>619</v>
      </c>
      <c r="WLQ916">
        <v>617</v>
      </c>
      <c r="WLR916" t="s">
        <v>619</v>
      </c>
      <c r="WLS916" t="s">
        <v>619</v>
      </c>
      <c r="WVJ916" t="s">
        <v>1322</v>
      </c>
      <c r="WVK916">
        <v>7970</v>
      </c>
      <c r="WVL916" t="s">
        <v>619</v>
      </c>
      <c r="WVM916">
        <v>617</v>
      </c>
      <c r="WVN916" t="s">
        <v>619</v>
      </c>
      <c r="WVO916" t="s">
        <v>619</v>
      </c>
    </row>
    <row r="917" spans="1:775 1026:1799 2050:2823 3074:3847 4098:4871 5122:5895 6146:6919 7170:7943 8194:8967 9218:9991 10242:11015 11266:12039 12290:13063 13314:14087 14338:15111 15362:16135">
      <c r="A917" s="96" t="s">
        <v>716</v>
      </c>
      <c r="B917" t="s">
        <v>902</v>
      </c>
      <c r="C917" s="100">
        <v>3470</v>
      </c>
      <c r="D917" s="100">
        <v>1522</v>
      </c>
      <c r="E917" s="100">
        <v>613</v>
      </c>
      <c r="F917" s="61"/>
      <c r="G917" s="61"/>
      <c r="H917" s="98"/>
      <c r="IX917" t="s">
        <v>716</v>
      </c>
      <c r="IY917">
        <v>3470</v>
      </c>
      <c r="IZ917">
        <v>1522</v>
      </c>
      <c r="JA917">
        <v>613</v>
      </c>
      <c r="JB917" t="s">
        <v>619</v>
      </c>
      <c r="JC917" t="s">
        <v>619</v>
      </c>
      <c r="ST917" t="s">
        <v>716</v>
      </c>
      <c r="SU917">
        <v>3470</v>
      </c>
      <c r="SV917">
        <v>1522</v>
      </c>
      <c r="SW917">
        <v>613</v>
      </c>
      <c r="SX917" t="s">
        <v>619</v>
      </c>
      <c r="SY917" t="s">
        <v>619</v>
      </c>
      <c r="ACP917" t="s">
        <v>716</v>
      </c>
      <c r="ACQ917">
        <v>3470</v>
      </c>
      <c r="ACR917">
        <v>1522</v>
      </c>
      <c r="ACS917">
        <v>613</v>
      </c>
      <c r="ACT917" t="s">
        <v>619</v>
      </c>
      <c r="ACU917" t="s">
        <v>619</v>
      </c>
      <c r="AML917" t="s">
        <v>716</v>
      </c>
      <c r="AMM917">
        <v>3470</v>
      </c>
      <c r="AMN917">
        <v>1522</v>
      </c>
      <c r="AMO917">
        <v>613</v>
      </c>
      <c r="AMP917" t="s">
        <v>619</v>
      </c>
      <c r="AMQ917" t="s">
        <v>619</v>
      </c>
      <c r="AWH917" t="s">
        <v>716</v>
      </c>
      <c r="AWI917">
        <v>3470</v>
      </c>
      <c r="AWJ917">
        <v>1522</v>
      </c>
      <c r="AWK917">
        <v>613</v>
      </c>
      <c r="AWL917" t="s">
        <v>619</v>
      </c>
      <c r="AWM917" t="s">
        <v>619</v>
      </c>
      <c r="BGD917" t="s">
        <v>716</v>
      </c>
      <c r="BGE917">
        <v>3470</v>
      </c>
      <c r="BGF917">
        <v>1522</v>
      </c>
      <c r="BGG917">
        <v>613</v>
      </c>
      <c r="BGH917" t="s">
        <v>619</v>
      </c>
      <c r="BGI917" t="s">
        <v>619</v>
      </c>
      <c r="BPZ917" t="s">
        <v>716</v>
      </c>
      <c r="BQA917">
        <v>3470</v>
      </c>
      <c r="BQB917">
        <v>1522</v>
      </c>
      <c r="BQC917">
        <v>613</v>
      </c>
      <c r="BQD917" t="s">
        <v>619</v>
      </c>
      <c r="BQE917" t="s">
        <v>619</v>
      </c>
      <c r="BZV917" t="s">
        <v>716</v>
      </c>
      <c r="BZW917">
        <v>3470</v>
      </c>
      <c r="BZX917">
        <v>1522</v>
      </c>
      <c r="BZY917">
        <v>613</v>
      </c>
      <c r="BZZ917" t="s">
        <v>619</v>
      </c>
      <c r="CAA917" t="s">
        <v>619</v>
      </c>
      <c r="CJR917" t="s">
        <v>716</v>
      </c>
      <c r="CJS917">
        <v>3470</v>
      </c>
      <c r="CJT917">
        <v>1522</v>
      </c>
      <c r="CJU917">
        <v>613</v>
      </c>
      <c r="CJV917" t="s">
        <v>619</v>
      </c>
      <c r="CJW917" t="s">
        <v>619</v>
      </c>
      <c r="CTN917" t="s">
        <v>716</v>
      </c>
      <c r="CTO917">
        <v>3470</v>
      </c>
      <c r="CTP917">
        <v>1522</v>
      </c>
      <c r="CTQ917">
        <v>613</v>
      </c>
      <c r="CTR917" t="s">
        <v>619</v>
      </c>
      <c r="CTS917" t="s">
        <v>619</v>
      </c>
      <c r="DDJ917" t="s">
        <v>716</v>
      </c>
      <c r="DDK917">
        <v>3470</v>
      </c>
      <c r="DDL917">
        <v>1522</v>
      </c>
      <c r="DDM917">
        <v>613</v>
      </c>
      <c r="DDN917" t="s">
        <v>619</v>
      </c>
      <c r="DDO917" t="s">
        <v>619</v>
      </c>
      <c r="DNF917" t="s">
        <v>716</v>
      </c>
      <c r="DNG917">
        <v>3470</v>
      </c>
      <c r="DNH917">
        <v>1522</v>
      </c>
      <c r="DNI917">
        <v>613</v>
      </c>
      <c r="DNJ917" t="s">
        <v>619</v>
      </c>
      <c r="DNK917" t="s">
        <v>619</v>
      </c>
      <c r="DXB917" t="s">
        <v>716</v>
      </c>
      <c r="DXC917">
        <v>3470</v>
      </c>
      <c r="DXD917">
        <v>1522</v>
      </c>
      <c r="DXE917">
        <v>613</v>
      </c>
      <c r="DXF917" t="s">
        <v>619</v>
      </c>
      <c r="DXG917" t="s">
        <v>619</v>
      </c>
      <c r="EGX917" t="s">
        <v>716</v>
      </c>
      <c r="EGY917">
        <v>3470</v>
      </c>
      <c r="EGZ917">
        <v>1522</v>
      </c>
      <c r="EHA917">
        <v>613</v>
      </c>
      <c r="EHB917" t="s">
        <v>619</v>
      </c>
      <c r="EHC917" t="s">
        <v>619</v>
      </c>
      <c r="EQT917" t="s">
        <v>716</v>
      </c>
      <c r="EQU917">
        <v>3470</v>
      </c>
      <c r="EQV917">
        <v>1522</v>
      </c>
      <c r="EQW917">
        <v>613</v>
      </c>
      <c r="EQX917" t="s">
        <v>619</v>
      </c>
      <c r="EQY917" t="s">
        <v>619</v>
      </c>
      <c r="FAP917" t="s">
        <v>716</v>
      </c>
      <c r="FAQ917">
        <v>3470</v>
      </c>
      <c r="FAR917">
        <v>1522</v>
      </c>
      <c r="FAS917">
        <v>613</v>
      </c>
      <c r="FAT917" t="s">
        <v>619</v>
      </c>
      <c r="FAU917" t="s">
        <v>619</v>
      </c>
      <c r="FKL917" t="s">
        <v>716</v>
      </c>
      <c r="FKM917">
        <v>3470</v>
      </c>
      <c r="FKN917">
        <v>1522</v>
      </c>
      <c r="FKO917">
        <v>613</v>
      </c>
      <c r="FKP917" t="s">
        <v>619</v>
      </c>
      <c r="FKQ917" t="s">
        <v>619</v>
      </c>
      <c r="FUH917" t="s">
        <v>716</v>
      </c>
      <c r="FUI917">
        <v>3470</v>
      </c>
      <c r="FUJ917">
        <v>1522</v>
      </c>
      <c r="FUK917">
        <v>613</v>
      </c>
      <c r="FUL917" t="s">
        <v>619</v>
      </c>
      <c r="FUM917" t="s">
        <v>619</v>
      </c>
      <c r="GED917" t="s">
        <v>716</v>
      </c>
      <c r="GEE917">
        <v>3470</v>
      </c>
      <c r="GEF917">
        <v>1522</v>
      </c>
      <c r="GEG917">
        <v>613</v>
      </c>
      <c r="GEH917" t="s">
        <v>619</v>
      </c>
      <c r="GEI917" t="s">
        <v>619</v>
      </c>
      <c r="GNZ917" t="s">
        <v>716</v>
      </c>
      <c r="GOA917">
        <v>3470</v>
      </c>
      <c r="GOB917">
        <v>1522</v>
      </c>
      <c r="GOC917">
        <v>613</v>
      </c>
      <c r="GOD917" t="s">
        <v>619</v>
      </c>
      <c r="GOE917" t="s">
        <v>619</v>
      </c>
      <c r="GXV917" t="s">
        <v>716</v>
      </c>
      <c r="GXW917">
        <v>3470</v>
      </c>
      <c r="GXX917">
        <v>1522</v>
      </c>
      <c r="GXY917">
        <v>613</v>
      </c>
      <c r="GXZ917" t="s">
        <v>619</v>
      </c>
      <c r="GYA917" t="s">
        <v>619</v>
      </c>
      <c r="HHR917" t="s">
        <v>716</v>
      </c>
      <c r="HHS917">
        <v>3470</v>
      </c>
      <c r="HHT917">
        <v>1522</v>
      </c>
      <c r="HHU917">
        <v>613</v>
      </c>
      <c r="HHV917" t="s">
        <v>619</v>
      </c>
      <c r="HHW917" t="s">
        <v>619</v>
      </c>
      <c r="HRN917" t="s">
        <v>716</v>
      </c>
      <c r="HRO917">
        <v>3470</v>
      </c>
      <c r="HRP917">
        <v>1522</v>
      </c>
      <c r="HRQ917">
        <v>613</v>
      </c>
      <c r="HRR917" t="s">
        <v>619</v>
      </c>
      <c r="HRS917" t="s">
        <v>619</v>
      </c>
      <c r="IBJ917" t="s">
        <v>716</v>
      </c>
      <c r="IBK917">
        <v>3470</v>
      </c>
      <c r="IBL917">
        <v>1522</v>
      </c>
      <c r="IBM917">
        <v>613</v>
      </c>
      <c r="IBN917" t="s">
        <v>619</v>
      </c>
      <c r="IBO917" t="s">
        <v>619</v>
      </c>
      <c r="ILF917" t="s">
        <v>716</v>
      </c>
      <c r="ILG917">
        <v>3470</v>
      </c>
      <c r="ILH917">
        <v>1522</v>
      </c>
      <c r="ILI917">
        <v>613</v>
      </c>
      <c r="ILJ917" t="s">
        <v>619</v>
      </c>
      <c r="ILK917" t="s">
        <v>619</v>
      </c>
      <c r="IVB917" t="s">
        <v>716</v>
      </c>
      <c r="IVC917">
        <v>3470</v>
      </c>
      <c r="IVD917">
        <v>1522</v>
      </c>
      <c r="IVE917">
        <v>613</v>
      </c>
      <c r="IVF917" t="s">
        <v>619</v>
      </c>
      <c r="IVG917" t="s">
        <v>619</v>
      </c>
      <c r="JEX917" t="s">
        <v>716</v>
      </c>
      <c r="JEY917">
        <v>3470</v>
      </c>
      <c r="JEZ917">
        <v>1522</v>
      </c>
      <c r="JFA917">
        <v>613</v>
      </c>
      <c r="JFB917" t="s">
        <v>619</v>
      </c>
      <c r="JFC917" t="s">
        <v>619</v>
      </c>
      <c r="JOT917" t="s">
        <v>716</v>
      </c>
      <c r="JOU917">
        <v>3470</v>
      </c>
      <c r="JOV917">
        <v>1522</v>
      </c>
      <c r="JOW917">
        <v>613</v>
      </c>
      <c r="JOX917" t="s">
        <v>619</v>
      </c>
      <c r="JOY917" t="s">
        <v>619</v>
      </c>
      <c r="JYP917" t="s">
        <v>716</v>
      </c>
      <c r="JYQ917">
        <v>3470</v>
      </c>
      <c r="JYR917">
        <v>1522</v>
      </c>
      <c r="JYS917">
        <v>613</v>
      </c>
      <c r="JYT917" t="s">
        <v>619</v>
      </c>
      <c r="JYU917" t="s">
        <v>619</v>
      </c>
      <c r="KIL917" t="s">
        <v>716</v>
      </c>
      <c r="KIM917">
        <v>3470</v>
      </c>
      <c r="KIN917">
        <v>1522</v>
      </c>
      <c r="KIO917">
        <v>613</v>
      </c>
      <c r="KIP917" t="s">
        <v>619</v>
      </c>
      <c r="KIQ917" t="s">
        <v>619</v>
      </c>
      <c r="KSH917" t="s">
        <v>716</v>
      </c>
      <c r="KSI917">
        <v>3470</v>
      </c>
      <c r="KSJ917">
        <v>1522</v>
      </c>
      <c r="KSK917">
        <v>613</v>
      </c>
      <c r="KSL917" t="s">
        <v>619</v>
      </c>
      <c r="KSM917" t="s">
        <v>619</v>
      </c>
      <c r="LCD917" t="s">
        <v>716</v>
      </c>
      <c r="LCE917">
        <v>3470</v>
      </c>
      <c r="LCF917">
        <v>1522</v>
      </c>
      <c r="LCG917">
        <v>613</v>
      </c>
      <c r="LCH917" t="s">
        <v>619</v>
      </c>
      <c r="LCI917" t="s">
        <v>619</v>
      </c>
      <c r="LLZ917" t="s">
        <v>716</v>
      </c>
      <c r="LMA917">
        <v>3470</v>
      </c>
      <c r="LMB917">
        <v>1522</v>
      </c>
      <c r="LMC917">
        <v>613</v>
      </c>
      <c r="LMD917" t="s">
        <v>619</v>
      </c>
      <c r="LME917" t="s">
        <v>619</v>
      </c>
      <c r="LVV917" t="s">
        <v>716</v>
      </c>
      <c r="LVW917">
        <v>3470</v>
      </c>
      <c r="LVX917">
        <v>1522</v>
      </c>
      <c r="LVY917">
        <v>613</v>
      </c>
      <c r="LVZ917" t="s">
        <v>619</v>
      </c>
      <c r="LWA917" t="s">
        <v>619</v>
      </c>
      <c r="MFR917" t="s">
        <v>716</v>
      </c>
      <c r="MFS917">
        <v>3470</v>
      </c>
      <c r="MFT917">
        <v>1522</v>
      </c>
      <c r="MFU917">
        <v>613</v>
      </c>
      <c r="MFV917" t="s">
        <v>619</v>
      </c>
      <c r="MFW917" t="s">
        <v>619</v>
      </c>
      <c r="MPN917" t="s">
        <v>716</v>
      </c>
      <c r="MPO917">
        <v>3470</v>
      </c>
      <c r="MPP917">
        <v>1522</v>
      </c>
      <c r="MPQ917">
        <v>613</v>
      </c>
      <c r="MPR917" t="s">
        <v>619</v>
      </c>
      <c r="MPS917" t="s">
        <v>619</v>
      </c>
      <c r="MZJ917" t="s">
        <v>716</v>
      </c>
      <c r="MZK917">
        <v>3470</v>
      </c>
      <c r="MZL917">
        <v>1522</v>
      </c>
      <c r="MZM917">
        <v>613</v>
      </c>
      <c r="MZN917" t="s">
        <v>619</v>
      </c>
      <c r="MZO917" t="s">
        <v>619</v>
      </c>
      <c r="NJF917" t="s">
        <v>716</v>
      </c>
      <c r="NJG917">
        <v>3470</v>
      </c>
      <c r="NJH917">
        <v>1522</v>
      </c>
      <c r="NJI917">
        <v>613</v>
      </c>
      <c r="NJJ917" t="s">
        <v>619</v>
      </c>
      <c r="NJK917" t="s">
        <v>619</v>
      </c>
      <c r="NTB917" t="s">
        <v>716</v>
      </c>
      <c r="NTC917">
        <v>3470</v>
      </c>
      <c r="NTD917">
        <v>1522</v>
      </c>
      <c r="NTE917">
        <v>613</v>
      </c>
      <c r="NTF917" t="s">
        <v>619</v>
      </c>
      <c r="NTG917" t="s">
        <v>619</v>
      </c>
      <c r="OCX917" t="s">
        <v>716</v>
      </c>
      <c r="OCY917">
        <v>3470</v>
      </c>
      <c r="OCZ917">
        <v>1522</v>
      </c>
      <c r="ODA917">
        <v>613</v>
      </c>
      <c r="ODB917" t="s">
        <v>619</v>
      </c>
      <c r="ODC917" t="s">
        <v>619</v>
      </c>
      <c r="OMT917" t="s">
        <v>716</v>
      </c>
      <c r="OMU917">
        <v>3470</v>
      </c>
      <c r="OMV917">
        <v>1522</v>
      </c>
      <c r="OMW917">
        <v>613</v>
      </c>
      <c r="OMX917" t="s">
        <v>619</v>
      </c>
      <c r="OMY917" t="s">
        <v>619</v>
      </c>
      <c r="OWP917" t="s">
        <v>716</v>
      </c>
      <c r="OWQ917">
        <v>3470</v>
      </c>
      <c r="OWR917">
        <v>1522</v>
      </c>
      <c r="OWS917">
        <v>613</v>
      </c>
      <c r="OWT917" t="s">
        <v>619</v>
      </c>
      <c r="OWU917" t="s">
        <v>619</v>
      </c>
      <c r="PGL917" t="s">
        <v>716</v>
      </c>
      <c r="PGM917">
        <v>3470</v>
      </c>
      <c r="PGN917">
        <v>1522</v>
      </c>
      <c r="PGO917">
        <v>613</v>
      </c>
      <c r="PGP917" t="s">
        <v>619</v>
      </c>
      <c r="PGQ917" t="s">
        <v>619</v>
      </c>
      <c r="PQH917" t="s">
        <v>716</v>
      </c>
      <c r="PQI917">
        <v>3470</v>
      </c>
      <c r="PQJ917">
        <v>1522</v>
      </c>
      <c r="PQK917">
        <v>613</v>
      </c>
      <c r="PQL917" t="s">
        <v>619</v>
      </c>
      <c r="PQM917" t="s">
        <v>619</v>
      </c>
      <c r="QAD917" t="s">
        <v>716</v>
      </c>
      <c r="QAE917">
        <v>3470</v>
      </c>
      <c r="QAF917">
        <v>1522</v>
      </c>
      <c r="QAG917">
        <v>613</v>
      </c>
      <c r="QAH917" t="s">
        <v>619</v>
      </c>
      <c r="QAI917" t="s">
        <v>619</v>
      </c>
      <c r="QJZ917" t="s">
        <v>716</v>
      </c>
      <c r="QKA917">
        <v>3470</v>
      </c>
      <c r="QKB917">
        <v>1522</v>
      </c>
      <c r="QKC917">
        <v>613</v>
      </c>
      <c r="QKD917" t="s">
        <v>619</v>
      </c>
      <c r="QKE917" t="s">
        <v>619</v>
      </c>
      <c r="QTV917" t="s">
        <v>716</v>
      </c>
      <c r="QTW917">
        <v>3470</v>
      </c>
      <c r="QTX917">
        <v>1522</v>
      </c>
      <c r="QTY917">
        <v>613</v>
      </c>
      <c r="QTZ917" t="s">
        <v>619</v>
      </c>
      <c r="QUA917" t="s">
        <v>619</v>
      </c>
      <c r="RDR917" t="s">
        <v>716</v>
      </c>
      <c r="RDS917">
        <v>3470</v>
      </c>
      <c r="RDT917">
        <v>1522</v>
      </c>
      <c r="RDU917">
        <v>613</v>
      </c>
      <c r="RDV917" t="s">
        <v>619</v>
      </c>
      <c r="RDW917" t="s">
        <v>619</v>
      </c>
      <c r="RNN917" t="s">
        <v>716</v>
      </c>
      <c r="RNO917">
        <v>3470</v>
      </c>
      <c r="RNP917">
        <v>1522</v>
      </c>
      <c r="RNQ917">
        <v>613</v>
      </c>
      <c r="RNR917" t="s">
        <v>619</v>
      </c>
      <c r="RNS917" t="s">
        <v>619</v>
      </c>
      <c r="RXJ917" t="s">
        <v>716</v>
      </c>
      <c r="RXK917">
        <v>3470</v>
      </c>
      <c r="RXL917">
        <v>1522</v>
      </c>
      <c r="RXM917">
        <v>613</v>
      </c>
      <c r="RXN917" t="s">
        <v>619</v>
      </c>
      <c r="RXO917" t="s">
        <v>619</v>
      </c>
      <c r="SHF917" t="s">
        <v>716</v>
      </c>
      <c r="SHG917">
        <v>3470</v>
      </c>
      <c r="SHH917">
        <v>1522</v>
      </c>
      <c r="SHI917">
        <v>613</v>
      </c>
      <c r="SHJ917" t="s">
        <v>619</v>
      </c>
      <c r="SHK917" t="s">
        <v>619</v>
      </c>
      <c r="SRB917" t="s">
        <v>716</v>
      </c>
      <c r="SRC917">
        <v>3470</v>
      </c>
      <c r="SRD917">
        <v>1522</v>
      </c>
      <c r="SRE917">
        <v>613</v>
      </c>
      <c r="SRF917" t="s">
        <v>619</v>
      </c>
      <c r="SRG917" t="s">
        <v>619</v>
      </c>
      <c r="TAX917" t="s">
        <v>716</v>
      </c>
      <c r="TAY917">
        <v>3470</v>
      </c>
      <c r="TAZ917">
        <v>1522</v>
      </c>
      <c r="TBA917">
        <v>613</v>
      </c>
      <c r="TBB917" t="s">
        <v>619</v>
      </c>
      <c r="TBC917" t="s">
        <v>619</v>
      </c>
      <c r="TKT917" t="s">
        <v>716</v>
      </c>
      <c r="TKU917">
        <v>3470</v>
      </c>
      <c r="TKV917">
        <v>1522</v>
      </c>
      <c r="TKW917">
        <v>613</v>
      </c>
      <c r="TKX917" t="s">
        <v>619</v>
      </c>
      <c r="TKY917" t="s">
        <v>619</v>
      </c>
      <c r="TUP917" t="s">
        <v>716</v>
      </c>
      <c r="TUQ917">
        <v>3470</v>
      </c>
      <c r="TUR917">
        <v>1522</v>
      </c>
      <c r="TUS917">
        <v>613</v>
      </c>
      <c r="TUT917" t="s">
        <v>619</v>
      </c>
      <c r="TUU917" t="s">
        <v>619</v>
      </c>
      <c r="UEL917" t="s">
        <v>716</v>
      </c>
      <c r="UEM917">
        <v>3470</v>
      </c>
      <c r="UEN917">
        <v>1522</v>
      </c>
      <c r="UEO917">
        <v>613</v>
      </c>
      <c r="UEP917" t="s">
        <v>619</v>
      </c>
      <c r="UEQ917" t="s">
        <v>619</v>
      </c>
      <c r="UOH917" t="s">
        <v>716</v>
      </c>
      <c r="UOI917">
        <v>3470</v>
      </c>
      <c r="UOJ917">
        <v>1522</v>
      </c>
      <c r="UOK917">
        <v>613</v>
      </c>
      <c r="UOL917" t="s">
        <v>619</v>
      </c>
      <c r="UOM917" t="s">
        <v>619</v>
      </c>
      <c r="UYD917" t="s">
        <v>716</v>
      </c>
      <c r="UYE917">
        <v>3470</v>
      </c>
      <c r="UYF917">
        <v>1522</v>
      </c>
      <c r="UYG917">
        <v>613</v>
      </c>
      <c r="UYH917" t="s">
        <v>619</v>
      </c>
      <c r="UYI917" t="s">
        <v>619</v>
      </c>
      <c r="VHZ917" t="s">
        <v>716</v>
      </c>
      <c r="VIA917">
        <v>3470</v>
      </c>
      <c r="VIB917">
        <v>1522</v>
      </c>
      <c r="VIC917">
        <v>613</v>
      </c>
      <c r="VID917" t="s">
        <v>619</v>
      </c>
      <c r="VIE917" t="s">
        <v>619</v>
      </c>
      <c r="VRV917" t="s">
        <v>716</v>
      </c>
      <c r="VRW917">
        <v>3470</v>
      </c>
      <c r="VRX917">
        <v>1522</v>
      </c>
      <c r="VRY917">
        <v>613</v>
      </c>
      <c r="VRZ917" t="s">
        <v>619</v>
      </c>
      <c r="VSA917" t="s">
        <v>619</v>
      </c>
      <c r="WBR917" t="s">
        <v>716</v>
      </c>
      <c r="WBS917">
        <v>3470</v>
      </c>
      <c r="WBT917">
        <v>1522</v>
      </c>
      <c r="WBU917">
        <v>613</v>
      </c>
      <c r="WBV917" t="s">
        <v>619</v>
      </c>
      <c r="WBW917" t="s">
        <v>619</v>
      </c>
      <c r="WLN917" t="s">
        <v>716</v>
      </c>
      <c r="WLO917">
        <v>3470</v>
      </c>
      <c r="WLP917">
        <v>1522</v>
      </c>
      <c r="WLQ917">
        <v>613</v>
      </c>
      <c r="WLR917" t="s">
        <v>619</v>
      </c>
      <c r="WLS917" t="s">
        <v>619</v>
      </c>
      <c r="WVJ917" t="s">
        <v>716</v>
      </c>
      <c r="WVK917">
        <v>3470</v>
      </c>
      <c r="WVL917">
        <v>1522</v>
      </c>
      <c r="WVM917">
        <v>613</v>
      </c>
      <c r="WVN917" t="s">
        <v>619</v>
      </c>
      <c r="WVO917" t="s">
        <v>619</v>
      </c>
    </row>
    <row r="918" spans="1:775 1026:1799 2050:2823 3074:3847 4098:4871 5122:5895 6146:6919 7170:7943 8194:8967 9218:9991 10242:11015 11266:12039 12290:13063 13314:14087 14338:15111 15362:16135">
      <c r="A918" s="361" t="s">
        <v>1329</v>
      </c>
      <c r="B918" t="s">
        <v>1081</v>
      </c>
      <c r="C918" s="100">
        <v>213662</v>
      </c>
      <c r="D918" s="100">
        <v>208815</v>
      </c>
      <c r="E918" s="100">
        <v>203968</v>
      </c>
      <c r="F918" s="100">
        <v>199121</v>
      </c>
      <c r="G918" s="100">
        <v>212603</v>
      </c>
      <c r="H918" s="100"/>
      <c r="IX918" t="s">
        <v>1329</v>
      </c>
      <c r="IY918">
        <v>213662</v>
      </c>
      <c r="IZ918">
        <v>208815</v>
      </c>
      <c r="JA918">
        <v>203968</v>
      </c>
      <c r="JB918">
        <v>199121</v>
      </c>
      <c r="JC918">
        <v>212603</v>
      </c>
      <c r="ST918" t="s">
        <v>1329</v>
      </c>
      <c r="SU918">
        <v>213662</v>
      </c>
      <c r="SV918">
        <v>208815</v>
      </c>
      <c r="SW918">
        <v>203968</v>
      </c>
      <c r="SX918">
        <v>199121</v>
      </c>
      <c r="SY918">
        <v>212603</v>
      </c>
      <c r="ACP918" t="s">
        <v>1329</v>
      </c>
      <c r="ACQ918">
        <v>213662</v>
      </c>
      <c r="ACR918">
        <v>208815</v>
      </c>
      <c r="ACS918">
        <v>203968</v>
      </c>
      <c r="ACT918">
        <v>199121</v>
      </c>
      <c r="ACU918">
        <v>212603</v>
      </c>
      <c r="AML918" t="s">
        <v>1329</v>
      </c>
      <c r="AMM918">
        <v>213662</v>
      </c>
      <c r="AMN918">
        <v>208815</v>
      </c>
      <c r="AMO918">
        <v>203968</v>
      </c>
      <c r="AMP918">
        <v>199121</v>
      </c>
      <c r="AMQ918">
        <v>212603</v>
      </c>
      <c r="AWH918" t="s">
        <v>1329</v>
      </c>
      <c r="AWI918">
        <v>213662</v>
      </c>
      <c r="AWJ918">
        <v>208815</v>
      </c>
      <c r="AWK918">
        <v>203968</v>
      </c>
      <c r="AWL918">
        <v>199121</v>
      </c>
      <c r="AWM918">
        <v>212603</v>
      </c>
      <c r="BGD918" t="s">
        <v>1329</v>
      </c>
      <c r="BGE918">
        <v>213662</v>
      </c>
      <c r="BGF918">
        <v>208815</v>
      </c>
      <c r="BGG918">
        <v>203968</v>
      </c>
      <c r="BGH918">
        <v>199121</v>
      </c>
      <c r="BGI918">
        <v>212603</v>
      </c>
      <c r="BPZ918" t="s">
        <v>1329</v>
      </c>
      <c r="BQA918">
        <v>213662</v>
      </c>
      <c r="BQB918">
        <v>208815</v>
      </c>
      <c r="BQC918">
        <v>203968</v>
      </c>
      <c r="BQD918">
        <v>199121</v>
      </c>
      <c r="BQE918">
        <v>212603</v>
      </c>
      <c r="BZV918" t="s">
        <v>1329</v>
      </c>
      <c r="BZW918">
        <v>213662</v>
      </c>
      <c r="BZX918">
        <v>208815</v>
      </c>
      <c r="BZY918">
        <v>203968</v>
      </c>
      <c r="BZZ918">
        <v>199121</v>
      </c>
      <c r="CAA918">
        <v>212603</v>
      </c>
      <c r="CJR918" t="s">
        <v>1329</v>
      </c>
      <c r="CJS918">
        <v>213662</v>
      </c>
      <c r="CJT918">
        <v>208815</v>
      </c>
      <c r="CJU918">
        <v>203968</v>
      </c>
      <c r="CJV918">
        <v>199121</v>
      </c>
      <c r="CJW918">
        <v>212603</v>
      </c>
      <c r="CTN918" t="s">
        <v>1329</v>
      </c>
      <c r="CTO918">
        <v>213662</v>
      </c>
      <c r="CTP918">
        <v>208815</v>
      </c>
      <c r="CTQ918">
        <v>203968</v>
      </c>
      <c r="CTR918">
        <v>199121</v>
      </c>
      <c r="CTS918">
        <v>212603</v>
      </c>
      <c r="DDJ918" t="s">
        <v>1329</v>
      </c>
      <c r="DDK918">
        <v>213662</v>
      </c>
      <c r="DDL918">
        <v>208815</v>
      </c>
      <c r="DDM918">
        <v>203968</v>
      </c>
      <c r="DDN918">
        <v>199121</v>
      </c>
      <c r="DDO918">
        <v>212603</v>
      </c>
      <c r="DNF918" t="s">
        <v>1329</v>
      </c>
      <c r="DNG918">
        <v>213662</v>
      </c>
      <c r="DNH918">
        <v>208815</v>
      </c>
      <c r="DNI918">
        <v>203968</v>
      </c>
      <c r="DNJ918">
        <v>199121</v>
      </c>
      <c r="DNK918">
        <v>212603</v>
      </c>
      <c r="DXB918" t="s">
        <v>1329</v>
      </c>
      <c r="DXC918">
        <v>213662</v>
      </c>
      <c r="DXD918">
        <v>208815</v>
      </c>
      <c r="DXE918">
        <v>203968</v>
      </c>
      <c r="DXF918">
        <v>199121</v>
      </c>
      <c r="DXG918">
        <v>212603</v>
      </c>
      <c r="EGX918" t="s">
        <v>1329</v>
      </c>
      <c r="EGY918">
        <v>213662</v>
      </c>
      <c r="EGZ918">
        <v>208815</v>
      </c>
      <c r="EHA918">
        <v>203968</v>
      </c>
      <c r="EHB918">
        <v>199121</v>
      </c>
      <c r="EHC918">
        <v>212603</v>
      </c>
      <c r="EQT918" t="s">
        <v>1329</v>
      </c>
      <c r="EQU918">
        <v>213662</v>
      </c>
      <c r="EQV918">
        <v>208815</v>
      </c>
      <c r="EQW918">
        <v>203968</v>
      </c>
      <c r="EQX918">
        <v>199121</v>
      </c>
      <c r="EQY918">
        <v>212603</v>
      </c>
      <c r="FAP918" t="s">
        <v>1329</v>
      </c>
      <c r="FAQ918">
        <v>213662</v>
      </c>
      <c r="FAR918">
        <v>208815</v>
      </c>
      <c r="FAS918">
        <v>203968</v>
      </c>
      <c r="FAT918">
        <v>199121</v>
      </c>
      <c r="FAU918">
        <v>212603</v>
      </c>
      <c r="FKL918" t="s">
        <v>1329</v>
      </c>
      <c r="FKM918">
        <v>213662</v>
      </c>
      <c r="FKN918">
        <v>208815</v>
      </c>
      <c r="FKO918">
        <v>203968</v>
      </c>
      <c r="FKP918">
        <v>199121</v>
      </c>
      <c r="FKQ918">
        <v>212603</v>
      </c>
      <c r="FUH918" t="s">
        <v>1329</v>
      </c>
      <c r="FUI918">
        <v>213662</v>
      </c>
      <c r="FUJ918">
        <v>208815</v>
      </c>
      <c r="FUK918">
        <v>203968</v>
      </c>
      <c r="FUL918">
        <v>199121</v>
      </c>
      <c r="FUM918">
        <v>212603</v>
      </c>
      <c r="GED918" t="s">
        <v>1329</v>
      </c>
      <c r="GEE918">
        <v>213662</v>
      </c>
      <c r="GEF918">
        <v>208815</v>
      </c>
      <c r="GEG918">
        <v>203968</v>
      </c>
      <c r="GEH918">
        <v>199121</v>
      </c>
      <c r="GEI918">
        <v>212603</v>
      </c>
      <c r="GNZ918" t="s">
        <v>1329</v>
      </c>
      <c r="GOA918">
        <v>213662</v>
      </c>
      <c r="GOB918">
        <v>208815</v>
      </c>
      <c r="GOC918">
        <v>203968</v>
      </c>
      <c r="GOD918">
        <v>199121</v>
      </c>
      <c r="GOE918">
        <v>212603</v>
      </c>
      <c r="GXV918" t="s">
        <v>1329</v>
      </c>
      <c r="GXW918">
        <v>213662</v>
      </c>
      <c r="GXX918">
        <v>208815</v>
      </c>
      <c r="GXY918">
        <v>203968</v>
      </c>
      <c r="GXZ918">
        <v>199121</v>
      </c>
      <c r="GYA918">
        <v>212603</v>
      </c>
      <c r="HHR918" t="s">
        <v>1329</v>
      </c>
      <c r="HHS918">
        <v>213662</v>
      </c>
      <c r="HHT918">
        <v>208815</v>
      </c>
      <c r="HHU918">
        <v>203968</v>
      </c>
      <c r="HHV918">
        <v>199121</v>
      </c>
      <c r="HHW918">
        <v>212603</v>
      </c>
      <c r="HRN918" t="s">
        <v>1329</v>
      </c>
      <c r="HRO918">
        <v>213662</v>
      </c>
      <c r="HRP918">
        <v>208815</v>
      </c>
      <c r="HRQ918">
        <v>203968</v>
      </c>
      <c r="HRR918">
        <v>199121</v>
      </c>
      <c r="HRS918">
        <v>212603</v>
      </c>
      <c r="IBJ918" t="s">
        <v>1329</v>
      </c>
      <c r="IBK918">
        <v>213662</v>
      </c>
      <c r="IBL918">
        <v>208815</v>
      </c>
      <c r="IBM918">
        <v>203968</v>
      </c>
      <c r="IBN918">
        <v>199121</v>
      </c>
      <c r="IBO918">
        <v>212603</v>
      </c>
      <c r="ILF918" t="s">
        <v>1329</v>
      </c>
      <c r="ILG918">
        <v>213662</v>
      </c>
      <c r="ILH918">
        <v>208815</v>
      </c>
      <c r="ILI918">
        <v>203968</v>
      </c>
      <c r="ILJ918">
        <v>199121</v>
      </c>
      <c r="ILK918">
        <v>212603</v>
      </c>
      <c r="IVB918" t="s">
        <v>1329</v>
      </c>
      <c r="IVC918">
        <v>213662</v>
      </c>
      <c r="IVD918">
        <v>208815</v>
      </c>
      <c r="IVE918">
        <v>203968</v>
      </c>
      <c r="IVF918">
        <v>199121</v>
      </c>
      <c r="IVG918">
        <v>212603</v>
      </c>
      <c r="JEX918" t="s">
        <v>1329</v>
      </c>
      <c r="JEY918">
        <v>213662</v>
      </c>
      <c r="JEZ918">
        <v>208815</v>
      </c>
      <c r="JFA918">
        <v>203968</v>
      </c>
      <c r="JFB918">
        <v>199121</v>
      </c>
      <c r="JFC918">
        <v>212603</v>
      </c>
      <c r="JOT918" t="s">
        <v>1329</v>
      </c>
      <c r="JOU918">
        <v>213662</v>
      </c>
      <c r="JOV918">
        <v>208815</v>
      </c>
      <c r="JOW918">
        <v>203968</v>
      </c>
      <c r="JOX918">
        <v>199121</v>
      </c>
      <c r="JOY918">
        <v>212603</v>
      </c>
      <c r="JYP918" t="s">
        <v>1329</v>
      </c>
      <c r="JYQ918">
        <v>213662</v>
      </c>
      <c r="JYR918">
        <v>208815</v>
      </c>
      <c r="JYS918">
        <v>203968</v>
      </c>
      <c r="JYT918">
        <v>199121</v>
      </c>
      <c r="JYU918">
        <v>212603</v>
      </c>
      <c r="KIL918" t="s">
        <v>1329</v>
      </c>
      <c r="KIM918">
        <v>213662</v>
      </c>
      <c r="KIN918">
        <v>208815</v>
      </c>
      <c r="KIO918">
        <v>203968</v>
      </c>
      <c r="KIP918">
        <v>199121</v>
      </c>
      <c r="KIQ918">
        <v>212603</v>
      </c>
      <c r="KSH918" t="s">
        <v>1329</v>
      </c>
      <c r="KSI918">
        <v>213662</v>
      </c>
      <c r="KSJ918">
        <v>208815</v>
      </c>
      <c r="KSK918">
        <v>203968</v>
      </c>
      <c r="KSL918">
        <v>199121</v>
      </c>
      <c r="KSM918">
        <v>212603</v>
      </c>
      <c r="LCD918" t="s">
        <v>1329</v>
      </c>
      <c r="LCE918">
        <v>213662</v>
      </c>
      <c r="LCF918">
        <v>208815</v>
      </c>
      <c r="LCG918">
        <v>203968</v>
      </c>
      <c r="LCH918">
        <v>199121</v>
      </c>
      <c r="LCI918">
        <v>212603</v>
      </c>
      <c r="LLZ918" t="s">
        <v>1329</v>
      </c>
      <c r="LMA918">
        <v>213662</v>
      </c>
      <c r="LMB918">
        <v>208815</v>
      </c>
      <c r="LMC918">
        <v>203968</v>
      </c>
      <c r="LMD918">
        <v>199121</v>
      </c>
      <c r="LME918">
        <v>212603</v>
      </c>
      <c r="LVV918" t="s">
        <v>1329</v>
      </c>
      <c r="LVW918">
        <v>213662</v>
      </c>
      <c r="LVX918">
        <v>208815</v>
      </c>
      <c r="LVY918">
        <v>203968</v>
      </c>
      <c r="LVZ918">
        <v>199121</v>
      </c>
      <c r="LWA918">
        <v>212603</v>
      </c>
      <c r="MFR918" t="s">
        <v>1329</v>
      </c>
      <c r="MFS918">
        <v>213662</v>
      </c>
      <c r="MFT918">
        <v>208815</v>
      </c>
      <c r="MFU918">
        <v>203968</v>
      </c>
      <c r="MFV918">
        <v>199121</v>
      </c>
      <c r="MFW918">
        <v>212603</v>
      </c>
      <c r="MPN918" t="s">
        <v>1329</v>
      </c>
      <c r="MPO918">
        <v>213662</v>
      </c>
      <c r="MPP918">
        <v>208815</v>
      </c>
      <c r="MPQ918">
        <v>203968</v>
      </c>
      <c r="MPR918">
        <v>199121</v>
      </c>
      <c r="MPS918">
        <v>212603</v>
      </c>
      <c r="MZJ918" t="s">
        <v>1329</v>
      </c>
      <c r="MZK918">
        <v>213662</v>
      </c>
      <c r="MZL918">
        <v>208815</v>
      </c>
      <c r="MZM918">
        <v>203968</v>
      </c>
      <c r="MZN918">
        <v>199121</v>
      </c>
      <c r="MZO918">
        <v>212603</v>
      </c>
      <c r="NJF918" t="s">
        <v>1329</v>
      </c>
      <c r="NJG918">
        <v>213662</v>
      </c>
      <c r="NJH918">
        <v>208815</v>
      </c>
      <c r="NJI918">
        <v>203968</v>
      </c>
      <c r="NJJ918">
        <v>199121</v>
      </c>
      <c r="NJK918">
        <v>212603</v>
      </c>
      <c r="NTB918" t="s">
        <v>1329</v>
      </c>
      <c r="NTC918">
        <v>213662</v>
      </c>
      <c r="NTD918">
        <v>208815</v>
      </c>
      <c r="NTE918">
        <v>203968</v>
      </c>
      <c r="NTF918">
        <v>199121</v>
      </c>
      <c r="NTG918">
        <v>212603</v>
      </c>
      <c r="OCX918" t="s">
        <v>1329</v>
      </c>
      <c r="OCY918">
        <v>213662</v>
      </c>
      <c r="OCZ918">
        <v>208815</v>
      </c>
      <c r="ODA918">
        <v>203968</v>
      </c>
      <c r="ODB918">
        <v>199121</v>
      </c>
      <c r="ODC918">
        <v>212603</v>
      </c>
      <c r="OMT918" t="s">
        <v>1329</v>
      </c>
      <c r="OMU918">
        <v>213662</v>
      </c>
      <c r="OMV918">
        <v>208815</v>
      </c>
      <c r="OMW918">
        <v>203968</v>
      </c>
      <c r="OMX918">
        <v>199121</v>
      </c>
      <c r="OMY918">
        <v>212603</v>
      </c>
      <c r="OWP918" t="s">
        <v>1329</v>
      </c>
      <c r="OWQ918">
        <v>213662</v>
      </c>
      <c r="OWR918">
        <v>208815</v>
      </c>
      <c r="OWS918">
        <v>203968</v>
      </c>
      <c r="OWT918">
        <v>199121</v>
      </c>
      <c r="OWU918">
        <v>212603</v>
      </c>
      <c r="PGL918" t="s">
        <v>1329</v>
      </c>
      <c r="PGM918">
        <v>213662</v>
      </c>
      <c r="PGN918">
        <v>208815</v>
      </c>
      <c r="PGO918">
        <v>203968</v>
      </c>
      <c r="PGP918">
        <v>199121</v>
      </c>
      <c r="PGQ918">
        <v>212603</v>
      </c>
      <c r="PQH918" t="s">
        <v>1329</v>
      </c>
      <c r="PQI918">
        <v>213662</v>
      </c>
      <c r="PQJ918">
        <v>208815</v>
      </c>
      <c r="PQK918">
        <v>203968</v>
      </c>
      <c r="PQL918">
        <v>199121</v>
      </c>
      <c r="PQM918">
        <v>212603</v>
      </c>
      <c r="QAD918" t="s">
        <v>1329</v>
      </c>
      <c r="QAE918">
        <v>213662</v>
      </c>
      <c r="QAF918">
        <v>208815</v>
      </c>
      <c r="QAG918">
        <v>203968</v>
      </c>
      <c r="QAH918">
        <v>199121</v>
      </c>
      <c r="QAI918">
        <v>212603</v>
      </c>
      <c r="QJZ918" t="s">
        <v>1329</v>
      </c>
      <c r="QKA918">
        <v>213662</v>
      </c>
      <c r="QKB918">
        <v>208815</v>
      </c>
      <c r="QKC918">
        <v>203968</v>
      </c>
      <c r="QKD918">
        <v>199121</v>
      </c>
      <c r="QKE918">
        <v>212603</v>
      </c>
      <c r="QTV918" t="s">
        <v>1329</v>
      </c>
      <c r="QTW918">
        <v>213662</v>
      </c>
      <c r="QTX918">
        <v>208815</v>
      </c>
      <c r="QTY918">
        <v>203968</v>
      </c>
      <c r="QTZ918">
        <v>199121</v>
      </c>
      <c r="QUA918">
        <v>212603</v>
      </c>
      <c r="RDR918" t="s">
        <v>1329</v>
      </c>
      <c r="RDS918">
        <v>213662</v>
      </c>
      <c r="RDT918">
        <v>208815</v>
      </c>
      <c r="RDU918">
        <v>203968</v>
      </c>
      <c r="RDV918">
        <v>199121</v>
      </c>
      <c r="RDW918">
        <v>212603</v>
      </c>
      <c r="RNN918" t="s">
        <v>1329</v>
      </c>
      <c r="RNO918">
        <v>213662</v>
      </c>
      <c r="RNP918">
        <v>208815</v>
      </c>
      <c r="RNQ918">
        <v>203968</v>
      </c>
      <c r="RNR918">
        <v>199121</v>
      </c>
      <c r="RNS918">
        <v>212603</v>
      </c>
      <c r="RXJ918" t="s">
        <v>1329</v>
      </c>
      <c r="RXK918">
        <v>213662</v>
      </c>
      <c r="RXL918">
        <v>208815</v>
      </c>
      <c r="RXM918">
        <v>203968</v>
      </c>
      <c r="RXN918">
        <v>199121</v>
      </c>
      <c r="RXO918">
        <v>212603</v>
      </c>
      <c r="SHF918" t="s">
        <v>1329</v>
      </c>
      <c r="SHG918">
        <v>213662</v>
      </c>
      <c r="SHH918">
        <v>208815</v>
      </c>
      <c r="SHI918">
        <v>203968</v>
      </c>
      <c r="SHJ918">
        <v>199121</v>
      </c>
      <c r="SHK918">
        <v>212603</v>
      </c>
      <c r="SRB918" t="s">
        <v>1329</v>
      </c>
      <c r="SRC918">
        <v>213662</v>
      </c>
      <c r="SRD918">
        <v>208815</v>
      </c>
      <c r="SRE918">
        <v>203968</v>
      </c>
      <c r="SRF918">
        <v>199121</v>
      </c>
      <c r="SRG918">
        <v>212603</v>
      </c>
      <c r="TAX918" t="s">
        <v>1329</v>
      </c>
      <c r="TAY918">
        <v>213662</v>
      </c>
      <c r="TAZ918">
        <v>208815</v>
      </c>
      <c r="TBA918">
        <v>203968</v>
      </c>
      <c r="TBB918">
        <v>199121</v>
      </c>
      <c r="TBC918">
        <v>212603</v>
      </c>
      <c r="TKT918" t="s">
        <v>1329</v>
      </c>
      <c r="TKU918">
        <v>213662</v>
      </c>
      <c r="TKV918">
        <v>208815</v>
      </c>
      <c r="TKW918">
        <v>203968</v>
      </c>
      <c r="TKX918">
        <v>199121</v>
      </c>
      <c r="TKY918">
        <v>212603</v>
      </c>
      <c r="TUP918" t="s">
        <v>1329</v>
      </c>
      <c r="TUQ918">
        <v>213662</v>
      </c>
      <c r="TUR918">
        <v>208815</v>
      </c>
      <c r="TUS918">
        <v>203968</v>
      </c>
      <c r="TUT918">
        <v>199121</v>
      </c>
      <c r="TUU918">
        <v>212603</v>
      </c>
      <c r="UEL918" t="s">
        <v>1329</v>
      </c>
      <c r="UEM918">
        <v>213662</v>
      </c>
      <c r="UEN918">
        <v>208815</v>
      </c>
      <c r="UEO918">
        <v>203968</v>
      </c>
      <c r="UEP918">
        <v>199121</v>
      </c>
      <c r="UEQ918">
        <v>212603</v>
      </c>
      <c r="UOH918" t="s">
        <v>1329</v>
      </c>
      <c r="UOI918">
        <v>213662</v>
      </c>
      <c r="UOJ918">
        <v>208815</v>
      </c>
      <c r="UOK918">
        <v>203968</v>
      </c>
      <c r="UOL918">
        <v>199121</v>
      </c>
      <c r="UOM918">
        <v>212603</v>
      </c>
      <c r="UYD918" t="s">
        <v>1329</v>
      </c>
      <c r="UYE918">
        <v>213662</v>
      </c>
      <c r="UYF918">
        <v>208815</v>
      </c>
      <c r="UYG918">
        <v>203968</v>
      </c>
      <c r="UYH918">
        <v>199121</v>
      </c>
      <c r="UYI918">
        <v>212603</v>
      </c>
      <c r="VHZ918" t="s">
        <v>1329</v>
      </c>
      <c r="VIA918">
        <v>213662</v>
      </c>
      <c r="VIB918">
        <v>208815</v>
      </c>
      <c r="VIC918">
        <v>203968</v>
      </c>
      <c r="VID918">
        <v>199121</v>
      </c>
      <c r="VIE918">
        <v>212603</v>
      </c>
      <c r="VRV918" t="s">
        <v>1329</v>
      </c>
      <c r="VRW918">
        <v>213662</v>
      </c>
      <c r="VRX918">
        <v>208815</v>
      </c>
      <c r="VRY918">
        <v>203968</v>
      </c>
      <c r="VRZ918">
        <v>199121</v>
      </c>
      <c r="VSA918">
        <v>212603</v>
      </c>
      <c r="WBR918" t="s">
        <v>1329</v>
      </c>
      <c r="WBS918">
        <v>213662</v>
      </c>
      <c r="WBT918">
        <v>208815</v>
      </c>
      <c r="WBU918">
        <v>203968</v>
      </c>
      <c r="WBV918">
        <v>199121</v>
      </c>
      <c r="WBW918">
        <v>212603</v>
      </c>
      <c r="WLN918" t="s">
        <v>1329</v>
      </c>
      <c r="WLO918">
        <v>213662</v>
      </c>
      <c r="WLP918">
        <v>208815</v>
      </c>
      <c r="WLQ918">
        <v>203968</v>
      </c>
      <c r="WLR918">
        <v>199121</v>
      </c>
      <c r="WLS918">
        <v>212603</v>
      </c>
      <c r="WVJ918" t="s">
        <v>1329</v>
      </c>
      <c r="WVK918">
        <v>213662</v>
      </c>
      <c r="WVL918">
        <v>208815</v>
      </c>
      <c r="WVM918">
        <v>203968</v>
      </c>
      <c r="WVN918">
        <v>199121</v>
      </c>
      <c r="WVO918">
        <v>212603</v>
      </c>
    </row>
    <row r="919" spans="1:775 1026:1799 2050:2823 3074:3847 4098:4871 5122:5895 6146:6919 7170:7943 8194:8967 9218:9991 10242:11015 11266:12039 12290:13063 13314:14087 14338:15111 15362:16135">
      <c r="A919" s="361" t="s">
        <v>1330</v>
      </c>
      <c r="B919" t="s">
        <v>1081</v>
      </c>
      <c r="C919" s="100">
        <v>33528</v>
      </c>
      <c r="D919" s="100">
        <v>44523</v>
      </c>
      <c r="E919" s="100">
        <v>41547</v>
      </c>
      <c r="F919" s="100">
        <v>46437</v>
      </c>
      <c r="G919" s="100">
        <v>113478</v>
      </c>
      <c r="H919" s="100"/>
      <c r="IX919" t="s">
        <v>1330</v>
      </c>
      <c r="IY919">
        <v>33528</v>
      </c>
      <c r="IZ919">
        <v>44523</v>
      </c>
      <c r="JA919">
        <v>41547</v>
      </c>
      <c r="JB919">
        <v>46437</v>
      </c>
      <c r="JC919">
        <v>113478</v>
      </c>
      <c r="ST919" t="s">
        <v>1330</v>
      </c>
      <c r="SU919">
        <v>33528</v>
      </c>
      <c r="SV919">
        <v>44523</v>
      </c>
      <c r="SW919">
        <v>41547</v>
      </c>
      <c r="SX919">
        <v>46437</v>
      </c>
      <c r="SY919">
        <v>113478</v>
      </c>
      <c r="ACP919" t="s">
        <v>1330</v>
      </c>
      <c r="ACQ919">
        <v>33528</v>
      </c>
      <c r="ACR919">
        <v>44523</v>
      </c>
      <c r="ACS919">
        <v>41547</v>
      </c>
      <c r="ACT919">
        <v>46437</v>
      </c>
      <c r="ACU919">
        <v>113478</v>
      </c>
      <c r="AML919" t="s">
        <v>1330</v>
      </c>
      <c r="AMM919">
        <v>33528</v>
      </c>
      <c r="AMN919">
        <v>44523</v>
      </c>
      <c r="AMO919">
        <v>41547</v>
      </c>
      <c r="AMP919">
        <v>46437</v>
      </c>
      <c r="AMQ919">
        <v>113478</v>
      </c>
      <c r="AWH919" t="s">
        <v>1330</v>
      </c>
      <c r="AWI919">
        <v>33528</v>
      </c>
      <c r="AWJ919">
        <v>44523</v>
      </c>
      <c r="AWK919">
        <v>41547</v>
      </c>
      <c r="AWL919">
        <v>46437</v>
      </c>
      <c r="AWM919">
        <v>113478</v>
      </c>
      <c r="BGD919" t="s">
        <v>1330</v>
      </c>
      <c r="BGE919">
        <v>33528</v>
      </c>
      <c r="BGF919">
        <v>44523</v>
      </c>
      <c r="BGG919">
        <v>41547</v>
      </c>
      <c r="BGH919">
        <v>46437</v>
      </c>
      <c r="BGI919">
        <v>113478</v>
      </c>
      <c r="BPZ919" t="s">
        <v>1330</v>
      </c>
      <c r="BQA919">
        <v>33528</v>
      </c>
      <c r="BQB919">
        <v>44523</v>
      </c>
      <c r="BQC919">
        <v>41547</v>
      </c>
      <c r="BQD919">
        <v>46437</v>
      </c>
      <c r="BQE919">
        <v>113478</v>
      </c>
      <c r="BZV919" t="s">
        <v>1330</v>
      </c>
      <c r="BZW919">
        <v>33528</v>
      </c>
      <c r="BZX919">
        <v>44523</v>
      </c>
      <c r="BZY919">
        <v>41547</v>
      </c>
      <c r="BZZ919">
        <v>46437</v>
      </c>
      <c r="CAA919">
        <v>113478</v>
      </c>
      <c r="CJR919" t="s">
        <v>1330</v>
      </c>
      <c r="CJS919">
        <v>33528</v>
      </c>
      <c r="CJT919">
        <v>44523</v>
      </c>
      <c r="CJU919">
        <v>41547</v>
      </c>
      <c r="CJV919">
        <v>46437</v>
      </c>
      <c r="CJW919">
        <v>113478</v>
      </c>
      <c r="CTN919" t="s">
        <v>1330</v>
      </c>
      <c r="CTO919">
        <v>33528</v>
      </c>
      <c r="CTP919">
        <v>44523</v>
      </c>
      <c r="CTQ919">
        <v>41547</v>
      </c>
      <c r="CTR919">
        <v>46437</v>
      </c>
      <c r="CTS919">
        <v>113478</v>
      </c>
      <c r="DDJ919" t="s">
        <v>1330</v>
      </c>
      <c r="DDK919">
        <v>33528</v>
      </c>
      <c r="DDL919">
        <v>44523</v>
      </c>
      <c r="DDM919">
        <v>41547</v>
      </c>
      <c r="DDN919">
        <v>46437</v>
      </c>
      <c r="DDO919">
        <v>113478</v>
      </c>
      <c r="DNF919" t="s">
        <v>1330</v>
      </c>
      <c r="DNG919">
        <v>33528</v>
      </c>
      <c r="DNH919">
        <v>44523</v>
      </c>
      <c r="DNI919">
        <v>41547</v>
      </c>
      <c r="DNJ919">
        <v>46437</v>
      </c>
      <c r="DNK919">
        <v>113478</v>
      </c>
      <c r="DXB919" t="s">
        <v>1330</v>
      </c>
      <c r="DXC919">
        <v>33528</v>
      </c>
      <c r="DXD919">
        <v>44523</v>
      </c>
      <c r="DXE919">
        <v>41547</v>
      </c>
      <c r="DXF919">
        <v>46437</v>
      </c>
      <c r="DXG919">
        <v>113478</v>
      </c>
      <c r="EGX919" t="s">
        <v>1330</v>
      </c>
      <c r="EGY919">
        <v>33528</v>
      </c>
      <c r="EGZ919">
        <v>44523</v>
      </c>
      <c r="EHA919">
        <v>41547</v>
      </c>
      <c r="EHB919">
        <v>46437</v>
      </c>
      <c r="EHC919">
        <v>113478</v>
      </c>
      <c r="EQT919" t="s">
        <v>1330</v>
      </c>
      <c r="EQU919">
        <v>33528</v>
      </c>
      <c r="EQV919">
        <v>44523</v>
      </c>
      <c r="EQW919">
        <v>41547</v>
      </c>
      <c r="EQX919">
        <v>46437</v>
      </c>
      <c r="EQY919">
        <v>113478</v>
      </c>
      <c r="FAP919" t="s">
        <v>1330</v>
      </c>
      <c r="FAQ919">
        <v>33528</v>
      </c>
      <c r="FAR919">
        <v>44523</v>
      </c>
      <c r="FAS919">
        <v>41547</v>
      </c>
      <c r="FAT919">
        <v>46437</v>
      </c>
      <c r="FAU919">
        <v>113478</v>
      </c>
      <c r="FKL919" t="s">
        <v>1330</v>
      </c>
      <c r="FKM919">
        <v>33528</v>
      </c>
      <c r="FKN919">
        <v>44523</v>
      </c>
      <c r="FKO919">
        <v>41547</v>
      </c>
      <c r="FKP919">
        <v>46437</v>
      </c>
      <c r="FKQ919">
        <v>113478</v>
      </c>
      <c r="FUH919" t="s">
        <v>1330</v>
      </c>
      <c r="FUI919">
        <v>33528</v>
      </c>
      <c r="FUJ919">
        <v>44523</v>
      </c>
      <c r="FUK919">
        <v>41547</v>
      </c>
      <c r="FUL919">
        <v>46437</v>
      </c>
      <c r="FUM919">
        <v>113478</v>
      </c>
      <c r="GED919" t="s">
        <v>1330</v>
      </c>
      <c r="GEE919">
        <v>33528</v>
      </c>
      <c r="GEF919">
        <v>44523</v>
      </c>
      <c r="GEG919">
        <v>41547</v>
      </c>
      <c r="GEH919">
        <v>46437</v>
      </c>
      <c r="GEI919">
        <v>113478</v>
      </c>
      <c r="GNZ919" t="s">
        <v>1330</v>
      </c>
      <c r="GOA919">
        <v>33528</v>
      </c>
      <c r="GOB919">
        <v>44523</v>
      </c>
      <c r="GOC919">
        <v>41547</v>
      </c>
      <c r="GOD919">
        <v>46437</v>
      </c>
      <c r="GOE919">
        <v>113478</v>
      </c>
      <c r="GXV919" t="s">
        <v>1330</v>
      </c>
      <c r="GXW919">
        <v>33528</v>
      </c>
      <c r="GXX919">
        <v>44523</v>
      </c>
      <c r="GXY919">
        <v>41547</v>
      </c>
      <c r="GXZ919">
        <v>46437</v>
      </c>
      <c r="GYA919">
        <v>113478</v>
      </c>
      <c r="HHR919" t="s">
        <v>1330</v>
      </c>
      <c r="HHS919">
        <v>33528</v>
      </c>
      <c r="HHT919">
        <v>44523</v>
      </c>
      <c r="HHU919">
        <v>41547</v>
      </c>
      <c r="HHV919">
        <v>46437</v>
      </c>
      <c r="HHW919">
        <v>113478</v>
      </c>
      <c r="HRN919" t="s">
        <v>1330</v>
      </c>
      <c r="HRO919">
        <v>33528</v>
      </c>
      <c r="HRP919">
        <v>44523</v>
      </c>
      <c r="HRQ919">
        <v>41547</v>
      </c>
      <c r="HRR919">
        <v>46437</v>
      </c>
      <c r="HRS919">
        <v>113478</v>
      </c>
      <c r="IBJ919" t="s">
        <v>1330</v>
      </c>
      <c r="IBK919">
        <v>33528</v>
      </c>
      <c r="IBL919">
        <v>44523</v>
      </c>
      <c r="IBM919">
        <v>41547</v>
      </c>
      <c r="IBN919">
        <v>46437</v>
      </c>
      <c r="IBO919">
        <v>113478</v>
      </c>
      <c r="ILF919" t="s">
        <v>1330</v>
      </c>
      <c r="ILG919">
        <v>33528</v>
      </c>
      <c r="ILH919">
        <v>44523</v>
      </c>
      <c r="ILI919">
        <v>41547</v>
      </c>
      <c r="ILJ919">
        <v>46437</v>
      </c>
      <c r="ILK919">
        <v>113478</v>
      </c>
      <c r="IVB919" t="s">
        <v>1330</v>
      </c>
      <c r="IVC919">
        <v>33528</v>
      </c>
      <c r="IVD919">
        <v>44523</v>
      </c>
      <c r="IVE919">
        <v>41547</v>
      </c>
      <c r="IVF919">
        <v>46437</v>
      </c>
      <c r="IVG919">
        <v>113478</v>
      </c>
      <c r="JEX919" t="s">
        <v>1330</v>
      </c>
      <c r="JEY919">
        <v>33528</v>
      </c>
      <c r="JEZ919">
        <v>44523</v>
      </c>
      <c r="JFA919">
        <v>41547</v>
      </c>
      <c r="JFB919">
        <v>46437</v>
      </c>
      <c r="JFC919">
        <v>113478</v>
      </c>
      <c r="JOT919" t="s">
        <v>1330</v>
      </c>
      <c r="JOU919">
        <v>33528</v>
      </c>
      <c r="JOV919">
        <v>44523</v>
      </c>
      <c r="JOW919">
        <v>41547</v>
      </c>
      <c r="JOX919">
        <v>46437</v>
      </c>
      <c r="JOY919">
        <v>113478</v>
      </c>
      <c r="JYP919" t="s">
        <v>1330</v>
      </c>
      <c r="JYQ919">
        <v>33528</v>
      </c>
      <c r="JYR919">
        <v>44523</v>
      </c>
      <c r="JYS919">
        <v>41547</v>
      </c>
      <c r="JYT919">
        <v>46437</v>
      </c>
      <c r="JYU919">
        <v>113478</v>
      </c>
      <c r="KIL919" t="s">
        <v>1330</v>
      </c>
      <c r="KIM919">
        <v>33528</v>
      </c>
      <c r="KIN919">
        <v>44523</v>
      </c>
      <c r="KIO919">
        <v>41547</v>
      </c>
      <c r="KIP919">
        <v>46437</v>
      </c>
      <c r="KIQ919">
        <v>113478</v>
      </c>
      <c r="KSH919" t="s">
        <v>1330</v>
      </c>
      <c r="KSI919">
        <v>33528</v>
      </c>
      <c r="KSJ919">
        <v>44523</v>
      </c>
      <c r="KSK919">
        <v>41547</v>
      </c>
      <c r="KSL919">
        <v>46437</v>
      </c>
      <c r="KSM919">
        <v>113478</v>
      </c>
      <c r="LCD919" t="s">
        <v>1330</v>
      </c>
      <c r="LCE919">
        <v>33528</v>
      </c>
      <c r="LCF919">
        <v>44523</v>
      </c>
      <c r="LCG919">
        <v>41547</v>
      </c>
      <c r="LCH919">
        <v>46437</v>
      </c>
      <c r="LCI919">
        <v>113478</v>
      </c>
      <c r="LLZ919" t="s">
        <v>1330</v>
      </c>
      <c r="LMA919">
        <v>33528</v>
      </c>
      <c r="LMB919">
        <v>44523</v>
      </c>
      <c r="LMC919">
        <v>41547</v>
      </c>
      <c r="LMD919">
        <v>46437</v>
      </c>
      <c r="LME919">
        <v>113478</v>
      </c>
      <c r="LVV919" t="s">
        <v>1330</v>
      </c>
      <c r="LVW919">
        <v>33528</v>
      </c>
      <c r="LVX919">
        <v>44523</v>
      </c>
      <c r="LVY919">
        <v>41547</v>
      </c>
      <c r="LVZ919">
        <v>46437</v>
      </c>
      <c r="LWA919">
        <v>113478</v>
      </c>
      <c r="MFR919" t="s">
        <v>1330</v>
      </c>
      <c r="MFS919">
        <v>33528</v>
      </c>
      <c r="MFT919">
        <v>44523</v>
      </c>
      <c r="MFU919">
        <v>41547</v>
      </c>
      <c r="MFV919">
        <v>46437</v>
      </c>
      <c r="MFW919">
        <v>113478</v>
      </c>
      <c r="MPN919" t="s">
        <v>1330</v>
      </c>
      <c r="MPO919">
        <v>33528</v>
      </c>
      <c r="MPP919">
        <v>44523</v>
      </c>
      <c r="MPQ919">
        <v>41547</v>
      </c>
      <c r="MPR919">
        <v>46437</v>
      </c>
      <c r="MPS919">
        <v>113478</v>
      </c>
      <c r="MZJ919" t="s">
        <v>1330</v>
      </c>
      <c r="MZK919">
        <v>33528</v>
      </c>
      <c r="MZL919">
        <v>44523</v>
      </c>
      <c r="MZM919">
        <v>41547</v>
      </c>
      <c r="MZN919">
        <v>46437</v>
      </c>
      <c r="MZO919">
        <v>113478</v>
      </c>
      <c r="NJF919" t="s">
        <v>1330</v>
      </c>
      <c r="NJG919">
        <v>33528</v>
      </c>
      <c r="NJH919">
        <v>44523</v>
      </c>
      <c r="NJI919">
        <v>41547</v>
      </c>
      <c r="NJJ919">
        <v>46437</v>
      </c>
      <c r="NJK919">
        <v>113478</v>
      </c>
      <c r="NTB919" t="s">
        <v>1330</v>
      </c>
      <c r="NTC919">
        <v>33528</v>
      </c>
      <c r="NTD919">
        <v>44523</v>
      </c>
      <c r="NTE919">
        <v>41547</v>
      </c>
      <c r="NTF919">
        <v>46437</v>
      </c>
      <c r="NTG919">
        <v>113478</v>
      </c>
      <c r="OCX919" t="s">
        <v>1330</v>
      </c>
      <c r="OCY919">
        <v>33528</v>
      </c>
      <c r="OCZ919">
        <v>44523</v>
      </c>
      <c r="ODA919">
        <v>41547</v>
      </c>
      <c r="ODB919">
        <v>46437</v>
      </c>
      <c r="ODC919">
        <v>113478</v>
      </c>
      <c r="OMT919" t="s">
        <v>1330</v>
      </c>
      <c r="OMU919">
        <v>33528</v>
      </c>
      <c r="OMV919">
        <v>44523</v>
      </c>
      <c r="OMW919">
        <v>41547</v>
      </c>
      <c r="OMX919">
        <v>46437</v>
      </c>
      <c r="OMY919">
        <v>113478</v>
      </c>
      <c r="OWP919" t="s">
        <v>1330</v>
      </c>
      <c r="OWQ919">
        <v>33528</v>
      </c>
      <c r="OWR919">
        <v>44523</v>
      </c>
      <c r="OWS919">
        <v>41547</v>
      </c>
      <c r="OWT919">
        <v>46437</v>
      </c>
      <c r="OWU919">
        <v>113478</v>
      </c>
      <c r="PGL919" t="s">
        <v>1330</v>
      </c>
      <c r="PGM919">
        <v>33528</v>
      </c>
      <c r="PGN919">
        <v>44523</v>
      </c>
      <c r="PGO919">
        <v>41547</v>
      </c>
      <c r="PGP919">
        <v>46437</v>
      </c>
      <c r="PGQ919">
        <v>113478</v>
      </c>
      <c r="PQH919" t="s">
        <v>1330</v>
      </c>
      <c r="PQI919">
        <v>33528</v>
      </c>
      <c r="PQJ919">
        <v>44523</v>
      </c>
      <c r="PQK919">
        <v>41547</v>
      </c>
      <c r="PQL919">
        <v>46437</v>
      </c>
      <c r="PQM919">
        <v>113478</v>
      </c>
      <c r="QAD919" t="s">
        <v>1330</v>
      </c>
      <c r="QAE919">
        <v>33528</v>
      </c>
      <c r="QAF919">
        <v>44523</v>
      </c>
      <c r="QAG919">
        <v>41547</v>
      </c>
      <c r="QAH919">
        <v>46437</v>
      </c>
      <c r="QAI919">
        <v>113478</v>
      </c>
      <c r="QJZ919" t="s">
        <v>1330</v>
      </c>
      <c r="QKA919">
        <v>33528</v>
      </c>
      <c r="QKB919">
        <v>44523</v>
      </c>
      <c r="QKC919">
        <v>41547</v>
      </c>
      <c r="QKD919">
        <v>46437</v>
      </c>
      <c r="QKE919">
        <v>113478</v>
      </c>
      <c r="QTV919" t="s">
        <v>1330</v>
      </c>
      <c r="QTW919">
        <v>33528</v>
      </c>
      <c r="QTX919">
        <v>44523</v>
      </c>
      <c r="QTY919">
        <v>41547</v>
      </c>
      <c r="QTZ919">
        <v>46437</v>
      </c>
      <c r="QUA919">
        <v>113478</v>
      </c>
      <c r="RDR919" t="s">
        <v>1330</v>
      </c>
      <c r="RDS919">
        <v>33528</v>
      </c>
      <c r="RDT919">
        <v>44523</v>
      </c>
      <c r="RDU919">
        <v>41547</v>
      </c>
      <c r="RDV919">
        <v>46437</v>
      </c>
      <c r="RDW919">
        <v>113478</v>
      </c>
      <c r="RNN919" t="s">
        <v>1330</v>
      </c>
      <c r="RNO919">
        <v>33528</v>
      </c>
      <c r="RNP919">
        <v>44523</v>
      </c>
      <c r="RNQ919">
        <v>41547</v>
      </c>
      <c r="RNR919">
        <v>46437</v>
      </c>
      <c r="RNS919">
        <v>113478</v>
      </c>
      <c r="RXJ919" t="s">
        <v>1330</v>
      </c>
      <c r="RXK919">
        <v>33528</v>
      </c>
      <c r="RXL919">
        <v>44523</v>
      </c>
      <c r="RXM919">
        <v>41547</v>
      </c>
      <c r="RXN919">
        <v>46437</v>
      </c>
      <c r="RXO919">
        <v>113478</v>
      </c>
      <c r="SHF919" t="s">
        <v>1330</v>
      </c>
      <c r="SHG919">
        <v>33528</v>
      </c>
      <c r="SHH919">
        <v>44523</v>
      </c>
      <c r="SHI919">
        <v>41547</v>
      </c>
      <c r="SHJ919">
        <v>46437</v>
      </c>
      <c r="SHK919">
        <v>113478</v>
      </c>
      <c r="SRB919" t="s">
        <v>1330</v>
      </c>
      <c r="SRC919">
        <v>33528</v>
      </c>
      <c r="SRD919">
        <v>44523</v>
      </c>
      <c r="SRE919">
        <v>41547</v>
      </c>
      <c r="SRF919">
        <v>46437</v>
      </c>
      <c r="SRG919">
        <v>113478</v>
      </c>
      <c r="TAX919" t="s">
        <v>1330</v>
      </c>
      <c r="TAY919">
        <v>33528</v>
      </c>
      <c r="TAZ919">
        <v>44523</v>
      </c>
      <c r="TBA919">
        <v>41547</v>
      </c>
      <c r="TBB919">
        <v>46437</v>
      </c>
      <c r="TBC919">
        <v>113478</v>
      </c>
      <c r="TKT919" t="s">
        <v>1330</v>
      </c>
      <c r="TKU919">
        <v>33528</v>
      </c>
      <c r="TKV919">
        <v>44523</v>
      </c>
      <c r="TKW919">
        <v>41547</v>
      </c>
      <c r="TKX919">
        <v>46437</v>
      </c>
      <c r="TKY919">
        <v>113478</v>
      </c>
      <c r="TUP919" t="s">
        <v>1330</v>
      </c>
      <c r="TUQ919">
        <v>33528</v>
      </c>
      <c r="TUR919">
        <v>44523</v>
      </c>
      <c r="TUS919">
        <v>41547</v>
      </c>
      <c r="TUT919">
        <v>46437</v>
      </c>
      <c r="TUU919">
        <v>113478</v>
      </c>
      <c r="UEL919" t="s">
        <v>1330</v>
      </c>
      <c r="UEM919">
        <v>33528</v>
      </c>
      <c r="UEN919">
        <v>44523</v>
      </c>
      <c r="UEO919">
        <v>41547</v>
      </c>
      <c r="UEP919">
        <v>46437</v>
      </c>
      <c r="UEQ919">
        <v>113478</v>
      </c>
      <c r="UOH919" t="s">
        <v>1330</v>
      </c>
      <c r="UOI919">
        <v>33528</v>
      </c>
      <c r="UOJ919">
        <v>44523</v>
      </c>
      <c r="UOK919">
        <v>41547</v>
      </c>
      <c r="UOL919">
        <v>46437</v>
      </c>
      <c r="UOM919">
        <v>113478</v>
      </c>
      <c r="UYD919" t="s">
        <v>1330</v>
      </c>
      <c r="UYE919">
        <v>33528</v>
      </c>
      <c r="UYF919">
        <v>44523</v>
      </c>
      <c r="UYG919">
        <v>41547</v>
      </c>
      <c r="UYH919">
        <v>46437</v>
      </c>
      <c r="UYI919">
        <v>113478</v>
      </c>
      <c r="VHZ919" t="s">
        <v>1330</v>
      </c>
      <c r="VIA919">
        <v>33528</v>
      </c>
      <c r="VIB919">
        <v>44523</v>
      </c>
      <c r="VIC919">
        <v>41547</v>
      </c>
      <c r="VID919">
        <v>46437</v>
      </c>
      <c r="VIE919">
        <v>113478</v>
      </c>
      <c r="VRV919" t="s">
        <v>1330</v>
      </c>
      <c r="VRW919">
        <v>33528</v>
      </c>
      <c r="VRX919">
        <v>44523</v>
      </c>
      <c r="VRY919">
        <v>41547</v>
      </c>
      <c r="VRZ919">
        <v>46437</v>
      </c>
      <c r="VSA919">
        <v>113478</v>
      </c>
      <c r="WBR919" t="s">
        <v>1330</v>
      </c>
      <c r="WBS919">
        <v>33528</v>
      </c>
      <c r="WBT919">
        <v>44523</v>
      </c>
      <c r="WBU919">
        <v>41547</v>
      </c>
      <c r="WBV919">
        <v>46437</v>
      </c>
      <c r="WBW919">
        <v>113478</v>
      </c>
      <c r="WLN919" t="s">
        <v>1330</v>
      </c>
      <c r="WLO919">
        <v>33528</v>
      </c>
      <c r="WLP919">
        <v>44523</v>
      </c>
      <c r="WLQ919">
        <v>41547</v>
      </c>
      <c r="WLR919">
        <v>46437</v>
      </c>
      <c r="WLS919">
        <v>113478</v>
      </c>
      <c r="WVJ919" t="s">
        <v>1330</v>
      </c>
      <c r="WVK919">
        <v>33528</v>
      </c>
      <c r="WVL919">
        <v>44523</v>
      </c>
      <c r="WVM919">
        <v>41547</v>
      </c>
      <c r="WVN919">
        <v>46437</v>
      </c>
      <c r="WVO919">
        <v>113478</v>
      </c>
    </row>
    <row r="920" spans="1:775 1026:1799 2050:2823 3074:3847 4098:4871 5122:5895 6146:6919 7170:7943 8194:8967 9218:9991 10242:11015 11266:12039 12290:13063 13314:14087 14338:15111 15362:16135">
      <c r="A920" s="96" t="s">
        <v>720</v>
      </c>
      <c r="B920" t="s">
        <v>1081</v>
      </c>
      <c r="C920" s="100">
        <v>1412830</v>
      </c>
      <c r="D920" s="100">
        <v>1753100</v>
      </c>
      <c r="E920" s="100">
        <v>1561755</v>
      </c>
      <c r="F920" s="98">
        <v>0</v>
      </c>
      <c r="G920" s="98">
        <v>0</v>
      </c>
      <c r="H920" s="98"/>
      <c r="IX920" t="s">
        <v>720</v>
      </c>
      <c r="IY920">
        <v>1412830</v>
      </c>
      <c r="IZ920">
        <v>1753100</v>
      </c>
      <c r="JA920">
        <v>1561755</v>
      </c>
      <c r="JB920" t="s">
        <v>619</v>
      </c>
      <c r="JC920" t="s">
        <v>619</v>
      </c>
      <c r="ST920" t="s">
        <v>720</v>
      </c>
      <c r="SU920">
        <v>1412830</v>
      </c>
      <c r="SV920">
        <v>1753100</v>
      </c>
      <c r="SW920">
        <v>1561755</v>
      </c>
      <c r="SX920" t="s">
        <v>619</v>
      </c>
      <c r="SY920" t="s">
        <v>619</v>
      </c>
      <c r="ACP920" t="s">
        <v>720</v>
      </c>
      <c r="ACQ920">
        <v>1412830</v>
      </c>
      <c r="ACR920">
        <v>1753100</v>
      </c>
      <c r="ACS920">
        <v>1561755</v>
      </c>
      <c r="ACT920" t="s">
        <v>619</v>
      </c>
      <c r="ACU920" t="s">
        <v>619</v>
      </c>
      <c r="AML920" t="s">
        <v>720</v>
      </c>
      <c r="AMM920">
        <v>1412830</v>
      </c>
      <c r="AMN920">
        <v>1753100</v>
      </c>
      <c r="AMO920">
        <v>1561755</v>
      </c>
      <c r="AMP920" t="s">
        <v>619</v>
      </c>
      <c r="AMQ920" t="s">
        <v>619</v>
      </c>
      <c r="AWH920" t="s">
        <v>720</v>
      </c>
      <c r="AWI920">
        <v>1412830</v>
      </c>
      <c r="AWJ920">
        <v>1753100</v>
      </c>
      <c r="AWK920">
        <v>1561755</v>
      </c>
      <c r="AWL920" t="s">
        <v>619</v>
      </c>
      <c r="AWM920" t="s">
        <v>619</v>
      </c>
      <c r="BGD920" t="s">
        <v>720</v>
      </c>
      <c r="BGE920">
        <v>1412830</v>
      </c>
      <c r="BGF920">
        <v>1753100</v>
      </c>
      <c r="BGG920">
        <v>1561755</v>
      </c>
      <c r="BGH920" t="s">
        <v>619</v>
      </c>
      <c r="BGI920" t="s">
        <v>619</v>
      </c>
      <c r="BPZ920" t="s">
        <v>720</v>
      </c>
      <c r="BQA920">
        <v>1412830</v>
      </c>
      <c r="BQB920">
        <v>1753100</v>
      </c>
      <c r="BQC920">
        <v>1561755</v>
      </c>
      <c r="BQD920" t="s">
        <v>619</v>
      </c>
      <c r="BQE920" t="s">
        <v>619</v>
      </c>
      <c r="BZV920" t="s">
        <v>720</v>
      </c>
      <c r="BZW920">
        <v>1412830</v>
      </c>
      <c r="BZX920">
        <v>1753100</v>
      </c>
      <c r="BZY920">
        <v>1561755</v>
      </c>
      <c r="BZZ920" t="s">
        <v>619</v>
      </c>
      <c r="CAA920" t="s">
        <v>619</v>
      </c>
      <c r="CJR920" t="s">
        <v>720</v>
      </c>
      <c r="CJS920">
        <v>1412830</v>
      </c>
      <c r="CJT920">
        <v>1753100</v>
      </c>
      <c r="CJU920">
        <v>1561755</v>
      </c>
      <c r="CJV920" t="s">
        <v>619</v>
      </c>
      <c r="CJW920" t="s">
        <v>619</v>
      </c>
      <c r="CTN920" t="s">
        <v>720</v>
      </c>
      <c r="CTO920">
        <v>1412830</v>
      </c>
      <c r="CTP920">
        <v>1753100</v>
      </c>
      <c r="CTQ920">
        <v>1561755</v>
      </c>
      <c r="CTR920" t="s">
        <v>619</v>
      </c>
      <c r="CTS920" t="s">
        <v>619</v>
      </c>
      <c r="DDJ920" t="s">
        <v>720</v>
      </c>
      <c r="DDK920">
        <v>1412830</v>
      </c>
      <c r="DDL920">
        <v>1753100</v>
      </c>
      <c r="DDM920">
        <v>1561755</v>
      </c>
      <c r="DDN920" t="s">
        <v>619</v>
      </c>
      <c r="DDO920" t="s">
        <v>619</v>
      </c>
      <c r="DNF920" t="s">
        <v>720</v>
      </c>
      <c r="DNG920">
        <v>1412830</v>
      </c>
      <c r="DNH920">
        <v>1753100</v>
      </c>
      <c r="DNI920">
        <v>1561755</v>
      </c>
      <c r="DNJ920" t="s">
        <v>619</v>
      </c>
      <c r="DNK920" t="s">
        <v>619</v>
      </c>
      <c r="DXB920" t="s">
        <v>720</v>
      </c>
      <c r="DXC920">
        <v>1412830</v>
      </c>
      <c r="DXD920">
        <v>1753100</v>
      </c>
      <c r="DXE920">
        <v>1561755</v>
      </c>
      <c r="DXF920" t="s">
        <v>619</v>
      </c>
      <c r="DXG920" t="s">
        <v>619</v>
      </c>
      <c r="EGX920" t="s">
        <v>720</v>
      </c>
      <c r="EGY920">
        <v>1412830</v>
      </c>
      <c r="EGZ920">
        <v>1753100</v>
      </c>
      <c r="EHA920">
        <v>1561755</v>
      </c>
      <c r="EHB920" t="s">
        <v>619</v>
      </c>
      <c r="EHC920" t="s">
        <v>619</v>
      </c>
      <c r="EQT920" t="s">
        <v>720</v>
      </c>
      <c r="EQU920">
        <v>1412830</v>
      </c>
      <c r="EQV920">
        <v>1753100</v>
      </c>
      <c r="EQW920">
        <v>1561755</v>
      </c>
      <c r="EQX920" t="s">
        <v>619</v>
      </c>
      <c r="EQY920" t="s">
        <v>619</v>
      </c>
      <c r="FAP920" t="s">
        <v>720</v>
      </c>
      <c r="FAQ920">
        <v>1412830</v>
      </c>
      <c r="FAR920">
        <v>1753100</v>
      </c>
      <c r="FAS920">
        <v>1561755</v>
      </c>
      <c r="FAT920" t="s">
        <v>619</v>
      </c>
      <c r="FAU920" t="s">
        <v>619</v>
      </c>
      <c r="FKL920" t="s">
        <v>720</v>
      </c>
      <c r="FKM920">
        <v>1412830</v>
      </c>
      <c r="FKN920">
        <v>1753100</v>
      </c>
      <c r="FKO920">
        <v>1561755</v>
      </c>
      <c r="FKP920" t="s">
        <v>619</v>
      </c>
      <c r="FKQ920" t="s">
        <v>619</v>
      </c>
      <c r="FUH920" t="s">
        <v>720</v>
      </c>
      <c r="FUI920">
        <v>1412830</v>
      </c>
      <c r="FUJ920">
        <v>1753100</v>
      </c>
      <c r="FUK920">
        <v>1561755</v>
      </c>
      <c r="FUL920" t="s">
        <v>619</v>
      </c>
      <c r="FUM920" t="s">
        <v>619</v>
      </c>
      <c r="GED920" t="s">
        <v>720</v>
      </c>
      <c r="GEE920">
        <v>1412830</v>
      </c>
      <c r="GEF920">
        <v>1753100</v>
      </c>
      <c r="GEG920">
        <v>1561755</v>
      </c>
      <c r="GEH920" t="s">
        <v>619</v>
      </c>
      <c r="GEI920" t="s">
        <v>619</v>
      </c>
      <c r="GNZ920" t="s">
        <v>720</v>
      </c>
      <c r="GOA920">
        <v>1412830</v>
      </c>
      <c r="GOB920">
        <v>1753100</v>
      </c>
      <c r="GOC920">
        <v>1561755</v>
      </c>
      <c r="GOD920" t="s">
        <v>619</v>
      </c>
      <c r="GOE920" t="s">
        <v>619</v>
      </c>
      <c r="GXV920" t="s">
        <v>720</v>
      </c>
      <c r="GXW920">
        <v>1412830</v>
      </c>
      <c r="GXX920">
        <v>1753100</v>
      </c>
      <c r="GXY920">
        <v>1561755</v>
      </c>
      <c r="GXZ920" t="s">
        <v>619</v>
      </c>
      <c r="GYA920" t="s">
        <v>619</v>
      </c>
      <c r="HHR920" t="s">
        <v>720</v>
      </c>
      <c r="HHS920">
        <v>1412830</v>
      </c>
      <c r="HHT920">
        <v>1753100</v>
      </c>
      <c r="HHU920">
        <v>1561755</v>
      </c>
      <c r="HHV920" t="s">
        <v>619</v>
      </c>
      <c r="HHW920" t="s">
        <v>619</v>
      </c>
      <c r="HRN920" t="s">
        <v>720</v>
      </c>
      <c r="HRO920">
        <v>1412830</v>
      </c>
      <c r="HRP920">
        <v>1753100</v>
      </c>
      <c r="HRQ920">
        <v>1561755</v>
      </c>
      <c r="HRR920" t="s">
        <v>619</v>
      </c>
      <c r="HRS920" t="s">
        <v>619</v>
      </c>
      <c r="IBJ920" t="s">
        <v>720</v>
      </c>
      <c r="IBK920">
        <v>1412830</v>
      </c>
      <c r="IBL920">
        <v>1753100</v>
      </c>
      <c r="IBM920">
        <v>1561755</v>
      </c>
      <c r="IBN920" t="s">
        <v>619</v>
      </c>
      <c r="IBO920" t="s">
        <v>619</v>
      </c>
      <c r="ILF920" t="s">
        <v>720</v>
      </c>
      <c r="ILG920">
        <v>1412830</v>
      </c>
      <c r="ILH920">
        <v>1753100</v>
      </c>
      <c r="ILI920">
        <v>1561755</v>
      </c>
      <c r="ILJ920" t="s">
        <v>619</v>
      </c>
      <c r="ILK920" t="s">
        <v>619</v>
      </c>
      <c r="IVB920" t="s">
        <v>720</v>
      </c>
      <c r="IVC920">
        <v>1412830</v>
      </c>
      <c r="IVD920">
        <v>1753100</v>
      </c>
      <c r="IVE920">
        <v>1561755</v>
      </c>
      <c r="IVF920" t="s">
        <v>619</v>
      </c>
      <c r="IVG920" t="s">
        <v>619</v>
      </c>
      <c r="JEX920" t="s">
        <v>720</v>
      </c>
      <c r="JEY920">
        <v>1412830</v>
      </c>
      <c r="JEZ920">
        <v>1753100</v>
      </c>
      <c r="JFA920">
        <v>1561755</v>
      </c>
      <c r="JFB920" t="s">
        <v>619</v>
      </c>
      <c r="JFC920" t="s">
        <v>619</v>
      </c>
      <c r="JOT920" t="s">
        <v>720</v>
      </c>
      <c r="JOU920">
        <v>1412830</v>
      </c>
      <c r="JOV920">
        <v>1753100</v>
      </c>
      <c r="JOW920">
        <v>1561755</v>
      </c>
      <c r="JOX920" t="s">
        <v>619</v>
      </c>
      <c r="JOY920" t="s">
        <v>619</v>
      </c>
      <c r="JYP920" t="s">
        <v>720</v>
      </c>
      <c r="JYQ920">
        <v>1412830</v>
      </c>
      <c r="JYR920">
        <v>1753100</v>
      </c>
      <c r="JYS920">
        <v>1561755</v>
      </c>
      <c r="JYT920" t="s">
        <v>619</v>
      </c>
      <c r="JYU920" t="s">
        <v>619</v>
      </c>
      <c r="KIL920" t="s">
        <v>720</v>
      </c>
      <c r="KIM920">
        <v>1412830</v>
      </c>
      <c r="KIN920">
        <v>1753100</v>
      </c>
      <c r="KIO920">
        <v>1561755</v>
      </c>
      <c r="KIP920" t="s">
        <v>619</v>
      </c>
      <c r="KIQ920" t="s">
        <v>619</v>
      </c>
      <c r="KSH920" t="s">
        <v>720</v>
      </c>
      <c r="KSI920">
        <v>1412830</v>
      </c>
      <c r="KSJ920">
        <v>1753100</v>
      </c>
      <c r="KSK920">
        <v>1561755</v>
      </c>
      <c r="KSL920" t="s">
        <v>619</v>
      </c>
      <c r="KSM920" t="s">
        <v>619</v>
      </c>
      <c r="LCD920" t="s">
        <v>720</v>
      </c>
      <c r="LCE920">
        <v>1412830</v>
      </c>
      <c r="LCF920">
        <v>1753100</v>
      </c>
      <c r="LCG920">
        <v>1561755</v>
      </c>
      <c r="LCH920" t="s">
        <v>619</v>
      </c>
      <c r="LCI920" t="s">
        <v>619</v>
      </c>
      <c r="LLZ920" t="s">
        <v>720</v>
      </c>
      <c r="LMA920">
        <v>1412830</v>
      </c>
      <c r="LMB920">
        <v>1753100</v>
      </c>
      <c r="LMC920">
        <v>1561755</v>
      </c>
      <c r="LMD920" t="s">
        <v>619</v>
      </c>
      <c r="LME920" t="s">
        <v>619</v>
      </c>
      <c r="LVV920" t="s">
        <v>720</v>
      </c>
      <c r="LVW920">
        <v>1412830</v>
      </c>
      <c r="LVX920">
        <v>1753100</v>
      </c>
      <c r="LVY920">
        <v>1561755</v>
      </c>
      <c r="LVZ920" t="s">
        <v>619</v>
      </c>
      <c r="LWA920" t="s">
        <v>619</v>
      </c>
      <c r="MFR920" t="s">
        <v>720</v>
      </c>
      <c r="MFS920">
        <v>1412830</v>
      </c>
      <c r="MFT920">
        <v>1753100</v>
      </c>
      <c r="MFU920">
        <v>1561755</v>
      </c>
      <c r="MFV920" t="s">
        <v>619</v>
      </c>
      <c r="MFW920" t="s">
        <v>619</v>
      </c>
      <c r="MPN920" t="s">
        <v>720</v>
      </c>
      <c r="MPO920">
        <v>1412830</v>
      </c>
      <c r="MPP920">
        <v>1753100</v>
      </c>
      <c r="MPQ920">
        <v>1561755</v>
      </c>
      <c r="MPR920" t="s">
        <v>619</v>
      </c>
      <c r="MPS920" t="s">
        <v>619</v>
      </c>
      <c r="MZJ920" t="s">
        <v>720</v>
      </c>
      <c r="MZK920">
        <v>1412830</v>
      </c>
      <c r="MZL920">
        <v>1753100</v>
      </c>
      <c r="MZM920">
        <v>1561755</v>
      </c>
      <c r="MZN920" t="s">
        <v>619</v>
      </c>
      <c r="MZO920" t="s">
        <v>619</v>
      </c>
      <c r="NJF920" t="s">
        <v>720</v>
      </c>
      <c r="NJG920">
        <v>1412830</v>
      </c>
      <c r="NJH920">
        <v>1753100</v>
      </c>
      <c r="NJI920">
        <v>1561755</v>
      </c>
      <c r="NJJ920" t="s">
        <v>619</v>
      </c>
      <c r="NJK920" t="s">
        <v>619</v>
      </c>
      <c r="NTB920" t="s">
        <v>720</v>
      </c>
      <c r="NTC920">
        <v>1412830</v>
      </c>
      <c r="NTD920">
        <v>1753100</v>
      </c>
      <c r="NTE920">
        <v>1561755</v>
      </c>
      <c r="NTF920" t="s">
        <v>619</v>
      </c>
      <c r="NTG920" t="s">
        <v>619</v>
      </c>
      <c r="OCX920" t="s">
        <v>720</v>
      </c>
      <c r="OCY920">
        <v>1412830</v>
      </c>
      <c r="OCZ920">
        <v>1753100</v>
      </c>
      <c r="ODA920">
        <v>1561755</v>
      </c>
      <c r="ODB920" t="s">
        <v>619</v>
      </c>
      <c r="ODC920" t="s">
        <v>619</v>
      </c>
      <c r="OMT920" t="s">
        <v>720</v>
      </c>
      <c r="OMU920">
        <v>1412830</v>
      </c>
      <c r="OMV920">
        <v>1753100</v>
      </c>
      <c r="OMW920">
        <v>1561755</v>
      </c>
      <c r="OMX920" t="s">
        <v>619</v>
      </c>
      <c r="OMY920" t="s">
        <v>619</v>
      </c>
      <c r="OWP920" t="s">
        <v>720</v>
      </c>
      <c r="OWQ920">
        <v>1412830</v>
      </c>
      <c r="OWR920">
        <v>1753100</v>
      </c>
      <c r="OWS920">
        <v>1561755</v>
      </c>
      <c r="OWT920" t="s">
        <v>619</v>
      </c>
      <c r="OWU920" t="s">
        <v>619</v>
      </c>
      <c r="PGL920" t="s">
        <v>720</v>
      </c>
      <c r="PGM920">
        <v>1412830</v>
      </c>
      <c r="PGN920">
        <v>1753100</v>
      </c>
      <c r="PGO920">
        <v>1561755</v>
      </c>
      <c r="PGP920" t="s">
        <v>619</v>
      </c>
      <c r="PGQ920" t="s">
        <v>619</v>
      </c>
      <c r="PQH920" t="s">
        <v>720</v>
      </c>
      <c r="PQI920">
        <v>1412830</v>
      </c>
      <c r="PQJ920">
        <v>1753100</v>
      </c>
      <c r="PQK920">
        <v>1561755</v>
      </c>
      <c r="PQL920" t="s">
        <v>619</v>
      </c>
      <c r="PQM920" t="s">
        <v>619</v>
      </c>
      <c r="QAD920" t="s">
        <v>720</v>
      </c>
      <c r="QAE920">
        <v>1412830</v>
      </c>
      <c r="QAF920">
        <v>1753100</v>
      </c>
      <c r="QAG920">
        <v>1561755</v>
      </c>
      <c r="QAH920" t="s">
        <v>619</v>
      </c>
      <c r="QAI920" t="s">
        <v>619</v>
      </c>
      <c r="QJZ920" t="s">
        <v>720</v>
      </c>
      <c r="QKA920">
        <v>1412830</v>
      </c>
      <c r="QKB920">
        <v>1753100</v>
      </c>
      <c r="QKC920">
        <v>1561755</v>
      </c>
      <c r="QKD920" t="s">
        <v>619</v>
      </c>
      <c r="QKE920" t="s">
        <v>619</v>
      </c>
      <c r="QTV920" t="s">
        <v>720</v>
      </c>
      <c r="QTW920">
        <v>1412830</v>
      </c>
      <c r="QTX920">
        <v>1753100</v>
      </c>
      <c r="QTY920">
        <v>1561755</v>
      </c>
      <c r="QTZ920" t="s">
        <v>619</v>
      </c>
      <c r="QUA920" t="s">
        <v>619</v>
      </c>
      <c r="RDR920" t="s">
        <v>720</v>
      </c>
      <c r="RDS920">
        <v>1412830</v>
      </c>
      <c r="RDT920">
        <v>1753100</v>
      </c>
      <c r="RDU920">
        <v>1561755</v>
      </c>
      <c r="RDV920" t="s">
        <v>619</v>
      </c>
      <c r="RDW920" t="s">
        <v>619</v>
      </c>
      <c r="RNN920" t="s">
        <v>720</v>
      </c>
      <c r="RNO920">
        <v>1412830</v>
      </c>
      <c r="RNP920">
        <v>1753100</v>
      </c>
      <c r="RNQ920">
        <v>1561755</v>
      </c>
      <c r="RNR920" t="s">
        <v>619</v>
      </c>
      <c r="RNS920" t="s">
        <v>619</v>
      </c>
      <c r="RXJ920" t="s">
        <v>720</v>
      </c>
      <c r="RXK920">
        <v>1412830</v>
      </c>
      <c r="RXL920">
        <v>1753100</v>
      </c>
      <c r="RXM920">
        <v>1561755</v>
      </c>
      <c r="RXN920" t="s">
        <v>619</v>
      </c>
      <c r="RXO920" t="s">
        <v>619</v>
      </c>
      <c r="SHF920" t="s">
        <v>720</v>
      </c>
      <c r="SHG920">
        <v>1412830</v>
      </c>
      <c r="SHH920">
        <v>1753100</v>
      </c>
      <c r="SHI920">
        <v>1561755</v>
      </c>
      <c r="SHJ920" t="s">
        <v>619</v>
      </c>
      <c r="SHK920" t="s">
        <v>619</v>
      </c>
      <c r="SRB920" t="s">
        <v>720</v>
      </c>
      <c r="SRC920">
        <v>1412830</v>
      </c>
      <c r="SRD920">
        <v>1753100</v>
      </c>
      <c r="SRE920">
        <v>1561755</v>
      </c>
      <c r="SRF920" t="s">
        <v>619</v>
      </c>
      <c r="SRG920" t="s">
        <v>619</v>
      </c>
      <c r="TAX920" t="s">
        <v>720</v>
      </c>
      <c r="TAY920">
        <v>1412830</v>
      </c>
      <c r="TAZ920">
        <v>1753100</v>
      </c>
      <c r="TBA920">
        <v>1561755</v>
      </c>
      <c r="TBB920" t="s">
        <v>619</v>
      </c>
      <c r="TBC920" t="s">
        <v>619</v>
      </c>
      <c r="TKT920" t="s">
        <v>720</v>
      </c>
      <c r="TKU920">
        <v>1412830</v>
      </c>
      <c r="TKV920">
        <v>1753100</v>
      </c>
      <c r="TKW920">
        <v>1561755</v>
      </c>
      <c r="TKX920" t="s">
        <v>619</v>
      </c>
      <c r="TKY920" t="s">
        <v>619</v>
      </c>
      <c r="TUP920" t="s">
        <v>720</v>
      </c>
      <c r="TUQ920">
        <v>1412830</v>
      </c>
      <c r="TUR920">
        <v>1753100</v>
      </c>
      <c r="TUS920">
        <v>1561755</v>
      </c>
      <c r="TUT920" t="s">
        <v>619</v>
      </c>
      <c r="TUU920" t="s">
        <v>619</v>
      </c>
      <c r="UEL920" t="s">
        <v>720</v>
      </c>
      <c r="UEM920">
        <v>1412830</v>
      </c>
      <c r="UEN920">
        <v>1753100</v>
      </c>
      <c r="UEO920">
        <v>1561755</v>
      </c>
      <c r="UEP920" t="s">
        <v>619</v>
      </c>
      <c r="UEQ920" t="s">
        <v>619</v>
      </c>
      <c r="UOH920" t="s">
        <v>720</v>
      </c>
      <c r="UOI920">
        <v>1412830</v>
      </c>
      <c r="UOJ920">
        <v>1753100</v>
      </c>
      <c r="UOK920">
        <v>1561755</v>
      </c>
      <c r="UOL920" t="s">
        <v>619</v>
      </c>
      <c r="UOM920" t="s">
        <v>619</v>
      </c>
      <c r="UYD920" t="s">
        <v>720</v>
      </c>
      <c r="UYE920">
        <v>1412830</v>
      </c>
      <c r="UYF920">
        <v>1753100</v>
      </c>
      <c r="UYG920">
        <v>1561755</v>
      </c>
      <c r="UYH920" t="s">
        <v>619</v>
      </c>
      <c r="UYI920" t="s">
        <v>619</v>
      </c>
      <c r="VHZ920" t="s">
        <v>720</v>
      </c>
      <c r="VIA920">
        <v>1412830</v>
      </c>
      <c r="VIB920">
        <v>1753100</v>
      </c>
      <c r="VIC920">
        <v>1561755</v>
      </c>
      <c r="VID920" t="s">
        <v>619</v>
      </c>
      <c r="VIE920" t="s">
        <v>619</v>
      </c>
      <c r="VRV920" t="s">
        <v>720</v>
      </c>
      <c r="VRW920">
        <v>1412830</v>
      </c>
      <c r="VRX920">
        <v>1753100</v>
      </c>
      <c r="VRY920">
        <v>1561755</v>
      </c>
      <c r="VRZ920" t="s">
        <v>619</v>
      </c>
      <c r="VSA920" t="s">
        <v>619</v>
      </c>
      <c r="WBR920" t="s">
        <v>720</v>
      </c>
      <c r="WBS920">
        <v>1412830</v>
      </c>
      <c r="WBT920">
        <v>1753100</v>
      </c>
      <c r="WBU920">
        <v>1561755</v>
      </c>
      <c r="WBV920" t="s">
        <v>619</v>
      </c>
      <c r="WBW920" t="s">
        <v>619</v>
      </c>
      <c r="WLN920" t="s">
        <v>720</v>
      </c>
      <c r="WLO920">
        <v>1412830</v>
      </c>
      <c r="WLP920">
        <v>1753100</v>
      </c>
      <c r="WLQ920">
        <v>1561755</v>
      </c>
      <c r="WLR920" t="s">
        <v>619</v>
      </c>
      <c r="WLS920" t="s">
        <v>619</v>
      </c>
      <c r="WVJ920" t="s">
        <v>720</v>
      </c>
      <c r="WVK920">
        <v>1412830</v>
      </c>
      <c r="WVL920">
        <v>1753100</v>
      </c>
      <c r="WVM920">
        <v>1561755</v>
      </c>
      <c r="WVN920" t="s">
        <v>619</v>
      </c>
      <c r="WVO920" t="s">
        <v>619</v>
      </c>
    </row>
    <row r="921" spans="1:775 1026:1799 2050:2823 3074:3847 4098:4871 5122:5895 6146:6919 7170:7943 8194:8967 9218:9991 10242:11015 11266:12039 12290:13063 13314:14087 14338:15111 15362:16135">
      <c r="A921" s="96" t="s">
        <v>1331</v>
      </c>
      <c r="B921" t="s">
        <v>1081</v>
      </c>
      <c r="C921" s="98">
        <v>0</v>
      </c>
      <c r="D921" s="98">
        <v>0</v>
      </c>
      <c r="E921" s="98">
        <v>0</v>
      </c>
      <c r="F921" s="100">
        <v>5549455</v>
      </c>
      <c r="G921" s="100">
        <v>7398559</v>
      </c>
      <c r="H921" s="100"/>
      <c r="IX921" t="s">
        <v>1331</v>
      </c>
      <c r="IY921" t="s">
        <v>619</v>
      </c>
      <c r="IZ921" t="s">
        <v>619</v>
      </c>
      <c r="JA921" t="s">
        <v>619</v>
      </c>
      <c r="JB921">
        <v>5549455</v>
      </c>
      <c r="JC921">
        <v>7398559</v>
      </c>
      <c r="ST921" t="s">
        <v>1331</v>
      </c>
      <c r="SU921" t="s">
        <v>619</v>
      </c>
      <c r="SV921" t="s">
        <v>619</v>
      </c>
      <c r="SW921" t="s">
        <v>619</v>
      </c>
      <c r="SX921">
        <v>5549455</v>
      </c>
      <c r="SY921">
        <v>7398559</v>
      </c>
      <c r="ACP921" t="s">
        <v>1331</v>
      </c>
      <c r="ACQ921" t="s">
        <v>619</v>
      </c>
      <c r="ACR921" t="s">
        <v>619</v>
      </c>
      <c r="ACS921" t="s">
        <v>619</v>
      </c>
      <c r="ACT921">
        <v>5549455</v>
      </c>
      <c r="ACU921">
        <v>7398559</v>
      </c>
      <c r="AML921" t="s">
        <v>1331</v>
      </c>
      <c r="AMM921" t="s">
        <v>619</v>
      </c>
      <c r="AMN921" t="s">
        <v>619</v>
      </c>
      <c r="AMO921" t="s">
        <v>619</v>
      </c>
      <c r="AMP921">
        <v>5549455</v>
      </c>
      <c r="AMQ921">
        <v>7398559</v>
      </c>
      <c r="AWH921" t="s">
        <v>1331</v>
      </c>
      <c r="AWI921" t="s">
        <v>619</v>
      </c>
      <c r="AWJ921" t="s">
        <v>619</v>
      </c>
      <c r="AWK921" t="s">
        <v>619</v>
      </c>
      <c r="AWL921">
        <v>5549455</v>
      </c>
      <c r="AWM921">
        <v>7398559</v>
      </c>
      <c r="BGD921" t="s">
        <v>1331</v>
      </c>
      <c r="BGE921" t="s">
        <v>619</v>
      </c>
      <c r="BGF921" t="s">
        <v>619</v>
      </c>
      <c r="BGG921" t="s">
        <v>619</v>
      </c>
      <c r="BGH921">
        <v>5549455</v>
      </c>
      <c r="BGI921">
        <v>7398559</v>
      </c>
      <c r="BPZ921" t="s">
        <v>1331</v>
      </c>
      <c r="BQA921" t="s">
        <v>619</v>
      </c>
      <c r="BQB921" t="s">
        <v>619</v>
      </c>
      <c r="BQC921" t="s">
        <v>619</v>
      </c>
      <c r="BQD921">
        <v>5549455</v>
      </c>
      <c r="BQE921">
        <v>7398559</v>
      </c>
      <c r="BZV921" t="s">
        <v>1331</v>
      </c>
      <c r="BZW921" t="s">
        <v>619</v>
      </c>
      <c r="BZX921" t="s">
        <v>619</v>
      </c>
      <c r="BZY921" t="s">
        <v>619</v>
      </c>
      <c r="BZZ921">
        <v>5549455</v>
      </c>
      <c r="CAA921">
        <v>7398559</v>
      </c>
      <c r="CJR921" t="s">
        <v>1331</v>
      </c>
      <c r="CJS921" t="s">
        <v>619</v>
      </c>
      <c r="CJT921" t="s">
        <v>619</v>
      </c>
      <c r="CJU921" t="s">
        <v>619</v>
      </c>
      <c r="CJV921">
        <v>5549455</v>
      </c>
      <c r="CJW921">
        <v>7398559</v>
      </c>
      <c r="CTN921" t="s">
        <v>1331</v>
      </c>
      <c r="CTO921" t="s">
        <v>619</v>
      </c>
      <c r="CTP921" t="s">
        <v>619</v>
      </c>
      <c r="CTQ921" t="s">
        <v>619</v>
      </c>
      <c r="CTR921">
        <v>5549455</v>
      </c>
      <c r="CTS921">
        <v>7398559</v>
      </c>
      <c r="DDJ921" t="s">
        <v>1331</v>
      </c>
      <c r="DDK921" t="s">
        <v>619</v>
      </c>
      <c r="DDL921" t="s">
        <v>619</v>
      </c>
      <c r="DDM921" t="s">
        <v>619</v>
      </c>
      <c r="DDN921">
        <v>5549455</v>
      </c>
      <c r="DDO921">
        <v>7398559</v>
      </c>
      <c r="DNF921" t="s">
        <v>1331</v>
      </c>
      <c r="DNG921" t="s">
        <v>619</v>
      </c>
      <c r="DNH921" t="s">
        <v>619</v>
      </c>
      <c r="DNI921" t="s">
        <v>619</v>
      </c>
      <c r="DNJ921">
        <v>5549455</v>
      </c>
      <c r="DNK921">
        <v>7398559</v>
      </c>
      <c r="DXB921" t="s">
        <v>1331</v>
      </c>
      <c r="DXC921" t="s">
        <v>619</v>
      </c>
      <c r="DXD921" t="s">
        <v>619</v>
      </c>
      <c r="DXE921" t="s">
        <v>619</v>
      </c>
      <c r="DXF921">
        <v>5549455</v>
      </c>
      <c r="DXG921">
        <v>7398559</v>
      </c>
      <c r="EGX921" t="s">
        <v>1331</v>
      </c>
      <c r="EGY921" t="s">
        <v>619</v>
      </c>
      <c r="EGZ921" t="s">
        <v>619</v>
      </c>
      <c r="EHA921" t="s">
        <v>619</v>
      </c>
      <c r="EHB921">
        <v>5549455</v>
      </c>
      <c r="EHC921">
        <v>7398559</v>
      </c>
      <c r="EQT921" t="s">
        <v>1331</v>
      </c>
      <c r="EQU921" t="s">
        <v>619</v>
      </c>
      <c r="EQV921" t="s">
        <v>619</v>
      </c>
      <c r="EQW921" t="s">
        <v>619</v>
      </c>
      <c r="EQX921">
        <v>5549455</v>
      </c>
      <c r="EQY921">
        <v>7398559</v>
      </c>
      <c r="FAP921" t="s">
        <v>1331</v>
      </c>
      <c r="FAQ921" t="s">
        <v>619</v>
      </c>
      <c r="FAR921" t="s">
        <v>619</v>
      </c>
      <c r="FAS921" t="s">
        <v>619</v>
      </c>
      <c r="FAT921">
        <v>5549455</v>
      </c>
      <c r="FAU921">
        <v>7398559</v>
      </c>
      <c r="FKL921" t="s">
        <v>1331</v>
      </c>
      <c r="FKM921" t="s">
        <v>619</v>
      </c>
      <c r="FKN921" t="s">
        <v>619</v>
      </c>
      <c r="FKO921" t="s">
        <v>619</v>
      </c>
      <c r="FKP921">
        <v>5549455</v>
      </c>
      <c r="FKQ921">
        <v>7398559</v>
      </c>
      <c r="FUH921" t="s">
        <v>1331</v>
      </c>
      <c r="FUI921" t="s">
        <v>619</v>
      </c>
      <c r="FUJ921" t="s">
        <v>619</v>
      </c>
      <c r="FUK921" t="s">
        <v>619</v>
      </c>
      <c r="FUL921">
        <v>5549455</v>
      </c>
      <c r="FUM921">
        <v>7398559</v>
      </c>
      <c r="GED921" t="s">
        <v>1331</v>
      </c>
      <c r="GEE921" t="s">
        <v>619</v>
      </c>
      <c r="GEF921" t="s">
        <v>619</v>
      </c>
      <c r="GEG921" t="s">
        <v>619</v>
      </c>
      <c r="GEH921">
        <v>5549455</v>
      </c>
      <c r="GEI921">
        <v>7398559</v>
      </c>
      <c r="GNZ921" t="s">
        <v>1331</v>
      </c>
      <c r="GOA921" t="s">
        <v>619</v>
      </c>
      <c r="GOB921" t="s">
        <v>619</v>
      </c>
      <c r="GOC921" t="s">
        <v>619</v>
      </c>
      <c r="GOD921">
        <v>5549455</v>
      </c>
      <c r="GOE921">
        <v>7398559</v>
      </c>
      <c r="GXV921" t="s">
        <v>1331</v>
      </c>
      <c r="GXW921" t="s">
        <v>619</v>
      </c>
      <c r="GXX921" t="s">
        <v>619</v>
      </c>
      <c r="GXY921" t="s">
        <v>619</v>
      </c>
      <c r="GXZ921">
        <v>5549455</v>
      </c>
      <c r="GYA921">
        <v>7398559</v>
      </c>
      <c r="HHR921" t="s">
        <v>1331</v>
      </c>
      <c r="HHS921" t="s">
        <v>619</v>
      </c>
      <c r="HHT921" t="s">
        <v>619</v>
      </c>
      <c r="HHU921" t="s">
        <v>619</v>
      </c>
      <c r="HHV921">
        <v>5549455</v>
      </c>
      <c r="HHW921">
        <v>7398559</v>
      </c>
      <c r="HRN921" t="s">
        <v>1331</v>
      </c>
      <c r="HRO921" t="s">
        <v>619</v>
      </c>
      <c r="HRP921" t="s">
        <v>619</v>
      </c>
      <c r="HRQ921" t="s">
        <v>619</v>
      </c>
      <c r="HRR921">
        <v>5549455</v>
      </c>
      <c r="HRS921">
        <v>7398559</v>
      </c>
      <c r="IBJ921" t="s">
        <v>1331</v>
      </c>
      <c r="IBK921" t="s">
        <v>619</v>
      </c>
      <c r="IBL921" t="s">
        <v>619</v>
      </c>
      <c r="IBM921" t="s">
        <v>619</v>
      </c>
      <c r="IBN921">
        <v>5549455</v>
      </c>
      <c r="IBO921">
        <v>7398559</v>
      </c>
      <c r="ILF921" t="s">
        <v>1331</v>
      </c>
      <c r="ILG921" t="s">
        <v>619</v>
      </c>
      <c r="ILH921" t="s">
        <v>619</v>
      </c>
      <c r="ILI921" t="s">
        <v>619</v>
      </c>
      <c r="ILJ921">
        <v>5549455</v>
      </c>
      <c r="ILK921">
        <v>7398559</v>
      </c>
      <c r="IVB921" t="s">
        <v>1331</v>
      </c>
      <c r="IVC921" t="s">
        <v>619</v>
      </c>
      <c r="IVD921" t="s">
        <v>619</v>
      </c>
      <c r="IVE921" t="s">
        <v>619</v>
      </c>
      <c r="IVF921">
        <v>5549455</v>
      </c>
      <c r="IVG921">
        <v>7398559</v>
      </c>
      <c r="JEX921" t="s">
        <v>1331</v>
      </c>
      <c r="JEY921" t="s">
        <v>619</v>
      </c>
      <c r="JEZ921" t="s">
        <v>619</v>
      </c>
      <c r="JFA921" t="s">
        <v>619</v>
      </c>
      <c r="JFB921">
        <v>5549455</v>
      </c>
      <c r="JFC921">
        <v>7398559</v>
      </c>
      <c r="JOT921" t="s">
        <v>1331</v>
      </c>
      <c r="JOU921" t="s">
        <v>619</v>
      </c>
      <c r="JOV921" t="s">
        <v>619</v>
      </c>
      <c r="JOW921" t="s">
        <v>619</v>
      </c>
      <c r="JOX921">
        <v>5549455</v>
      </c>
      <c r="JOY921">
        <v>7398559</v>
      </c>
      <c r="JYP921" t="s">
        <v>1331</v>
      </c>
      <c r="JYQ921" t="s">
        <v>619</v>
      </c>
      <c r="JYR921" t="s">
        <v>619</v>
      </c>
      <c r="JYS921" t="s">
        <v>619</v>
      </c>
      <c r="JYT921">
        <v>5549455</v>
      </c>
      <c r="JYU921">
        <v>7398559</v>
      </c>
      <c r="KIL921" t="s">
        <v>1331</v>
      </c>
      <c r="KIM921" t="s">
        <v>619</v>
      </c>
      <c r="KIN921" t="s">
        <v>619</v>
      </c>
      <c r="KIO921" t="s">
        <v>619</v>
      </c>
      <c r="KIP921">
        <v>5549455</v>
      </c>
      <c r="KIQ921">
        <v>7398559</v>
      </c>
      <c r="KSH921" t="s">
        <v>1331</v>
      </c>
      <c r="KSI921" t="s">
        <v>619</v>
      </c>
      <c r="KSJ921" t="s">
        <v>619</v>
      </c>
      <c r="KSK921" t="s">
        <v>619</v>
      </c>
      <c r="KSL921">
        <v>5549455</v>
      </c>
      <c r="KSM921">
        <v>7398559</v>
      </c>
      <c r="LCD921" t="s">
        <v>1331</v>
      </c>
      <c r="LCE921" t="s">
        <v>619</v>
      </c>
      <c r="LCF921" t="s">
        <v>619</v>
      </c>
      <c r="LCG921" t="s">
        <v>619</v>
      </c>
      <c r="LCH921">
        <v>5549455</v>
      </c>
      <c r="LCI921">
        <v>7398559</v>
      </c>
      <c r="LLZ921" t="s">
        <v>1331</v>
      </c>
      <c r="LMA921" t="s">
        <v>619</v>
      </c>
      <c r="LMB921" t="s">
        <v>619</v>
      </c>
      <c r="LMC921" t="s">
        <v>619</v>
      </c>
      <c r="LMD921">
        <v>5549455</v>
      </c>
      <c r="LME921">
        <v>7398559</v>
      </c>
      <c r="LVV921" t="s">
        <v>1331</v>
      </c>
      <c r="LVW921" t="s">
        <v>619</v>
      </c>
      <c r="LVX921" t="s">
        <v>619</v>
      </c>
      <c r="LVY921" t="s">
        <v>619</v>
      </c>
      <c r="LVZ921">
        <v>5549455</v>
      </c>
      <c r="LWA921">
        <v>7398559</v>
      </c>
      <c r="MFR921" t="s">
        <v>1331</v>
      </c>
      <c r="MFS921" t="s">
        <v>619</v>
      </c>
      <c r="MFT921" t="s">
        <v>619</v>
      </c>
      <c r="MFU921" t="s">
        <v>619</v>
      </c>
      <c r="MFV921">
        <v>5549455</v>
      </c>
      <c r="MFW921">
        <v>7398559</v>
      </c>
      <c r="MPN921" t="s">
        <v>1331</v>
      </c>
      <c r="MPO921" t="s">
        <v>619</v>
      </c>
      <c r="MPP921" t="s">
        <v>619</v>
      </c>
      <c r="MPQ921" t="s">
        <v>619</v>
      </c>
      <c r="MPR921">
        <v>5549455</v>
      </c>
      <c r="MPS921">
        <v>7398559</v>
      </c>
      <c r="MZJ921" t="s">
        <v>1331</v>
      </c>
      <c r="MZK921" t="s">
        <v>619</v>
      </c>
      <c r="MZL921" t="s">
        <v>619</v>
      </c>
      <c r="MZM921" t="s">
        <v>619</v>
      </c>
      <c r="MZN921">
        <v>5549455</v>
      </c>
      <c r="MZO921">
        <v>7398559</v>
      </c>
      <c r="NJF921" t="s">
        <v>1331</v>
      </c>
      <c r="NJG921" t="s">
        <v>619</v>
      </c>
      <c r="NJH921" t="s">
        <v>619</v>
      </c>
      <c r="NJI921" t="s">
        <v>619</v>
      </c>
      <c r="NJJ921">
        <v>5549455</v>
      </c>
      <c r="NJK921">
        <v>7398559</v>
      </c>
      <c r="NTB921" t="s">
        <v>1331</v>
      </c>
      <c r="NTC921" t="s">
        <v>619</v>
      </c>
      <c r="NTD921" t="s">
        <v>619</v>
      </c>
      <c r="NTE921" t="s">
        <v>619</v>
      </c>
      <c r="NTF921">
        <v>5549455</v>
      </c>
      <c r="NTG921">
        <v>7398559</v>
      </c>
      <c r="OCX921" t="s">
        <v>1331</v>
      </c>
      <c r="OCY921" t="s">
        <v>619</v>
      </c>
      <c r="OCZ921" t="s">
        <v>619</v>
      </c>
      <c r="ODA921" t="s">
        <v>619</v>
      </c>
      <c r="ODB921">
        <v>5549455</v>
      </c>
      <c r="ODC921">
        <v>7398559</v>
      </c>
      <c r="OMT921" t="s">
        <v>1331</v>
      </c>
      <c r="OMU921" t="s">
        <v>619</v>
      </c>
      <c r="OMV921" t="s">
        <v>619</v>
      </c>
      <c r="OMW921" t="s">
        <v>619</v>
      </c>
      <c r="OMX921">
        <v>5549455</v>
      </c>
      <c r="OMY921">
        <v>7398559</v>
      </c>
      <c r="OWP921" t="s">
        <v>1331</v>
      </c>
      <c r="OWQ921" t="s">
        <v>619</v>
      </c>
      <c r="OWR921" t="s">
        <v>619</v>
      </c>
      <c r="OWS921" t="s">
        <v>619</v>
      </c>
      <c r="OWT921">
        <v>5549455</v>
      </c>
      <c r="OWU921">
        <v>7398559</v>
      </c>
      <c r="PGL921" t="s">
        <v>1331</v>
      </c>
      <c r="PGM921" t="s">
        <v>619</v>
      </c>
      <c r="PGN921" t="s">
        <v>619</v>
      </c>
      <c r="PGO921" t="s">
        <v>619</v>
      </c>
      <c r="PGP921">
        <v>5549455</v>
      </c>
      <c r="PGQ921">
        <v>7398559</v>
      </c>
      <c r="PQH921" t="s">
        <v>1331</v>
      </c>
      <c r="PQI921" t="s">
        <v>619</v>
      </c>
      <c r="PQJ921" t="s">
        <v>619</v>
      </c>
      <c r="PQK921" t="s">
        <v>619</v>
      </c>
      <c r="PQL921">
        <v>5549455</v>
      </c>
      <c r="PQM921">
        <v>7398559</v>
      </c>
      <c r="QAD921" t="s">
        <v>1331</v>
      </c>
      <c r="QAE921" t="s">
        <v>619</v>
      </c>
      <c r="QAF921" t="s">
        <v>619</v>
      </c>
      <c r="QAG921" t="s">
        <v>619</v>
      </c>
      <c r="QAH921">
        <v>5549455</v>
      </c>
      <c r="QAI921">
        <v>7398559</v>
      </c>
      <c r="QJZ921" t="s">
        <v>1331</v>
      </c>
      <c r="QKA921" t="s">
        <v>619</v>
      </c>
      <c r="QKB921" t="s">
        <v>619</v>
      </c>
      <c r="QKC921" t="s">
        <v>619</v>
      </c>
      <c r="QKD921">
        <v>5549455</v>
      </c>
      <c r="QKE921">
        <v>7398559</v>
      </c>
      <c r="QTV921" t="s">
        <v>1331</v>
      </c>
      <c r="QTW921" t="s">
        <v>619</v>
      </c>
      <c r="QTX921" t="s">
        <v>619</v>
      </c>
      <c r="QTY921" t="s">
        <v>619</v>
      </c>
      <c r="QTZ921">
        <v>5549455</v>
      </c>
      <c r="QUA921">
        <v>7398559</v>
      </c>
      <c r="RDR921" t="s">
        <v>1331</v>
      </c>
      <c r="RDS921" t="s">
        <v>619</v>
      </c>
      <c r="RDT921" t="s">
        <v>619</v>
      </c>
      <c r="RDU921" t="s">
        <v>619</v>
      </c>
      <c r="RDV921">
        <v>5549455</v>
      </c>
      <c r="RDW921">
        <v>7398559</v>
      </c>
      <c r="RNN921" t="s">
        <v>1331</v>
      </c>
      <c r="RNO921" t="s">
        <v>619</v>
      </c>
      <c r="RNP921" t="s">
        <v>619</v>
      </c>
      <c r="RNQ921" t="s">
        <v>619</v>
      </c>
      <c r="RNR921">
        <v>5549455</v>
      </c>
      <c r="RNS921">
        <v>7398559</v>
      </c>
      <c r="RXJ921" t="s">
        <v>1331</v>
      </c>
      <c r="RXK921" t="s">
        <v>619</v>
      </c>
      <c r="RXL921" t="s">
        <v>619</v>
      </c>
      <c r="RXM921" t="s">
        <v>619</v>
      </c>
      <c r="RXN921">
        <v>5549455</v>
      </c>
      <c r="RXO921">
        <v>7398559</v>
      </c>
      <c r="SHF921" t="s">
        <v>1331</v>
      </c>
      <c r="SHG921" t="s">
        <v>619</v>
      </c>
      <c r="SHH921" t="s">
        <v>619</v>
      </c>
      <c r="SHI921" t="s">
        <v>619</v>
      </c>
      <c r="SHJ921">
        <v>5549455</v>
      </c>
      <c r="SHK921">
        <v>7398559</v>
      </c>
      <c r="SRB921" t="s">
        <v>1331</v>
      </c>
      <c r="SRC921" t="s">
        <v>619</v>
      </c>
      <c r="SRD921" t="s">
        <v>619</v>
      </c>
      <c r="SRE921" t="s">
        <v>619</v>
      </c>
      <c r="SRF921">
        <v>5549455</v>
      </c>
      <c r="SRG921">
        <v>7398559</v>
      </c>
      <c r="TAX921" t="s">
        <v>1331</v>
      </c>
      <c r="TAY921" t="s">
        <v>619</v>
      </c>
      <c r="TAZ921" t="s">
        <v>619</v>
      </c>
      <c r="TBA921" t="s">
        <v>619</v>
      </c>
      <c r="TBB921">
        <v>5549455</v>
      </c>
      <c r="TBC921">
        <v>7398559</v>
      </c>
      <c r="TKT921" t="s">
        <v>1331</v>
      </c>
      <c r="TKU921" t="s">
        <v>619</v>
      </c>
      <c r="TKV921" t="s">
        <v>619</v>
      </c>
      <c r="TKW921" t="s">
        <v>619</v>
      </c>
      <c r="TKX921">
        <v>5549455</v>
      </c>
      <c r="TKY921">
        <v>7398559</v>
      </c>
      <c r="TUP921" t="s">
        <v>1331</v>
      </c>
      <c r="TUQ921" t="s">
        <v>619</v>
      </c>
      <c r="TUR921" t="s">
        <v>619</v>
      </c>
      <c r="TUS921" t="s">
        <v>619</v>
      </c>
      <c r="TUT921">
        <v>5549455</v>
      </c>
      <c r="TUU921">
        <v>7398559</v>
      </c>
      <c r="UEL921" t="s">
        <v>1331</v>
      </c>
      <c r="UEM921" t="s">
        <v>619</v>
      </c>
      <c r="UEN921" t="s">
        <v>619</v>
      </c>
      <c r="UEO921" t="s">
        <v>619</v>
      </c>
      <c r="UEP921">
        <v>5549455</v>
      </c>
      <c r="UEQ921">
        <v>7398559</v>
      </c>
      <c r="UOH921" t="s">
        <v>1331</v>
      </c>
      <c r="UOI921" t="s">
        <v>619</v>
      </c>
      <c r="UOJ921" t="s">
        <v>619</v>
      </c>
      <c r="UOK921" t="s">
        <v>619</v>
      </c>
      <c r="UOL921">
        <v>5549455</v>
      </c>
      <c r="UOM921">
        <v>7398559</v>
      </c>
      <c r="UYD921" t="s">
        <v>1331</v>
      </c>
      <c r="UYE921" t="s">
        <v>619</v>
      </c>
      <c r="UYF921" t="s">
        <v>619</v>
      </c>
      <c r="UYG921" t="s">
        <v>619</v>
      </c>
      <c r="UYH921">
        <v>5549455</v>
      </c>
      <c r="UYI921">
        <v>7398559</v>
      </c>
      <c r="VHZ921" t="s">
        <v>1331</v>
      </c>
      <c r="VIA921" t="s">
        <v>619</v>
      </c>
      <c r="VIB921" t="s">
        <v>619</v>
      </c>
      <c r="VIC921" t="s">
        <v>619</v>
      </c>
      <c r="VID921">
        <v>5549455</v>
      </c>
      <c r="VIE921">
        <v>7398559</v>
      </c>
      <c r="VRV921" t="s">
        <v>1331</v>
      </c>
      <c r="VRW921" t="s">
        <v>619</v>
      </c>
      <c r="VRX921" t="s">
        <v>619</v>
      </c>
      <c r="VRY921" t="s">
        <v>619</v>
      </c>
      <c r="VRZ921">
        <v>5549455</v>
      </c>
      <c r="VSA921">
        <v>7398559</v>
      </c>
      <c r="WBR921" t="s">
        <v>1331</v>
      </c>
      <c r="WBS921" t="s">
        <v>619</v>
      </c>
      <c r="WBT921" t="s">
        <v>619</v>
      </c>
      <c r="WBU921" t="s">
        <v>619</v>
      </c>
      <c r="WBV921">
        <v>5549455</v>
      </c>
      <c r="WBW921">
        <v>7398559</v>
      </c>
      <c r="WLN921" t="s">
        <v>1331</v>
      </c>
      <c r="WLO921" t="s">
        <v>619</v>
      </c>
      <c r="WLP921" t="s">
        <v>619</v>
      </c>
      <c r="WLQ921" t="s">
        <v>619</v>
      </c>
      <c r="WLR921">
        <v>5549455</v>
      </c>
      <c r="WLS921">
        <v>7398559</v>
      </c>
      <c r="WVJ921" t="s">
        <v>1331</v>
      </c>
      <c r="WVK921" t="s">
        <v>619</v>
      </c>
      <c r="WVL921" t="s">
        <v>619</v>
      </c>
      <c r="WVM921" t="s">
        <v>619</v>
      </c>
      <c r="WVN921">
        <v>5549455</v>
      </c>
      <c r="WVO921">
        <v>7398559</v>
      </c>
    </row>
    <row r="922" spans="1:775 1026:1799 2050:2823 3074:3847 4098:4871 5122:5895 6146:6919 7170:7943 8194:8967 9218:9991 10242:11015 11266:12039 12290:13063 13314:14087 14338:15111 15362:16135" s="1337" customFormat="1" ht="14.5" thickBot="1">
      <c r="A922" s="1430" t="s">
        <v>1332</v>
      </c>
      <c r="B922" s="1337" t="s">
        <v>1081</v>
      </c>
      <c r="C922" s="1431">
        <v>0</v>
      </c>
      <c r="D922" s="1431">
        <v>0</v>
      </c>
      <c r="E922" s="1432">
        <v>-20031</v>
      </c>
      <c r="F922" s="1431">
        <v>0</v>
      </c>
      <c r="G922" s="1431">
        <v>0</v>
      </c>
      <c r="H922" s="1431"/>
      <c r="IX922" s="1337" t="s">
        <v>1332</v>
      </c>
      <c r="IY922" s="1337" t="s">
        <v>619</v>
      </c>
      <c r="IZ922" s="1337" t="s">
        <v>619</v>
      </c>
      <c r="JA922" s="1337">
        <v>-20031</v>
      </c>
      <c r="JB922" s="1337" t="s">
        <v>619</v>
      </c>
      <c r="JC922" s="1337" t="s">
        <v>619</v>
      </c>
      <c r="ST922" s="1337" t="s">
        <v>1332</v>
      </c>
      <c r="SU922" s="1337" t="s">
        <v>619</v>
      </c>
      <c r="SV922" s="1337" t="s">
        <v>619</v>
      </c>
      <c r="SW922" s="1337">
        <v>-20031</v>
      </c>
      <c r="SX922" s="1337" t="s">
        <v>619</v>
      </c>
      <c r="SY922" s="1337" t="s">
        <v>619</v>
      </c>
      <c r="ACP922" s="1337" t="s">
        <v>1332</v>
      </c>
      <c r="ACQ922" s="1337" t="s">
        <v>619</v>
      </c>
      <c r="ACR922" s="1337" t="s">
        <v>619</v>
      </c>
      <c r="ACS922" s="1337">
        <v>-20031</v>
      </c>
      <c r="ACT922" s="1337" t="s">
        <v>619</v>
      </c>
      <c r="ACU922" s="1337" t="s">
        <v>619</v>
      </c>
      <c r="AML922" s="1337" t="s">
        <v>1332</v>
      </c>
      <c r="AMM922" s="1337" t="s">
        <v>619</v>
      </c>
      <c r="AMN922" s="1337" t="s">
        <v>619</v>
      </c>
      <c r="AMO922" s="1337">
        <v>-20031</v>
      </c>
      <c r="AMP922" s="1337" t="s">
        <v>619</v>
      </c>
      <c r="AMQ922" s="1337" t="s">
        <v>619</v>
      </c>
      <c r="AWH922" s="1337" t="s">
        <v>1332</v>
      </c>
      <c r="AWI922" s="1337" t="s">
        <v>619</v>
      </c>
      <c r="AWJ922" s="1337" t="s">
        <v>619</v>
      </c>
      <c r="AWK922" s="1337">
        <v>-20031</v>
      </c>
      <c r="AWL922" s="1337" t="s">
        <v>619</v>
      </c>
      <c r="AWM922" s="1337" t="s">
        <v>619</v>
      </c>
      <c r="BGD922" s="1337" t="s">
        <v>1332</v>
      </c>
      <c r="BGE922" s="1337" t="s">
        <v>619</v>
      </c>
      <c r="BGF922" s="1337" t="s">
        <v>619</v>
      </c>
      <c r="BGG922" s="1337">
        <v>-20031</v>
      </c>
      <c r="BGH922" s="1337" t="s">
        <v>619</v>
      </c>
      <c r="BGI922" s="1337" t="s">
        <v>619</v>
      </c>
      <c r="BPZ922" s="1337" t="s">
        <v>1332</v>
      </c>
      <c r="BQA922" s="1337" t="s">
        <v>619</v>
      </c>
      <c r="BQB922" s="1337" t="s">
        <v>619</v>
      </c>
      <c r="BQC922" s="1337">
        <v>-20031</v>
      </c>
      <c r="BQD922" s="1337" t="s">
        <v>619</v>
      </c>
      <c r="BQE922" s="1337" t="s">
        <v>619</v>
      </c>
      <c r="BZV922" s="1337" t="s">
        <v>1332</v>
      </c>
      <c r="BZW922" s="1337" t="s">
        <v>619</v>
      </c>
      <c r="BZX922" s="1337" t="s">
        <v>619</v>
      </c>
      <c r="BZY922" s="1337">
        <v>-20031</v>
      </c>
      <c r="BZZ922" s="1337" t="s">
        <v>619</v>
      </c>
      <c r="CAA922" s="1337" t="s">
        <v>619</v>
      </c>
      <c r="CJR922" s="1337" t="s">
        <v>1332</v>
      </c>
      <c r="CJS922" s="1337" t="s">
        <v>619</v>
      </c>
      <c r="CJT922" s="1337" t="s">
        <v>619</v>
      </c>
      <c r="CJU922" s="1337">
        <v>-20031</v>
      </c>
      <c r="CJV922" s="1337" t="s">
        <v>619</v>
      </c>
      <c r="CJW922" s="1337" t="s">
        <v>619</v>
      </c>
      <c r="CTN922" s="1337" t="s">
        <v>1332</v>
      </c>
      <c r="CTO922" s="1337" t="s">
        <v>619</v>
      </c>
      <c r="CTP922" s="1337" t="s">
        <v>619</v>
      </c>
      <c r="CTQ922" s="1337">
        <v>-20031</v>
      </c>
      <c r="CTR922" s="1337" t="s">
        <v>619</v>
      </c>
      <c r="CTS922" s="1337" t="s">
        <v>619</v>
      </c>
      <c r="DDJ922" s="1337" t="s">
        <v>1332</v>
      </c>
      <c r="DDK922" s="1337" t="s">
        <v>619</v>
      </c>
      <c r="DDL922" s="1337" t="s">
        <v>619</v>
      </c>
      <c r="DDM922" s="1337">
        <v>-20031</v>
      </c>
      <c r="DDN922" s="1337" t="s">
        <v>619</v>
      </c>
      <c r="DDO922" s="1337" t="s">
        <v>619</v>
      </c>
      <c r="DNF922" s="1337" t="s">
        <v>1332</v>
      </c>
      <c r="DNG922" s="1337" t="s">
        <v>619</v>
      </c>
      <c r="DNH922" s="1337" t="s">
        <v>619</v>
      </c>
      <c r="DNI922" s="1337">
        <v>-20031</v>
      </c>
      <c r="DNJ922" s="1337" t="s">
        <v>619</v>
      </c>
      <c r="DNK922" s="1337" t="s">
        <v>619</v>
      </c>
      <c r="DXB922" s="1337" t="s">
        <v>1332</v>
      </c>
      <c r="DXC922" s="1337" t="s">
        <v>619</v>
      </c>
      <c r="DXD922" s="1337" t="s">
        <v>619</v>
      </c>
      <c r="DXE922" s="1337">
        <v>-20031</v>
      </c>
      <c r="DXF922" s="1337" t="s">
        <v>619</v>
      </c>
      <c r="DXG922" s="1337" t="s">
        <v>619</v>
      </c>
      <c r="EGX922" s="1337" t="s">
        <v>1332</v>
      </c>
      <c r="EGY922" s="1337" t="s">
        <v>619</v>
      </c>
      <c r="EGZ922" s="1337" t="s">
        <v>619</v>
      </c>
      <c r="EHA922" s="1337">
        <v>-20031</v>
      </c>
      <c r="EHB922" s="1337" t="s">
        <v>619</v>
      </c>
      <c r="EHC922" s="1337" t="s">
        <v>619</v>
      </c>
      <c r="EQT922" s="1337" t="s">
        <v>1332</v>
      </c>
      <c r="EQU922" s="1337" t="s">
        <v>619</v>
      </c>
      <c r="EQV922" s="1337" t="s">
        <v>619</v>
      </c>
      <c r="EQW922" s="1337">
        <v>-20031</v>
      </c>
      <c r="EQX922" s="1337" t="s">
        <v>619</v>
      </c>
      <c r="EQY922" s="1337" t="s">
        <v>619</v>
      </c>
      <c r="FAP922" s="1337" t="s">
        <v>1332</v>
      </c>
      <c r="FAQ922" s="1337" t="s">
        <v>619</v>
      </c>
      <c r="FAR922" s="1337" t="s">
        <v>619</v>
      </c>
      <c r="FAS922" s="1337">
        <v>-20031</v>
      </c>
      <c r="FAT922" s="1337" t="s">
        <v>619</v>
      </c>
      <c r="FAU922" s="1337" t="s">
        <v>619</v>
      </c>
      <c r="FKL922" s="1337" t="s">
        <v>1332</v>
      </c>
      <c r="FKM922" s="1337" t="s">
        <v>619</v>
      </c>
      <c r="FKN922" s="1337" t="s">
        <v>619</v>
      </c>
      <c r="FKO922" s="1337">
        <v>-20031</v>
      </c>
      <c r="FKP922" s="1337" t="s">
        <v>619</v>
      </c>
      <c r="FKQ922" s="1337" t="s">
        <v>619</v>
      </c>
      <c r="FUH922" s="1337" t="s">
        <v>1332</v>
      </c>
      <c r="FUI922" s="1337" t="s">
        <v>619</v>
      </c>
      <c r="FUJ922" s="1337" t="s">
        <v>619</v>
      </c>
      <c r="FUK922" s="1337">
        <v>-20031</v>
      </c>
      <c r="FUL922" s="1337" t="s">
        <v>619</v>
      </c>
      <c r="FUM922" s="1337" t="s">
        <v>619</v>
      </c>
      <c r="GED922" s="1337" t="s">
        <v>1332</v>
      </c>
      <c r="GEE922" s="1337" t="s">
        <v>619</v>
      </c>
      <c r="GEF922" s="1337" t="s">
        <v>619</v>
      </c>
      <c r="GEG922" s="1337">
        <v>-20031</v>
      </c>
      <c r="GEH922" s="1337" t="s">
        <v>619</v>
      </c>
      <c r="GEI922" s="1337" t="s">
        <v>619</v>
      </c>
      <c r="GNZ922" s="1337" t="s">
        <v>1332</v>
      </c>
      <c r="GOA922" s="1337" t="s">
        <v>619</v>
      </c>
      <c r="GOB922" s="1337" t="s">
        <v>619</v>
      </c>
      <c r="GOC922" s="1337">
        <v>-20031</v>
      </c>
      <c r="GOD922" s="1337" t="s">
        <v>619</v>
      </c>
      <c r="GOE922" s="1337" t="s">
        <v>619</v>
      </c>
      <c r="GXV922" s="1337" t="s">
        <v>1332</v>
      </c>
      <c r="GXW922" s="1337" t="s">
        <v>619</v>
      </c>
      <c r="GXX922" s="1337" t="s">
        <v>619</v>
      </c>
      <c r="GXY922" s="1337">
        <v>-20031</v>
      </c>
      <c r="GXZ922" s="1337" t="s">
        <v>619</v>
      </c>
      <c r="GYA922" s="1337" t="s">
        <v>619</v>
      </c>
      <c r="HHR922" s="1337" t="s">
        <v>1332</v>
      </c>
      <c r="HHS922" s="1337" t="s">
        <v>619</v>
      </c>
      <c r="HHT922" s="1337" t="s">
        <v>619</v>
      </c>
      <c r="HHU922" s="1337">
        <v>-20031</v>
      </c>
      <c r="HHV922" s="1337" t="s">
        <v>619</v>
      </c>
      <c r="HHW922" s="1337" t="s">
        <v>619</v>
      </c>
      <c r="HRN922" s="1337" t="s">
        <v>1332</v>
      </c>
      <c r="HRO922" s="1337" t="s">
        <v>619</v>
      </c>
      <c r="HRP922" s="1337" t="s">
        <v>619</v>
      </c>
      <c r="HRQ922" s="1337">
        <v>-20031</v>
      </c>
      <c r="HRR922" s="1337" t="s">
        <v>619</v>
      </c>
      <c r="HRS922" s="1337" t="s">
        <v>619</v>
      </c>
      <c r="IBJ922" s="1337" t="s">
        <v>1332</v>
      </c>
      <c r="IBK922" s="1337" t="s">
        <v>619</v>
      </c>
      <c r="IBL922" s="1337" t="s">
        <v>619</v>
      </c>
      <c r="IBM922" s="1337">
        <v>-20031</v>
      </c>
      <c r="IBN922" s="1337" t="s">
        <v>619</v>
      </c>
      <c r="IBO922" s="1337" t="s">
        <v>619</v>
      </c>
      <c r="ILF922" s="1337" t="s">
        <v>1332</v>
      </c>
      <c r="ILG922" s="1337" t="s">
        <v>619</v>
      </c>
      <c r="ILH922" s="1337" t="s">
        <v>619</v>
      </c>
      <c r="ILI922" s="1337">
        <v>-20031</v>
      </c>
      <c r="ILJ922" s="1337" t="s">
        <v>619</v>
      </c>
      <c r="ILK922" s="1337" t="s">
        <v>619</v>
      </c>
      <c r="IVB922" s="1337" t="s">
        <v>1332</v>
      </c>
      <c r="IVC922" s="1337" t="s">
        <v>619</v>
      </c>
      <c r="IVD922" s="1337" t="s">
        <v>619</v>
      </c>
      <c r="IVE922" s="1337">
        <v>-20031</v>
      </c>
      <c r="IVF922" s="1337" t="s">
        <v>619</v>
      </c>
      <c r="IVG922" s="1337" t="s">
        <v>619</v>
      </c>
      <c r="JEX922" s="1337" t="s">
        <v>1332</v>
      </c>
      <c r="JEY922" s="1337" t="s">
        <v>619</v>
      </c>
      <c r="JEZ922" s="1337" t="s">
        <v>619</v>
      </c>
      <c r="JFA922" s="1337">
        <v>-20031</v>
      </c>
      <c r="JFB922" s="1337" t="s">
        <v>619</v>
      </c>
      <c r="JFC922" s="1337" t="s">
        <v>619</v>
      </c>
      <c r="JOT922" s="1337" t="s">
        <v>1332</v>
      </c>
      <c r="JOU922" s="1337" t="s">
        <v>619</v>
      </c>
      <c r="JOV922" s="1337" t="s">
        <v>619</v>
      </c>
      <c r="JOW922" s="1337">
        <v>-20031</v>
      </c>
      <c r="JOX922" s="1337" t="s">
        <v>619</v>
      </c>
      <c r="JOY922" s="1337" t="s">
        <v>619</v>
      </c>
      <c r="JYP922" s="1337" t="s">
        <v>1332</v>
      </c>
      <c r="JYQ922" s="1337" t="s">
        <v>619</v>
      </c>
      <c r="JYR922" s="1337" t="s">
        <v>619</v>
      </c>
      <c r="JYS922" s="1337">
        <v>-20031</v>
      </c>
      <c r="JYT922" s="1337" t="s">
        <v>619</v>
      </c>
      <c r="JYU922" s="1337" t="s">
        <v>619</v>
      </c>
      <c r="KIL922" s="1337" t="s">
        <v>1332</v>
      </c>
      <c r="KIM922" s="1337" t="s">
        <v>619</v>
      </c>
      <c r="KIN922" s="1337" t="s">
        <v>619</v>
      </c>
      <c r="KIO922" s="1337">
        <v>-20031</v>
      </c>
      <c r="KIP922" s="1337" t="s">
        <v>619</v>
      </c>
      <c r="KIQ922" s="1337" t="s">
        <v>619</v>
      </c>
      <c r="KSH922" s="1337" t="s">
        <v>1332</v>
      </c>
      <c r="KSI922" s="1337" t="s">
        <v>619</v>
      </c>
      <c r="KSJ922" s="1337" t="s">
        <v>619</v>
      </c>
      <c r="KSK922" s="1337">
        <v>-20031</v>
      </c>
      <c r="KSL922" s="1337" t="s">
        <v>619</v>
      </c>
      <c r="KSM922" s="1337" t="s">
        <v>619</v>
      </c>
      <c r="LCD922" s="1337" t="s">
        <v>1332</v>
      </c>
      <c r="LCE922" s="1337" t="s">
        <v>619</v>
      </c>
      <c r="LCF922" s="1337" t="s">
        <v>619</v>
      </c>
      <c r="LCG922" s="1337">
        <v>-20031</v>
      </c>
      <c r="LCH922" s="1337" t="s">
        <v>619</v>
      </c>
      <c r="LCI922" s="1337" t="s">
        <v>619</v>
      </c>
      <c r="LLZ922" s="1337" t="s">
        <v>1332</v>
      </c>
      <c r="LMA922" s="1337" t="s">
        <v>619</v>
      </c>
      <c r="LMB922" s="1337" t="s">
        <v>619</v>
      </c>
      <c r="LMC922" s="1337">
        <v>-20031</v>
      </c>
      <c r="LMD922" s="1337" t="s">
        <v>619</v>
      </c>
      <c r="LME922" s="1337" t="s">
        <v>619</v>
      </c>
      <c r="LVV922" s="1337" t="s">
        <v>1332</v>
      </c>
      <c r="LVW922" s="1337" t="s">
        <v>619</v>
      </c>
      <c r="LVX922" s="1337" t="s">
        <v>619</v>
      </c>
      <c r="LVY922" s="1337">
        <v>-20031</v>
      </c>
      <c r="LVZ922" s="1337" t="s">
        <v>619</v>
      </c>
      <c r="LWA922" s="1337" t="s">
        <v>619</v>
      </c>
      <c r="MFR922" s="1337" t="s">
        <v>1332</v>
      </c>
      <c r="MFS922" s="1337" t="s">
        <v>619</v>
      </c>
      <c r="MFT922" s="1337" t="s">
        <v>619</v>
      </c>
      <c r="MFU922" s="1337">
        <v>-20031</v>
      </c>
      <c r="MFV922" s="1337" t="s">
        <v>619</v>
      </c>
      <c r="MFW922" s="1337" t="s">
        <v>619</v>
      </c>
      <c r="MPN922" s="1337" t="s">
        <v>1332</v>
      </c>
      <c r="MPO922" s="1337" t="s">
        <v>619</v>
      </c>
      <c r="MPP922" s="1337" t="s">
        <v>619</v>
      </c>
      <c r="MPQ922" s="1337">
        <v>-20031</v>
      </c>
      <c r="MPR922" s="1337" t="s">
        <v>619</v>
      </c>
      <c r="MPS922" s="1337" t="s">
        <v>619</v>
      </c>
      <c r="MZJ922" s="1337" t="s">
        <v>1332</v>
      </c>
      <c r="MZK922" s="1337" t="s">
        <v>619</v>
      </c>
      <c r="MZL922" s="1337" t="s">
        <v>619</v>
      </c>
      <c r="MZM922" s="1337">
        <v>-20031</v>
      </c>
      <c r="MZN922" s="1337" t="s">
        <v>619</v>
      </c>
      <c r="MZO922" s="1337" t="s">
        <v>619</v>
      </c>
      <c r="NJF922" s="1337" t="s">
        <v>1332</v>
      </c>
      <c r="NJG922" s="1337" t="s">
        <v>619</v>
      </c>
      <c r="NJH922" s="1337" t="s">
        <v>619</v>
      </c>
      <c r="NJI922" s="1337">
        <v>-20031</v>
      </c>
      <c r="NJJ922" s="1337" t="s">
        <v>619</v>
      </c>
      <c r="NJK922" s="1337" t="s">
        <v>619</v>
      </c>
      <c r="NTB922" s="1337" t="s">
        <v>1332</v>
      </c>
      <c r="NTC922" s="1337" t="s">
        <v>619</v>
      </c>
      <c r="NTD922" s="1337" t="s">
        <v>619</v>
      </c>
      <c r="NTE922" s="1337">
        <v>-20031</v>
      </c>
      <c r="NTF922" s="1337" t="s">
        <v>619</v>
      </c>
      <c r="NTG922" s="1337" t="s">
        <v>619</v>
      </c>
      <c r="OCX922" s="1337" t="s">
        <v>1332</v>
      </c>
      <c r="OCY922" s="1337" t="s">
        <v>619</v>
      </c>
      <c r="OCZ922" s="1337" t="s">
        <v>619</v>
      </c>
      <c r="ODA922" s="1337">
        <v>-20031</v>
      </c>
      <c r="ODB922" s="1337" t="s">
        <v>619</v>
      </c>
      <c r="ODC922" s="1337" t="s">
        <v>619</v>
      </c>
      <c r="OMT922" s="1337" t="s">
        <v>1332</v>
      </c>
      <c r="OMU922" s="1337" t="s">
        <v>619</v>
      </c>
      <c r="OMV922" s="1337" t="s">
        <v>619</v>
      </c>
      <c r="OMW922" s="1337">
        <v>-20031</v>
      </c>
      <c r="OMX922" s="1337" t="s">
        <v>619</v>
      </c>
      <c r="OMY922" s="1337" t="s">
        <v>619</v>
      </c>
      <c r="OWP922" s="1337" t="s">
        <v>1332</v>
      </c>
      <c r="OWQ922" s="1337" t="s">
        <v>619</v>
      </c>
      <c r="OWR922" s="1337" t="s">
        <v>619</v>
      </c>
      <c r="OWS922" s="1337">
        <v>-20031</v>
      </c>
      <c r="OWT922" s="1337" t="s">
        <v>619</v>
      </c>
      <c r="OWU922" s="1337" t="s">
        <v>619</v>
      </c>
      <c r="PGL922" s="1337" t="s">
        <v>1332</v>
      </c>
      <c r="PGM922" s="1337" t="s">
        <v>619</v>
      </c>
      <c r="PGN922" s="1337" t="s">
        <v>619</v>
      </c>
      <c r="PGO922" s="1337">
        <v>-20031</v>
      </c>
      <c r="PGP922" s="1337" t="s">
        <v>619</v>
      </c>
      <c r="PGQ922" s="1337" t="s">
        <v>619</v>
      </c>
      <c r="PQH922" s="1337" t="s">
        <v>1332</v>
      </c>
      <c r="PQI922" s="1337" t="s">
        <v>619</v>
      </c>
      <c r="PQJ922" s="1337" t="s">
        <v>619</v>
      </c>
      <c r="PQK922" s="1337">
        <v>-20031</v>
      </c>
      <c r="PQL922" s="1337" t="s">
        <v>619</v>
      </c>
      <c r="PQM922" s="1337" t="s">
        <v>619</v>
      </c>
      <c r="QAD922" s="1337" t="s">
        <v>1332</v>
      </c>
      <c r="QAE922" s="1337" t="s">
        <v>619</v>
      </c>
      <c r="QAF922" s="1337" t="s">
        <v>619</v>
      </c>
      <c r="QAG922" s="1337">
        <v>-20031</v>
      </c>
      <c r="QAH922" s="1337" t="s">
        <v>619</v>
      </c>
      <c r="QAI922" s="1337" t="s">
        <v>619</v>
      </c>
      <c r="QJZ922" s="1337" t="s">
        <v>1332</v>
      </c>
      <c r="QKA922" s="1337" t="s">
        <v>619</v>
      </c>
      <c r="QKB922" s="1337" t="s">
        <v>619</v>
      </c>
      <c r="QKC922" s="1337">
        <v>-20031</v>
      </c>
      <c r="QKD922" s="1337" t="s">
        <v>619</v>
      </c>
      <c r="QKE922" s="1337" t="s">
        <v>619</v>
      </c>
      <c r="QTV922" s="1337" t="s">
        <v>1332</v>
      </c>
      <c r="QTW922" s="1337" t="s">
        <v>619</v>
      </c>
      <c r="QTX922" s="1337" t="s">
        <v>619</v>
      </c>
      <c r="QTY922" s="1337">
        <v>-20031</v>
      </c>
      <c r="QTZ922" s="1337" t="s">
        <v>619</v>
      </c>
      <c r="QUA922" s="1337" t="s">
        <v>619</v>
      </c>
      <c r="RDR922" s="1337" t="s">
        <v>1332</v>
      </c>
      <c r="RDS922" s="1337" t="s">
        <v>619</v>
      </c>
      <c r="RDT922" s="1337" t="s">
        <v>619</v>
      </c>
      <c r="RDU922" s="1337">
        <v>-20031</v>
      </c>
      <c r="RDV922" s="1337" t="s">
        <v>619</v>
      </c>
      <c r="RDW922" s="1337" t="s">
        <v>619</v>
      </c>
      <c r="RNN922" s="1337" t="s">
        <v>1332</v>
      </c>
      <c r="RNO922" s="1337" t="s">
        <v>619</v>
      </c>
      <c r="RNP922" s="1337" t="s">
        <v>619</v>
      </c>
      <c r="RNQ922" s="1337">
        <v>-20031</v>
      </c>
      <c r="RNR922" s="1337" t="s">
        <v>619</v>
      </c>
      <c r="RNS922" s="1337" t="s">
        <v>619</v>
      </c>
      <c r="RXJ922" s="1337" t="s">
        <v>1332</v>
      </c>
      <c r="RXK922" s="1337" t="s">
        <v>619</v>
      </c>
      <c r="RXL922" s="1337" t="s">
        <v>619</v>
      </c>
      <c r="RXM922" s="1337">
        <v>-20031</v>
      </c>
      <c r="RXN922" s="1337" t="s">
        <v>619</v>
      </c>
      <c r="RXO922" s="1337" t="s">
        <v>619</v>
      </c>
      <c r="SHF922" s="1337" t="s">
        <v>1332</v>
      </c>
      <c r="SHG922" s="1337" t="s">
        <v>619</v>
      </c>
      <c r="SHH922" s="1337" t="s">
        <v>619</v>
      </c>
      <c r="SHI922" s="1337">
        <v>-20031</v>
      </c>
      <c r="SHJ922" s="1337" t="s">
        <v>619</v>
      </c>
      <c r="SHK922" s="1337" t="s">
        <v>619</v>
      </c>
      <c r="SRB922" s="1337" t="s">
        <v>1332</v>
      </c>
      <c r="SRC922" s="1337" t="s">
        <v>619</v>
      </c>
      <c r="SRD922" s="1337" t="s">
        <v>619</v>
      </c>
      <c r="SRE922" s="1337">
        <v>-20031</v>
      </c>
      <c r="SRF922" s="1337" t="s">
        <v>619</v>
      </c>
      <c r="SRG922" s="1337" t="s">
        <v>619</v>
      </c>
      <c r="TAX922" s="1337" t="s">
        <v>1332</v>
      </c>
      <c r="TAY922" s="1337" t="s">
        <v>619</v>
      </c>
      <c r="TAZ922" s="1337" t="s">
        <v>619</v>
      </c>
      <c r="TBA922" s="1337">
        <v>-20031</v>
      </c>
      <c r="TBB922" s="1337" t="s">
        <v>619</v>
      </c>
      <c r="TBC922" s="1337" t="s">
        <v>619</v>
      </c>
      <c r="TKT922" s="1337" t="s">
        <v>1332</v>
      </c>
      <c r="TKU922" s="1337" t="s">
        <v>619</v>
      </c>
      <c r="TKV922" s="1337" t="s">
        <v>619</v>
      </c>
      <c r="TKW922" s="1337">
        <v>-20031</v>
      </c>
      <c r="TKX922" s="1337" t="s">
        <v>619</v>
      </c>
      <c r="TKY922" s="1337" t="s">
        <v>619</v>
      </c>
      <c r="TUP922" s="1337" t="s">
        <v>1332</v>
      </c>
      <c r="TUQ922" s="1337" t="s">
        <v>619</v>
      </c>
      <c r="TUR922" s="1337" t="s">
        <v>619</v>
      </c>
      <c r="TUS922" s="1337">
        <v>-20031</v>
      </c>
      <c r="TUT922" s="1337" t="s">
        <v>619</v>
      </c>
      <c r="TUU922" s="1337" t="s">
        <v>619</v>
      </c>
      <c r="UEL922" s="1337" t="s">
        <v>1332</v>
      </c>
      <c r="UEM922" s="1337" t="s">
        <v>619</v>
      </c>
      <c r="UEN922" s="1337" t="s">
        <v>619</v>
      </c>
      <c r="UEO922" s="1337">
        <v>-20031</v>
      </c>
      <c r="UEP922" s="1337" t="s">
        <v>619</v>
      </c>
      <c r="UEQ922" s="1337" t="s">
        <v>619</v>
      </c>
      <c r="UOH922" s="1337" t="s">
        <v>1332</v>
      </c>
      <c r="UOI922" s="1337" t="s">
        <v>619</v>
      </c>
      <c r="UOJ922" s="1337" t="s">
        <v>619</v>
      </c>
      <c r="UOK922" s="1337">
        <v>-20031</v>
      </c>
      <c r="UOL922" s="1337" t="s">
        <v>619</v>
      </c>
      <c r="UOM922" s="1337" t="s">
        <v>619</v>
      </c>
      <c r="UYD922" s="1337" t="s">
        <v>1332</v>
      </c>
      <c r="UYE922" s="1337" t="s">
        <v>619</v>
      </c>
      <c r="UYF922" s="1337" t="s">
        <v>619</v>
      </c>
      <c r="UYG922" s="1337">
        <v>-20031</v>
      </c>
      <c r="UYH922" s="1337" t="s">
        <v>619</v>
      </c>
      <c r="UYI922" s="1337" t="s">
        <v>619</v>
      </c>
      <c r="VHZ922" s="1337" t="s">
        <v>1332</v>
      </c>
      <c r="VIA922" s="1337" t="s">
        <v>619</v>
      </c>
      <c r="VIB922" s="1337" t="s">
        <v>619</v>
      </c>
      <c r="VIC922" s="1337">
        <v>-20031</v>
      </c>
      <c r="VID922" s="1337" t="s">
        <v>619</v>
      </c>
      <c r="VIE922" s="1337" t="s">
        <v>619</v>
      </c>
      <c r="VRV922" s="1337" t="s">
        <v>1332</v>
      </c>
      <c r="VRW922" s="1337" t="s">
        <v>619</v>
      </c>
      <c r="VRX922" s="1337" t="s">
        <v>619</v>
      </c>
      <c r="VRY922" s="1337">
        <v>-20031</v>
      </c>
      <c r="VRZ922" s="1337" t="s">
        <v>619</v>
      </c>
      <c r="VSA922" s="1337" t="s">
        <v>619</v>
      </c>
      <c r="WBR922" s="1337" t="s">
        <v>1332</v>
      </c>
      <c r="WBS922" s="1337" t="s">
        <v>619</v>
      </c>
      <c r="WBT922" s="1337" t="s">
        <v>619</v>
      </c>
      <c r="WBU922" s="1337">
        <v>-20031</v>
      </c>
      <c r="WBV922" s="1337" t="s">
        <v>619</v>
      </c>
      <c r="WBW922" s="1337" t="s">
        <v>619</v>
      </c>
      <c r="WLN922" s="1337" t="s">
        <v>1332</v>
      </c>
      <c r="WLO922" s="1337" t="s">
        <v>619</v>
      </c>
      <c r="WLP922" s="1337" t="s">
        <v>619</v>
      </c>
      <c r="WLQ922" s="1337">
        <v>-20031</v>
      </c>
      <c r="WLR922" s="1337" t="s">
        <v>619</v>
      </c>
      <c r="WLS922" s="1337" t="s">
        <v>619</v>
      </c>
      <c r="WVJ922" s="1337" t="s">
        <v>1332</v>
      </c>
      <c r="WVK922" s="1337" t="s">
        <v>619</v>
      </c>
      <c r="WVL922" s="1337" t="s">
        <v>619</v>
      </c>
      <c r="WVM922" s="1337">
        <v>-20031</v>
      </c>
      <c r="WVN922" s="1337" t="s">
        <v>619</v>
      </c>
      <c r="WVO922" s="1337" t="s">
        <v>619</v>
      </c>
    </row>
    <row r="923" spans="1:775 1026:1799 2050:2823 3074:3847 4098:4871 5122:5895 6146:6919 7170:7943 8194:8967 9218:9991 10242:11015 11266:12039 12290:13063 13314:14087 14338:15111 15362:16135">
      <c r="A923" s="96" t="s">
        <v>721</v>
      </c>
      <c r="C923" s="100">
        <v>18842552</v>
      </c>
      <c r="D923" s="100">
        <v>14582029</v>
      </c>
      <c r="E923" s="100">
        <v>54641929</v>
      </c>
      <c r="F923" s="100">
        <v>82883601</v>
      </c>
      <c r="G923" s="100">
        <v>96263925</v>
      </c>
      <c r="H923" s="100"/>
      <c r="IX923" t="s">
        <v>721</v>
      </c>
      <c r="IY923">
        <v>18842552</v>
      </c>
      <c r="IZ923">
        <v>14582029</v>
      </c>
      <c r="JA923">
        <v>54641929</v>
      </c>
      <c r="JB923">
        <v>82883601</v>
      </c>
      <c r="JC923">
        <v>96263925</v>
      </c>
      <c r="ST923" t="s">
        <v>721</v>
      </c>
      <c r="SU923">
        <v>18842552</v>
      </c>
      <c r="SV923">
        <v>14582029</v>
      </c>
      <c r="SW923">
        <v>54641929</v>
      </c>
      <c r="SX923">
        <v>82883601</v>
      </c>
      <c r="SY923">
        <v>96263925</v>
      </c>
      <c r="ACP923" t="s">
        <v>721</v>
      </c>
      <c r="ACQ923">
        <v>18842552</v>
      </c>
      <c r="ACR923">
        <v>14582029</v>
      </c>
      <c r="ACS923">
        <v>54641929</v>
      </c>
      <c r="ACT923">
        <v>82883601</v>
      </c>
      <c r="ACU923">
        <v>96263925</v>
      </c>
      <c r="AML923" t="s">
        <v>721</v>
      </c>
      <c r="AMM923">
        <v>18842552</v>
      </c>
      <c r="AMN923">
        <v>14582029</v>
      </c>
      <c r="AMO923">
        <v>54641929</v>
      </c>
      <c r="AMP923">
        <v>82883601</v>
      </c>
      <c r="AMQ923">
        <v>96263925</v>
      </c>
      <c r="AWH923" t="s">
        <v>721</v>
      </c>
      <c r="AWI923">
        <v>18842552</v>
      </c>
      <c r="AWJ923">
        <v>14582029</v>
      </c>
      <c r="AWK923">
        <v>54641929</v>
      </c>
      <c r="AWL923">
        <v>82883601</v>
      </c>
      <c r="AWM923">
        <v>96263925</v>
      </c>
      <c r="BGD923" t="s">
        <v>721</v>
      </c>
      <c r="BGE923">
        <v>18842552</v>
      </c>
      <c r="BGF923">
        <v>14582029</v>
      </c>
      <c r="BGG923">
        <v>54641929</v>
      </c>
      <c r="BGH923">
        <v>82883601</v>
      </c>
      <c r="BGI923">
        <v>96263925</v>
      </c>
      <c r="BPZ923" t="s">
        <v>721</v>
      </c>
      <c r="BQA923">
        <v>18842552</v>
      </c>
      <c r="BQB923">
        <v>14582029</v>
      </c>
      <c r="BQC923">
        <v>54641929</v>
      </c>
      <c r="BQD923">
        <v>82883601</v>
      </c>
      <c r="BQE923">
        <v>96263925</v>
      </c>
      <c r="BZV923" t="s">
        <v>721</v>
      </c>
      <c r="BZW923">
        <v>18842552</v>
      </c>
      <c r="BZX923">
        <v>14582029</v>
      </c>
      <c r="BZY923">
        <v>54641929</v>
      </c>
      <c r="BZZ923">
        <v>82883601</v>
      </c>
      <c r="CAA923">
        <v>96263925</v>
      </c>
      <c r="CJR923" t="s">
        <v>721</v>
      </c>
      <c r="CJS923">
        <v>18842552</v>
      </c>
      <c r="CJT923">
        <v>14582029</v>
      </c>
      <c r="CJU923">
        <v>54641929</v>
      </c>
      <c r="CJV923">
        <v>82883601</v>
      </c>
      <c r="CJW923">
        <v>96263925</v>
      </c>
      <c r="CTN923" t="s">
        <v>721</v>
      </c>
      <c r="CTO923">
        <v>18842552</v>
      </c>
      <c r="CTP923">
        <v>14582029</v>
      </c>
      <c r="CTQ923">
        <v>54641929</v>
      </c>
      <c r="CTR923">
        <v>82883601</v>
      </c>
      <c r="CTS923">
        <v>96263925</v>
      </c>
      <c r="DDJ923" t="s">
        <v>721</v>
      </c>
      <c r="DDK923">
        <v>18842552</v>
      </c>
      <c r="DDL923">
        <v>14582029</v>
      </c>
      <c r="DDM923">
        <v>54641929</v>
      </c>
      <c r="DDN923">
        <v>82883601</v>
      </c>
      <c r="DDO923">
        <v>96263925</v>
      </c>
      <c r="DNF923" t="s">
        <v>721</v>
      </c>
      <c r="DNG923">
        <v>18842552</v>
      </c>
      <c r="DNH923">
        <v>14582029</v>
      </c>
      <c r="DNI923">
        <v>54641929</v>
      </c>
      <c r="DNJ923">
        <v>82883601</v>
      </c>
      <c r="DNK923">
        <v>96263925</v>
      </c>
      <c r="DXB923" t="s">
        <v>721</v>
      </c>
      <c r="DXC923">
        <v>18842552</v>
      </c>
      <c r="DXD923">
        <v>14582029</v>
      </c>
      <c r="DXE923">
        <v>54641929</v>
      </c>
      <c r="DXF923">
        <v>82883601</v>
      </c>
      <c r="DXG923">
        <v>96263925</v>
      </c>
      <c r="EGX923" t="s">
        <v>721</v>
      </c>
      <c r="EGY923">
        <v>18842552</v>
      </c>
      <c r="EGZ923">
        <v>14582029</v>
      </c>
      <c r="EHA923">
        <v>54641929</v>
      </c>
      <c r="EHB923">
        <v>82883601</v>
      </c>
      <c r="EHC923">
        <v>96263925</v>
      </c>
      <c r="EQT923" t="s">
        <v>721</v>
      </c>
      <c r="EQU923">
        <v>18842552</v>
      </c>
      <c r="EQV923">
        <v>14582029</v>
      </c>
      <c r="EQW923">
        <v>54641929</v>
      </c>
      <c r="EQX923">
        <v>82883601</v>
      </c>
      <c r="EQY923">
        <v>96263925</v>
      </c>
      <c r="FAP923" t="s">
        <v>721</v>
      </c>
      <c r="FAQ923">
        <v>18842552</v>
      </c>
      <c r="FAR923">
        <v>14582029</v>
      </c>
      <c r="FAS923">
        <v>54641929</v>
      </c>
      <c r="FAT923">
        <v>82883601</v>
      </c>
      <c r="FAU923">
        <v>96263925</v>
      </c>
      <c r="FKL923" t="s">
        <v>721</v>
      </c>
      <c r="FKM923">
        <v>18842552</v>
      </c>
      <c r="FKN923">
        <v>14582029</v>
      </c>
      <c r="FKO923">
        <v>54641929</v>
      </c>
      <c r="FKP923">
        <v>82883601</v>
      </c>
      <c r="FKQ923">
        <v>96263925</v>
      </c>
      <c r="FUH923" t="s">
        <v>721</v>
      </c>
      <c r="FUI923">
        <v>18842552</v>
      </c>
      <c r="FUJ923">
        <v>14582029</v>
      </c>
      <c r="FUK923">
        <v>54641929</v>
      </c>
      <c r="FUL923">
        <v>82883601</v>
      </c>
      <c r="FUM923">
        <v>96263925</v>
      </c>
      <c r="GED923" t="s">
        <v>721</v>
      </c>
      <c r="GEE923">
        <v>18842552</v>
      </c>
      <c r="GEF923">
        <v>14582029</v>
      </c>
      <c r="GEG923">
        <v>54641929</v>
      </c>
      <c r="GEH923">
        <v>82883601</v>
      </c>
      <c r="GEI923">
        <v>96263925</v>
      </c>
      <c r="GNZ923" t="s">
        <v>721</v>
      </c>
      <c r="GOA923">
        <v>18842552</v>
      </c>
      <c r="GOB923">
        <v>14582029</v>
      </c>
      <c r="GOC923">
        <v>54641929</v>
      </c>
      <c r="GOD923">
        <v>82883601</v>
      </c>
      <c r="GOE923">
        <v>96263925</v>
      </c>
      <c r="GXV923" t="s">
        <v>721</v>
      </c>
      <c r="GXW923">
        <v>18842552</v>
      </c>
      <c r="GXX923">
        <v>14582029</v>
      </c>
      <c r="GXY923">
        <v>54641929</v>
      </c>
      <c r="GXZ923">
        <v>82883601</v>
      </c>
      <c r="GYA923">
        <v>96263925</v>
      </c>
      <c r="HHR923" t="s">
        <v>721</v>
      </c>
      <c r="HHS923">
        <v>18842552</v>
      </c>
      <c r="HHT923">
        <v>14582029</v>
      </c>
      <c r="HHU923">
        <v>54641929</v>
      </c>
      <c r="HHV923">
        <v>82883601</v>
      </c>
      <c r="HHW923">
        <v>96263925</v>
      </c>
      <c r="HRN923" t="s">
        <v>721</v>
      </c>
      <c r="HRO923">
        <v>18842552</v>
      </c>
      <c r="HRP923">
        <v>14582029</v>
      </c>
      <c r="HRQ923">
        <v>54641929</v>
      </c>
      <c r="HRR923">
        <v>82883601</v>
      </c>
      <c r="HRS923">
        <v>96263925</v>
      </c>
      <c r="IBJ923" t="s">
        <v>721</v>
      </c>
      <c r="IBK923">
        <v>18842552</v>
      </c>
      <c r="IBL923">
        <v>14582029</v>
      </c>
      <c r="IBM923">
        <v>54641929</v>
      </c>
      <c r="IBN923">
        <v>82883601</v>
      </c>
      <c r="IBO923">
        <v>96263925</v>
      </c>
      <c r="ILF923" t="s">
        <v>721</v>
      </c>
      <c r="ILG923">
        <v>18842552</v>
      </c>
      <c r="ILH923">
        <v>14582029</v>
      </c>
      <c r="ILI923">
        <v>54641929</v>
      </c>
      <c r="ILJ923">
        <v>82883601</v>
      </c>
      <c r="ILK923">
        <v>96263925</v>
      </c>
      <c r="IVB923" t="s">
        <v>721</v>
      </c>
      <c r="IVC923">
        <v>18842552</v>
      </c>
      <c r="IVD923">
        <v>14582029</v>
      </c>
      <c r="IVE923">
        <v>54641929</v>
      </c>
      <c r="IVF923">
        <v>82883601</v>
      </c>
      <c r="IVG923">
        <v>96263925</v>
      </c>
      <c r="JEX923" t="s">
        <v>721</v>
      </c>
      <c r="JEY923">
        <v>18842552</v>
      </c>
      <c r="JEZ923">
        <v>14582029</v>
      </c>
      <c r="JFA923">
        <v>54641929</v>
      </c>
      <c r="JFB923">
        <v>82883601</v>
      </c>
      <c r="JFC923">
        <v>96263925</v>
      </c>
      <c r="JOT923" t="s">
        <v>721</v>
      </c>
      <c r="JOU923">
        <v>18842552</v>
      </c>
      <c r="JOV923">
        <v>14582029</v>
      </c>
      <c r="JOW923">
        <v>54641929</v>
      </c>
      <c r="JOX923">
        <v>82883601</v>
      </c>
      <c r="JOY923">
        <v>96263925</v>
      </c>
      <c r="JYP923" t="s">
        <v>721</v>
      </c>
      <c r="JYQ923">
        <v>18842552</v>
      </c>
      <c r="JYR923">
        <v>14582029</v>
      </c>
      <c r="JYS923">
        <v>54641929</v>
      </c>
      <c r="JYT923">
        <v>82883601</v>
      </c>
      <c r="JYU923">
        <v>96263925</v>
      </c>
      <c r="KIL923" t="s">
        <v>721</v>
      </c>
      <c r="KIM923">
        <v>18842552</v>
      </c>
      <c r="KIN923">
        <v>14582029</v>
      </c>
      <c r="KIO923">
        <v>54641929</v>
      </c>
      <c r="KIP923">
        <v>82883601</v>
      </c>
      <c r="KIQ923">
        <v>96263925</v>
      </c>
      <c r="KSH923" t="s">
        <v>721</v>
      </c>
      <c r="KSI923">
        <v>18842552</v>
      </c>
      <c r="KSJ923">
        <v>14582029</v>
      </c>
      <c r="KSK923">
        <v>54641929</v>
      </c>
      <c r="KSL923">
        <v>82883601</v>
      </c>
      <c r="KSM923">
        <v>96263925</v>
      </c>
      <c r="LCD923" t="s">
        <v>721</v>
      </c>
      <c r="LCE923">
        <v>18842552</v>
      </c>
      <c r="LCF923">
        <v>14582029</v>
      </c>
      <c r="LCG923">
        <v>54641929</v>
      </c>
      <c r="LCH923">
        <v>82883601</v>
      </c>
      <c r="LCI923">
        <v>96263925</v>
      </c>
      <c r="LLZ923" t="s">
        <v>721</v>
      </c>
      <c r="LMA923">
        <v>18842552</v>
      </c>
      <c r="LMB923">
        <v>14582029</v>
      </c>
      <c r="LMC923">
        <v>54641929</v>
      </c>
      <c r="LMD923">
        <v>82883601</v>
      </c>
      <c r="LME923">
        <v>96263925</v>
      </c>
      <c r="LVV923" t="s">
        <v>721</v>
      </c>
      <c r="LVW923">
        <v>18842552</v>
      </c>
      <c r="LVX923">
        <v>14582029</v>
      </c>
      <c r="LVY923">
        <v>54641929</v>
      </c>
      <c r="LVZ923">
        <v>82883601</v>
      </c>
      <c r="LWA923">
        <v>96263925</v>
      </c>
      <c r="MFR923" t="s">
        <v>721</v>
      </c>
      <c r="MFS923">
        <v>18842552</v>
      </c>
      <c r="MFT923">
        <v>14582029</v>
      </c>
      <c r="MFU923">
        <v>54641929</v>
      </c>
      <c r="MFV923">
        <v>82883601</v>
      </c>
      <c r="MFW923">
        <v>96263925</v>
      </c>
      <c r="MPN923" t="s">
        <v>721</v>
      </c>
      <c r="MPO923">
        <v>18842552</v>
      </c>
      <c r="MPP923">
        <v>14582029</v>
      </c>
      <c r="MPQ923">
        <v>54641929</v>
      </c>
      <c r="MPR923">
        <v>82883601</v>
      </c>
      <c r="MPS923">
        <v>96263925</v>
      </c>
      <c r="MZJ923" t="s">
        <v>721</v>
      </c>
      <c r="MZK923">
        <v>18842552</v>
      </c>
      <c r="MZL923">
        <v>14582029</v>
      </c>
      <c r="MZM923">
        <v>54641929</v>
      </c>
      <c r="MZN923">
        <v>82883601</v>
      </c>
      <c r="MZO923">
        <v>96263925</v>
      </c>
      <c r="NJF923" t="s">
        <v>721</v>
      </c>
      <c r="NJG923">
        <v>18842552</v>
      </c>
      <c r="NJH923">
        <v>14582029</v>
      </c>
      <c r="NJI923">
        <v>54641929</v>
      </c>
      <c r="NJJ923">
        <v>82883601</v>
      </c>
      <c r="NJK923">
        <v>96263925</v>
      </c>
      <c r="NTB923" t="s">
        <v>721</v>
      </c>
      <c r="NTC923">
        <v>18842552</v>
      </c>
      <c r="NTD923">
        <v>14582029</v>
      </c>
      <c r="NTE923">
        <v>54641929</v>
      </c>
      <c r="NTF923">
        <v>82883601</v>
      </c>
      <c r="NTG923">
        <v>96263925</v>
      </c>
      <c r="OCX923" t="s">
        <v>721</v>
      </c>
      <c r="OCY923">
        <v>18842552</v>
      </c>
      <c r="OCZ923">
        <v>14582029</v>
      </c>
      <c r="ODA923">
        <v>54641929</v>
      </c>
      <c r="ODB923">
        <v>82883601</v>
      </c>
      <c r="ODC923">
        <v>96263925</v>
      </c>
      <c r="OMT923" t="s">
        <v>721</v>
      </c>
      <c r="OMU923">
        <v>18842552</v>
      </c>
      <c r="OMV923">
        <v>14582029</v>
      </c>
      <c r="OMW923">
        <v>54641929</v>
      </c>
      <c r="OMX923">
        <v>82883601</v>
      </c>
      <c r="OMY923">
        <v>96263925</v>
      </c>
      <c r="OWP923" t="s">
        <v>721</v>
      </c>
      <c r="OWQ923">
        <v>18842552</v>
      </c>
      <c r="OWR923">
        <v>14582029</v>
      </c>
      <c r="OWS923">
        <v>54641929</v>
      </c>
      <c r="OWT923">
        <v>82883601</v>
      </c>
      <c r="OWU923">
        <v>96263925</v>
      </c>
      <c r="PGL923" t="s">
        <v>721</v>
      </c>
      <c r="PGM923">
        <v>18842552</v>
      </c>
      <c r="PGN923">
        <v>14582029</v>
      </c>
      <c r="PGO923">
        <v>54641929</v>
      </c>
      <c r="PGP923">
        <v>82883601</v>
      </c>
      <c r="PGQ923">
        <v>96263925</v>
      </c>
      <c r="PQH923" t="s">
        <v>721</v>
      </c>
      <c r="PQI923">
        <v>18842552</v>
      </c>
      <c r="PQJ923">
        <v>14582029</v>
      </c>
      <c r="PQK923">
        <v>54641929</v>
      </c>
      <c r="PQL923">
        <v>82883601</v>
      </c>
      <c r="PQM923">
        <v>96263925</v>
      </c>
      <c r="QAD923" t="s">
        <v>721</v>
      </c>
      <c r="QAE923">
        <v>18842552</v>
      </c>
      <c r="QAF923">
        <v>14582029</v>
      </c>
      <c r="QAG923">
        <v>54641929</v>
      </c>
      <c r="QAH923">
        <v>82883601</v>
      </c>
      <c r="QAI923">
        <v>96263925</v>
      </c>
      <c r="QJZ923" t="s">
        <v>721</v>
      </c>
      <c r="QKA923">
        <v>18842552</v>
      </c>
      <c r="QKB923">
        <v>14582029</v>
      </c>
      <c r="QKC923">
        <v>54641929</v>
      </c>
      <c r="QKD923">
        <v>82883601</v>
      </c>
      <c r="QKE923">
        <v>96263925</v>
      </c>
      <c r="QTV923" t="s">
        <v>721</v>
      </c>
      <c r="QTW923">
        <v>18842552</v>
      </c>
      <c r="QTX923">
        <v>14582029</v>
      </c>
      <c r="QTY923">
        <v>54641929</v>
      </c>
      <c r="QTZ923">
        <v>82883601</v>
      </c>
      <c r="QUA923">
        <v>96263925</v>
      </c>
      <c r="RDR923" t="s">
        <v>721</v>
      </c>
      <c r="RDS923">
        <v>18842552</v>
      </c>
      <c r="RDT923">
        <v>14582029</v>
      </c>
      <c r="RDU923">
        <v>54641929</v>
      </c>
      <c r="RDV923">
        <v>82883601</v>
      </c>
      <c r="RDW923">
        <v>96263925</v>
      </c>
      <c r="RNN923" t="s">
        <v>721</v>
      </c>
      <c r="RNO923">
        <v>18842552</v>
      </c>
      <c r="RNP923">
        <v>14582029</v>
      </c>
      <c r="RNQ923">
        <v>54641929</v>
      </c>
      <c r="RNR923">
        <v>82883601</v>
      </c>
      <c r="RNS923">
        <v>96263925</v>
      </c>
      <c r="RXJ923" t="s">
        <v>721</v>
      </c>
      <c r="RXK923">
        <v>18842552</v>
      </c>
      <c r="RXL923">
        <v>14582029</v>
      </c>
      <c r="RXM923">
        <v>54641929</v>
      </c>
      <c r="RXN923">
        <v>82883601</v>
      </c>
      <c r="RXO923">
        <v>96263925</v>
      </c>
      <c r="SHF923" t="s">
        <v>721</v>
      </c>
      <c r="SHG923">
        <v>18842552</v>
      </c>
      <c r="SHH923">
        <v>14582029</v>
      </c>
      <c r="SHI923">
        <v>54641929</v>
      </c>
      <c r="SHJ923">
        <v>82883601</v>
      </c>
      <c r="SHK923">
        <v>96263925</v>
      </c>
      <c r="SRB923" t="s">
        <v>721</v>
      </c>
      <c r="SRC923">
        <v>18842552</v>
      </c>
      <c r="SRD923">
        <v>14582029</v>
      </c>
      <c r="SRE923">
        <v>54641929</v>
      </c>
      <c r="SRF923">
        <v>82883601</v>
      </c>
      <c r="SRG923">
        <v>96263925</v>
      </c>
      <c r="TAX923" t="s">
        <v>721</v>
      </c>
      <c r="TAY923">
        <v>18842552</v>
      </c>
      <c r="TAZ923">
        <v>14582029</v>
      </c>
      <c r="TBA923">
        <v>54641929</v>
      </c>
      <c r="TBB923">
        <v>82883601</v>
      </c>
      <c r="TBC923">
        <v>96263925</v>
      </c>
      <c r="TKT923" t="s">
        <v>721</v>
      </c>
      <c r="TKU923">
        <v>18842552</v>
      </c>
      <c r="TKV923">
        <v>14582029</v>
      </c>
      <c r="TKW923">
        <v>54641929</v>
      </c>
      <c r="TKX923">
        <v>82883601</v>
      </c>
      <c r="TKY923">
        <v>96263925</v>
      </c>
      <c r="TUP923" t="s">
        <v>721</v>
      </c>
      <c r="TUQ923">
        <v>18842552</v>
      </c>
      <c r="TUR923">
        <v>14582029</v>
      </c>
      <c r="TUS923">
        <v>54641929</v>
      </c>
      <c r="TUT923">
        <v>82883601</v>
      </c>
      <c r="TUU923">
        <v>96263925</v>
      </c>
      <c r="UEL923" t="s">
        <v>721</v>
      </c>
      <c r="UEM923">
        <v>18842552</v>
      </c>
      <c r="UEN923">
        <v>14582029</v>
      </c>
      <c r="UEO923">
        <v>54641929</v>
      </c>
      <c r="UEP923">
        <v>82883601</v>
      </c>
      <c r="UEQ923">
        <v>96263925</v>
      </c>
      <c r="UOH923" t="s">
        <v>721</v>
      </c>
      <c r="UOI923">
        <v>18842552</v>
      </c>
      <c r="UOJ923">
        <v>14582029</v>
      </c>
      <c r="UOK923">
        <v>54641929</v>
      </c>
      <c r="UOL923">
        <v>82883601</v>
      </c>
      <c r="UOM923">
        <v>96263925</v>
      </c>
      <c r="UYD923" t="s">
        <v>721</v>
      </c>
      <c r="UYE923">
        <v>18842552</v>
      </c>
      <c r="UYF923">
        <v>14582029</v>
      </c>
      <c r="UYG923">
        <v>54641929</v>
      </c>
      <c r="UYH923">
        <v>82883601</v>
      </c>
      <c r="UYI923">
        <v>96263925</v>
      </c>
      <c r="VHZ923" t="s">
        <v>721</v>
      </c>
      <c r="VIA923">
        <v>18842552</v>
      </c>
      <c r="VIB923">
        <v>14582029</v>
      </c>
      <c r="VIC923">
        <v>54641929</v>
      </c>
      <c r="VID923">
        <v>82883601</v>
      </c>
      <c r="VIE923">
        <v>96263925</v>
      </c>
      <c r="VRV923" t="s">
        <v>721</v>
      </c>
      <c r="VRW923">
        <v>18842552</v>
      </c>
      <c r="VRX923">
        <v>14582029</v>
      </c>
      <c r="VRY923">
        <v>54641929</v>
      </c>
      <c r="VRZ923">
        <v>82883601</v>
      </c>
      <c r="VSA923">
        <v>96263925</v>
      </c>
      <c r="WBR923" t="s">
        <v>721</v>
      </c>
      <c r="WBS923">
        <v>18842552</v>
      </c>
      <c r="WBT923">
        <v>14582029</v>
      </c>
      <c r="WBU923">
        <v>54641929</v>
      </c>
      <c r="WBV923">
        <v>82883601</v>
      </c>
      <c r="WBW923">
        <v>96263925</v>
      </c>
      <c r="WLN923" t="s">
        <v>721</v>
      </c>
      <c r="WLO923">
        <v>18842552</v>
      </c>
      <c r="WLP923">
        <v>14582029</v>
      </c>
      <c r="WLQ923">
        <v>54641929</v>
      </c>
      <c r="WLR923">
        <v>82883601</v>
      </c>
      <c r="WLS923">
        <v>96263925</v>
      </c>
      <c r="WVJ923" t="s">
        <v>721</v>
      </c>
      <c r="WVK923">
        <v>18842552</v>
      </c>
      <c r="WVL923">
        <v>14582029</v>
      </c>
      <c r="WVM923">
        <v>54641929</v>
      </c>
      <c r="WVN923">
        <v>82883601</v>
      </c>
      <c r="WVO923">
        <v>96263925</v>
      </c>
    </row>
    <row r="924" spans="1:775 1026:1799 2050:2823 3074:3847 4098:4871 5122:5895 6146:6919 7170:7943 8194:8967 9218:9991 10242:11015 11266:12039 12290:13063 13314:14087 14338:15111 15362:16135" s="1337" customFormat="1" ht="14.5" thickBot="1">
      <c r="A924" s="1433" t="s">
        <v>722</v>
      </c>
      <c r="C924" s="1430"/>
      <c r="D924" s="1430"/>
      <c r="E924" s="1430"/>
      <c r="F924" s="1430"/>
      <c r="G924" s="1430"/>
      <c r="H924" s="1430"/>
      <c r="IX924" s="1337" t="s">
        <v>722</v>
      </c>
      <c r="ST924" s="1337" t="s">
        <v>722</v>
      </c>
      <c r="ACP924" s="1337" t="s">
        <v>722</v>
      </c>
      <c r="AML924" s="1337" t="s">
        <v>722</v>
      </c>
      <c r="AWH924" s="1337" t="s">
        <v>722</v>
      </c>
      <c r="BGD924" s="1337" t="s">
        <v>722</v>
      </c>
      <c r="BPZ924" s="1337" t="s">
        <v>722</v>
      </c>
      <c r="BZV924" s="1337" t="s">
        <v>722</v>
      </c>
      <c r="CJR924" s="1337" t="s">
        <v>722</v>
      </c>
      <c r="CTN924" s="1337" t="s">
        <v>722</v>
      </c>
      <c r="DDJ924" s="1337" t="s">
        <v>722</v>
      </c>
      <c r="DNF924" s="1337" t="s">
        <v>722</v>
      </c>
      <c r="DXB924" s="1337" t="s">
        <v>722</v>
      </c>
      <c r="EGX924" s="1337" t="s">
        <v>722</v>
      </c>
      <c r="EQT924" s="1337" t="s">
        <v>722</v>
      </c>
      <c r="FAP924" s="1337" t="s">
        <v>722</v>
      </c>
      <c r="FKL924" s="1337" t="s">
        <v>722</v>
      </c>
      <c r="FUH924" s="1337" t="s">
        <v>722</v>
      </c>
      <c r="GED924" s="1337" t="s">
        <v>722</v>
      </c>
      <c r="GNZ924" s="1337" t="s">
        <v>722</v>
      </c>
      <c r="GXV924" s="1337" t="s">
        <v>722</v>
      </c>
      <c r="HHR924" s="1337" t="s">
        <v>722</v>
      </c>
      <c r="HRN924" s="1337" t="s">
        <v>722</v>
      </c>
      <c r="IBJ924" s="1337" t="s">
        <v>722</v>
      </c>
      <c r="ILF924" s="1337" t="s">
        <v>722</v>
      </c>
      <c r="IVB924" s="1337" t="s">
        <v>722</v>
      </c>
      <c r="JEX924" s="1337" t="s">
        <v>722</v>
      </c>
      <c r="JOT924" s="1337" t="s">
        <v>722</v>
      </c>
      <c r="JYP924" s="1337" t="s">
        <v>722</v>
      </c>
      <c r="KIL924" s="1337" t="s">
        <v>722</v>
      </c>
      <c r="KSH924" s="1337" t="s">
        <v>722</v>
      </c>
      <c r="LCD924" s="1337" t="s">
        <v>722</v>
      </c>
      <c r="LLZ924" s="1337" t="s">
        <v>722</v>
      </c>
      <c r="LVV924" s="1337" t="s">
        <v>722</v>
      </c>
      <c r="MFR924" s="1337" t="s">
        <v>722</v>
      </c>
      <c r="MPN924" s="1337" t="s">
        <v>722</v>
      </c>
      <c r="MZJ924" s="1337" t="s">
        <v>722</v>
      </c>
      <c r="NJF924" s="1337" t="s">
        <v>722</v>
      </c>
      <c r="NTB924" s="1337" t="s">
        <v>722</v>
      </c>
      <c r="OCX924" s="1337" t="s">
        <v>722</v>
      </c>
      <c r="OMT924" s="1337" t="s">
        <v>722</v>
      </c>
      <c r="OWP924" s="1337" t="s">
        <v>722</v>
      </c>
      <c r="PGL924" s="1337" t="s">
        <v>722</v>
      </c>
      <c r="PQH924" s="1337" t="s">
        <v>722</v>
      </c>
      <c r="QAD924" s="1337" t="s">
        <v>722</v>
      </c>
      <c r="QJZ924" s="1337" t="s">
        <v>722</v>
      </c>
      <c r="QTV924" s="1337" t="s">
        <v>722</v>
      </c>
      <c r="RDR924" s="1337" t="s">
        <v>722</v>
      </c>
      <c r="RNN924" s="1337" t="s">
        <v>722</v>
      </c>
      <c r="RXJ924" s="1337" t="s">
        <v>722</v>
      </c>
      <c r="SHF924" s="1337" t="s">
        <v>722</v>
      </c>
      <c r="SRB924" s="1337" t="s">
        <v>722</v>
      </c>
      <c r="TAX924" s="1337" t="s">
        <v>722</v>
      </c>
      <c r="TKT924" s="1337" t="s">
        <v>722</v>
      </c>
      <c r="TUP924" s="1337" t="s">
        <v>722</v>
      </c>
      <c r="UEL924" s="1337" t="s">
        <v>722</v>
      </c>
      <c r="UOH924" s="1337" t="s">
        <v>722</v>
      </c>
      <c r="UYD924" s="1337" t="s">
        <v>722</v>
      </c>
      <c r="VHZ924" s="1337" t="s">
        <v>722</v>
      </c>
      <c r="VRV924" s="1337" t="s">
        <v>722</v>
      </c>
      <c r="WBR924" s="1337" t="s">
        <v>722</v>
      </c>
      <c r="WLN924" s="1337" t="s">
        <v>722</v>
      </c>
      <c r="WVJ924" s="1337" t="s">
        <v>722</v>
      </c>
    </row>
    <row r="925" spans="1:775 1026:1799 2050:2823 3074:3847 4098:4871 5122:5895 6146:6919 7170:7943 8194:8967 9218:9991 10242:11015 11266:12039 12290:13063 13314:14087 14338:15111 15362:16135">
      <c r="A925" s="96" t="s">
        <v>1333</v>
      </c>
      <c r="B925" t="s">
        <v>724</v>
      </c>
      <c r="C925" s="100">
        <v>2869953</v>
      </c>
      <c r="D925" s="98">
        <v>0</v>
      </c>
      <c r="E925" s="98">
        <v>0</v>
      </c>
      <c r="F925" s="98">
        <v>0</v>
      </c>
      <c r="G925" s="98">
        <v>0</v>
      </c>
      <c r="H925" s="98"/>
      <c r="IX925" t="s">
        <v>1333</v>
      </c>
      <c r="IY925">
        <v>2869953</v>
      </c>
      <c r="IZ925" t="s">
        <v>619</v>
      </c>
      <c r="JA925" t="s">
        <v>619</v>
      </c>
      <c r="JB925" t="s">
        <v>619</v>
      </c>
      <c r="JC925" t="s">
        <v>619</v>
      </c>
      <c r="ST925" t="s">
        <v>1333</v>
      </c>
      <c r="SU925">
        <v>2869953</v>
      </c>
      <c r="SV925" t="s">
        <v>619</v>
      </c>
      <c r="SW925" t="s">
        <v>619</v>
      </c>
      <c r="SX925" t="s">
        <v>619</v>
      </c>
      <c r="SY925" t="s">
        <v>619</v>
      </c>
      <c r="ACP925" t="s">
        <v>1333</v>
      </c>
      <c r="ACQ925">
        <v>2869953</v>
      </c>
      <c r="ACR925" t="s">
        <v>619</v>
      </c>
      <c r="ACS925" t="s">
        <v>619</v>
      </c>
      <c r="ACT925" t="s">
        <v>619</v>
      </c>
      <c r="ACU925" t="s">
        <v>619</v>
      </c>
      <c r="AML925" t="s">
        <v>1333</v>
      </c>
      <c r="AMM925">
        <v>2869953</v>
      </c>
      <c r="AMN925" t="s">
        <v>619</v>
      </c>
      <c r="AMO925" t="s">
        <v>619</v>
      </c>
      <c r="AMP925" t="s">
        <v>619</v>
      </c>
      <c r="AMQ925" t="s">
        <v>619</v>
      </c>
      <c r="AWH925" t="s">
        <v>1333</v>
      </c>
      <c r="AWI925">
        <v>2869953</v>
      </c>
      <c r="AWJ925" t="s">
        <v>619</v>
      </c>
      <c r="AWK925" t="s">
        <v>619</v>
      </c>
      <c r="AWL925" t="s">
        <v>619</v>
      </c>
      <c r="AWM925" t="s">
        <v>619</v>
      </c>
      <c r="BGD925" t="s">
        <v>1333</v>
      </c>
      <c r="BGE925">
        <v>2869953</v>
      </c>
      <c r="BGF925" t="s">
        <v>619</v>
      </c>
      <c r="BGG925" t="s">
        <v>619</v>
      </c>
      <c r="BGH925" t="s">
        <v>619</v>
      </c>
      <c r="BGI925" t="s">
        <v>619</v>
      </c>
      <c r="BPZ925" t="s">
        <v>1333</v>
      </c>
      <c r="BQA925">
        <v>2869953</v>
      </c>
      <c r="BQB925" t="s">
        <v>619</v>
      </c>
      <c r="BQC925" t="s">
        <v>619</v>
      </c>
      <c r="BQD925" t="s">
        <v>619</v>
      </c>
      <c r="BQE925" t="s">
        <v>619</v>
      </c>
      <c r="BZV925" t="s">
        <v>1333</v>
      </c>
      <c r="BZW925">
        <v>2869953</v>
      </c>
      <c r="BZX925" t="s">
        <v>619</v>
      </c>
      <c r="BZY925" t="s">
        <v>619</v>
      </c>
      <c r="BZZ925" t="s">
        <v>619</v>
      </c>
      <c r="CAA925" t="s">
        <v>619</v>
      </c>
      <c r="CJR925" t="s">
        <v>1333</v>
      </c>
      <c r="CJS925">
        <v>2869953</v>
      </c>
      <c r="CJT925" t="s">
        <v>619</v>
      </c>
      <c r="CJU925" t="s">
        <v>619</v>
      </c>
      <c r="CJV925" t="s">
        <v>619</v>
      </c>
      <c r="CJW925" t="s">
        <v>619</v>
      </c>
      <c r="CTN925" t="s">
        <v>1333</v>
      </c>
      <c r="CTO925">
        <v>2869953</v>
      </c>
      <c r="CTP925" t="s">
        <v>619</v>
      </c>
      <c r="CTQ925" t="s">
        <v>619</v>
      </c>
      <c r="CTR925" t="s">
        <v>619</v>
      </c>
      <c r="CTS925" t="s">
        <v>619</v>
      </c>
      <c r="DDJ925" t="s">
        <v>1333</v>
      </c>
      <c r="DDK925">
        <v>2869953</v>
      </c>
      <c r="DDL925" t="s">
        <v>619</v>
      </c>
      <c r="DDM925" t="s">
        <v>619</v>
      </c>
      <c r="DDN925" t="s">
        <v>619</v>
      </c>
      <c r="DDO925" t="s">
        <v>619</v>
      </c>
      <c r="DNF925" t="s">
        <v>1333</v>
      </c>
      <c r="DNG925">
        <v>2869953</v>
      </c>
      <c r="DNH925" t="s">
        <v>619</v>
      </c>
      <c r="DNI925" t="s">
        <v>619</v>
      </c>
      <c r="DNJ925" t="s">
        <v>619</v>
      </c>
      <c r="DNK925" t="s">
        <v>619</v>
      </c>
      <c r="DXB925" t="s">
        <v>1333</v>
      </c>
      <c r="DXC925">
        <v>2869953</v>
      </c>
      <c r="DXD925" t="s">
        <v>619</v>
      </c>
      <c r="DXE925" t="s">
        <v>619</v>
      </c>
      <c r="DXF925" t="s">
        <v>619</v>
      </c>
      <c r="DXG925" t="s">
        <v>619</v>
      </c>
      <c r="EGX925" t="s">
        <v>1333</v>
      </c>
      <c r="EGY925">
        <v>2869953</v>
      </c>
      <c r="EGZ925" t="s">
        <v>619</v>
      </c>
      <c r="EHA925" t="s">
        <v>619</v>
      </c>
      <c r="EHB925" t="s">
        <v>619</v>
      </c>
      <c r="EHC925" t="s">
        <v>619</v>
      </c>
      <c r="EQT925" t="s">
        <v>1333</v>
      </c>
      <c r="EQU925">
        <v>2869953</v>
      </c>
      <c r="EQV925" t="s">
        <v>619</v>
      </c>
      <c r="EQW925" t="s">
        <v>619</v>
      </c>
      <c r="EQX925" t="s">
        <v>619</v>
      </c>
      <c r="EQY925" t="s">
        <v>619</v>
      </c>
      <c r="FAP925" t="s">
        <v>1333</v>
      </c>
      <c r="FAQ925">
        <v>2869953</v>
      </c>
      <c r="FAR925" t="s">
        <v>619</v>
      </c>
      <c r="FAS925" t="s">
        <v>619</v>
      </c>
      <c r="FAT925" t="s">
        <v>619</v>
      </c>
      <c r="FAU925" t="s">
        <v>619</v>
      </c>
      <c r="FKL925" t="s">
        <v>1333</v>
      </c>
      <c r="FKM925">
        <v>2869953</v>
      </c>
      <c r="FKN925" t="s">
        <v>619</v>
      </c>
      <c r="FKO925" t="s">
        <v>619</v>
      </c>
      <c r="FKP925" t="s">
        <v>619</v>
      </c>
      <c r="FKQ925" t="s">
        <v>619</v>
      </c>
      <c r="FUH925" t="s">
        <v>1333</v>
      </c>
      <c r="FUI925">
        <v>2869953</v>
      </c>
      <c r="FUJ925" t="s">
        <v>619</v>
      </c>
      <c r="FUK925" t="s">
        <v>619</v>
      </c>
      <c r="FUL925" t="s">
        <v>619</v>
      </c>
      <c r="FUM925" t="s">
        <v>619</v>
      </c>
      <c r="GED925" t="s">
        <v>1333</v>
      </c>
      <c r="GEE925">
        <v>2869953</v>
      </c>
      <c r="GEF925" t="s">
        <v>619</v>
      </c>
      <c r="GEG925" t="s">
        <v>619</v>
      </c>
      <c r="GEH925" t="s">
        <v>619</v>
      </c>
      <c r="GEI925" t="s">
        <v>619</v>
      </c>
      <c r="GNZ925" t="s">
        <v>1333</v>
      </c>
      <c r="GOA925">
        <v>2869953</v>
      </c>
      <c r="GOB925" t="s">
        <v>619</v>
      </c>
      <c r="GOC925" t="s">
        <v>619</v>
      </c>
      <c r="GOD925" t="s">
        <v>619</v>
      </c>
      <c r="GOE925" t="s">
        <v>619</v>
      </c>
      <c r="GXV925" t="s">
        <v>1333</v>
      </c>
      <c r="GXW925">
        <v>2869953</v>
      </c>
      <c r="GXX925" t="s">
        <v>619</v>
      </c>
      <c r="GXY925" t="s">
        <v>619</v>
      </c>
      <c r="GXZ925" t="s">
        <v>619</v>
      </c>
      <c r="GYA925" t="s">
        <v>619</v>
      </c>
      <c r="HHR925" t="s">
        <v>1333</v>
      </c>
      <c r="HHS925">
        <v>2869953</v>
      </c>
      <c r="HHT925" t="s">
        <v>619</v>
      </c>
      <c r="HHU925" t="s">
        <v>619</v>
      </c>
      <c r="HHV925" t="s">
        <v>619</v>
      </c>
      <c r="HHW925" t="s">
        <v>619</v>
      </c>
      <c r="HRN925" t="s">
        <v>1333</v>
      </c>
      <c r="HRO925">
        <v>2869953</v>
      </c>
      <c r="HRP925" t="s">
        <v>619</v>
      </c>
      <c r="HRQ925" t="s">
        <v>619</v>
      </c>
      <c r="HRR925" t="s">
        <v>619</v>
      </c>
      <c r="HRS925" t="s">
        <v>619</v>
      </c>
      <c r="IBJ925" t="s">
        <v>1333</v>
      </c>
      <c r="IBK925">
        <v>2869953</v>
      </c>
      <c r="IBL925" t="s">
        <v>619</v>
      </c>
      <c r="IBM925" t="s">
        <v>619</v>
      </c>
      <c r="IBN925" t="s">
        <v>619</v>
      </c>
      <c r="IBO925" t="s">
        <v>619</v>
      </c>
      <c r="ILF925" t="s">
        <v>1333</v>
      </c>
      <c r="ILG925">
        <v>2869953</v>
      </c>
      <c r="ILH925" t="s">
        <v>619</v>
      </c>
      <c r="ILI925" t="s">
        <v>619</v>
      </c>
      <c r="ILJ925" t="s">
        <v>619</v>
      </c>
      <c r="ILK925" t="s">
        <v>619</v>
      </c>
      <c r="IVB925" t="s">
        <v>1333</v>
      </c>
      <c r="IVC925">
        <v>2869953</v>
      </c>
      <c r="IVD925" t="s">
        <v>619</v>
      </c>
      <c r="IVE925" t="s">
        <v>619</v>
      </c>
      <c r="IVF925" t="s">
        <v>619</v>
      </c>
      <c r="IVG925" t="s">
        <v>619</v>
      </c>
      <c r="JEX925" t="s">
        <v>1333</v>
      </c>
      <c r="JEY925">
        <v>2869953</v>
      </c>
      <c r="JEZ925" t="s">
        <v>619</v>
      </c>
      <c r="JFA925" t="s">
        <v>619</v>
      </c>
      <c r="JFB925" t="s">
        <v>619</v>
      </c>
      <c r="JFC925" t="s">
        <v>619</v>
      </c>
      <c r="JOT925" t="s">
        <v>1333</v>
      </c>
      <c r="JOU925">
        <v>2869953</v>
      </c>
      <c r="JOV925" t="s">
        <v>619</v>
      </c>
      <c r="JOW925" t="s">
        <v>619</v>
      </c>
      <c r="JOX925" t="s">
        <v>619</v>
      </c>
      <c r="JOY925" t="s">
        <v>619</v>
      </c>
      <c r="JYP925" t="s">
        <v>1333</v>
      </c>
      <c r="JYQ925">
        <v>2869953</v>
      </c>
      <c r="JYR925" t="s">
        <v>619</v>
      </c>
      <c r="JYS925" t="s">
        <v>619</v>
      </c>
      <c r="JYT925" t="s">
        <v>619</v>
      </c>
      <c r="JYU925" t="s">
        <v>619</v>
      </c>
      <c r="KIL925" t="s">
        <v>1333</v>
      </c>
      <c r="KIM925">
        <v>2869953</v>
      </c>
      <c r="KIN925" t="s">
        <v>619</v>
      </c>
      <c r="KIO925" t="s">
        <v>619</v>
      </c>
      <c r="KIP925" t="s">
        <v>619</v>
      </c>
      <c r="KIQ925" t="s">
        <v>619</v>
      </c>
      <c r="KSH925" t="s">
        <v>1333</v>
      </c>
      <c r="KSI925">
        <v>2869953</v>
      </c>
      <c r="KSJ925" t="s">
        <v>619</v>
      </c>
      <c r="KSK925" t="s">
        <v>619</v>
      </c>
      <c r="KSL925" t="s">
        <v>619</v>
      </c>
      <c r="KSM925" t="s">
        <v>619</v>
      </c>
      <c r="LCD925" t="s">
        <v>1333</v>
      </c>
      <c r="LCE925">
        <v>2869953</v>
      </c>
      <c r="LCF925" t="s">
        <v>619</v>
      </c>
      <c r="LCG925" t="s">
        <v>619</v>
      </c>
      <c r="LCH925" t="s">
        <v>619</v>
      </c>
      <c r="LCI925" t="s">
        <v>619</v>
      </c>
      <c r="LLZ925" t="s">
        <v>1333</v>
      </c>
      <c r="LMA925">
        <v>2869953</v>
      </c>
      <c r="LMB925" t="s">
        <v>619</v>
      </c>
      <c r="LMC925" t="s">
        <v>619</v>
      </c>
      <c r="LMD925" t="s">
        <v>619</v>
      </c>
      <c r="LME925" t="s">
        <v>619</v>
      </c>
      <c r="LVV925" t="s">
        <v>1333</v>
      </c>
      <c r="LVW925">
        <v>2869953</v>
      </c>
      <c r="LVX925" t="s">
        <v>619</v>
      </c>
      <c r="LVY925" t="s">
        <v>619</v>
      </c>
      <c r="LVZ925" t="s">
        <v>619</v>
      </c>
      <c r="LWA925" t="s">
        <v>619</v>
      </c>
      <c r="MFR925" t="s">
        <v>1333</v>
      </c>
      <c r="MFS925">
        <v>2869953</v>
      </c>
      <c r="MFT925" t="s">
        <v>619</v>
      </c>
      <c r="MFU925" t="s">
        <v>619</v>
      </c>
      <c r="MFV925" t="s">
        <v>619</v>
      </c>
      <c r="MFW925" t="s">
        <v>619</v>
      </c>
      <c r="MPN925" t="s">
        <v>1333</v>
      </c>
      <c r="MPO925">
        <v>2869953</v>
      </c>
      <c r="MPP925" t="s">
        <v>619</v>
      </c>
      <c r="MPQ925" t="s">
        <v>619</v>
      </c>
      <c r="MPR925" t="s">
        <v>619</v>
      </c>
      <c r="MPS925" t="s">
        <v>619</v>
      </c>
      <c r="MZJ925" t="s">
        <v>1333</v>
      </c>
      <c r="MZK925">
        <v>2869953</v>
      </c>
      <c r="MZL925" t="s">
        <v>619</v>
      </c>
      <c r="MZM925" t="s">
        <v>619</v>
      </c>
      <c r="MZN925" t="s">
        <v>619</v>
      </c>
      <c r="MZO925" t="s">
        <v>619</v>
      </c>
      <c r="NJF925" t="s">
        <v>1333</v>
      </c>
      <c r="NJG925">
        <v>2869953</v>
      </c>
      <c r="NJH925" t="s">
        <v>619</v>
      </c>
      <c r="NJI925" t="s">
        <v>619</v>
      </c>
      <c r="NJJ925" t="s">
        <v>619</v>
      </c>
      <c r="NJK925" t="s">
        <v>619</v>
      </c>
      <c r="NTB925" t="s">
        <v>1333</v>
      </c>
      <c r="NTC925">
        <v>2869953</v>
      </c>
      <c r="NTD925" t="s">
        <v>619</v>
      </c>
      <c r="NTE925" t="s">
        <v>619</v>
      </c>
      <c r="NTF925" t="s">
        <v>619</v>
      </c>
      <c r="NTG925" t="s">
        <v>619</v>
      </c>
      <c r="OCX925" t="s">
        <v>1333</v>
      </c>
      <c r="OCY925">
        <v>2869953</v>
      </c>
      <c r="OCZ925" t="s">
        <v>619</v>
      </c>
      <c r="ODA925" t="s">
        <v>619</v>
      </c>
      <c r="ODB925" t="s">
        <v>619</v>
      </c>
      <c r="ODC925" t="s">
        <v>619</v>
      </c>
      <c r="OMT925" t="s">
        <v>1333</v>
      </c>
      <c r="OMU925">
        <v>2869953</v>
      </c>
      <c r="OMV925" t="s">
        <v>619</v>
      </c>
      <c r="OMW925" t="s">
        <v>619</v>
      </c>
      <c r="OMX925" t="s">
        <v>619</v>
      </c>
      <c r="OMY925" t="s">
        <v>619</v>
      </c>
      <c r="OWP925" t="s">
        <v>1333</v>
      </c>
      <c r="OWQ925">
        <v>2869953</v>
      </c>
      <c r="OWR925" t="s">
        <v>619</v>
      </c>
      <c r="OWS925" t="s">
        <v>619</v>
      </c>
      <c r="OWT925" t="s">
        <v>619</v>
      </c>
      <c r="OWU925" t="s">
        <v>619</v>
      </c>
      <c r="PGL925" t="s">
        <v>1333</v>
      </c>
      <c r="PGM925">
        <v>2869953</v>
      </c>
      <c r="PGN925" t="s">
        <v>619</v>
      </c>
      <c r="PGO925" t="s">
        <v>619</v>
      </c>
      <c r="PGP925" t="s">
        <v>619</v>
      </c>
      <c r="PGQ925" t="s">
        <v>619</v>
      </c>
      <c r="PQH925" t="s">
        <v>1333</v>
      </c>
      <c r="PQI925">
        <v>2869953</v>
      </c>
      <c r="PQJ925" t="s">
        <v>619</v>
      </c>
      <c r="PQK925" t="s">
        <v>619</v>
      </c>
      <c r="PQL925" t="s">
        <v>619</v>
      </c>
      <c r="PQM925" t="s">
        <v>619</v>
      </c>
      <c r="QAD925" t="s">
        <v>1333</v>
      </c>
      <c r="QAE925">
        <v>2869953</v>
      </c>
      <c r="QAF925" t="s">
        <v>619</v>
      </c>
      <c r="QAG925" t="s">
        <v>619</v>
      </c>
      <c r="QAH925" t="s">
        <v>619</v>
      </c>
      <c r="QAI925" t="s">
        <v>619</v>
      </c>
      <c r="QJZ925" t="s">
        <v>1333</v>
      </c>
      <c r="QKA925">
        <v>2869953</v>
      </c>
      <c r="QKB925" t="s">
        <v>619</v>
      </c>
      <c r="QKC925" t="s">
        <v>619</v>
      </c>
      <c r="QKD925" t="s">
        <v>619</v>
      </c>
      <c r="QKE925" t="s">
        <v>619</v>
      </c>
      <c r="QTV925" t="s">
        <v>1333</v>
      </c>
      <c r="QTW925">
        <v>2869953</v>
      </c>
      <c r="QTX925" t="s">
        <v>619</v>
      </c>
      <c r="QTY925" t="s">
        <v>619</v>
      </c>
      <c r="QTZ925" t="s">
        <v>619</v>
      </c>
      <c r="QUA925" t="s">
        <v>619</v>
      </c>
      <c r="RDR925" t="s">
        <v>1333</v>
      </c>
      <c r="RDS925">
        <v>2869953</v>
      </c>
      <c r="RDT925" t="s">
        <v>619</v>
      </c>
      <c r="RDU925" t="s">
        <v>619</v>
      </c>
      <c r="RDV925" t="s">
        <v>619</v>
      </c>
      <c r="RDW925" t="s">
        <v>619</v>
      </c>
      <c r="RNN925" t="s">
        <v>1333</v>
      </c>
      <c r="RNO925">
        <v>2869953</v>
      </c>
      <c r="RNP925" t="s">
        <v>619</v>
      </c>
      <c r="RNQ925" t="s">
        <v>619</v>
      </c>
      <c r="RNR925" t="s">
        <v>619</v>
      </c>
      <c r="RNS925" t="s">
        <v>619</v>
      </c>
      <c r="RXJ925" t="s">
        <v>1333</v>
      </c>
      <c r="RXK925">
        <v>2869953</v>
      </c>
      <c r="RXL925" t="s">
        <v>619</v>
      </c>
      <c r="RXM925" t="s">
        <v>619</v>
      </c>
      <c r="RXN925" t="s">
        <v>619</v>
      </c>
      <c r="RXO925" t="s">
        <v>619</v>
      </c>
      <c r="SHF925" t="s">
        <v>1333</v>
      </c>
      <c r="SHG925">
        <v>2869953</v>
      </c>
      <c r="SHH925" t="s">
        <v>619</v>
      </c>
      <c r="SHI925" t="s">
        <v>619</v>
      </c>
      <c r="SHJ925" t="s">
        <v>619</v>
      </c>
      <c r="SHK925" t="s">
        <v>619</v>
      </c>
      <c r="SRB925" t="s">
        <v>1333</v>
      </c>
      <c r="SRC925">
        <v>2869953</v>
      </c>
      <c r="SRD925" t="s">
        <v>619</v>
      </c>
      <c r="SRE925" t="s">
        <v>619</v>
      </c>
      <c r="SRF925" t="s">
        <v>619</v>
      </c>
      <c r="SRG925" t="s">
        <v>619</v>
      </c>
      <c r="TAX925" t="s">
        <v>1333</v>
      </c>
      <c r="TAY925">
        <v>2869953</v>
      </c>
      <c r="TAZ925" t="s">
        <v>619</v>
      </c>
      <c r="TBA925" t="s">
        <v>619</v>
      </c>
      <c r="TBB925" t="s">
        <v>619</v>
      </c>
      <c r="TBC925" t="s">
        <v>619</v>
      </c>
      <c r="TKT925" t="s">
        <v>1333</v>
      </c>
      <c r="TKU925">
        <v>2869953</v>
      </c>
      <c r="TKV925" t="s">
        <v>619</v>
      </c>
      <c r="TKW925" t="s">
        <v>619</v>
      </c>
      <c r="TKX925" t="s">
        <v>619</v>
      </c>
      <c r="TKY925" t="s">
        <v>619</v>
      </c>
      <c r="TUP925" t="s">
        <v>1333</v>
      </c>
      <c r="TUQ925">
        <v>2869953</v>
      </c>
      <c r="TUR925" t="s">
        <v>619</v>
      </c>
      <c r="TUS925" t="s">
        <v>619</v>
      </c>
      <c r="TUT925" t="s">
        <v>619</v>
      </c>
      <c r="TUU925" t="s">
        <v>619</v>
      </c>
      <c r="UEL925" t="s">
        <v>1333</v>
      </c>
      <c r="UEM925">
        <v>2869953</v>
      </c>
      <c r="UEN925" t="s">
        <v>619</v>
      </c>
      <c r="UEO925" t="s">
        <v>619</v>
      </c>
      <c r="UEP925" t="s">
        <v>619</v>
      </c>
      <c r="UEQ925" t="s">
        <v>619</v>
      </c>
      <c r="UOH925" t="s">
        <v>1333</v>
      </c>
      <c r="UOI925">
        <v>2869953</v>
      </c>
      <c r="UOJ925" t="s">
        <v>619</v>
      </c>
      <c r="UOK925" t="s">
        <v>619</v>
      </c>
      <c r="UOL925" t="s">
        <v>619</v>
      </c>
      <c r="UOM925" t="s">
        <v>619</v>
      </c>
      <c r="UYD925" t="s">
        <v>1333</v>
      </c>
      <c r="UYE925">
        <v>2869953</v>
      </c>
      <c r="UYF925" t="s">
        <v>619</v>
      </c>
      <c r="UYG925" t="s">
        <v>619</v>
      </c>
      <c r="UYH925" t="s">
        <v>619</v>
      </c>
      <c r="UYI925" t="s">
        <v>619</v>
      </c>
      <c r="VHZ925" t="s">
        <v>1333</v>
      </c>
      <c r="VIA925">
        <v>2869953</v>
      </c>
      <c r="VIB925" t="s">
        <v>619</v>
      </c>
      <c r="VIC925" t="s">
        <v>619</v>
      </c>
      <c r="VID925" t="s">
        <v>619</v>
      </c>
      <c r="VIE925" t="s">
        <v>619</v>
      </c>
      <c r="VRV925" t="s">
        <v>1333</v>
      </c>
      <c r="VRW925">
        <v>2869953</v>
      </c>
      <c r="VRX925" t="s">
        <v>619</v>
      </c>
      <c r="VRY925" t="s">
        <v>619</v>
      </c>
      <c r="VRZ925" t="s">
        <v>619</v>
      </c>
      <c r="VSA925" t="s">
        <v>619</v>
      </c>
      <c r="WBR925" t="s">
        <v>1333</v>
      </c>
      <c r="WBS925">
        <v>2869953</v>
      </c>
      <c r="WBT925" t="s">
        <v>619</v>
      </c>
      <c r="WBU925" t="s">
        <v>619</v>
      </c>
      <c r="WBV925" t="s">
        <v>619</v>
      </c>
      <c r="WBW925" t="s">
        <v>619</v>
      </c>
      <c r="WLN925" t="s">
        <v>1333</v>
      </c>
      <c r="WLO925">
        <v>2869953</v>
      </c>
      <c r="WLP925" t="s">
        <v>619</v>
      </c>
      <c r="WLQ925" t="s">
        <v>619</v>
      </c>
      <c r="WLR925" t="s">
        <v>619</v>
      </c>
      <c r="WLS925" t="s">
        <v>619</v>
      </c>
      <c r="WVJ925" t="s">
        <v>1333</v>
      </c>
      <c r="WVK925">
        <v>2869953</v>
      </c>
      <c r="WVL925" t="s">
        <v>619</v>
      </c>
      <c r="WVM925" t="s">
        <v>619</v>
      </c>
      <c r="WVN925" t="s">
        <v>619</v>
      </c>
      <c r="WVO925" t="s">
        <v>619</v>
      </c>
    </row>
    <row r="926" spans="1:775 1026:1799 2050:2823 3074:3847 4098:4871 5122:5895 6146:6919 7170:7943 8194:8967 9218:9991 10242:11015 11266:12039 12290:13063 13314:14087 14338:15111 15362:16135">
      <c r="A926" s="96" t="s">
        <v>1334</v>
      </c>
      <c r="B926" t="s">
        <v>724</v>
      </c>
      <c r="C926" s="98">
        <v>0</v>
      </c>
      <c r="D926" s="100">
        <v>3111699</v>
      </c>
      <c r="E926" s="100">
        <v>6368253</v>
      </c>
      <c r="F926" s="100">
        <v>12638991</v>
      </c>
      <c r="G926" s="100">
        <v>25223687</v>
      </c>
      <c r="H926" s="100"/>
      <c r="IX926" t="s">
        <v>1334</v>
      </c>
      <c r="IY926" t="s">
        <v>619</v>
      </c>
      <c r="IZ926">
        <v>3111699</v>
      </c>
      <c r="JA926">
        <v>6368253</v>
      </c>
      <c r="JB926">
        <v>12638991</v>
      </c>
      <c r="JC926">
        <v>25223687</v>
      </c>
      <c r="ST926" t="s">
        <v>1334</v>
      </c>
      <c r="SU926" t="s">
        <v>619</v>
      </c>
      <c r="SV926">
        <v>3111699</v>
      </c>
      <c r="SW926">
        <v>6368253</v>
      </c>
      <c r="SX926">
        <v>12638991</v>
      </c>
      <c r="SY926">
        <v>25223687</v>
      </c>
      <c r="ACP926" t="s">
        <v>1334</v>
      </c>
      <c r="ACQ926" t="s">
        <v>619</v>
      </c>
      <c r="ACR926">
        <v>3111699</v>
      </c>
      <c r="ACS926">
        <v>6368253</v>
      </c>
      <c r="ACT926">
        <v>12638991</v>
      </c>
      <c r="ACU926">
        <v>25223687</v>
      </c>
      <c r="AML926" t="s">
        <v>1334</v>
      </c>
      <c r="AMM926" t="s">
        <v>619</v>
      </c>
      <c r="AMN926">
        <v>3111699</v>
      </c>
      <c r="AMO926">
        <v>6368253</v>
      </c>
      <c r="AMP926">
        <v>12638991</v>
      </c>
      <c r="AMQ926">
        <v>25223687</v>
      </c>
      <c r="AWH926" t="s">
        <v>1334</v>
      </c>
      <c r="AWI926" t="s">
        <v>619</v>
      </c>
      <c r="AWJ926">
        <v>3111699</v>
      </c>
      <c r="AWK926">
        <v>6368253</v>
      </c>
      <c r="AWL926">
        <v>12638991</v>
      </c>
      <c r="AWM926">
        <v>25223687</v>
      </c>
      <c r="BGD926" t="s">
        <v>1334</v>
      </c>
      <c r="BGE926" t="s">
        <v>619</v>
      </c>
      <c r="BGF926">
        <v>3111699</v>
      </c>
      <c r="BGG926">
        <v>6368253</v>
      </c>
      <c r="BGH926">
        <v>12638991</v>
      </c>
      <c r="BGI926">
        <v>25223687</v>
      </c>
      <c r="BPZ926" t="s">
        <v>1334</v>
      </c>
      <c r="BQA926" t="s">
        <v>619</v>
      </c>
      <c r="BQB926">
        <v>3111699</v>
      </c>
      <c r="BQC926">
        <v>6368253</v>
      </c>
      <c r="BQD926">
        <v>12638991</v>
      </c>
      <c r="BQE926">
        <v>25223687</v>
      </c>
      <c r="BZV926" t="s">
        <v>1334</v>
      </c>
      <c r="BZW926" t="s">
        <v>619</v>
      </c>
      <c r="BZX926">
        <v>3111699</v>
      </c>
      <c r="BZY926">
        <v>6368253</v>
      </c>
      <c r="BZZ926">
        <v>12638991</v>
      </c>
      <c r="CAA926">
        <v>25223687</v>
      </c>
      <c r="CJR926" t="s">
        <v>1334</v>
      </c>
      <c r="CJS926" t="s">
        <v>619</v>
      </c>
      <c r="CJT926">
        <v>3111699</v>
      </c>
      <c r="CJU926">
        <v>6368253</v>
      </c>
      <c r="CJV926">
        <v>12638991</v>
      </c>
      <c r="CJW926">
        <v>25223687</v>
      </c>
      <c r="CTN926" t="s">
        <v>1334</v>
      </c>
      <c r="CTO926" t="s">
        <v>619</v>
      </c>
      <c r="CTP926">
        <v>3111699</v>
      </c>
      <c r="CTQ926">
        <v>6368253</v>
      </c>
      <c r="CTR926">
        <v>12638991</v>
      </c>
      <c r="CTS926">
        <v>25223687</v>
      </c>
      <c r="DDJ926" t="s">
        <v>1334</v>
      </c>
      <c r="DDK926" t="s">
        <v>619</v>
      </c>
      <c r="DDL926">
        <v>3111699</v>
      </c>
      <c r="DDM926">
        <v>6368253</v>
      </c>
      <c r="DDN926">
        <v>12638991</v>
      </c>
      <c r="DDO926">
        <v>25223687</v>
      </c>
      <c r="DNF926" t="s">
        <v>1334</v>
      </c>
      <c r="DNG926" t="s">
        <v>619</v>
      </c>
      <c r="DNH926">
        <v>3111699</v>
      </c>
      <c r="DNI926">
        <v>6368253</v>
      </c>
      <c r="DNJ926">
        <v>12638991</v>
      </c>
      <c r="DNK926">
        <v>25223687</v>
      </c>
      <c r="DXB926" t="s">
        <v>1334</v>
      </c>
      <c r="DXC926" t="s">
        <v>619</v>
      </c>
      <c r="DXD926">
        <v>3111699</v>
      </c>
      <c r="DXE926">
        <v>6368253</v>
      </c>
      <c r="DXF926">
        <v>12638991</v>
      </c>
      <c r="DXG926">
        <v>25223687</v>
      </c>
      <c r="EGX926" t="s">
        <v>1334</v>
      </c>
      <c r="EGY926" t="s">
        <v>619</v>
      </c>
      <c r="EGZ926">
        <v>3111699</v>
      </c>
      <c r="EHA926">
        <v>6368253</v>
      </c>
      <c r="EHB926">
        <v>12638991</v>
      </c>
      <c r="EHC926">
        <v>25223687</v>
      </c>
      <c r="EQT926" t="s">
        <v>1334</v>
      </c>
      <c r="EQU926" t="s">
        <v>619</v>
      </c>
      <c r="EQV926">
        <v>3111699</v>
      </c>
      <c r="EQW926">
        <v>6368253</v>
      </c>
      <c r="EQX926">
        <v>12638991</v>
      </c>
      <c r="EQY926">
        <v>25223687</v>
      </c>
      <c r="FAP926" t="s">
        <v>1334</v>
      </c>
      <c r="FAQ926" t="s">
        <v>619</v>
      </c>
      <c r="FAR926">
        <v>3111699</v>
      </c>
      <c r="FAS926">
        <v>6368253</v>
      </c>
      <c r="FAT926">
        <v>12638991</v>
      </c>
      <c r="FAU926">
        <v>25223687</v>
      </c>
      <c r="FKL926" t="s">
        <v>1334</v>
      </c>
      <c r="FKM926" t="s">
        <v>619</v>
      </c>
      <c r="FKN926">
        <v>3111699</v>
      </c>
      <c r="FKO926">
        <v>6368253</v>
      </c>
      <c r="FKP926">
        <v>12638991</v>
      </c>
      <c r="FKQ926">
        <v>25223687</v>
      </c>
      <c r="FUH926" t="s">
        <v>1334</v>
      </c>
      <c r="FUI926" t="s">
        <v>619</v>
      </c>
      <c r="FUJ926">
        <v>3111699</v>
      </c>
      <c r="FUK926">
        <v>6368253</v>
      </c>
      <c r="FUL926">
        <v>12638991</v>
      </c>
      <c r="FUM926">
        <v>25223687</v>
      </c>
      <c r="GED926" t="s">
        <v>1334</v>
      </c>
      <c r="GEE926" t="s">
        <v>619</v>
      </c>
      <c r="GEF926">
        <v>3111699</v>
      </c>
      <c r="GEG926">
        <v>6368253</v>
      </c>
      <c r="GEH926">
        <v>12638991</v>
      </c>
      <c r="GEI926">
        <v>25223687</v>
      </c>
      <c r="GNZ926" t="s">
        <v>1334</v>
      </c>
      <c r="GOA926" t="s">
        <v>619</v>
      </c>
      <c r="GOB926">
        <v>3111699</v>
      </c>
      <c r="GOC926">
        <v>6368253</v>
      </c>
      <c r="GOD926">
        <v>12638991</v>
      </c>
      <c r="GOE926">
        <v>25223687</v>
      </c>
      <c r="GXV926" t="s">
        <v>1334</v>
      </c>
      <c r="GXW926" t="s">
        <v>619</v>
      </c>
      <c r="GXX926">
        <v>3111699</v>
      </c>
      <c r="GXY926">
        <v>6368253</v>
      </c>
      <c r="GXZ926">
        <v>12638991</v>
      </c>
      <c r="GYA926">
        <v>25223687</v>
      </c>
      <c r="HHR926" t="s">
        <v>1334</v>
      </c>
      <c r="HHS926" t="s">
        <v>619</v>
      </c>
      <c r="HHT926">
        <v>3111699</v>
      </c>
      <c r="HHU926">
        <v>6368253</v>
      </c>
      <c r="HHV926">
        <v>12638991</v>
      </c>
      <c r="HHW926">
        <v>25223687</v>
      </c>
      <c r="HRN926" t="s">
        <v>1334</v>
      </c>
      <c r="HRO926" t="s">
        <v>619</v>
      </c>
      <c r="HRP926">
        <v>3111699</v>
      </c>
      <c r="HRQ926">
        <v>6368253</v>
      </c>
      <c r="HRR926">
        <v>12638991</v>
      </c>
      <c r="HRS926">
        <v>25223687</v>
      </c>
      <c r="IBJ926" t="s">
        <v>1334</v>
      </c>
      <c r="IBK926" t="s">
        <v>619</v>
      </c>
      <c r="IBL926">
        <v>3111699</v>
      </c>
      <c r="IBM926">
        <v>6368253</v>
      </c>
      <c r="IBN926">
        <v>12638991</v>
      </c>
      <c r="IBO926">
        <v>25223687</v>
      </c>
      <c r="ILF926" t="s">
        <v>1334</v>
      </c>
      <c r="ILG926" t="s">
        <v>619</v>
      </c>
      <c r="ILH926">
        <v>3111699</v>
      </c>
      <c r="ILI926">
        <v>6368253</v>
      </c>
      <c r="ILJ926">
        <v>12638991</v>
      </c>
      <c r="ILK926">
        <v>25223687</v>
      </c>
      <c r="IVB926" t="s">
        <v>1334</v>
      </c>
      <c r="IVC926" t="s">
        <v>619</v>
      </c>
      <c r="IVD926">
        <v>3111699</v>
      </c>
      <c r="IVE926">
        <v>6368253</v>
      </c>
      <c r="IVF926">
        <v>12638991</v>
      </c>
      <c r="IVG926">
        <v>25223687</v>
      </c>
      <c r="JEX926" t="s">
        <v>1334</v>
      </c>
      <c r="JEY926" t="s">
        <v>619</v>
      </c>
      <c r="JEZ926">
        <v>3111699</v>
      </c>
      <c r="JFA926">
        <v>6368253</v>
      </c>
      <c r="JFB926">
        <v>12638991</v>
      </c>
      <c r="JFC926">
        <v>25223687</v>
      </c>
      <c r="JOT926" t="s">
        <v>1334</v>
      </c>
      <c r="JOU926" t="s">
        <v>619</v>
      </c>
      <c r="JOV926">
        <v>3111699</v>
      </c>
      <c r="JOW926">
        <v>6368253</v>
      </c>
      <c r="JOX926">
        <v>12638991</v>
      </c>
      <c r="JOY926">
        <v>25223687</v>
      </c>
      <c r="JYP926" t="s">
        <v>1334</v>
      </c>
      <c r="JYQ926" t="s">
        <v>619</v>
      </c>
      <c r="JYR926">
        <v>3111699</v>
      </c>
      <c r="JYS926">
        <v>6368253</v>
      </c>
      <c r="JYT926">
        <v>12638991</v>
      </c>
      <c r="JYU926">
        <v>25223687</v>
      </c>
      <c r="KIL926" t="s">
        <v>1334</v>
      </c>
      <c r="KIM926" t="s">
        <v>619</v>
      </c>
      <c r="KIN926">
        <v>3111699</v>
      </c>
      <c r="KIO926">
        <v>6368253</v>
      </c>
      <c r="KIP926">
        <v>12638991</v>
      </c>
      <c r="KIQ926">
        <v>25223687</v>
      </c>
      <c r="KSH926" t="s">
        <v>1334</v>
      </c>
      <c r="KSI926" t="s">
        <v>619</v>
      </c>
      <c r="KSJ926">
        <v>3111699</v>
      </c>
      <c r="KSK926">
        <v>6368253</v>
      </c>
      <c r="KSL926">
        <v>12638991</v>
      </c>
      <c r="KSM926">
        <v>25223687</v>
      </c>
      <c r="LCD926" t="s">
        <v>1334</v>
      </c>
      <c r="LCE926" t="s">
        <v>619</v>
      </c>
      <c r="LCF926">
        <v>3111699</v>
      </c>
      <c r="LCG926">
        <v>6368253</v>
      </c>
      <c r="LCH926">
        <v>12638991</v>
      </c>
      <c r="LCI926">
        <v>25223687</v>
      </c>
      <c r="LLZ926" t="s">
        <v>1334</v>
      </c>
      <c r="LMA926" t="s">
        <v>619</v>
      </c>
      <c r="LMB926">
        <v>3111699</v>
      </c>
      <c r="LMC926">
        <v>6368253</v>
      </c>
      <c r="LMD926">
        <v>12638991</v>
      </c>
      <c r="LME926">
        <v>25223687</v>
      </c>
      <c r="LVV926" t="s">
        <v>1334</v>
      </c>
      <c r="LVW926" t="s">
        <v>619</v>
      </c>
      <c r="LVX926">
        <v>3111699</v>
      </c>
      <c r="LVY926">
        <v>6368253</v>
      </c>
      <c r="LVZ926">
        <v>12638991</v>
      </c>
      <c r="LWA926">
        <v>25223687</v>
      </c>
      <c r="MFR926" t="s">
        <v>1334</v>
      </c>
      <c r="MFS926" t="s">
        <v>619</v>
      </c>
      <c r="MFT926">
        <v>3111699</v>
      </c>
      <c r="MFU926">
        <v>6368253</v>
      </c>
      <c r="MFV926">
        <v>12638991</v>
      </c>
      <c r="MFW926">
        <v>25223687</v>
      </c>
      <c r="MPN926" t="s">
        <v>1334</v>
      </c>
      <c r="MPO926" t="s">
        <v>619</v>
      </c>
      <c r="MPP926">
        <v>3111699</v>
      </c>
      <c r="MPQ926">
        <v>6368253</v>
      </c>
      <c r="MPR926">
        <v>12638991</v>
      </c>
      <c r="MPS926">
        <v>25223687</v>
      </c>
      <c r="MZJ926" t="s">
        <v>1334</v>
      </c>
      <c r="MZK926" t="s">
        <v>619</v>
      </c>
      <c r="MZL926">
        <v>3111699</v>
      </c>
      <c r="MZM926">
        <v>6368253</v>
      </c>
      <c r="MZN926">
        <v>12638991</v>
      </c>
      <c r="MZO926">
        <v>25223687</v>
      </c>
      <c r="NJF926" t="s">
        <v>1334</v>
      </c>
      <c r="NJG926" t="s">
        <v>619</v>
      </c>
      <c r="NJH926">
        <v>3111699</v>
      </c>
      <c r="NJI926">
        <v>6368253</v>
      </c>
      <c r="NJJ926">
        <v>12638991</v>
      </c>
      <c r="NJK926">
        <v>25223687</v>
      </c>
      <c r="NTB926" t="s">
        <v>1334</v>
      </c>
      <c r="NTC926" t="s">
        <v>619</v>
      </c>
      <c r="NTD926">
        <v>3111699</v>
      </c>
      <c r="NTE926">
        <v>6368253</v>
      </c>
      <c r="NTF926">
        <v>12638991</v>
      </c>
      <c r="NTG926">
        <v>25223687</v>
      </c>
      <c r="OCX926" t="s">
        <v>1334</v>
      </c>
      <c r="OCY926" t="s">
        <v>619</v>
      </c>
      <c r="OCZ926">
        <v>3111699</v>
      </c>
      <c r="ODA926">
        <v>6368253</v>
      </c>
      <c r="ODB926">
        <v>12638991</v>
      </c>
      <c r="ODC926">
        <v>25223687</v>
      </c>
      <c r="OMT926" t="s">
        <v>1334</v>
      </c>
      <c r="OMU926" t="s">
        <v>619</v>
      </c>
      <c r="OMV926">
        <v>3111699</v>
      </c>
      <c r="OMW926">
        <v>6368253</v>
      </c>
      <c r="OMX926">
        <v>12638991</v>
      </c>
      <c r="OMY926">
        <v>25223687</v>
      </c>
      <c r="OWP926" t="s">
        <v>1334</v>
      </c>
      <c r="OWQ926" t="s">
        <v>619</v>
      </c>
      <c r="OWR926">
        <v>3111699</v>
      </c>
      <c r="OWS926">
        <v>6368253</v>
      </c>
      <c r="OWT926">
        <v>12638991</v>
      </c>
      <c r="OWU926">
        <v>25223687</v>
      </c>
      <c r="PGL926" t="s">
        <v>1334</v>
      </c>
      <c r="PGM926" t="s">
        <v>619</v>
      </c>
      <c r="PGN926">
        <v>3111699</v>
      </c>
      <c r="PGO926">
        <v>6368253</v>
      </c>
      <c r="PGP926">
        <v>12638991</v>
      </c>
      <c r="PGQ926">
        <v>25223687</v>
      </c>
      <c r="PQH926" t="s">
        <v>1334</v>
      </c>
      <c r="PQI926" t="s">
        <v>619</v>
      </c>
      <c r="PQJ926">
        <v>3111699</v>
      </c>
      <c r="PQK926">
        <v>6368253</v>
      </c>
      <c r="PQL926">
        <v>12638991</v>
      </c>
      <c r="PQM926">
        <v>25223687</v>
      </c>
      <c r="QAD926" t="s">
        <v>1334</v>
      </c>
      <c r="QAE926" t="s">
        <v>619</v>
      </c>
      <c r="QAF926">
        <v>3111699</v>
      </c>
      <c r="QAG926">
        <v>6368253</v>
      </c>
      <c r="QAH926">
        <v>12638991</v>
      </c>
      <c r="QAI926">
        <v>25223687</v>
      </c>
      <c r="QJZ926" t="s">
        <v>1334</v>
      </c>
      <c r="QKA926" t="s">
        <v>619</v>
      </c>
      <c r="QKB926">
        <v>3111699</v>
      </c>
      <c r="QKC926">
        <v>6368253</v>
      </c>
      <c r="QKD926">
        <v>12638991</v>
      </c>
      <c r="QKE926">
        <v>25223687</v>
      </c>
      <c r="QTV926" t="s">
        <v>1334</v>
      </c>
      <c r="QTW926" t="s">
        <v>619</v>
      </c>
      <c r="QTX926">
        <v>3111699</v>
      </c>
      <c r="QTY926">
        <v>6368253</v>
      </c>
      <c r="QTZ926">
        <v>12638991</v>
      </c>
      <c r="QUA926">
        <v>25223687</v>
      </c>
      <c r="RDR926" t="s">
        <v>1334</v>
      </c>
      <c r="RDS926" t="s">
        <v>619</v>
      </c>
      <c r="RDT926">
        <v>3111699</v>
      </c>
      <c r="RDU926">
        <v>6368253</v>
      </c>
      <c r="RDV926">
        <v>12638991</v>
      </c>
      <c r="RDW926">
        <v>25223687</v>
      </c>
      <c r="RNN926" t="s">
        <v>1334</v>
      </c>
      <c r="RNO926" t="s">
        <v>619</v>
      </c>
      <c r="RNP926">
        <v>3111699</v>
      </c>
      <c r="RNQ926">
        <v>6368253</v>
      </c>
      <c r="RNR926">
        <v>12638991</v>
      </c>
      <c r="RNS926">
        <v>25223687</v>
      </c>
      <c r="RXJ926" t="s">
        <v>1334</v>
      </c>
      <c r="RXK926" t="s">
        <v>619</v>
      </c>
      <c r="RXL926">
        <v>3111699</v>
      </c>
      <c r="RXM926">
        <v>6368253</v>
      </c>
      <c r="RXN926">
        <v>12638991</v>
      </c>
      <c r="RXO926">
        <v>25223687</v>
      </c>
      <c r="SHF926" t="s">
        <v>1334</v>
      </c>
      <c r="SHG926" t="s">
        <v>619</v>
      </c>
      <c r="SHH926">
        <v>3111699</v>
      </c>
      <c r="SHI926">
        <v>6368253</v>
      </c>
      <c r="SHJ926">
        <v>12638991</v>
      </c>
      <c r="SHK926">
        <v>25223687</v>
      </c>
      <c r="SRB926" t="s">
        <v>1334</v>
      </c>
      <c r="SRC926" t="s">
        <v>619</v>
      </c>
      <c r="SRD926">
        <v>3111699</v>
      </c>
      <c r="SRE926">
        <v>6368253</v>
      </c>
      <c r="SRF926">
        <v>12638991</v>
      </c>
      <c r="SRG926">
        <v>25223687</v>
      </c>
      <c r="TAX926" t="s">
        <v>1334</v>
      </c>
      <c r="TAY926" t="s">
        <v>619</v>
      </c>
      <c r="TAZ926">
        <v>3111699</v>
      </c>
      <c r="TBA926">
        <v>6368253</v>
      </c>
      <c r="TBB926">
        <v>12638991</v>
      </c>
      <c r="TBC926">
        <v>25223687</v>
      </c>
      <c r="TKT926" t="s">
        <v>1334</v>
      </c>
      <c r="TKU926" t="s">
        <v>619</v>
      </c>
      <c r="TKV926">
        <v>3111699</v>
      </c>
      <c r="TKW926">
        <v>6368253</v>
      </c>
      <c r="TKX926">
        <v>12638991</v>
      </c>
      <c r="TKY926">
        <v>25223687</v>
      </c>
      <c r="TUP926" t="s">
        <v>1334</v>
      </c>
      <c r="TUQ926" t="s">
        <v>619</v>
      </c>
      <c r="TUR926">
        <v>3111699</v>
      </c>
      <c r="TUS926">
        <v>6368253</v>
      </c>
      <c r="TUT926">
        <v>12638991</v>
      </c>
      <c r="TUU926">
        <v>25223687</v>
      </c>
      <c r="UEL926" t="s">
        <v>1334</v>
      </c>
      <c r="UEM926" t="s">
        <v>619</v>
      </c>
      <c r="UEN926">
        <v>3111699</v>
      </c>
      <c r="UEO926">
        <v>6368253</v>
      </c>
      <c r="UEP926">
        <v>12638991</v>
      </c>
      <c r="UEQ926">
        <v>25223687</v>
      </c>
      <c r="UOH926" t="s">
        <v>1334</v>
      </c>
      <c r="UOI926" t="s">
        <v>619</v>
      </c>
      <c r="UOJ926">
        <v>3111699</v>
      </c>
      <c r="UOK926">
        <v>6368253</v>
      </c>
      <c r="UOL926">
        <v>12638991</v>
      </c>
      <c r="UOM926">
        <v>25223687</v>
      </c>
      <c r="UYD926" t="s">
        <v>1334</v>
      </c>
      <c r="UYE926" t="s">
        <v>619</v>
      </c>
      <c r="UYF926">
        <v>3111699</v>
      </c>
      <c r="UYG926">
        <v>6368253</v>
      </c>
      <c r="UYH926">
        <v>12638991</v>
      </c>
      <c r="UYI926">
        <v>25223687</v>
      </c>
      <c r="VHZ926" t="s">
        <v>1334</v>
      </c>
      <c r="VIA926" t="s">
        <v>619</v>
      </c>
      <c r="VIB926">
        <v>3111699</v>
      </c>
      <c r="VIC926">
        <v>6368253</v>
      </c>
      <c r="VID926">
        <v>12638991</v>
      </c>
      <c r="VIE926">
        <v>25223687</v>
      </c>
      <c r="VRV926" t="s">
        <v>1334</v>
      </c>
      <c r="VRW926" t="s">
        <v>619</v>
      </c>
      <c r="VRX926">
        <v>3111699</v>
      </c>
      <c r="VRY926">
        <v>6368253</v>
      </c>
      <c r="VRZ926">
        <v>12638991</v>
      </c>
      <c r="VSA926">
        <v>25223687</v>
      </c>
      <c r="WBR926" t="s">
        <v>1334</v>
      </c>
      <c r="WBS926" t="s">
        <v>619</v>
      </c>
      <c r="WBT926">
        <v>3111699</v>
      </c>
      <c r="WBU926">
        <v>6368253</v>
      </c>
      <c r="WBV926">
        <v>12638991</v>
      </c>
      <c r="WBW926">
        <v>25223687</v>
      </c>
      <c r="WLN926" t="s">
        <v>1334</v>
      </c>
      <c r="WLO926" t="s">
        <v>619</v>
      </c>
      <c r="WLP926">
        <v>3111699</v>
      </c>
      <c r="WLQ926">
        <v>6368253</v>
      </c>
      <c r="WLR926">
        <v>12638991</v>
      </c>
      <c r="WLS926">
        <v>25223687</v>
      </c>
      <c r="WVJ926" t="s">
        <v>1334</v>
      </c>
      <c r="WVK926" t="s">
        <v>619</v>
      </c>
      <c r="WVL926">
        <v>3111699</v>
      </c>
      <c r="WVM926">
        <v>6368253</v>
      </c>
      <c r="WVN926">
        <v>12638991</v>
      </c>
      <c r="WVO926">
        <v>25223687</v>
      </c>
    </row>
    <row r="927" spans="1:775 1026:1799 2050:2823 3074:3847 4098:4871 5122:5895 6146:6919 7170:7943 8194:8967 9218:9991 10242:11015 11266:12039 12290:13063 13314:14087 14338:15111 15362:16135">
      <c r="A927" s="96" t="s">
        <v>1335</v>
      </c>
      <c r="B927" t="s">
        <v>1091</v>
      </c>
      <c r="C927" s="100">
        <v>3383681</v>
      </c>
      <c r="D927" s="100">
        <v>4216641</v>
      </c>
      <c r="E927" s="100">
        <v>4604024</v>
      </c>
      <c r="F927" s="100">
        <v>7201644</v>
      </c>
      <c r="G927" s="100">
        <v>13654362</v>
      </c>
      <c r="H927" s="100"/>
      <c r="IX927" t="s">
        <v>1335</v>
      </c>
      <c r="IY927">
        <v>3383681</v>
      </c>
      <c r="IZ927">
        <v>4216641</v>
      </c>
      <c r="JA927">
        <v>4604024</v>
      </c>
      <c r="JB927">
        <v>7201644</v>
      </c>
      <c r="JC927">
        <v>13654362</v>
      </c>
      <c r="ST927" t="s">
        <v>1335</v>
      </c>
      <c r="SU927">
        <v>3383681</v>
      </c>
      <c r="SV927">
        <v>4216641</v>
      </c>
      <c r="SW927">
        <v>4604024</v>
      </c>
      <c r="SX927">
        <v>7201644</v>
      </c>
      <c r="SY927">
        <v>13654362</v>
      </c>
      <c r="ACP927" t="s">
        <v>1335</v>
      </c>
      <c r="ACQ927">
        <v>3383681</v>
      </c>
      <c r="ACR927">
        <v>4216641</v>
      </c>
      <c r="ACS927">
        <v>4604024</v>
      </c>
      <c r="ACT927">
        <v>7201644</v>
      </c>
      <c r="ACU927">
        <v>13654362</v>
      </c>
      <c r="AML927" t="s">
        <v>1335</v>
      </c>
      <c r="AMM927">
        <v>3383681</v>
      </c>
      <c r="AMN927">
        <v>4216641</v>
      </c>
      <c r="AMO927">
        <v>4604024</v>
      </c>
      <c r="AMP927">
        <v>7201644</v>
      </c>
      <c r="AMQ927">
        <v>13654362</v>
      </c>
      <c r="AWH927" t="s">
        <v>1335</v>
      </c>
      <c r="AWI927">
        <v>3383681</v>
      </c>
      <c r="AWJ927">
        <v>4216641</v>
      </c>
      <c r="AWK927">
        <v>4604024</v>
      </c>
      <c r="AWL927">
        <v>7201644</v>
      </c>
      <c r="AWM927">
        <v>13654362</v>
      </c>
      <c r="BGD927" t="s">
        <v>1335</v>
      </c>
      <c r="BGE927">
        <v>3383681</v>
      </c>
      <c r="BGF927">
        <v>4216641</v>
      </c>
      <c r="BGG927">
        <v>4604024</v>
      </c>
      <c r="BGH927">
        <v>7201644</v>
      </c>
      <c r="BGI927">
        <v>13654362</v>
      </c>
      <c r="BPZ927" t="s">
        <v>1335</v>
      </c>
      <c r="BQA927">
        <v>3383681</v>
      </c>
      <c r="BQB927">
        <v>4216641</v>
      </c>
      <c r="BQC927">
        <v>4604024</v>
      </c>
      <c r="BQD927">
        <v>7201644</v>
      </c>
      <c r="BQE927">
        <v>13654362</v>
      </c>
      <c r="BZV927" t="s">
        <v>1335</v>
      </c>
      <c r="BZW927">
        <v>3383681</v>
      </c>
      <c r="BZX927">
        <v>4216641</v>
      </c>
      <c r="BZY927">
        <v>4604024</v>
      </c>
      <c r="BZZ927">
        <v>7201644</v>
      </c>
      <c r="CAA927">
        <v>13654362</v>
      </c>
      <c r="CJR927" t="s">
        <v>1335</v>
      </c>
      <c r="CJS927">
        <v>3383681</v>
      </c>
      <c r="CJT927">
        <v>4216641</v>
      </c>
      <c r="CJU927">
        <v>4604024</v>
      </c>
      <c r="CJV927">
        <v>7201644</v>
      </c>
      <c r="CJW927">
        <v>13654362</v>
      </c>
      <c r="CTN927" t="s">
        <v>1335</v>
      </c>
      <c r="CTO927">
        <v>3383681</v>
      </c>
      <c r="CTP927">
        <v>4216641</v>
      </c>
      <c r="CTQ927">
        <v>4604024</v>
      </c>
      <c r="CTR927">
        <v>7201644</v>
      </c>
      <c r="CTS927">
        <v>13654362</v>
      </c>
      <c r="DDJ927" t="s">
        <v>1335</v>
      </c>
      <c r="DDK927">
        <v>3383681</v>
      </c>
      <c r="DDL927">
        <v>4216641</v>
      </c>
      <c r="DDM927">
        <v>4604024</v>
      </c>
      <c r="DDN927">
        <v>7201644</v>
      </c>
      <c r="DDO927">
        <v>13654362</v>
      </c>
      <c r="DNF927" t="s">
        <v>1335</v>
      </c>
      <c r="DNG927">
        <v>3383681</v>
      </c>
      <c r="DNH927">
        <v>4216641</v>
      </c>
      <c r="DNI927">
        <v>4604024</v>
      </c>
      <c r="DNJ927">
        <v>7201644</v>
      </c>
      <c r="DNK927">
        <v>13654362</v>
      </c>
      <c r="DXB927" t="s">
        <v>1335</v>
      </c>
      <c r="DXC927">
        <v>3383681</v>
      </c>
      <c r="DXD927">
        <v>4216641</v>
      </c>
      <c r="DXE927">
        <v>4604024</v>
      </c>
      <c r="DXF927">
        <v>7201644</v>
      </c>
      <c r="DXG927">
        <v>13654362</v>
      </c>
      <c r="EGX927" t="s">
        <v>1335</v>
      </c>
      <c r="EGY927">
        <v>3383681</v>
      </c>
      <c r="EGZ927">
        <v>4216641</v>
      </c>
      <c r="EHA927">
        <v>4604024</v>
      </c>
      <c r="EHB927">
        <v>7201644</v>
      </c>
      <c r="EHC927">
        <v>13654362</v>
      </c>
      <c r="EQT927" t="s">
        <v>1335</v>
      </c>
      <c r="EQU927">
        <v>3383681</v>
      </c>
      <c r="EQV927">
        <v>4216641</v>
      </c>
      <c r="EQW927">
        <v>4604024</v>
      </c>
      <c r="EQX927">
        <v>7201644</v>
      </c>
      <c r="EQY927">
        <v>13654362</v>
      </c>
      <c r="FAP927" t="s">
        <v>1335</v>
      </c>
      <c r="FAQ927">
        <v>3383681</v>
      </c>
      <c r="FAR927">
        <v>4216641</v>
      </c>
      <c r="FAS927">
        <v>4604024</v>
      </c>
      <c r="FAT927">
        <v>7201644</v>
      </c>
      <c r="FAU927">
        <v>13654362</v>
      </c>
      <c r="FKL927" t="s">
        <v>1335</v>
      </c>
      <c r="FKM927">
        <v>3383681</v>
      </c>
      <c r="FKN927">
        <v>4216641</v>
      </c>
      <c r="FKO927">
        <v>4604024</v>
      </c>
      <c r="FKP927">
        <v>7201644</v>
      </c>
      <c r="FKQ927">
        <v>13654362</v>
      </c>
      <c r="FUH927" t="s">
        <v>1335</v>
      </c>
      <c r="FUI927">
        <v>3383681</v>
      </c>
      <c r="FUJ927">
        <v>4216641</v>
      </c>
      <c r="FUK927">
        <v>4604024</v>
      </c>
      <c r="FUL927">
        <v>7201644</v>
      </c>
      <c r="FUM927">
        <v>13654362</v>
      </c>
      <c r="GED927" t="s">
        <v>1335</v>
      </c>
      <c r="GEE927">
        <v>3383681</v>
      </c>
      <c r="GEF927">
        <v>4216641</v>
      </c>
      <c r="GEG927">
        <v>4604024</v>
      </c>
      <c r="GEH927">
        <v>7201644</v>
      </c>
      <c r="GEI927">
        <v>13654362</v>
      </c>
      <c r="GNZ927" t="s">
        <v>1335</v>
      </c>
      <c r="GOA927">
        <v>3383681</v>
      </c>
      <c r="GOB927">
        <v>4216641</v>
      </c>
      <c r="GOC927">
        <v>4604024</v>
      </c>
      <c r="GOD927">
        <v>7201644</v>
      </c>
      <c r="GOE927">
        <v>13654362</v>
      </c>
      <c r="GXV927" t="s">
        <v>1335</v>
      </c>
      <c r="GXW927">
        <v>3383681</v>
      </c>
      <c r="GXX927">
        <v>4216641</v>
      </c>
      <c r="GXY927">
        <v>4604024</v>
      </c>
      <c r="GXZ927">
        <v>7201644</v>
      </c>
      <c r="GYA927">
        <v>13654362</v>
      </c>
      <c r="HHR927" t="s">
        <v>1335</v>
      </c>
      <c r="HHS927">
        <v>3383681</v>
      </c>
      <c r="HHT927">
        <v>4216641</v>
      </c>
      <c r="HHU927">
        <v>4604024</v>
      </c>
      <c r="HHV927">
        <v>7201644</v>
      </c>
      <c r="HHW927">
        <v>13654362</v>
      </c>
      <c r="HRN927" t="s">
        <v>1335</v>
      </c>
      <c r="HRO927">
        <v>3383681</v>
      </c>
      <c r="HRP927">
        <v>4216641</v>
      </c>
      <c r="HRQ927">
        <v>4604024</v>
      </c>
      <c r="HRR927">
        <v>7201644</v>
      </c>
      <c r="HRS927">
        <v>13654362</v>
      </c>
      <c r="IBJ927" t="s">
        <v>1335</v>
      </c>
      <c r="IBK927">
        <v>3383681</v>
      </c>
      <c r="IBL927">
        <v>4216641</v>
      </c>
      <c r="IBM927">
        <v>4604024</v>
      </c>
      <c r="IBN927">
        <v>7201644</v>
      </c>
      <c r="IBO927">
        <v>13654362</v>
      </c>
      <c r="ILF927" t="s">
        <v>1335</v>
      </c>
      <c r="ILG927">
        <v>3383681</v>
      </c>
      <c r="ILH927">
        <v>4216641</v>
      </c>
      <c r="ILI927">
        <v>4604024</v>
      </c>
      <c r="ILJ927">
        <v>7201644</v>
      </c>
      <c r="ILK927">
        <v>13654362</v>
      </c>
      <c r="IVB927" t="s">
        <v>1335</v>
      </c>
      <c r="IVC927">
        <v>3383681</v>
      </c>
      <c r="IVD927">
        <v>4216641</v>
      </c>
      <c r="IVE927">
        <v>4604024</v>
      </c>
      <c r="IVF927">
        <v>7201644</v>
      </c>
      <c r="IVG927">
        <v>13654362</v>
      </c>
      <c r="JEX927" t="s">
        <v>1335</v>
      </c>
      <c r="JEY927">
        <v>3383681</v>
      </c>
      <c r="JEZ927">
        <v>4216641</v>
      </c>
      <c r="JFA927">
        <v>4604024</v>
      </c>
      <c r="JFB927">
        <v>7201644</v>
      </c>
      <c r="JFC927">
        <v>13654362</v>
      </c>
      <c r="JOT927" t="s">
        <v>1335</v>
      </c>
      <c r="JOU927">
        <v>3383681</v>
      </c>
      <c r="JOV927">
        <v>4216641</v>
      </c>
      <c r="JOW927">
        <v>4604024</v>
      </c>
      <c r="JOX927">
        <v>7201644</v>
      </c>
      <c r="JOY927">
        <v>13654362</v>
      </c>
      <c r="JYP927" t="s">
        <v>1335</v>
      </c>
      <c r="JYQ927">
        <v>3383681</v>
      </c>
      <c r="JYR927">
        <v>4216641</v>
      </c>
      <c r="JYS927">
        <v>4604024</v>
      </c>
      <c r="JYT927">
        <v>7201644</v>
      </c>
      <c r="JYU927">
        <v>13654362</v>
      </c>
      <c r="KIL927" t="s">
        <v>1335</v>
      </c>
      <c r="KIM927">
        <v>3383681</v>
      </c>
      <c r="KIN927">
        <v>4216641</v>
      </c>
      <c r="KIO927">
        <v>4604024</v>
      </c>
      <c r="KIP927">
        <v>7201644</v>
      </c>
      <c r="KIQ927">
        <v>13654362</v>
      </c>
      <c r="KSH927" t="s">
        <v>1335</v>
      </c>
      <c r="KSI927">
        <v>3383681</v>
      </c>
      <c r="KSJ927">
        <v>4216641</v>
      </c>
      <c r="KSK927">
        <v>4604024</v>
      </c>
      <c r="KSL927">
        <v>7201644</v>
      </c>
      <c r="KSM927">
        <v>13654362</v>
      </c>
      <c r="LCD927" t="s">
        <v>1335</v>
      </c>
      <c r="LCE927">
        <v>3383681</v>
      </c>
      <c r="LCF927">
        <v>4216641</v>
      </c>
      <c r="LCG927">
        <v>4604024</v>
      </c>
      <c r="LCH927">
        <v>7201644</v>
      </c>
      <c r="LCI927">
        <v>13654362</v>
      </c>
      <c r="LLZ927" t="s">
        <v>1335</v>
      </c>
      <c r="LMA927">
        <v>3383681</v>
      </c>
      <c r="LMB927">
        <v>4216641</v>
      </c>
      <c r="LMC927">
        <v>4604024</v>
      </c>
      <c r="LMD927">
        <v>7201644</v>
      </c>
      <c r="LME927">
        <v>13654362</v>
      </c>
      <c r="LVV927" t="s">
        <v>1335</v>
      </c>
      <c r="LVW927">
        <v>3383681</v>
      </c>
      <c r="LVX927">
        <v>4216641</v>
      </c>
      <c r="LVY927">
        <v>4604024</v>
      </c>
      <c r="LVZ927">
        <v>7201644</v>
      </c>
      <c r="LWA927">
        <v>13654362</v>
      </c>
      <c r="MFR927" t="s">
        <v>1335</v>
      </c>
      <c r="MFS927">
        <v>3383681</v>
      </c>
      <c r="MFT927">
        <v>4216641</v>
      </c>
      <c r="MFU927">
        <v>4604024</v>
      </c>
      <c r="MFV927">
        <v>7201644</v>
      </c>
      <c r="MFW927">
        <v>13654362</v>
      </c>
      <c r="MPN927" t="s">
        <v>1335</v>
      </c>
      <c r="MPO927">
        <v>3383681</v>
      </c>
      <c r="MPP927">
        <v>4216641</v>
      </c>
      <c r="MPQ927">
        <v>4604024</v>
      </c>
      <c r="MPR927">
        <v>7201644</v>
      </c>
      <c r="MPS927">
        <v>13654362</v>
      </c>
      <c r="MZJ927" t="s">
        <v>1335</v>
      </c>
      <c r="MZK927">
        <v>3383681</v>
      </c>
      <c r="MZL927">
        <v>4216641</v>
      </c>
      <c r="MZM927">
        <v>4604024</v>
      </c>
      <c r="MZN927">
        <v>7201644</v>
      </c>
      <c r="MZO927">
        <v>13654362</v>
      </c>
      <c r="NJF927" t="s">
        <v>1335</v>
      </c>
      <c r="NJG927">
        <v>3383681</v>
      </c>
      <c r="NJH927">
        <v>4216641</v>
      </c>
      <c r="NJI927">
        <v>4604024</v>
      </c>
      <c r="NJJ927">
        <v>7201644</v>
      </c>
      <c r="NJK927">
        <v>13654362</v>
      </c>
      <c r="NTB927" t="s">
        <v>1335</v>
      </c>
      <c r="NTC927">
        <v>3383681</v>
      </c>
      <c r="NTD927">
        <v>4216641</v>
      </c>
      <c r="NTE927">
        <v>4604024</v>
      </c>
      <c r="NTF927">
        <v>7201644</v>
      </c>
      <c r="NTG927">
        <v>13654362</v>
      </c>
      <c r="OCX927" t="s">
        <v>1335</v>
      </c>
      <c r="OCY927">
        <v>3383681</v>
      </c>
      <c r="OCZ927">
        <v>4216641</v>
      </c>
      <c r="ODA927">
        <v>4604024</v>
      </c>
      <c r="ODB927">
        <v>7201644</v>
      </c>
      <c r="ODC927">
        <v>13654362</v>
      </c>
      <c r="OMT927" t="s">
        <v>1335</v>
      </c>
      <c r="OMU927">
        <v>3383681</v>
      </c>
      <c r="OMV927">
        <v>4216641</v>
      </c>
      <c r="OMW927">
        <v>4604024</v>
      </c>
      <c r="OMX927">
        <v>7201644</v>
      </c>
      <c r="OMY927">
        <v>13654362</v>
      </c>
      <c r="OWP927" t="s">
        <v>1335</v>
      </c>
      <c r="OWQ927">
        <v>3383681</v>
      </c>
      <c r="OWR927">
        <v>4216641</v>
      </c>
      <c r="OWS927">
        <v>4604024</v>
      </c>
      <c r="OWT927">
        <v>7201644</v>
      </c>
      <c r="OWU927">
        <v>13654362</v>
      </c>
      <c r="PGL927" t="s">
        <v>1335</v>
      </c>
      <c r="PGM927">
        <v>3383681</v>
      </c>
      <c r="PGN927">
        <v>4216641</v>
      </c>
      <c r="PGO927">
        <v>4604024</v>
      </c>
      <c r="PGP927">
        <v>7201644</v>
      </c>
      <c r="PGQ927">
        <v>13654362</v>
      </c>
      <c r="PQH927" t="s">
        <v>1335</v>
      </c>
      <c r="PQI927">
        <v>3383681</v>
      </c>
      <c r="PQJ927">
        <v>4216641</v>
      </c>
      <c r="PQK927">
        <v>4604024</v>
      </c>
      <c r="PQL927">
        <v>7201644</v>
      </c>
      <c r="PQM927">
        <v>13654362</v>
      </c>
      <c r="QAD927" t="s">
        <v>1335</v>
      </c>
      <c r="QAE927">
        <v>3383681</v>
      </c>
      <c r="QAF927">
        <v>4216641</v>
      </c>
      <c r="QAG927">
        <v>4604024</v>
      </c>
      <c r="QAH927">
        <v>7201644</v>
      </c>
      <c r="QAI927">
        <v>13654362</v>
      </c>
      <c r="QJZ927" t="s">
        <v>1335</v>
      </c>
      <c r="QKA927">
        <v>3383681</v>
      </c>
      <c r="QKB927">
        <v>4216641</v>
      </c>
      <c r="QKC927">
        <v>4604024</v>
      </c>
      <c r="QKD927">
        <v>7201644</v>
      </c>
      <c r="QKE927">
        <v>13654362</v>
      </c>
      <c r="QTV927" t="s">
        <v>1335</v>
      </c>
      <c r="QTW927">
        <v>3383681</v>
      </c>
      <c r="QTX927">
        <v>4216641</v>
      </c>
      <c r="QTY927">
        <v>4604024</v>
      </c>
      <c r="QTZ927">
        <v>7201644</v>
      </c>
      <c r="QUA927">
        <v>13654362</v>
      </c>
      <c r="RDR927" t="s">
        <v>1335</v>
      </c>
      <c r="RDS927">
        <v>3383681</v>
      </c>
      <c r="RDT927">
        <v>4216641</v>
      </c>
      <c r="RDU927">
        <v>4604024</v>
      </c>
      <c r="RDV927">
        <v>7201644</v>
      </c>
      <c r="RDW927">
        <v>13654362</v>
      </c>
      <c r="RNN927" t="s">
        <v>1335</v>
      </c>
      <c r="RNO927">
        <v>3383681</v>
      </c>
      <c r="RNP927">
        <v>4216641</v>
      </c>
      <c r="RNQ927">
        <v>4604024</v>
      </c>
      <c r="RNR927">
        <v>7201644</v>
      </c>
      <c r="RNS927">
        <v>13654362</v>
      </c>
      <c r="RXJ927" t="s">
        <v>1335</v>
      </c>
      <c r="RXK927">
        <v>3383681</v>
      </c>
      <c r="RXL927">
        <v>4216641</v>
      </c>
      <c r="RXM927">
        <v>4604024</v>
      </c>
      <c r="RXN927">
        <v>7201644</v>
      </c>
      <c r="RXO927">
        <v>13654362</v>
      </c>
      <c r="SHF927" t="s">
        <v>1335</v>
      </c>
      <c r="SHG927">
        <v>3383681</v>
      </c>
      <c r="SHH927">
        <v>4216641</v>
      </c>
      <c r="SHI927">
        <v>4604024</v>
      </c>
      <c r="SHJ927">
        <v>7201644</v>
      </c>
      <c r="SHK927">
        <v>13654362</v>
      </c>
      <c r="SRB927" t="s">
        <v>1335</v>
      </c>
      <c r="SRC927">
        <v>3383681</v>
      </c>
      <c r="SRD927">
        <v>4216641</v>
      </c>
      <c r="SRE927">
        <v>4604024</v>
      </c>
      <c r="SRF927">
        <v>7201644</v>
      </c>
      <c r="SRG927">
        <v>13654362</v>
      </c>
      <c r="TAX927" t="s">
        <v>1335</v>
      </c>
      <c r="TAY927">
        <v>3383681</v>
      </c>
      <c r="TAZ927">
        <v>4216641</v>
      </c>
      <c r="TBA927">
        <v>4604024</v>
      </c>
      <c r="TBB927">
        <v>7201644</v>
      </c>
      <c r="TBC927">
        <v>13654362</v>
      </c>
      <c r="TKT927" t="s">
        <v>1335</v>
      </c>
      <c r="TKU927">
        <v>3383681</v>
      </c>
      <c r="TKV927">
        <v>4216641</v>
      </c>
      <c r="TKW927">
        <v>4604024</v>
      </c>
      <c r="TKX927">
        <v>7201644</v>
      </c>
      <c r="TKY927">
        <v>13654362</v>
      </c>
      <c r="TUP927" t="s">
        <v>1335</v>
      </c>
      <c r="TUQ927">
        <v>3383681</v>
      </c>
      <c r="TUR927">
        <v>4216641</v>
      </c>
      <c r="TUS927">
        <v>4604024</v>
      </c>
      <c r="TUT927">
        <v>7201644</v>
      </c>
      <c r="TUU927">
        <v>13654362</v>
      </c>
      <c r="UEL927" t="s">
        <v>1335</v>
      </c>
      <c r="UEM927">
        <v>3383681</v>
      </c>
      <c r="UEN927">
        <v>4216641</v>
      </c>
      <c r="UEO927">
        <v>4604024</v>
      </c>
      <c r="UEP927">
        <v>7201644</v>
      </c>
      <c r="UEQ927">
        <v>13654362</v>
      </c>
      <c r="UOH927" t="s">
        <v>1335</v>
      </c>
      <c r="UOI927">
        <v>3383681</v>
      </c>
      <c r="UOJ927">
        <v>4216641</v>
      </c>
      <c r="UOK927">
        <v>4604024</v>
      </c>
      <c r="UOL927">
        <v>7201644</v>
      </c>
      <c r="UOM927">
        <v>13654362</v>
      </c>
      <c r="UYD927" t="s">
        <v>1335</v>
      </c>
      <c r="UYE927">
        <v>3383681</v>
      </c>
      <c r="UYF927">
        <v>4216641</v>
      </c>
      <c r="UYG927">
        <v>4604024</v>
      </c>
      <c r="UYH927">
        <v>7201644</v>
      </c>
      <c r="UYI927">
        <v>13654362</v>
      </c>
      <c r="VHZ927" t="s">
        <v>1335</v>
      </c>
      <c r="VIA927">
        <v>3383681</v>
      </c>
      <c r="VIB927">
        <v>4216641</v>
      </c>
      <c r="VIC927">
        <v>4604024</v>
      </c>
      <c r="VID927">
        <v>7201644</v>
      </c>
      <c r="VIE927">
        <v>13654362</v>
      </c>
      <c r="VRV927" t="s">
        <v>1335</v>
      </c>
      <c r="VRW927">
        <v>3383681</v>
      </c>
      <c r="VRX927">
        <v>4216641</v>
      </c>
      <c r="VRY927">
        <v>4604024</v>
      </c>
      <c r="VRZ927">
        <v>7201644</v>
      </c>
      <c r="VSA927">
        <v>13654362</v>
      </c>
      <c r="WBR927" t="s">
        <v>1335</v>
      </c>
      <c r="WBS927">
        <v>3383681</v>
      </c>
      <c r="WBT927">
        <v>4216641</v>
      </c>
      <c r="WBU927">
        <v>4604024</v>
      </c>
      <c r="WBV927">
        <v>7201644</v>
      </c>
      <c r="WBW927">
        <v>13654362</v>
      </c>
      <c r="WLN927" t="s">
        <v>1335</v>
      </c>
      <c r="WLO927">
        <v>3383681</v>
      </c>
      <c r="WLP927">
        <v>4216641</v>
      </c>
      <c r="WLQ927">
        <v>4604024</v>
      </c>
      <c r="WLR927">
        <v>7201644</v>
      </c>
      <c r="WLS927">
        <v>13654362</v>
      </c>
      <c r="WVJ927" t="s">
        <v>1335</v>
      </c>
      <c r="WVK927">
        <v>3383681</v>
      </c>
      <c r="WVL927">
        <v>4216641</v>
      </c>
      <c r="WVM927">
        <v>4604024</v>
      </c>
      <c r="WVN927">
        <v>7201644</v>
      </c>
      <c r="WVO927">
        <v>13654362</v>
      </c>
    </row>
    <row r="928" spans="1:775 1026:1799 2050:2823 3074:3847 4098:4871 5122:5895 6146:6919 7170:7943 8194:8967 9218:9991 10242:11015 11266:12039 12290:13063 13314:14087 14338:15111 15362:16135">
      <c r="A928" s="96" t="s">
        <v>916</v>
      </c>
      <c r="B928" t="s">
        <v>729</v>
      </c>
      <c r="C928" s="100">
        <v>1870000</v>
      </c>
      <c r="D928" s="100">
        <v>885620</v>
      </c>
      <c r="E928" s="100">
        <v>1550000</v>
      </c>
      <c r="F928" s="100">
        <v>5230000</v>
      </c>
      <c r="G928" s="100">
        <v>4039210</v>
      </c>
      <c r="H928" s="100"/>
      <c r="IX928" t="s">
        <v>916</v>
      </c>
      <c r="IY928">
        <v>1870000</v>
      </c>
      <c r="IZ928">
        <v>885620</v>
      </c>
      <c r="JA928">
        <v>1550000</v>
      </c>
      <c r="JB928">
        <v>5230000</v>
      </c>
      <c r="JC928">
        <v>4039210</v>
      </c>
      <c r="ST928" t="s">
        <v>916</v>
      </c>
      <c r="SU928">
        <v>1870000</v>
      </c>
      <c r="SV928">
        <v>885620</v>
      </c>
      <c r="SW928">
        <v>1550000</v>
      </c>
      <c r="SX928">
        <v>5230000</v>
      </c>
      <c r="SY928">
        <v>4039210</v>
      </c>
      <c r="ACP928" t="s">
        <v>916</v>
      </c>
      <c r="ACQ928">
        <v>1870000</v>
      </c>
      <c r="ACR928">
        <v>885620</v>
      </c>
      <c r="ACS928">
        <v>1550000</v>
      </c>
      <c r="ACT928">
        <v>5230000</v>
      </c>
      <c r="ACU928">
        <v>4039210</v>
      </c>
      <c r="AML928" t="s">
        <v>916</v>
      </c>
      <c r="AMM928">
        <v>1870000</v>
      </c>
      <c r="AMN928">
        <v>885620</v>
      </c>
      <c r="AMO928">
        <v>1550000</v>
      </c>
      <c r="AMP928">
        <v>5230000</v>
      </c>
      <c r="AMQ928">
        <v>4039210</v>
      </c>
      <c r="AWH928" t="s">
        <v>916</v>
      </c>
      <c r="AWI928">
        <v>1870000</v>
      </c>
      <c r="AWJ928">
        <v>885620</v>
      </c>
      <c r="AWK928">
        <v>1550000</v>
      </c>
      <c r="AWL928">
        <v>5230000</v>
      </c>
      <c r="AWM928">
        <v>4039210</v>
      </c>
      <c r="BGD928" t="s">
        <v>916</v>
      </c>
      <c r="BGE928">
        <v>1870000</v>
      </c>
      <c r="BGF928">
        <v>885620</v>
      </c>
      <c r="BGG928">
        <v>1550000</v>
      </c>
      <c r="BGH928">
        <v>5230000</v>
      </c>
      <c r="BGI928">
        <v>4039210</v>
      </c>
      <c r="BPZ928" t="s">
        <v>916</v>
      </c>
      <c r="BQA928">
        <v>1870000</v>
      </c>
      <c r="BQB928">
        <v>885620</v>
      </c>
      <c r="BQC928">
        <v>1550000</v>
      </c>
      <c r="BQD928">
        <v>5230000</v>
      </c>
      <c r="BQE928">
        <v>4039210</v>
      </c>
      <c r="BZV928" t="s">
        <v>916</v>
      </c>
      <c r="BZW928">
        <v>1870000</v>
      </c>
      <c r="BZX928">
        <v>885620</v>
      </c>
      <c r="BZY928">
        <v>1550000</v>
      </c>
      <c r="BZZ928">
        <v>5230000</v>
      </c>
      <c r="CAA928">
        <v>4039210</v>
      </c>
      <c r="CJR928" t="s">
        <v>916</v>
      </c>
      <c r="CJS928">
        <v>1870000</v>
      </c>
      <c r="CJT928">
        <v>885620</v>
      </c>
      <c r="CJU928">
        <v>1550000</v>
      </c>
      <c r="CJV928">
        <v>5230000</v>
      </c>
      <c r="CJW928">
        <v>4039210</v>
      </c>
      <c r="CTN928" t="s">
        <v>916</v>
      </c>
      <c r="CTO928">
        <v>1870000</v>
      </c>
      <c r="CTP928">
        <v>885620</v>
      </c>
      <c r="CTQ928">
        <v>1550000</v>
      </c>
      <c r="CTR928">
        <v>5230000</v>
      </c>
      <c r="CTS928">
        <v>4039210</v>
      </c>
      <c r="DDJ928" t="s">
        <v>916</v>
      </c>
      <c r="DDK928">
        <v>1870000</v>
      </c>
      <c r="DDL928">
        <v>885620</v>
      </c>
      <c r="DDM928">
        <v>1550000</v>
      </c>
      <c r="DDN928">
        <v>5230000</v>
      </c>
      <c r="DDO928">
        <v>4039210</v>
      </c>
      <c r="DNF928" t="s">
        <v>916</v>
      </c>
      <c r="DNG928">
        <v>1870000</v>
      </c>
      <c r="DNH928">
        <v>885620</v>
      </c>
      <c r="DNI928">
        <v>1550000</v>
      </c>
      <c r="DNJ928">
        <v>5230000</v>
      </c>
      <c r="DNK928">
        <v>4039210</v>
      </c>
      <c r="DXB928" t="s">
        <v>916</v>
      </c>
      <c r="DXC928">
        <v>1870000</v>
      </c>
      <c r="DXD928">
        <v>885620</v>
      </c>
      <c r="DXE928">
        <v>1550000</v>
      </c>
      <c r="DXF928">
        <v>5230000</v>
      </c>
      <c r="DXG928">
        <v>4039210</v>
      </c>
      <c r="EGX928" t="s">
        <v>916</v>
      </c>
      <c r="EGY928">
        <v>1870000</v>
      </c>
      <c r="EGZ928">
        <v>885620</v>
      </c>
      <c r="EHA928">
        <v>1550000</v>
      </c>
      <c r="EHB928">
        <v>5230000</v>
      </c>
      <c r="EHC928">
        <v>4039210</v>
      </c>
      <c r="EQT928" t="s">
        <v>916</v>
      </c>
      <c r="EQU928">
        <v>1870000</v>
      </c>
      <c r="EQV928">
        <v>885620</v>
      </c>
      <c r="EQW928">
        <v>1550000</v>
      </c>
      <c r="EQX928">
        <v>5230000</v>
      </c>
      <c r="EQY928">
        <v>4039210</v>
      </c>
      <c r="FAP928" t="s">
        <v>916</v>
      </c>
      <c r="FAQ928">
        <v>1870000</v>
      </c>
      <c r="FAR928">
        <v>885620</v>
      </c>
      <c r="FAS928">
        <v>1550000</v>
      </c>
      <c r="FAT928">
        <v>5230000</v>
      </c>
      <c r="FAU928">
        <v>4039210</v>
      </c>
      <c r="FKL928" t="s">
        <v>916</v>
      </c>
      <c r="FKM928">
        <v>1870000</v>
      </c>
      <c r="FKN928">
        <v>885620</v>
      </c>
      <c r="FKO928">
        <v>1550000</v>
      </c>
      <c r="FKP928">
        <v>5230000</v>
      </c>
      <c r="FKQ928">
        <v>4039210</v>
      </c>
      <c r="FUH928" t="s">
        <v>916</v>
      </c>
      <c r="FUI928">
        <v>1870000</v>
      </c>
      <c r="FUJ928">
        <v>885620</v>
      </c>
      <c r="FUK928">
        <v>1550000</v>
      </c>
      <c r="FUL928">
        <v>5230000</v>
      </c>
      <c r="FUM928">
        <v>4039210</v>
      </c>
      <c r="GED928" t="s">
        <v>916</v>
      </c>
      <c r="GEE928">
        <v>1870000</v>
      </c>
      <c r="GEF928">
        <v>885620</v>
      </c>
      <c r="GEG928">
        <v>1550000</v>
      </c>
      <c r="GEH928">
        <v>5230000</v>
      </c>
      <c r="GEI928">
        <v>4039210</v>
      </c>
      <c r="GNZ928" t="s">
        <v>916</v>
      </c>
      <c r="GOA928">
        <v>1870000</v>
      </c>
      <c r="GOB928">
        <v>885620</v>
      </c>
      <c r="GOC928">
        <v>1550000</v>
      </c>
      <c r="GOD928">
        <v>5230000</v>
      </c>
      <c r="GOE928">
        <v>4039210</v>
      </c>
      <c r="GXV928" t="s">
        <v>916</v>
      </c>
      <c r="GXW928">
        <v>1870000</v>
      </c>
      <c r="GXX928">
        <v>885620</v>
      </c>
      <c r="GXY928">
        <v>1550000</v>
      </c>
      <c r="GXZ928">
        <v>5230000</v>
      </c>
      <c r="GYA928">
        <v>4039210</v>
      </c>
      <c r="HHR928" t="s">
        <v>916</v>
      </c>
      <c r="HHS928">
        <v>1870000</v>
      </c>
      <c r="HHT928">
        <v>885620</v>
      </c>
      <c r="HHU928">
        <v>1550000</v>
      </c>
      <c r="HHV928">
        <v>5230000</v>
      </c>
      <c r="HHW928">
        <v>4039210</v>
      </c>
      <c r="HRN928" t="s">
        <v>916</v>
      </c>
      <c r="HRO928">
        <v>1870000</v>
      </c>
      <c r="HRP928">
        <v>885620</v>
      </c>
      <c r="HRQ928">
        <v>1550000</v>
      </c>
      <c r="HRR928">
        <v>5230000</v>
      </c>
      <c r="HRS928">
        <v>4039210</v>
      </c>
      <c r="IBJ928" t="s">
        <v>916</v>
      </c>
      <c r="IBK928">
        <v>1870000</v>
      </c>
      <c r="IBL928">
        <v>885620</v>
      </c>
      <c r="IBM928">
        <v>1550000</v>
      </c>
      <c r="IBN928">
        <v>5230000</v>
      </c>
      <c r="IBO928">
        <v>4039210</v>
      </c>
      <c r="ILF928" t="s">
        <v>916</v>
      </c>
      <c r="ILG928">
        <v>1870000</v>
      </c>
      <c r="ILH928">
        <v>885620</v>
      </c>
      <c r="ILI928">
        <v>1550000</v>
      </c>
      <c r="ILJ928">
        <v>5230000</v>
      </c>
      <c r="ILK928">
        <v>4039210</v>
      </c>
      <c r="IVB928" t="s">
        <v>916</v>
      </c>
      <c r="IVC928">
        <v>1870000</v>
      </c>
      <c r="IVD928">
        <v>885620</v>
      </c>
      <c r="IVE928">
        <v>1550000</v>
      </c>
      <c r="IVF928">
        <v>5230000</v>
      </c>
      <c r="IVG928">
        <v>4039210</v>
      </c>
      <c r="JEX928" t="s">
        <v>916</v>
      </c>
      <c r="JEY928">
        <v>1870000</v>
      </c>
      <c r="JEZ928">
        <v>885620</v>
      </c>
      <c r="JFA928">
        <v>1550000</v>
      </c>
      <c r="JFB928">
        <v>5230000</v>
      </c>
      <c r="JFC928">
        <v>4039210</v>
      </c>
      <c r="JOT928" t="s">
        <v>916</v>
      </c>
      <c r="JOU928">
        <v>1870000</v>
      </c>
      <c r="JOV928">
        <v>885620</v>
      </c>
      <c r="JOW928">
        <v>1550000</v>
      </c>
      <c r="JOX928">
        <v>5230000</v>
      </c>
      <c r="JOY928">
        <v>4039210</v>
      </c>
      <c r="JYP928" t="s">
        <v>916</v>
      </c>
      <c r="JYQ928">
        <v>1870000</v>
      </c>
      <c r="JYR928">
        <v>885620</v>
      </c>
      <c r="JYS928">
        <v>1550000</v>
      </c>
      <c r="JYT928">
        <v>5230000</v>
      </c>
      <c r="JYU928">
        <v>4039210</v>
      </c>
      <c r="KIL928" t="s">
        <v>916</v>
      </c>
      <c r="KIM928">
        <v>1870000</v>
      </c>
      <c r="KIN928">
        <v>885620</v>
      </c>
      <c r="KIO928">
        <v>1550000</v>
      </c>
      <c r="KIP928">
        <v>5230000</v>
      </c>
      <c r="KIQ928">
        <v>4039210</v>
      </c>
      <c r="KSH928" t="s">
        <v>916</v>
      </c>
      <c r="KSI928">
        <v>1870000</v>
      </c>
      <c r="KSJ928">
        <v>885620</v>
      </c>
      <c r="KSK928">
        <v>1550000</v>
      </c>
      <c r="KSL928">
        <v>5230000</v>
      </c>
      <c r="KSM928">
        <v>4039210</v>
      </c>
      <c r="LCD928" t="s">
        <v>916</v>
      </c>
      <c r="LCE928">
        <v>1870000</v>
      </c>
      <c r="LCF928">
        <v>885620</v>
      </c>
      <c r="LCG928">
        <v>1550000</v>
      </c>
      <c r="LCH928">
        <v>5230000</v>
      </c>
      <c r="LCI928">
        <v>4039210</v>
      </c>
      <c r="LLZ928" t="s">
        <v>916</v>
      </c>
      <c r="LMA928">
        <v>1870000</v>
      </c>
      <c r="LMB928">
        <v>885620</v>
      </c>
      <c r="LMC928">
        <v>1550000</v>
      </c>
      <c r="LMD928">
        <v>5230000</v>
      </c>
      <c r="LME928">
        <v>4039210</v>
      </c>
      <c r="LVV928" t="s">
        <v>916</v>
      </c>
      <c r="LVW928">
        <v>1870000</v>
      </c>
      <c r="LVX928">
        <v>885620</v>
      </c>
      <c r="LVY928">
        <v>1550000</v>
      </c>
      <c r="LVZ928">
        <v>5230000</v>
      </c>
      <c r="LWA928">
        <v>4039210</v>
      </c>
      <c r="MFR928" t="s">
        <v>916</v>
      </c>
      <c r="MFS928">
        <v>1870000</v>
      </c>
      <c r="MFT928">
        <v>885620</v>
      </c>
      <c r="MFU928">
        <v>1550000</v>
      </c>
      <c r="MFV928">
        <v>5230000</v>
      </c>
      <c r="MFW928">
        <v>4039210</v>
      </c>
      <c r="MPN928" t="s">
        <v>916</v>
      </c>
      <c r="MPO928">
        <v>1870000</v>
      </c>
      <c r="MPP928">
        <v>885620</v>
      </c>
      <c r="MPQ928">
        <v>1550000</v>
      </c>
      <c r="MPR928">
        <v>5230000</v>
      </c>
      <c r="MPS928">
        <v>4039210</v>
      </c>
      <c r="MZJ928" t="s">
        <v>916</v>
      </c>
      <c r="MZK928">
        <v>1870000</v>
      </c>
      <c r="MZL928">
        <v>885620</v>
      </c>
      <c r="MZM928">
        <v>1550000</v>
      </c>
      <c r="MZN928">
        <v>5230000</v>
      </c>
      <c r="MZO928">
        <v>4039210</v>
      </c>
      <c r="NJF928" t="s">
        <v>916</v>
      </c>
      <c r="NJG928">
        <v>1870000</v>
      </c>
      <c r="NJH928">
        <v>885620</v>
      </c>
      <c r="NJI928">
        <v>1550000</v>
      </c>
      <c r="NJJ928">
        <v>5230000</v>
      </c>
      <c r="NJK928">
        <v>4039210</v>
      </c>
      <c r="NTB928" t="s">
        <v>916</v>
      </c>
      <c r="NTC928">
        <v>1870000</v>
      </c>
      <c r="NTD928">
        <v>885620</v>
      </c>
      <c r="NTE928">
        <v>1550000</v>
      </c>
      <c r="NTF928">
        <v>5230000</v>
      </c>
      <c r="NTG928">
        <v>4039210</v>
      </c>
      <c r="OCX928" t="s">
        <v>916</v>
      </c>
      <c r="OCY928">
        <v>1870000</v>
      </c>
      <c r="OCZ928">
        <v>885620</v>
      </c>
      <c r="ODA928">
        <v>1550000</v>
      </c>
      <c r="ODB928">
        <v>5230000</v>
      </c>
      <c r="ODC928">
        <v>4039210</v>
      </c>
      <c r="OMT928" t="s">
        <v>916</v>
      </c>
      <c r="OMU928">
        <v>1870000</v>
      </c>
      <c r="OMV928">
        <v>885620</v>
      </c>
      <c r="OMW928">
        <v>1550000</v>
      </c>
      <c r="OMX928">
        <v>5230000</v>
      </c>
      <c r="OMY928">
        <v>4039210</v>
      </c>
      <c r="OWP928" t="s">
        <v>916</v>
      </c>
      <c r="OWQ928">
        <v>1870000</v>
      </c>
      <c r="OWR928">
        <v>885620</v>
      </c>
      <c r="OWS928">
        <v>1550000</v>
      </c>
      <c r="OWT928">
        <v>5230000</v>
      </c>
      <c r="OWU928">
        <v>4039210</v>
      </c>
      <c r="PGL928" t="s">
        <v>916</v>
      </c>
      <c r="PGM928">
        <v>1870000</v>
      </c>
      <c r="PGN928">
        <v>885620</v>
      </c>
      <c r="PGO928">
        <v>1550000</v>
      </c>
      <c r="PGP928">
        <v>5230000</v>
      </c>
      <c r="PGQ928">
        <v>4039210</v>
      </c>
      <c r="PQH928" t="s">
        <v>916</v>
      </c>
      <c r="PQI928">
        <v>1870000</v>
      </c>
      <c r="PQJ928">
        <v>885620</v>
      </c>
      <c r="PQK928">
        <v>1550000</v>
      </c>
      <c r="PQL928">
        <v>5230000</v>
      </c>
      <c r="PQM928">
        <v>4039210</v>
      </c>
      <c r="QAD928" t="s">
        <v>916</v>
      </c>
      <c r="QAE928">
        <v>1870000</v>
      </c>
      <c r="QAF928">
        <v>885620</v>
      </c>
      <c r="QAG928">
        <v>1550000</v>
      </c>
      <c r="QAH928">
        <v>5230000</v>
      </c>
      <c r="QAI928">
        <v>4039210</v>
      </c>
      <c r="QJZ928" t="s">
        <v>916</v>
      </c>
      <c r="QKA928">
        <v>1870000</v>
      </c>
      <c r="QKB928">
        <v>885620</v>
      </c>
      <c r="QKC928">
        <v>1550000</v>
      </c>
      <c r="QKD928">
        <v>5230000</v>
      </c>
      <c r="QKE928">
        <v>4039210</v>
      </c>
      <c r="QTV928" t="s">
        <v>916</v>
      </c>
      <c r="QTW928">
        <v>1870000</v>
      </c>
      <c r="QTX928">
        <v>885620</v>
      </c>
      <c r="QTY928">
        <v>1550000</v>
      </c>
      <c r="QTZ928">
        <v>5230000</v>
      </c>
      <c r="QUA928">
        <v>4039210</v>
      </c>
      <c r="RDR928" t="s">
        <v>916</v>
      </c>
      <c r="RDS928">
        <v>1870000</v>
      </c>
      <c r="RDT928">
        <v>885620</v>
      </c>
      <c r="RDU928">
        <v>1550000</v>
      </c>
      <c r="RDV928">
        <v>5230000</v>
      </c>
      <c r="RDW928">
        <v>4039210</v>
      </c>
      <c r="RNN928" t="s">
        <v>916</v>
      </c>
      <c r="RNO928">
        <v>1870000</v>
      </c>
      <c r="RNP928">
        <v>885620</v>
      </c>
      <c r="RNQ928">
        <v>1550000</v>
      </c>
      <c r="RNR928">
        <v>5230000</v>
      </c>
      <c r="RNS928">
        <v>4039210</v>
      </c>
      <c r="RXJ928" t="s">
        <v>916</v>
      </c>
      <c r="RXK928">
        <v>1870000</v>
      </c>
      <c r="RXL928">
        <v>885620</v>
      </c>
      <c r="RXM928">
        <v>1550000</v>
      </c>
      <c r="RXN928">
        <v>5230000</v>
      </c>
      <c r="RXO928">
        <v>4039210</v>
      </c>
      <c r="SHF928" t="s">
        <v>916</v>
      </c>
      <c r="SHG928">
        <v>1870000</v>
      </c>
      <c r="SHH928">
        <v>885620</v>
      </c>
      <c r="SHI928">
        <v>1550000</v>
      </c>
      <c r="SHJ928">
        <v>5230000</v>
      </c>
      <c r="SHK928">
        <v>4039210</v>
      </c>
      <c r="SRB928" t="s">
        <v>916</v>
      </c>
      <c r="SRC928">
        <v>1870000</v>
      </c>
      <c r="SRD928">
        <v>885620</v>
      </c>
      <c r="SRE928">
        <v>1550000</v>
      </c>
      <c r="SRF928">
        <v>5230000</v>
      </c>
      <c r="SRG928">
        <v>4039210</v>
      </c>
      <c r="TAX928" t="s">
        <v>916</v>
      </c>
      <c r="TAY928">
        <v>1870000</v>
      </c>
      <c r="TAZ928">
        <v>885620</v>
      </c>
      <c r="TBA928">
        <v>1550000</v>
      </c>
      <c r="TBB928">
        <v>5230000</v>
      </c>
      <c r="TBC928">
        <v>4039210</v>
      </c>
      <c r="TKT928" t="s">
        <v>916</v>
      </c>
      <c r="TKU928">
        <v>1870000</v>
      </c>
      <c r="TKV928">
        <v>885620</v>
      </c>
      <c r="TKW928">
        <v>1550000</v>
      </c>
      <c r="TKX928">
        <v>5230000</v>
      </c>
      <c r="TKY928">
        <v>4039210</v>
      </c>
      <c r="TUP928" t="s">
        <v>916</v>
      </c>
      <c r="TUQ928">
        <v>1870000</v>
      </c>
      <c r="TUR928">
        <v>885620</v>
      </c>
      <c r="TUS928">
        <v>1550000</v>
      </c>
      <c r="TUT928">
        <v>5230000</v>
      </c>
      <c r="TUU928">
        <v>4039210</v>
      </c>
      <c r="UEL928" t="s">
        <v>916</v>
      </c>
      <c r="UEM928">
        <v>1870000</v>
      </c>
      <c r="UEN928">
        <v>885620</v>
      </c>
      <c r="UEO928">
        <v>1550000</v>
      </c>
      <c r="UEP928">
        <v>5230000</v>
      </c>
      <c r="UEQ928">
        <v>4039210</v>
      </c>
      <c r="UOH928" t="s">
        <v>916</v>
      </c>
      <c r="UOI928">
        <v>1870000</v>
      </c>
      <c r="UOJ928">
        <v>885620</v>
      </c>
      <c r="UOK928">
        <v>1550000</v>
      </c>
      <c r="UOL928">
        <v>5230000</v>
      </c>
      <c r="UOM928">
        <v>4039210</v>
      </c>
      <c r="UYD928" t="s">
        <v>916</v>
      </c>
      <c r="UYE928">
        <v>1870000</v>
      </c>
      <c r="UYF928">
        <v>885620</v>
      </c>
      <c r="UYG928">
        <v>1550000</v>
      </c>
      <c r="UYH928">
        <v>5230000</v>
      </c>
      <c r="UYI928">
        <v>4039210</v>
      </c>
      <c r="VHZ928" t="s">
        <v>916</v>
      </c>
      <c r="VIA928">
        <v>1870000</v>
      </c>
      <c r="VIB928">
        <v>885620</v>
      </c>
      <c r="VIC928">
        <v>1550000</v>
      </c>
      <c r="VID928">
        <v>5230000</v>
      </c>
      <c r="VIE928">
        <v>4039210</v>
      </c>
      <c r="VRV928" t="s">
        <v>916</v>
      </c>
      <c r="VRW928">
        <v>1870000</v>
      </c>
      <c r="VRX928">
        <v>885620</v>
      </c>
      <c r="VRY928">
        <v>1550000</v>
      </c>
      <c r="VRZ928">
        <v>5230000</v>
      </c>
      <c r="VSA928">
        <v>4039210</v>
      </c>
      <c r="WBR928" t="s">
        <v>916</v>
      </c>
      <c r="WBS928">
        <v>1870000</v>
      </c>
      <c r="WBT928">
        <v>885620</v>
      </c>
      <c r="WBU928">
        <v>1550000</v>
      </c>
      <c r="WBV928">
        <v>5230000</v>
      </c>
      <c r="WBW928">
        <v>4039210</v>
      </c>
      <c r="WLN928" t="s">
        <v>916</v>
      </c>
      <c r="WLO928">
        <v>1870000</v>
      </c>
      <c r="WLP928">
        <v>885620</v>
      </c>
      <c r="WLQ928">
        <v>1550000</v>
      </c>
      <c r="WLR928">
        <v>5230000</v>
      </c>
      <c r="WLS928">
        <v>4039210</v>
      </c>
      <c r="WVJ928" t="s">
        <v>916</v>
      </c>
      <c r="WVK928">
        <v>1870000</v>
      </c>
      <c r="WVL928">
        <v>885620</v>
      </c>
      <c r="WVM928">
        <v>1550000</v>
      </c>
      <c r="WVN928">
        <v>5230000</v>
      </c>
      <c r="WVO928">
        <v>4039210</v>
      </c>
    </row>
    <row r="929" spans="1:775 1026:1799 2050:2823 3074:3847 4098:4871 5122:5895 6146:6919 7170:7943 8194:8967 9218:9991 10242:11015 11266:12039 12290:13063 13314:14087 14338:15111 15362:16135">
      <c r="A929" s="96" t="s">
        <v>1336</v>
      </c>
      <c r="B929" t="s">
        <v>729</v>
      </c>
      <c r="C929" s="100">
        <v>198852</v>
      </c>
      <c r="D929" s="100">
        <v>322436</v>
      </c>
      <c r="E929" s="100">
        <v>380560</v>
      </c>
      <c r="F929" s="100">
        <v>2067962</v>
      </c>
      <c r="G929" s="100">
        <v>1237916</v>
      </c>
      <c r="H929" s="100"/>
      <c r="IX929" t="s">
        <v>1336</v>
      </c>
      <c r="IY929">
        <v>198852</v>
      </c>
      <c r="IZ929">
        <v>322436</v>
      </c>
      <c r="JA929">
        <v>380560</v>
      </c>
      <c r="JB929">
        <v>2067962</v>
      </c>
      <c r="JC929">
        <v>1237916</v>
      </c>
      <c r="ST929" t="s">
        <v>1336</v>
      </c>
      <c r="SU929">
        <v>198852</v>
      </c>
      <c r="SV929">
        <v>322436</v>
      </c>
      <c r="SW929">
        <v>380560</v>
      </c>
      <c r="SX929">
        <v>2067962</v>
      </c>
      <c r="SY929">
        <v>1237916</v>
      </c>
      <c r="ACP929" t="s">
        <v>1336</v>
      </c>
      <c r="ACQ929">
        <v>198852</v>
      </c>
      <c r="ACR929">
        <v>322436</v>
      </c>
      <c r="ACS929">
        <v>380560</v>
      </c>
      <c r="ACT929">
        <v>2067962</v>
      </c>
      <c r="ACU929">
        <v>1237916</v>
      </c>
      <c r="AML929" t="s">
        <v>1336</v>
      </c>
      <c r="AMM929">
        <v>198852</v>
      </c>
      <c r="AMN929">
        <v>322436</v>
      </c>
      <c r="AMO929">
        <v>380560</v>
      </c>
      <c r="AMP929">
        <v>2067962</v>
      </c>
      <c r="AMQ929">
        <v>1237916</v>
      </c>
      <c r="AWH929" t="s">
        <v>1336</v>
      </c>
      <c r="AWI929">
        <v>198852</v>
      </c>
      <c r="AWJ929">
        <v>322436</v>
      </c>
      <c r="AWK929">
        <v>380560</v>
      </c>
      <c r="AWL929">
        <v>2067962</v>
      </c>
      <c r="AWM929">
        <v>1237916</v>
      </c>
      <c r="BGD929" t="s">
        <v>1336</v>
      </c>
      <c r="BGE929">
        <v>198852</v>
      </c>
      <c r="BGF929">
        <v>322436</v>
      </c>
      <c r="BGG929">
        <v>380560</v>
      </c>
      <c r="BGH929">
        <v>2067962</v>
      </c>
      <c r="BGI929">
        <v>1237916</v>
      </c>
      <c r="BPZ929" t="s">
        <v>1336</v>
      </c>
      <c r="BQA929">
        <v>198852</v>
      </c>
      <c r="BQB929">
        <v>322436</v>
      </c>
      <c r="BQC929">
        <v>380560</v>
      </c>
      <c r="BQD929">
        <v>2067962</v>
      </c>
      <c r="BQE929">
        <v>1237916</v>
      </c>
      <c r="BZV929" t="s">
        <v>1336</v>
      </c>
      <c r="BZW929">
        <v>198852</v>
      </c>
      <c r="BZX929">
        <v>322436</v>
      </c>
      <c r="BZY929">
        <v>380560</v>
      </c>
      <c r="BZZ929">
        <v>2067962</v>
      </c>
      <c r="CAA929">
        <v>1237916</v>
      </c>
      <c r="CJR929" t="s">
        <v>1336</v>
      </c>
      <c r="CJS929">
        <v>198852</v>
      </c>
      <c r="CJT929">
        <v>322436</v>
      </c>
      <c r="CJU929">
        <v>380560</v>
      </c>
      <c r="CJV929">
        <v>2067962</v>
      </c>
      <c r="CJW929">
        <v>1237916</v>
      </c>
      <c r="CTN929" t="s">
        <v>1336</v>
      </c>
      <c r="CTO929">
        <v>198852</v>
      </c>
      <c r="CTP929">
        <v>322436</v>
      </c>
      <c r="CTQ929">
        <v>380560</v>
      </c>
      <c r="CTR929">
        <v>2067962</v>
      </c>
      <c r="CTS929">
        <v>1237916</v>
      </c>
      <c r="DDJ929" t="s">
        <v>1336</v>
      </c>
      <c r="DDK929">
        <v>198852</v>
      </c>
      <c r="DDL929">
        <v>322436</v>
      </c>
      <c r="DDM929">
        <v>380560</v>
      </c>
      <c r="DDN929">
        <v>2067962</v>
      </c>
      <c r="DDO929">
        <v>1237916</v>
      </c>
      <c r="DNF929" t="s">
        <v>1336</v>
      </c>
      <c r="DNG929">
        <v>198852</v>
      </c>
      <c r="DNH929">
        <v>322436</v>
      </c>
      <c r="DNI929">
        <v>380560</v>
      </c>
      <c r="DNJ929">
        <v>2067962</v>
      </c>
      <c r="DNK929">
        <v>1237916</v>
      </c>
      <c r="DXB929" t="s">
        <v>1336</v>
      </c>
      <c r="DXC929">
        <v>198852</v>
      </c>
      <c r="DXD929">
        <v>322436</v>
      </c>
      <c r="DXE929">
        <v>380560</v>
      </c>
      <c r="DXF929">
        <v>2067962</v>
      </c>
      <c r="DXG929">
        <v>1237916</v>
      </c>
      <c r="EGX929" t="s">
        <v>1336</v>
      </c>
      <c r="EGY929">
        <v>198852</v>
      </c>
      <c r="EGZ929">
        <v>322436</v>
      </c>
      <c r="EHA929">
        <v>380560</v>
      </c>
      <c r="EHB929">
        <v>2067962</v>
      </c>
      <c r="EHC929">
        <v>1237916</v>
      </c>
      <c r="EQT929" t="s">
        <v>1336</v>
      </c>
      <c r="EQU929">
        <v>198852</v>
      </c>
      <c r="EQV929">
        <v>322436</v>
      </c>
      <c r="EQW929">
        <v>380560</v>
      </c>
      <c r="EQX929">
        <v>2067962</v>
      </c>
      <c r="EQY929">
        <v>1237916</v>
      </c>
      <c r="FAP929" t="s">
        <v>1336</v>
      </c>
      <c r="FAQ929">
        <v>198852</v>
      </c>
      <c r="FAR929">
        <v>322436</v>
      </c>
      <c r="FAS929">
        <v>380560</v>
      </c>
      <c r="FAT929">
        <v>2067962</v>
      </c>
      <c r="FAU929">
        <v>1237916</v>
      </c>
      <c r="FKL929" t="s">
        <v>1336</v>
      </c>
      <c r="FKM929">
        <v>198852</v>
      </c>
      <c r="FKN929">
        <v>322436</v>
      </c>
      <c r="FKO929">
        <v>380560</v>
      </c>
      <c r="FKP929">
        <v>2067962</v>
      </c>
      <c r="FKQ929">
        <v>1237916</v>
      </c>
      <c r="FUH929" t="s">
        <v>1336</v>
      </c>
      <c r="FUI929">
        <v>198852</v>
      </c>
      <c r="FUJ929">
        <v>322436</v>
      </c>
      <c r="FUK929">
        <v>380560</v>
      </c>
      <c r="FUL929">
        <v>2067962</v>
      </c>
      <c r="FUM929">
        <v>1237916</v>
      </c>
      <c r="GED929" t="s">
        <v>1336</v>
      </c>
      <c r="GEE929">
        <v>198852</v>
      </c>
      <c r="GEF929">
        <v>322436</v>
      </c>
      <c r="GEG929">
        <v>380560</v>
      </c>
      <c r="GEH929">
        <v>2067962</v>
      </c>
      <c r="GEI929">
        <v>1237916</v>
      </c>
      <c r="GNZ929" t="s">
        <v>1336</v>
      </c>
      <c r="GOA929">
        <v>198852</v>
      </c>
      <c r="GOB929">
        <v>322436</v>
      </c>
      <c r="GOC929">
        <v>380560</v>
      </c>
      <c r="GOD929">
        <v>2067962</v>
      </c>
      <c r="GOE929">
        <v>1237916</v>
      </c>
      <c r="GXV929" t="s">
        <v>1336</v>
      </c>
      <c r="GXW929">
        <v>198852</v>
      </c>
      <c r="GXX929">
        <v>322436</v>
      </c>
      <c r="GXY929">
        <v>380560</v>
      </c>
      <c r="GXZ929">
        <v>2067962</v>
      </c>
      <c r="GYA929">
        <v>1237916</v>
      </c>
      <c r="HHR929" t="s">
        <v>1336</v>
      </c>
      <c r="HHS929">
        <v>198852</v>
      </c>
      <c r="HHT929">
        <v>322436</v>
      </c>
      <c r="HHU929">
        <v>380560</v>
      </c>
      <c r="HHV929">
        <v>2067962</v>
      </c>
      <c r="HHW929">
        <v>1237916</v>
      </c>
      <c r="HRN929" t="s">
        <v>1336</v>
      </c>
      <c r="HRO929">
        <v>198852</v>
      </c>
      <c r="HRP929">
        <v>322436</v>
      </c>
      <c r="HRQ929">
        <v>380560</v>
      </c>
      <c r="HRR929">
        <v>2067962</v>
      </c>
      <c r="HRS929">
        <v>1237916</v>
      </c>
      <c r="IBJ929" t="s">
        <v>1336</v>
      </c>
      <c r="IBK929">
        <v>198852</v>
      </c>
      <c r="IBL929">
        <v>322436</v>
      </c>
      <c r="IBM929">
        <v>380560</v>
      </c>
      <c r="IBN929">
        <v>2067962</v>
      </c>
      <c r="IBO929">
        <v>1237916</v>
      </c>
      <c r="ILF929" t="s">
        <v>1336</v>
      </c>
      <c r="ILG929">
        <v>198852</v>
      </c>
      <c r="ILH929">
        <v>322436</v>
      </c>
      <c r="ILI929">
        <v>380560</v>
      </c>
      <c r="ILJ929">
        <v>2067962</v>
      </c>
      <c r="ILK929">
        <v>1237916</v>
      </c>
      <c r="IVB929" t="s">
        <v>1336</v>
      </c>
      <c r="IVC929">
        <v>198852</v>
      </c>
      <c r="IVD929">
        <v>322436</v>
      </c>
      <c r="IVE929">
        <v>380560</v>
      </c>
      <c r="IVF929">
        <v>2067962</v>
      </c>
      <c r="IVG929">
        <v>1237916</v>
      </c>
      <c r="JEX929" t="s">
        <v>1336</v>
      </c>
      <c r="JEY929">
        <v>198852</v>
      </c>
      <c r="JEZ929">
        <v>322436</v>
      </c>
      <c r="JFA929">
        <v>380560</v>
      </c>
      <c r="JFB929">
        <v>2067962</v>
      </c>
      <c r="JFC929">
        <v>1237916</v>
      </c>
      <c r="JOT929" t="s">
        <v>1336</v>
      </c>
      <c r="JOU929">
        <v>198852</v>
      </c>
      <c r="JOV929">
        <v>322436</v>
      </c>
      <c r="JOW929">
        <v>380560</v>
      </c>
      <c r="JOX929">
        <v>2067962</v>
      </c>
      <c r="JOY929">
        <v>1237916</v>
      </c>
      <c r="JYP929" t="s">
        <v>1336</v>
      </c>
      <c r="JYQ929">
        <v>198852</v>
      </c>
      <c r="JYR929">
        <v>322436</v>
      </c>
      <c r="JYS929">
        <v>380560</v>
      </c>
      <c r="JYT929">
        <v>2067962</v>
      </c>
      <c r="JYU929">
        <v>1237916</v>
      </c>
      <c r="KIL929" t="s">
        <v>1336</v>
      </c>
      <c r="KIM929">
        <v>198852</v>
      </c>
      <c r="KIN929">
        <v>322436</v>
      </c>
      <c r="KIO929">
        <v>380560</v>
      </c>
      <c r="KIP929">
        <v>2067962</v>
      </c>
      <c r="KIQ929">
        <v>1237916</v>
      </c>
      <c r="KSH929" t="s">
        <v>1336</v>
      </c>
      <c r="KSI929">
        <v>198852</v>
      </c>
      <c r="KSJ929">
        <v>322436</v>
      </c>
      <c r="KSK929">
        <v>380560</v>
      </c>
      <c r="KSL929">
        <v>2067962</v>
      </c>
      <c r="KSM929">
        <v>1237916</v>
      </c>
      <c r="LCD929" t="s">
        <v>1336</v>
      </c>
      <c r="LCE929">
        <v>198852</v>
      </c>
      <c r="LCF929">
        <v>322436</v>
      </c>
      <c r="LCG929">
        <v>380560</v>
      </c>
      <c r="LCH929">
        <v>2067962</v>
      </c>
      <c r="LCI929">
        <v>1237916</v>
      </c>
      <c r="LLZ929" t="s">
        <v>1336</v>
      </c>
      <c r="LMA929">
        <v>198852</v>
      </c>
      <c r="LMB929">
        <v>322436</v>
      </c>
      <c r="LMC929">
        <v>380560</v>
      </c>
      <c r="LMD929">
        <v>2067962</v>
      </c>
      <c r="LME929">
        <v>1237916</v>
      </c>
      <c r="LVV929" t="s">
        <v>1336</v>
      </c>
      <c r="LVW929">
        <v>198852</v>
      </c>
      <c r="LVX929">
        <v>322436</v>
      </c>
      <c r="LVY929">
        <v>380560</v>
      </c>
      <c r="LVZ929">
        <v>2067962</v>
      </c>
      <c r="LWA929">
        <v>1237916</v>
      </c>
      <c r="MFR929" t="s">
        <v>1336</v>
      </c>
      <c r="MFS929">
        <v>198852</v>
      </c>
      <c r="MFT929">
        <v>322436</v>
      </c>
      <c r="MFU929">
        <v>380560</v>
      </c>
      <c r="MFV929">
        <v>2067962</v>
      </c>
      <c r="MFW929">
        <v>1237916</v>
      </c>
      <c r="MPN929" t="s">
        <v>1336</v>
      </c>
      <c r="MPO929">
        <v>198852</v>
      </c>
      <c r="MPP929">
        <v>322436</v>
      </c>
      <c r="MPQ929">
        <v>380560</v>
      </c>
      <c r="MPR929">
        <v>2067962</v>
      </c>
      <c r="MPS929">
        <v>1237916</v>
      </c>
      <c r="MZJ929" t="s">
        <v>1336</v>
      </c>
      <c r="MZK929">
        <v>198852</v>
      </c>
      <c r="MZL929">
        <v>322436</v>
      </c>
      <c r="MZM929">
        <v>380560</v>
      </c>
      <c r="MZN929">
        <v>2067962</v>
      </c>
      <c r="MZO929">
        <v>1237916</v>
      </c>
      <c r="NJF929" t="s">
        <v>1336</v>
      </c>
      <c r="NJG929">
        <v>198852</v>
      </c>
      <c r="NJH929">
        <v>322436</v>
      </c>
      <c r="NJI929">
        <v>380560</v>
      </c>
      <c r="NJJ929">
        <v>2067962</v>
      </c>
      <c r="NJK929">
        <v>1237916</v>
      </c>
      <c r="NTB929" t="s">
        <v>1336</v>
      </c>
      <c r="NTC929">
        <v>198852</v>
      </c>
      <c r="NTD929">
        <v>322436</v>
      </c>
      <c r="NTE929">
        <v>380560</v>
      </c>
      <c r="NTF929">
        <v>2067962</v>
      </c>
      <c r="NTG929">
        <v>1237916</v>
      </c>
      <c r="OCX929" t="s">
        <v>1336</v>
      </c>
      <c r="OCY929">
        <v>198852</v>
      </c>
      <c r="OCZ929">
        <v>322436</v>
      </c>
      <c r="ODA929">
        <v>380560</v>
      </c>
      <c r="ODB929">
        <v>2067962</v>
      </c>
      <c r="ODC929">
        <v>1237916</v>
      </c>
      <c r="OMT929" t="s">
        <v>1336</v>
      </c>
      <c r="OMU929">
        <v>198852</v>
      </c>
      <c r="OMV929">
        <v>322436</v>
      </c>
      <c r="OMW929">
        <v>380560</v>
      </c>
      <c r="OMX929">
        <v>2067962</v>
      </c>
      <c r="OMY929">
        <v>1237916</v>
      </c>
      <c r="OWP929" t="s">
        <v>1336</v>
      </c>
      <c r="OWQ929">
        <v>198852</v>
      </c>
      <c r="OWR929">
        <v>322436</v>
      </c>
      <c r="OWS929">
        <v>380560</v>
      </c>
      <c r="OWT929">
        <v>2067962</v>
      </c>
      <c r="OWU929">
        <v>1237916</v>
      </c>
      <c r="PGL929" t="s">
        <v>1336</v>
      </c>
      <c r="PGM929">
        <v>198852</v>
      </c>
      <c r="PGN929">
        <v>322436</v>
      </c>
      <c r="PGO929">
        <v>380560</v>
      </c>
      <c r="PGP929">
        <v>2067962</v>
      </c>
      <c r="PGQ929">
        <v>1237916</v>
      </c>
      <c r="PQH929" t="s">
        <v>1336</v>
      </c>
      <c r="PQI929">
        <v>198852</v>
      </c>
      <c r="PQJ929">
        <v>322436</v>
      </c>
      <c r="PQK929">
        <v>380560</v>
      </c>
      <c r="PQL929">
        <v>2067962</v>
      </c>
      <c r="PQM929">
        <v>1237916</v>
      </c>
      <c r="QAD929" t="s">
        <v>1336</v>
      </c>
      <c r="QAE929">
        <v>198852</v>
      </c>
      <c r="QAF929">
        <v>322436</v>
      </c>
      <c r="QAG929">
        <v>380560</v>
      </c>
      <c r="QAH929">
        <v>2067962</v>
      </c>
      <c r="QAI929">
        <v>1237916</v>
      </c>
      <c r="QJZ929" t="s">
        <v>1336</v>
      </c>
      <c r="QKA929">
        <v>198852</v>
      </c>
      <c r="QKB929">
        <v>322436</v>
      </c>
      <c r="QKC929">
        <v>380560</v>
      </c>
      <c r="QKD929">
        <v>2067962</v>
      </c>
      <c r="QKE929">
        <v>1237916</v>
      </c>
      <c r="QTV929" t="s">
        <v>1336</v>
      </c>
      <c r="QTW929">
        <v>198852</v>
      </c>
      <c r="QTX929">
        <v>322436</v>
      </c>
      <c r="QTY929">
        <v>380560</v>
      </c>
      <c r="QTZ929">
        <v>2067962</v>
      </c>
      <c r="QUA929">
        <v>1237916</v>
      </c>
      <c r="RDR929" t="s">
        <v>1336</v>
      </c>
      <c r="RDS929">
        <v>198852</v>
      </c>
      <c r="RDT929">
        <v>322436</v>
      </c>
      <c r="RDU929">
        <v>380560</v>
      </c>
      <c r="RDV929">
        <v>2067962</v>
      </c>
      <c r="RDW929">
        <v>1237916</v>
      </c>
      <c r="RNN929" t="s">
        <v>1336</v>
      </c>
      <c r="RNO929">
        <v>198852</v>
      </c>
      <c r="RNP929">
        <v>322436</v>
      </c>
      <c r="RNQ929">
        <v>380560</v>
      </c>
      <c r="RNR929">
        <v>2067962</v>
      </c>
      <c r="RNS929">
        <v>1237916</v>
      </c>
      <c r="RXJ929" t="s">
        <v>1336</v>
      </c>
      <c r="RXK929">
        <v>198852</v>
      </c>
      <c r="RXL929">
        <v>322436</v>
      </c>
      <c r="RXM929">
        <v>380560</v>
      </c>
      <c r="RXN929">
        <v>2067962</v>
      </c>
      <c r="RXO929">
        <v>1237916</v>
      </c>
      <c r="SHF929" t="s">
        <v>1336</v>
      </c>
      <c r="SHG929">
        <v>198852</v>
      </c>
      <c r="SHH929">
        <v>322436</v>
      </c>
      <c r="SHI929">
        <v>380560</v>
      </c>
      <c r="SHJ929">
        <v>2067962</v>
      </c>
      <c r="SHK929">
        <v>1237916</v>
      </c>
      <c r="SRB929" t="s">
        <v>1336</v>
      </c>
      <c r="SRC929">
        <v>198852</v>
      </c>
      <c r="SRD929">
        <v>322436</v>
      </c>
      <c r="SRE929">
        <v>380560</v>
      </c>
      <c r="SRF929">
        <v>2067962</v>
      </c>
      <c r="SRG929">
        <v>1237916</v>
      </c>
      <c r="TAX929" t="s">
        <v>1336</v>
      </c>
      <c r="TAY929">
        <v>198852</v>
      </c>
      <c r="TAZ929">
        <v>322436</v>
      </c>
      <c r="TBA929">
        <v>380560</v>
      </c>
      <c r="TBB929">
        <v>2067962</v>
      </c>
      <c r="TBC929">
        <v>1237916</v>
      </c>
      <c r="TKT929" t="s">
        <v>1336</v>
      </c>
      <c r="TKU929">
        <v>198852</v>
      </c>
      <c r="TKV929">
        <v>322436</v>
      </c>
      <c r="TKW929">
        <v>380560</v>
      </c>
      <c r="TKX929">
        <v>2067962</v>
      </c>
      <c r="TKY929">
        <v>1237916</v>
      </c>
      <c r="TUP929" t="s">
        <v>1336</v>
      </c>
      <c r="TUQ929">
        <v>198852</v>
      </c>
      <c r="TUR929">
        <v>322436</v>
      </c>
      <c r="TUS929">
        <v>380560</v>
      </c>
      <c r="TUT929">
        <v>2067962</v>
      </c>
      <c r="TUU929">
        <v>1237916</v>
      </c>
      <c r="UEL929" t="s">
        <v>1336</v>
      </c>
      <c r="UEM929">
        <v>198852</v>
      </c>
      <c r="UEN929">
        <v>322436</v>
      </c>
      <c r="UEO929">
        <v>380560</v>
      </c>
      <c r="UEP929">
        <v>2067962</v>
      </c>
      <c r="UEQ929">
        <v>1237916</v>
      </c>
      <c r="UOH929" t="s">
        <v>1336</v>
      </c>
      <c r="UOI929">
        <v>198852</v>
      </c>
      <c r="UOJ929">
        <v>322436</v>
      </c>
      <c r="UOK929">
        <v>380560</v>
      </c>
      <c r="UOL929">
        <v>2067962</v>
      </c>
      <c r="UOM929">
        <v>1237916</v>
      </c>
      <c r="UYD929" t="s">
        <v>1336</v>
      </c>
      <c r="UYE929">
        <v>198852</v>
      </c>
      <c r="UYF929">
        <v>322436</v>
      </c>
      <c r="UYG929">
        <v>380560</v>
      </c>
      <c r="UYH929">
        <v>2067962</v>
      </c>
      <c r="UYI929">
        <v>1237916</v>
      </c>
      <c r="VHZ929" t="s">
        <v>1336</v>
      </c>
      <c r="VIA929">
        <v>198852</v>
      </c>
      <c r="VIB929">
        <v>322436</v>
      </c>
      <c r="VIC929">
        <v>380560</v>
      </c>
      <c r="VID929">
        <v>2067962</v>
      </c>
      <c r="VIE929">
        <v>1237916</v>
      </c>
      <c r="VRV929" t="s">
        <v>1336</v>
      </c>
      <c r="VRW929">
        <v>198852</v>
      </c>
      <c r="VRX929">
        <v>322436</v>
      </c>
      <c r="VRY929">
        <v>380560</v>
      </c>
      <c r="VRZ929">
        <v>2067962</v>
      </c>
      <c r="VSA929">
        <v>1237916</v>
      </c>
      <c r="WBR929" t="s">
        <v>1336</v>
      </c>
      <c r="WBS929">
        <v>198852</v>
      </c>
      <c r="WBT929">
        <v>322436</v>
      </c>
      <c r="WBU929">
        <v>380560</v>
      </c>
      <c r="WBV929">
        <v>2067962</v>
      </c>
      <c r="WBW929">
        <v>1237916</v>
      </c>
      <c r="WLN929" t="s">
        <v>1336</v>
      </c>
      <c r="WLO929">
        <v>198852</v>
      </c>
      <c r="WLP929">
        <v>322436</v>
      </c>
      <c r="WLQ929">
        <v>380560</v>
      </c>
      <c r="WLR929">
        <v>2067962</v>
      </c>
      <c r="WLS929">
        <v>1237916</v>
      </c>
      <c r="WVJ929" t="s">
        <v>1336</v>
      </c>
      <c r="WVK929">
        <v>198852</v>
      </c>
      <c r="WVL929">
        <v>322436</v>
      </c>
      <c r="WVM929">
        <v>380560</v>
      </c>
      <c r="WVN929">
        <v>2067962</v>
      </c>
      <c r="WVO929">
        <v>1237916</v>
      </c>
    </row>
    <row r="930" spans="1:775 1026:1799 2050:2823 3074:3847 4098:4871 5122:5895 6146:6919 7170:7943 8194:8967 9218:9991 10242:11015 11266:12039 12290:13063 13314:14087 14338:15111 15362:16135">
      <c r="A930" s="96" t="s">
        <v>1337</v>
      </c>
      <c r="B930" t="s">
        <v>1091</v>
      </c>
      <c r="C930" s="98">
        <v>0</v>
      </c>
      <c r="D930" s="100">
        <v>608747</v>
      </c>
      <c r="E930" s="100">
        <v>547142</v>
      </c>
      <c r="F930" s="100">
        <v>744561</v>
      </c>
      <c r="G930" s="100">
        <v>1025968</v>
      </c>
      <c r="H930" s="100"/>
      <c r="IX930" t="s">
        <v>1337</v>
      </c>
      <c r="IY930" t="s">
        <v>619</v>
      </c>
      <c r="IZ930">
        <v>608747</v>
      </c>
      <c r="JA930">
        <v>547142</v>
      </c>
      <c r="JB930">
        <v>744561</v>
      </c>
      <c r="JC930">
        <v>1025968</v>
      </c>
      <c r="ST930" t="s">
        <v>1337</v>
      </c>
      <c r="SU930" t="s">
        <v>619</v>
      </c>
      <c r="SV930">
        <v>608747</v>
      </c>
      <c r="SW930">
        <v>547142</v>
      </c>
      <c r="SX930">
        <v>744561</v>
      </c>
      <c r="SY930">
        <v>1025968</v>
      </c>
      <c r="ACP930" t="s">
        <v>1337</v>
      </c>
      <c r="ACQ930" t="s">
        <v>619</v>
      </c>
      <c r="ACR930">
        <v>608747</v>
      </c>
      <c r="ACS930">
        <v>547142</v>
      </c>
      <c r="ACT930">
        <v>744561</v>
      </c>
      <c r="ACU930">
        <v>1025968</v>
      </c>
      <c r="AML930" t="s">
        <v>1337</v>
      </c>
      <c r="AMM930" t="s">
        <v>619</v>
      </c>
      <c r="AMN930">
        <v>608747</v>
      </c>
      <c r="AMO930">
        <v>547142</v>
      </c>
      <c r="AMP930">
        <v>744561</v>
      </c>
      <c r="AMQ930">
        <v>1025968</v>
      </c>
      <c r="AWH930" t="s">
        <v>1337</v>
      </c>
      <c r="AWI930" t="s">
        <v>619</v>
      </c>
      <c r="AWJ930">
        <v>608747</v>
      </c>
      <c r="AWK930">
        <v>547142</v>
      </c>
      <c r="AWL930">
        <v>744561</v>
      </c>
      <c r="AWM930">
        <v>1025968</v>
      </c>
      <c r="BGD930" t="s">
        <v>1337</v>
      </c>
      <c r="BGE930" t="s">
        <v>619</v>
      </c>
      <c r="BGF930">
        <v>608747</v>
      </c>
      <c r="BGG930">
        <v>547142</v>
      </c>
      <c r="BGH930">
        <v>744561</v>
      </c>
      <c r="BGI930">
        <v>1025968</v>
      </c>
      <c r="BPZ930" t="s">
        <v>1337</v>
      </c>
      <c r="BQA930" t="s">
        <v>619</v>
      </c>
      <c r="BQB930">
        <v>608747</v>
      </c>
      <c r="BQC930">
        <v>547142</v>
      </c>
      <c r="BQD930">
        <v>744561</v>
      </c>
      <c r="BQE930">
        <v>1025968</v>
      </c>
      <c r="BZV930" t="s">
        <v>1337</v>
      </c>
      <c r="BZW930" t="s">
        <v>619</v>
      </c>
      <c r="BZX930">
        <v>608747</v>
      </c>
      <c r="BZY930">
        <v>547142</v>
      </c>
      <c r="BZZ930">
        <v>744561</v>
      </c>
      <c r="CAA930">
        <v>1025968</v>
      </c>
      <c r="CJR930" t="s">
        <v>1337</v>
      </c>
      <c r="CJS930" t="s">
        <v>619</v>
      </c>
      <c r="CJT930">
        <v>608747</v>
      </c>
      <c r="CJU930">
        <v>547142</v>
      </c>
      <c r="CJV930">
        <v>744561</v>
      </c>
      <c r="CJW930">
        <v>1025968</v>
      </c>
      <c r="CTN930" t="s">
        <v>1337</v>
      </c>
      <c r="CTO930" t="s">
        <v>619</v>
      </c>
      <c r="CTP930">
        <v>608747</v>
      </c>
      <c r="CTQ930">
        <v>547142</v>
      </c>
      <c r="CTR930">
        <v>744561</v>
      </c>
      <c r="CTS930">
        <v>1025968</v>
      </c>
      <c r="DDJ930" t="s">
        <v>1337</v>
      </c>
      <c r="DDK930" t="s">
        <v>619</v>
      </c>
      <c r="DDL930">
        <v>608747</v>
      </c>
      <c r="DDM930">
        <v>547142</v>
      </c>
      <c r="DDN930">
        <v>744561</v>
      </c>
      <c r="DDO930">
        <v>1025968</v>
      </c>
      <c r="DNF930" t="s">
        <v>1337</v>
      </c>
      <c r="DNG930" t="s">
        <v>619</v>
      </c>
      <c r="DNH930">
        <v>608747</v>
      </c>
      <c r="DNI930">
        <v>547142</v>
      </c>
      <c r="DNJ930">
        <v>744561</v>
      </c>
      <c r="DNK930">
        <v>1025968</v>
      </c>
      <c r="DXB930" t="s">
        <v>1337</v>
      </c>
      <c r="DXC930" t="s">
        <v>619</v>
      </c>
      <c r="DXD930">
        <v>608747</v>
      </c>
      <c r="DXE930">
        <v>547142</v>
      </c>
      <c r="DXF930">
        <v>744561</v>
      </c>
      <c r="DXG930">
        <v>1025968</v>
      </c>
      <c r="EGX930" t="s">
        <v>1337</v>
      </c>
      <c r="EGY930" t="s">
        <v>619</v>
      </c>
      <c r="EGZ930">
        <v>608747</v>
      </c>
      <c r="EHA930">
        <v>547142</v>
      </c>
      <c r="EHB930">
        <v>744561</v>
      </c>
      <c r="EHC930">
        <v>1025968</v>
      </c>
      <c r="EQT930" t="s">
        <v>1337</v>
      </c>
      <c r="EQU930" t="s">
        <v>619</v>
      </c>
      <c r="EQV930">
        <v>608747</v>
      </c>
      <c r="EQW930">
        <v>547142</v>
      </c>
      <c r="EQX930">
        <v>744561</v>
      </c>
      <c r="EQY930">
        <v>1025968</v>
      </c>
      <c r="FAP930" t="s">
        <v>1337</v>
      </c>
      <c r="FAQ930" t="s">
        <v>619</v>
      </c>
      <c r="FAR930">
        <v>608747</v>
      </c>
      <c r="FAS930">
        <v>547142</v>
      </c>
      <c r="FAT930">
        <v>744561</v>
      </c>
      <c r="FAU930">
        <v>1025968</v>
      </c>
      <c r="FKL930" t="s">
        <v>1337</v>
      </c>
      <c r="FKM930" t="s">
        <v>619</v>
      </c>
      <c r="FKN930">
        <v>608747</v>
      </c>
      <c r="FKO930">
        <v>547142</v>
      </c>
      <c r="FKP930">
        <v>744561</v>
      </c>
      <c r="FKQ930">
        <v>1025968</v>
      </c>
      <c r="FUH930" t="s">
        <v>1337</v>
      </c>
      <c r="FUI930" t="s">
        <v>619</v>
      </c>
      <c r="FUJ930">
        <v>608747</v>
      </c>
      <c r="FUK930">
        <v>547142</v>
      </c>
      <c r="FUL930">
        <v>744561</v>
      </c>
      <c r="FUM930">
        <v>1025968</v>
      </c>
      <c r="GED930" t="s">
        <v>1337</v>
      </c>
      <c r="GEE930" t="s">
        <v>619</v>
      </c>
      <c r="GEF930">
        <v>608747</v>
      </c>
      <c r="GEG930">
        <v>547142</v>
      </c>
      <c r="GEH930">
        <v>744561</v>
      </c>
      <c r="GEI930">
        <v>1025968</v>
      </c>
      <c r="GNZ930" t="s">
        <v>1337</v>
      </c>
      <c r="GOA930" t="s">
        <v>619</v>
      </c>
      <c r="GOB930">
        <v>608747</v>
      </c>
      <c r="GOC930">
        <v>547142</v>
      </c>
      <c r="GOD930">
        <v>744561</v>
      </c>
      <c r="GOE930">
        <v>1025968</v>
      </c>
      <c r="GXV930" t="s">
        <v>1337</v>
      </c>
      <c r="GXW930" t="s">
        <v>619</v>
      </c>
      <c r="GXX930">
        <v>608747</v>
      </c>
      <c r="GXY930">
        <v>547142</v>
      </c>
      <c r="GXZ930">
        <v>744561</v>
      </c>
      <c r="GYA930">
        <v>1025968</v>
      </c>
      <c r="HHR930" t="s">
        <v>1337</v>
      </c>
      <c r="HHS930" t="s">
        <v>619</v>
      </c>
      <c r="HHT930">
        <v>608747</v>
      </c>
      <c r="HHU930">
        <v>547142</v>
      </c>
      <c r="HHV930">
        <v>744561</v>
      </c>
      <c r="HHW930">
        <v>1025968</v>
      </c>
      <c r="HRN930" t="s">
        <v>1337</v>
      </c>
      <c r="HRO930" t="s">
        <v>619</v>
      </c>
      <c r="HRP930">
        <v>608747</v>
      </c>
      <c r="HRQ930">
        <v>547142</v>
      </c>
      <c r="HRR930">
        <v>744561</v>
      </c>
      <c r="HRS930">
        <v>1025968</v>
      </c>
      <c r="IBJ930" t="s">
        <v>1337</v>
      </c>
      <c r="IBK930" t="s">
        <v>619</v>
      </c>
      <c r="IBL930">
        <v>608747</v>
      </c>
      <c r="IBM930">
        <v>547142</v>
      </c>
      <c r="IBN930">
        <v>744561</v>
      </c>
      <c r="IBO930">
        <v>1025968</v>
      </c>
      <c r="ILF930" t="s">
        <v>1337</v>
      </c>
      <c r="ILG930" t="s">
        <v>619</v>
      </c>
      <c r="ILH930">
        <v>608747</v>
      </c>
      <c r="ILI930">
        <v>547142</v>
      </c>
      <c r="ILJ930">
        <v>744561</v>
      </c>
      <c r="ILK930">
        <v>1025968</v>
      </c>
      <c r="IVB930" t="s">
        <v>1337</v>
      </c>
      <c r="IVC930" t="s">
        <v>619</v>
      </c>
      <c r="IVD930">
        <v>608747</v>
      </c>
      <c r="IVE930">
        <v>547142</v>
      </c>
      <c r="IVF930">
        <v>744561</v>
      </c>
      <c r="IVG930">
        <v>1025968</v>
      </c>
      <c r="JEX930" t="s">
        <v>1337</v>
      </c>
      <c r="JEY930" t="s">
        <v>619</v>
      </c>
      <c r="JEZ930">
        <v>608747</v>
      </c>
      <c r="JFA930">
        <v>547142</v>
      </c>
      <c r="JFB930">
        <v>744561</v>
      </c>
      <c r="JFC930">
        <v>1025968</v>
      </c>
      <c r="JOT930" t="s">
        <v>1337</v>
      </c>
      <c r="JOU930" t="s">
        <v>619</v>
      </c>
      <c r="JOV930">
        <v>608747</v>
      </c>
      <c r="JOW930">
        <v>547142</v>
      </c>
      <c r="JOX930">
        <v>744561</v>
      </c>
      <c r="JOY930">
        <v>1025968</v>
      </c>
      <c r="JYP930" t="s">
        <v>1337</v>
      </c>
      <c r="JYQ930" t="s">
        <v>619</v>
      </c>
      <c r="JYR930">
        <v>608747</v>
      </c>
      <c r="JYS930">
        <v>547142</v>
      </c>
      <c r="JYT930">
        <v>744561</v>
      </c>
      <c r="JYU930">
        <v>1025968</v>
      </c>
      <c r="KIL930" t="s">
        <v>1337</v>
      </c>
      <c r="KIM930" t="s">
        <v>619</v>
      </c>
      <c r="KIN930">
        <v>608747</v>
      </c>
      <c r="KIO930">
        <v>547142</v>
      </c>
      <c r="KIP930">
        <v>744561</v>
      </c>
      <c r="KIQ930">
        <v>1025968</v>
      </c>
      <c r="KSH930" t="s">
        <v>1337</v>
      </c>
      <c r="KSI930" t="s">
        <v>619</v>
      </c>
      <c r="KSJ930">
        <v>608747</v>
      </c>
      <c r="KSK930">
        <v>547142</v>
      </c>
      <c r="KSL930">
        <v>744561</v>
      </c>
      <c r="KSM930">
        <v>1025968</v>
      </c>
      <c r="LCD930" t="s">
        <v>1337</v>
      </c>
      <c r="LCE930" t="s">
        <v>619</v>
      </c>
      <c r="LCF930">
        <v>608747</v>
      </c>
      <c r="LCG930">
        <v>547142</v>
      </c>
      <c r="LCH930">
        <v>744561</v>
      </c>
      <c r="LCI930">
        <v>1025968</v>
      </c>
      <c r="LLZ930" t="s">
        <v>1337</v>
      </c>
      <c r="LMA930" t="s">
        <v>619</v>
      </c>
      <c r="LMB930">
        <v>608747</v>
      </c>
      <c r="LMC930">
        <v>547142</v>
      </c>
      <c r="LMD930">
        <v>744561</v>
      </c>
      <c r="LME930">
        <v>1025968</v>
      </c>
      <c r="LVV930" t="s">
        <v>1337</v>
      </c>
      <c r="LVW930" t="s">
        <v>619</v>
      </c>
      <c r="LVX930">
        <v>608747</v>
      </c>
      <c r="LVY930">
        <v>547142</v>
      </c>
      <c r="LVZ930">
        <v>744561</v>
      </c>
      <c r="LWA930">
        <v>1025968</v>
      </c>
      <c r="MFR930" t="s">
        <v>1337</v>
      </c>
      <c r="MFS930" t="s">
        <v>619</v>
      </c>
      <c r="MFT930">
        <v>608747</v>
      </c>
      <c r="MFU930">
        <v>547142</v>
      </c>
      <c r="MFV930">
        <v>744561</v>
      </c>
      <c r="MFW930">
        <v>1025968</v>
      </c>
      <c r="MPN930" t="s">
        <v>1337</v>
      </c>
      <c r="MPO930" t="s">
        <v>619</v>
      </c>
      <c r="MPP930">
        <v>608747</v>
      </c>
      <c r="MPQ930">
        <v>547142</v>
      </c>
      <c r="MPR930">
        <v>744561</v>
      </c>
      <c r="MPS930">
        <v>1025968</v>
      </c>
      <c r="MZJ930" t="s">
        <v>1337</v>
      </c>
      <c r="MZK930" t="s">
        <v>619</v>
      </c>
      <c r="MZL930">
        <v>608747</v>
      </c>
      <c r="MZM930">
        <v>547142</v>
      </c>
      <c r="MZN930">
        <v>744561</v>
      </c>
      <c r="MZO930">
        <v>1025968</v>
      </c>
      <c r="NJF930" t="s">
        <v>1337</v>
      </c>
      <c r="NJG930" t="s">
        <v>619</v>
      </c>
      <c r="NJH930">
        <v>608747</v>
      </c>
      <c r="NJI930">
        <v>547142</v>
      </c>
      <c r="NJJ930">
        <v>744561</v>
      </c>
      <c r="NJK930">
        <v>1025968</v>
      </c>
      <c r="NTB930" t="s">
        <v>1337</v>
      </c>
      <c r="NTC930" t="s">
        <v>619</v>
      </c>
      <c r="NTD930">
        <v>608747</v>
      </c>
      <c r="NTE930">
        <v>547142</v>
      </c>
      <c r="NTF930">
        <v>744561</v>
      </c>
      <c r="NTG930">
        <v>1025968</v>
      </c>
      <c r="OCX930" t="s">
        <v>1337</v>
      </c>
      <c r="OCY930" t="s">
        <v>619</v>
      </c>
      <c r="OCZ930">
        <v>608747</v>
      </c>
      <c r="ODA930">
        <v>547142</v>
      </c>
      <c r="ODB930">
        <v>744561</v>
      </c>
      <c r="ODC930">
        <v>1025968</v>
      </c>
      <c r="OMT930" t="s">
        <v>1337</v>
      </c>
      <c r="OMU930" t="s">
        <v>619</v>
      </c>
      <c r="OMV930">
        <v>608747</v>
      </c>
      <c r="OMW930">
        <v>547142</v>
      </c>
      <c r="OMX930">
        <v>744561</v>
      </c>
      <c r="OMY930">
        <v>1025968</v>
      </c>
      <c r="OWP930" t="s">
        <v>1337</v>
      </c>
      <c r="OWQ930" t="s">
        <v>619</v>
      </c>
      <c r="OWR930">
        <v>608747</v>
      </c>
      <c r="OWS930">
        <v>547142</v>
      </c>
      <c r="OWT930">
        <v>744561</v>
      </c>
      <c r="OWU930">
        <v>1025968</v>
      </c>
      <c r="PGL930" t="s">
        <v>1337</v>
      </c>
      <c r="PGM930" t="s">
        <v>619</v>
      </c>
      <c r="PGN930">
        <v>608747</v>
      </c>
      <c r="PGO930">
        <v>547142</v>
      </c>
      <c r="PGP930">
        <v>744561</v>
      </c>
      <c r="PGQ930">
        <v>1025968</v>
      </c>
      <c r="PQH930" t="s">
        <v>1337</v>
      </c>
      <c r="PQI930" t="s">
        <v>619</v>
      </c>
      <c r="PQJ930">
        <v>608747</v>
      </c>
      <c r="PQK930">
        <v>547142</v>
      </c>
      <c r="PQL930">
        <v>744561</v>
      </c>
      <c r="PQM930">
        <v>1025968</v>
      </c>
      <c r="QAD930" t="s">
        <v>1337</v>
      </c>
      <c r="QAE930" t="s">
        <v>619</v>
      </c>
      <c r="QAF930">
        <v>608747</v>
      </c>
      <c r="QAG930">
        <v>547142</v>
      </c>
      <c r="QAH930">
        <v>744561</v>
      </c>
      <c r="QAI930">
        <v>1025968</v>
      </c>
      <c r="QJZ930" t="s">
        <v>1337</v>
      </c>
      <c r="QKA930" t="s">
        <v>619</v>
      </c>
      <c r="QKB930">
        <v>608747</v>
      </c>
      <c r="QKC930">
        <v>547142</v>
      </c>
      <c r="QKD930">
        <v>744561</v>
      </c>
      <c r="QKE930">
        <v>1025968</v>
      </c>
      <c r="QTV930" t="s">
        <v>1337</v>
      </c>
      <c r="QTW930" t="s">
        <v>619</v>
      </c>
      <c r="QTX930">
        <v>608747</v>
      </c>
      <c r="QTY930">
        <v>547142</v>
      </c>
      <c r="QTZ930">
        <v>744561</v>
      </c>
      <c r="QUA930">
        <v>1025968</v>
      </c>
      <c r="RDR930" t="s">
        <v>1337</v>
      </c>
      <c r="RDS930" t="s">
        <v>619</v>
      </c>
      <c r="RDT930">
        <v>608747</v>
      </c>
      <c r="RDU930">
        <v>547142</v>
      </c>
      <c r="RDV930">
        <v>744561</v>
      </c>
      <c r="RDW930">
        <v>1025968</v>
      </c>
      <c r="RNN930" t="s">
        <v>1337</v>
      </c>
      <c r="RNO930" t="s">
        <v>619</v>
      </c>
      <c r="RNP930">
        <v>608747</v>
      </c>
      <c r="RNQ930">
        <v>547142</v>
      </c>
      <c r="RNR930">
        <v>744561</v>
      </c>
      <c r="RNS930">
        <v>1025968</v>
      </c>
      <c r="RXJ930" t="s">
        <v>1337</v>
      </c>
      <c r="RXK930" t="s">
        <v>619</v>
      </c>
      <c r="RXL930">
        <v>608747</v>
      </c>
      <c r="RXM930">
        <v>547142</v>
      </c>
      <c r="RXN930">
        <v>744561</v>
      </c>
      <c r="RXO930">
        <v>1025968</v>
      </c>
      <c r="SHF930" t="s">
        <v>1337</v>
      </c>
      <c r="SHG930" t="s">
        <v>619</v>
      </c>
      <c r="SHH930">
        <v>608747</v>
      </c>
      <c r="SHI930">
        <v>547142</v>
      </c>
      <c r="SHJ930">
        <v>744561</v>
      </c>
      <c r="SHK930">
        <v>1025968</v>
      </c>
      <c r="SRB930" t="s">
        <v>1337</v>
      </c>
      <c r="SRC930" t="s">
        <v>619</v>
      </c>
      <c r="SRD930">
        <v>608747</v>
      </c>
      <c r="SRE930">
        <v>547142</v>
      </c>
      <c r="SRF930">
        <v>744561</v>
      </c>
      <c r="SRG930">
        <v>1025968</v>
      </c>
      <c r="TAX930" t="s">
        <v>1337</v>
      </c>
      <c r="TAY930" t="s">
        <v>619</v>
      </c>
      <c r="TAZ930">
        <v>608747</v>
      </c>
      <c r="TBA930">
        <v>547142</v>
      </c>
      <c r="TBB930">
        <v>744561</v>
      </c>
      <c r="TBC930">
        <v>1025968</v>
      </c>
      <c r="TKT930" t="s">
        <v>1337</v>
      </c>
      <c r="TKU930" t="s">
        <v>619</v>
      </c>
      <c r="TKV930">
        <v>608747</v>
      </c>
      <c r="TKW930">
        <v>547142</v>
      </c>
      <c r="TKX930">
        <v>744561</v>
      </c>
      <c r="TKY930">
        <v>1025968</v>
      </c>
      <c r="TUP930" t="s">
        <v>1337</v>
      </c>
      <c r="TUQ930" t="s">
        <v>619</v>
      </c>
      <c r="TUR930">
        <v>608747</v>
      </c>
      <c r="TUS930">
        <v>547142</v>
      </c>
      <c r="TUT930">
        <v>744561</v>
      </c>
      <c r="TUU930">
        <v>1025968</v>
      </c>
      <c r="UEL930" t="s">
        <v>1337</v>
      </c>
      <c r="UEM930" t="s">
        <v>619</v>
      </c>
      <c r="UEN930">
        <v>608747</v>
      </c>
      <c r="UEO930">
        <v>547142</v>
      </c>
      <c r="UEP930">
        <v>744561</v>
      </c>
      <c r="UEQ930">
        <v>1025968</v>
      </c>
      <c r="UOH930" t="s">
        <v>1337</v>
      </c>
      <c r="UOI930" t="s">
        <v>619</v>
      </c>
      <c r="UOJ930">
        <v>608747</v>
      </c>
      <c r="UOK930">
        <v>547142</v>
      </c>
      <c r="UOL930">
        <v>744561</v>
      </c>
      <c r="UOM930">
        <v>1025968</v>
      </c>
      <c r="UYD930" t="s">
        <v>1337</v>
      </c>
      <c r="UYE930" t="s">
        <v>619</v>
      </c>
      <c r="UYF930">
        <v>608747</v>
      </c>
      <c r="UYG930">
        <v>547142</v>
      </c>
      <c r="UYH930">
        <v>744561</v>
      </c>
      <c r="UYI930">
        <v>1025968</v>
      </c>
      <c r="VHZ930" t="s">
        <v>1337</v>
      </c>
      <c r="VIA930" t="s">
        <v>619</v>
      </c>
      <c r="VIB930">
        <v>608747</v>
      </c>
      <c r="VIC930">
        <v>547142</v>
      </c>
      <c r="VID930">
        <v>744561</v>
      </c>
      <c r="VIE930">
        <v>1025968</v>
      </c>
      <c r="VRV930" t="s">
        <v>1337</v>
      </c>
      <c r="VRW930" t="s">
        <v>619</v>
      </c>
      <c r="VRX930">
        <v>608747</v>
      </c>
      <c r="VRY930">
        <v>547142</v>
      </c>
      <c r="VRZ930">
        <v>744561</v>
      </c>
      <c r="VSA930">
        <v>1025968</v>
      </c>
      <c r="WBR930" t="s">
        <v>1337</v>
      </c>
      <c r="WBS930" t="s">
        <v>619</v>
      </c>
      <c r="WBT930">
        <v>608747</v>
      </c>
      <c r="WBU930">
        <v>547142</v>
      </c>
      <c r="WBV930">
        <v>744561</v>
      </c>
      <c r="WBW930">
        <v>1025968</v>
      </c>
      <c r="WLN930" t="s">
        <v>1337</v>
      </c>
      <c r="WLO930" t="s">
        <v>619</v>
      </c>
      <c r="WLP930">
        <v>608747</v>
      </c>
      <c r="WLQ930">
        <v>547142</v>
      </c>
      <c r="WLR930">
        <v>744561</v>
      </c>
      <c r="WLS930">
        <v>1025968</v>
      </c>
      <c r="WVJ930" t="s">
        <v>1337</v>
      </c>
      <c r="WVK930" t="s">
        <v>619</v>
      </c>
      <c r="WVL930">
        <v>608747</v>
      </c>
      <c r="WVM930">
        <v>547142</v>
      </c>
      <c r="WVN930">
        <v>744561</v>
      </c>
      <c r="WVO930">
        <v>1025968</v>
      </c>
    </row>
    <row r="931" spans="1:775 1026:1799 2050:2823 3074:3847 4098:4871 5122:5895 6146:6919 7170:7943 8194:8967 9218:9991 10242:11015 11266:12039 12290:13063 13314:14087 14338:15111 15362:16135">
      <c r="A931" s="96" t="s">
        <v>919</v>
      </c>
      <c r="B931" t="s">
        <v>724</v>
      </c>
      <c r="C931" s="100">
        <v>51317</v>
      </c>
      <c r="D931" s="100">
        <v>43986</v>
      </c>
      <c r="E931" s="100">
        <v>181658</v>
      </c>
      <c r="F931" s="100">
        <v>627794</v>
      </c>
      <c r="G931" s="100">
        <v>286300</v>
      </c>
      <c r="H931" s="100"/>
      <c r="IX931" t="s">
        <v>919</v>
      </c>
      <c r="IY931">
        <v>51317</v>
      </c>
      <c r="IZ931">
        <v>43986</v>
      </c>
      <c r="JA931">
        <v>181658</v>
      </c>
      <c r="JB931">
        <v>627794</v>
      </c>
      <c r="JC931">
        <v>286300</v>
      </c>
      <c r="ST931" t="s">
        <v>919</v>
      </c>
      <c r="SU931">
        <v>51317</v>
      </c>
      <c r="SV931">
        <v>43986</v>
      </c>
      <c r="SW931">
        <v>181658</v>
      </c>
      <c r="SX931">
        <v>627794</v>
      </c>
      <c r="SY931">
        <v>286300</v>
      </c>
      <c r="ACP931" t="s">
        <v>919</v>
      </c>
      <c r="ACQ931">
        <v>51317</v>
      </c>
      <c r="ACR931">
        <v>43986</v>
      </c>
      <c r="ACS931">
        <v>181658</v>
      </c>
      <c r="ACT931">
        <v>627794</v>
      </c>
      <c r="ACU931">
        <v>286300</v>
      </c>
      <c r="AML931" t="s">
        <v>919</v>
      </c>
      <c r="AMM931">
        <v>51317</v>
      </c>
      <c r="AMN931">
        <v>43986</v>
      </c>
      <c r="AMO931">
        <v>181658</v>
      </c>
      <c r="AMP931">
        <v>627794</v>
      </c>
      <c r="AMQ931">
        <v>286300</v>
      </c>
      <c r="AWH931" t="s">
        <v>919</v>
      </c>
      <c r="AWI931">
        <v>51317</v>
      </c>
      <c r="AWJ931">
        <v>43986</v>
      </c>
      <c r="AWK931">
        <v>181658</v>
      </c>
      <c r="AWL931">
        <v>627794</v>
      </c>
      <c r="AWM931">
        <v>286300</v>
      </c>
      <c r="BGD931" t="s">
        <v>919</v>
      </c>
      <c r="BGE931">
        <v>51317</v>
      </c>
      <c r="BGF931">
        <v>43986</v>
      </c>
      <c r="BGG931">
        <v>181658</v>
      </c>
      <c r="BGH931">
        <v>627794</v>
      </c>
      <c r="BGI931">
        <v>286300</v>
      </c>
      <c r="BPZ931" t="s">
        <v>919</v>
      </c>
      <c r="BQA931">
        <v>51317</v>
      </c>
      <c r="BQB931">
        <v>43986</v>
      </c>
      <c r="BQC931">
        <v>181658</v>
      </c>
      <c r="BQD931">
        <v>627794</v>
      </c>
      <c r="BQE931">
        <v>286300</v>
      </c>
      <c r="BZV931" t="s">
        <v>919</v>
      </c>
      <c r="BZW931">
        <v>51317</v>
      </c>
      <c r="BZX931">
        <v>43986</v>
      </c>
      <c r="BZY931">
        <v>181658</v>
      </c>
      <c r="BZZ931">
        <v>627794</v>
      </c>
      <c r="CAA931">
        <v>286300</v>
      </c>
      <c r="CJR931" t="s">
        <v>919</v>
      </c>
      <c r="CJS931">
        <v>51317</v>
      </c>
      <c r="CJT931">
        <v>43986</v>
      </c>
      <c r="CJU931">
        <v>181658</v>
      </c>
      <c r="CJV931">
        <v>627794</v>
      </c>
      <c r="CJW931">
        <v>286300</v>
      </c>
      <c r="CTN931" t="s">
        <v>919</v>
      </c>
      <c r="CTO931">
        <v>51317</v>
      </c>
      <c r="CTP931">
        <v>43986</v>
      </c>
      <c r="CTQ931">
        <v>181658</v>
      </c>
      <c r="CTR931">
        <v>627794</v>
      </c>
      <c r="CTS931">
        <v>286300</v>
      </c>
      <c r="DDJ931" t="s">
        <v>919</v>
      </c>
      <c r="DDK931">
        <v>51317</v>
      </c>
      <c r="DDL931">
        <v>43986</v>
      </c>
      <c r="DDM931">
        <v>181658</v>
      </c>
      <c r="DDN931">
        <v>627794</v>
      </c>
      <c r="DDO931">
        <v>286300</v>
      </c>
      <c r="DNF931" t="s">
        <v>919</v>
      </c>
      <c r="DNG931">
        <v>51317</v>
      </c>
      <c r="DNH931">
        <v>43986</v>
      </c>
      <c r="DNI931">
        <v>181658</v>
      </c>
      <c r="DNJ931">
        <v>627794</v>
      </c>
      <c r="DNK931">
        <v>286300</v>
      </c>
      <c r="DXB931" t="s">
        <v>919</v>
      </c>
      <c r="DXC931">
        <v>51317</v>
      </c>
      <c r="DXD931">
        <v>43986</v>
      </c>
      <c r="DXE931">
        <v>181658</v>
      </c>
      <c r="DXF931">
        <v>627794</v>
      </c>
      <c r="DXG931">
        <v>286300</v>
      </c>
      <c r="EGX931" t="s">
        <v>919</v>
      </c>
      <c r="EGY931">
        <v>51317</v>
      </c>
      <c r="EGZ931">
        <v>43986</v>
      </c>
      <c r="EHA931">
        <v>181658</v>
      </c>
      <c r="EHB931">
        <v>627794</v>
      </c>
      <c r="EHC931">
        <v>286300</v>
      </c>
      <c r="EQT931" t="s">
        <v>919</v>
      </c>
      <c r="EQU931">
        <v>51317</v>
      </c>
      <c r="EQV931">
        <v>43986</v>
      </c>
      <c r="EQW931">
        <v>181658</v>
      </c>
      <c r="EQX931">
        <v>627794</v>
      </c>
      <c r="EQY931">
        <v>286300</v>
      </c>
      <c r="FAP931" t="s">
        <v>919</v>
      </c>
      <c r="FAQ931">
        <v>51317</v>
      </c>
      <c r="FAR931">
        <v>43986</v>
      </c>
      <c r="FAS931">
        <v>181658</v>
      </c>
      <c r="FAT931">
        <v>627794</v>
      </c>
      <c r="FAU931">
        <v>286300</v>
      </c>
      <c r="FKL931" t="s">
        <v>919</v>
      </c>
      <c r="FKM931">
        <v>51317</v>
      </c>
      <c r="FKN931">
        <v>43986</v>
      </c>
      <c r="FKO931">
        <v>181658</v>
      </c>
      <c r="FKP931">
        <v>627794</v>
      </c>
      <c r="FKQ931">
        <v>286300</v>
      </c>
      <c r="FUH931" t="s">
        <v>919</v>
      </c>
      <c r="FUI931">
        <v>51317</v>
      </c>
      <c r="FUJ931">
        <v>43986</v>
      </c>
      <c r="FUK931">
        <v>181658</v>
      </c>
      <c r="FUL931">
        <v>627794</v>
      </c>
      <c r="FUM931">
        <v>286300</v>
      </c>
      <c r="GED931" t="s">
        <v>919</v>
      </c>
      <c r="GEE931">
        <v>51317</v>
      </c>
      <c r="GEF931">
        <v>43986</v>
      </c>
      <c r="GEG931">
        <v>181658</v>
      </c>
      <c r="GEH931">
        <v>627794</v>
      </c>
      <c r="GEI931">
        <v>286300</v>
      </c>
      <c r="GNZ931" t="s">
        <v>919</v>
      </c>
      <c r="GOA931">
        <v>51317</v>
      </c>
      <c r="GOB931">
        <v>43986</v>
      </c>
      <c r="GOC931">
        <v>181658</v>
      </c>
      <c r="GOD931">
        <v>627794</v>
      </c>
      <c r="GOE931">
        <v>286300</v>
      </c>
      <c r="GXV931" t="s">
        <v>919</v>
      </c>
      <c r="GXW931">
        <v>51317</v>
      </c>
      <c r="GXX931">
        <v>43986</v>
      </c>
      <c r="GXY931">
        <v>181658</v>
      </c>
      <c r="GXZ931">
        <v>627794</v>
      </c>
      <c r="GYA931">
        <v>286300</v>
      </c>
      <c r="HHR931" t="s">
        <v>919</v>
      </c>
      <c r="HHS931">
        <v>51317</v>
      </c>
      <c r="HHT931">
        <v>43986</v>
      </c>
      <c r="HHU931">
        <v>181658</v>
      </c>
      <c r="HHV931">
        <v>627794</v>
      </c>
      <c r="HHW931">
        <v>286300</v>
      </c>
      <c r="HRN931" t="s">
        <v>919</v>
      </c>
      <c r="HRO931">
        <v>51317</v>
      </c>
      <c r="HRP931">
        <v>43986</v>
      </c>
      <c r="HRQ931">
        <v>181658</v>
      </c>
      <c r="HRR931">
        <v>627794</v>
      </c>
      <c r="HRS931">
        <v>286300</v>
      </c>
      <c r="IBJ931" t="s">
        <v>919</v>
      </c>
      <c r="IBK931">
        <v>51317</v>
      </c>
      <c r="IBL931">
        <v>43986</v>
      </c>
      <c r="IBM931">
        <v>181658</v>
      </c>
      <c r="IBN931">
        <v>627794</v>
      </c>
      <c r="IBO931">
        <v>286300</v>
      </c>
      <c r="ILF931" t="s">
        <v>919</v>
      </c>
      <c r="ILG931">
        <v>51317</v>
      </c>
      <c r="ILH931">
        <v>43986</v>
      </c>
      <c r="ILI931">
        <v>181658</v>
      </c>
      <c r="ILJ931">
        <v>627794</v>
      </c>
      <c r="ILK931">
        <v>286300</v>
      </c>
      <c r="IVB931" t="s">
        <v>919</v>
      </c>
      <c r="IVC931">
        <v>51317</v>
      </c>
      <c r="IVD931">
        <v>43986</v>
      </c>
      <c r="IVE931">
        <v>181658</v>
      </c>
      <c r="IVF931">
        <v>627794</v>
      </c>
      <c r="IVG931">
        <v>286300</v>
      </c>
      <c r="JEX931" t="s">
        <v>919</v>
      </c>
      <c r="JEY931">
        <v>51317</v>
      </c>
      <c r="JEZ931">
        <v>43986</v>
      </c>
      <c r="JFA931">
        <v>181658</v>
      </c>
      <c r="JFB931">
        <v>627794</v>
      </c>
      <c r="JFC931">
        <v>286300</v>
      </c>
      <c r="JOT931" t="s">
        <v>919</v>
      </c>
      <c r="JOU931">
        <v>51317</v>
      </c>
      <c r="JOV931">
        <v>43986</v>
      </c>
      <c r="JOW931">
        <v>181658</v>
      </c>
      <c r="JOX931">
        <v>627794</v>
      </c>
      <c r="JOY931">
        <v>286300</v>
      </c>
      <c r="JYP931" t="s">
        <v>919</v>
      </c>
      <c r="JYQ931">
        <v>51317</v>
      </c>
      <c r="JYR931">
        <v>43986</v>
      </c>
      <c r="JYS931">
        <v>181658</v>
      </c>
      <c r="JYT931">
        <v>627794</v>
      </c>
      <c r="JYU931">
        <v>286300</v>
      </c>
      <c r="KIL931" t="s">
        <v>919</v>
      </c>
      <c r="KIM931">
        <v>51317</v>
      </c>
      <c r="KIN931">
        <v>43986</v>
      </c>
      <c r="KIO931">
        <v>181658</v>
      </c>
      <c r="KIP931">
        <v>627794</v>
      </c>
      <c r="KIQ931">
        <v>286300</v>
      </c>
      <c r="KSH931" t="s">
        <v>919</v>
      </c>
      <c r="KSI931">
        <v>51317</v>
      </c>
      <c r="KSJ931">
        <v>43986</v>
      </c>
      <c r="KSK931">
        <v>181658</v>
      </c>
      <c r="KSL931">
        <v>627794</v>
      </c>
      <c r="KSM931">
        <v>286300</v>
      </c>
      <c r="LCD931" t="s">
        <v>919</v>
      </c>
      <c r="LCE931">
        <v>51317</v>
      </c>
      <c r="LCF931">
        <v>43986</v>
      </c>
      <c r="LCG931">
        <v>181658</v>
      </c>
      <c r="LCH931">
        <v>627794</v>
      </c>
      <c r="LCI931">
        <v>286300</v>
      </c>
      <c r="LLZ931" t="s">
        <v>919</v>
      </c>
      <c r="LMA931">
        <v>51317</v>
      </c>
      <c r="LMB931">
        <v>43986</v>
      </c>
      <c r="LMC931">
        <v>181658</v>
      </c>
      <c r="LMD931">
        <v>627794</v>
      </c>
      <c r="LME931">
        <v>286300</v>
      </c>
      <c r="LVV931" t="s">
        <v>919</v>
      </c>
      <c r="LVW931">
        <v>51317</v>
      </c>
      <c r="LVX931">
        <v>43986</v>
      </c>
      <c r="LVY931">
        <v>181658</v>
      </c>
      <c r="LVZ931">
        <v>627794</v>
      </c>
      <c r="LWA931">
        <v>286300</v>
      </c>
      <c r="MFR931" t="s">
        <v>919</v>
      </c>
      <c r="MFS931">
        <v>51317</v>
      </c>
      <c r="MFT931">
        <v>43986</v>
      </c>
      <c r="MFU931">
        <v>181658</v>
      </c>
      <c r="MFV931">
        <v>627794</v>
      </c>
      <c r="MFW931">
        <v>286300</v>
      </c>
      <c r="MPN931" t="s">
        <v>919</v>
      </c>
      <c r="MPO931">
        <v>51317</v>
      </c>
      <c r="MPP931">
        <v>43986</v>
      </c>
      <c r="MPQ931">
        <v>181658</v>
      </c>
      <c r="MPR931">
        <v>627794</v>
      </c>
      <c r="MPS931">
        <v>286300</v>
      </c>
      <c r="MZJ931" t="s">
        <v>919</v>
      </c>
      <c r="MZK931">
        <v>51317</v>
      </c>
      <c r="MZL931">
        <v>43986</v>
      </c>
      <c r="MZM931">
        <v>181658</v>
      </c>
      <c r="MZN931">
        <v>627794</v>
      </c>
      <c r="MZO931">
        <v>286300</v>
      </c>
      <c r="NJF931" t="s">
        <v>919</v>
      </c>
      <c r="NJG931">
        <v>51317</v>
      </c>
      <c r="NJH931">
        <v>43986</v>
      </c>
      <c r="NJI931">
        <v>181658</v>
      </c>
      <c r="NJJ931">
        <v>627794</v>
      </c>
      <c r="NJK931">
        <v>286300</v>
      </c>
      <c r="NTB931" t="s">
        <v>919</v>
      </c>
      <c r="NTC931">
        <v>51317</v>
      </c>
      <c r="NTD931">
        <v>43986</v>
      </c>
      <c r="NTE931">
        <v>181658</v>
      </c>
      <c r="NTF931">
        <v>627794</v>
      </c>
      <c r="NTG931">
        <v>286300</v>
      </c>
      <c r="OCX931" t="s">
        <v>919</v>
      </c>
      <c r="OCY931">
        <v>51317</v>
      </c>
      <c r="OCZ931">
        <v>43986</v>
      </c>
      <c r="ODA931">
        <v>181658</v>
      </c>
      <c r="ODB931">
        <v>627794</v>
      </c>
      <c r="ODC931">
        <v>286300</v>
      </c>
      <c r="OMT931" t="s">
        <v>919</v>
      </c>
      <c r="OMU931">
        <v>51317</v>
      </c>
      <c r="OMV931">
        <v>43986</v>
      </c>
      <c r="OMW931">
        <v>181658</v>
      </c>
      <c r="OMX931">
        <v>627794</v>
      </c>
      <c r="OMY931">
        <v>286300</v>
      </c>
      <c r="OWP931" t="s">
        <v>919</v>
      </c>
      <c r="OWQ931">
        <v>51317</v>
      </c>
      <c r="OWR931">
        <v>43986</v>
      </c>
      <c r="OWS931">
        <v>181658</v>
      </c>
      <c r="OWT931">
        <v>627794</v>
      </c>
      <c r="OWU931">
        <v>286300</v>
      </c>
      <c r="PGL931" t="s">
        <v>919</v>
      </c>
      <c r="PGM931">
        <v>51317</v>
      </c>
      <c r="PGN931">
        <v>43986</v>
      </c>
      <c r="PGO931">
        <v>181658</v>
      </c>
      <c r="PGP931">
        <v>627794</v>
      </c>
      <c r="PGQ931">
        <v>286300</v>
      </c>
      <c r="PQH931" t="s">
        <v>919</v>
      </c>
      <c r="PQI931">
        <v>51317</v>
      </c>
      <c r="PQJ931">
        <v>43986</v>
      </c>
      <c r="PQK931">
        <v>181658</v>
      </c>
      <c r="PQL931">
        <v>627794</v>
      </c>
      <c r="PQM931">
        <v>286300</v>
      </c>
      <c r="QAD931" t="s">
        <v>919</v>
      </c>
      <c r="QAE931">
        <v>51317</v>
      </c>
      <c r="QAF931">
        <v>43986</v>
      </c>
      <c r="QAG931">
        <v>181658</v>
      </c>
      <c r="QAH931">
        <v>627794</v>
      </c>
      <c r="QAI931">
        <v>286300</v>
      </c>
      <c r="QJZ931" t="s">
        <v>919</v>
      </c>
      <c r="QKA931">
        <v>51317</v>
      </c>
      <c r="QKB931">
        <v>43986</v>
      </c>
      <c r="QKC931">
        <v>181658</v>
      </c>
      <c r="QKD931">
        <v>627794</v>
      </c>
      <c r="QKE931">
        <v>286300</v>
      </c>
      <c r="QTV931" t="s">
        <v>919</v>
      </c>
      <c r="QTW931">
        <v>51317</v>
      </c>
      <c r="QTX931">
        <v>43986</v>
      </c>
      <c r="QTY931">
        <v>181658</v>
      </c>
      <c r="QTZ931">
        <v>627794</v>
      </c>
      <c r="QUA931">
        <v>286300</v>
      </c>
      <c r="RDR931" t="s">
        <v>919</v>
      </c>
      <c r="RDS931">
        <v>51317</v>
      </c>
      <c r="RDT931">
        <v>43986</v>
      </c>
      <c r="RDU931">
        <v>181658</v>
      </c>
      <c r="RDV931">
        <v>627794</v>
      </c>
      <c r="RDW931">
        <v>286300</v>
      </c>
      <c r="RNN931" t="s">
        <v>919</v>
      </c>
      <c r="RNO931">
        <v>51317</v>
      </c>
      <c r="RNP931">
        <v>43986</v>
      </c>
      <c r="RNQ931">
        <v>181658</v>
      </c>
      <c r="RNR931">
        <v>627794</v>
      </c>
      <c r="RNS931">
        <v>286300</v>
      </c>
      <c r="RXJ931" t="s">
        <v>919</v>
      </c>
      <c r="RXK931">
        <v>51317</v>
      </c>
      <c r="RXL931">
        <v>43986</v>
      </c>
      <c r="RXM931">
        <v>181658</v>
      </c>
      <c r="RXN931">
        <v>627794</v>
      </c>
      <c r="RXO931">
        <v>286300</v>
      </c>
      <c r="SHF931" t="s">
        <v>919</v>
      </c>
      <c r="SHG931">
        <v>51317</v>
      </c>
      <c r="SHH931">
        <v>43986</v>
      </c>
      <c r="SHI931">
        <v>181658</v>
      </c>
      <c r="SHJ931">
        <v>627794</v>
      </c>
      <c r="SHK931">
        <v>286300</v>
      </c>
      <c r="SRB931" t="s">
        <v>919</v>
      </c>
      <c r="SRC931">
        <v>51317</v>
      </c>
      <c r="SRD931">
        <v>43986</v>
      </c>
      <c r="SRE931">
        <v>181658</v>
      </c>
      <c r="SRF931">
        <v>627794</v>
      </c>
      <c r="SRG931">
        <v>286300</v>
      </c>
      <c r="TAX931" t="s">
        <v>919</v>
      </c>
      <c r="TAY931">
        <v>51317</v>
      </c>
      <c r="TAZ931">
        <v>43986</v>
      </c>
      <c r="TBA931">
        <v>181658</v>
      </c>
      <c r="TBB931">
        <v>627794</v>
      </c>
      <c r="TBC931">
        <v>286300</v>
      </c>
      <c r="TKT931" t="s">
        <v>919</v>
      </c>
      <c r="TKU931">
        <v>51317</v>
      </c>
      <c r="TKV931">
        <v>43986</v>
      </c>
      <c r="TKW931">
        <v>181658</v>
      </c>
      <c r="TKX931">
        <v>627794</v>
      </c>
      <c r="TKY931">
        <v>286300</v>
      </c>
      <c r="TUP931" t="s">
        <v>919</v>
      </c>
      <c r="TUQ931">
        <v>51317</v>
      </c>
      <c r="TUR931">
        <v>43986</v>
      </c>
      <c r="TUS931">
        <v>181658</v>
      </c>
      <c r="TUT931">
        <v>627794</v>
      </c>
      <c r="TUU931">
        <v>286300</v>
      </c>
      <c r="UEL931" t="s">
        <v>919</v>
      </c>
      <c r="UEM931">
        <v>51317</v>
      </c>
      <c r="UEN931">
        <v>43986</v>
      </c>
      <c r="UEO931">
        <v>181658</v>
      </c>
      <c r="UEP931">
        <v>627794</v>
      </c>
      <c r="UEQ931">
        <v>286300</v>
      </c>
      <c r="UOH931" t="s">
        <v>919</v>
      </c>
      <c r="UOI931">
        <v>51317</v>
      </c>
      <c r="UOJ931">
        <v>43986</v>
      </c>
      <c r="UOK931">
        <v>181658</v>
      </c>
      <c r="UOL931">
        <v>627794</v>
      </c>
      <c r="UOM931">
        <v>286300</v>
      </c>
      <c r="UYD931" t="s">
        <v>919</v>
      </c>
      <c r="UYE931">
        <v>51317</v>
      </c>
      <c r="UYF931">
        <v>43986</v>
      </c>
      <c r="UYG931">
        <v>181658</v>
      </c>
      <c r="UYH931">
        <v>627794</v>
      </c>
      <c r="UYI931">
        <v>286300</v>
      </c>
      <c r="VHZ931" t="s">
        <v>919</v>
      </c>
      <c r="VIA931">
        <v>51317</v>
      </c>
      <c r="VIB931">
        <v>43986</v>
      </c>
      <c r="VIC931">
        <v>181658</v>
      </c>
      <c r="VID931">
        <v>627794</v>
      </c>
      <c r="VIE931">
        <v>286300</v>
      </c>
      <c r="VRV931" t="s">
        <v>919</v>
      </c>
      <c r="VRW931">
        <v>51317</v>
      </c>
      <c r="VRX931">
        <v>43986</v>
      </c>
      <c r="VRY931">
        <v>181658</v>
      </c>
      <c r="VRZ931">
        <v>627794</v>
      </c>
      <c r="VSA931">
        <v>286300</v>
      </c>
      <c r="WBR931" t="s">
        <v>919</v>
      </c>
      <c r="WBS931">
        <v>51317</v>
      </c>
      <c r="WBT931">
        <v>43986</v>
      </c>
      <c r="WBU931">
        <v>181658</v>
      </c>
      <c r="WBV931">
        <v>627794</v>
      </c>
      <c r="WBW931">
        <v>286300</v>
      </c>
      <c r="WLN931" t="s">
        <v>919</v>
      </c>
      <c r="WLO931">
        <v>51317</v>
      </c>
      <c r="WLP931">
        <v>43986</v>
      </c>
      <c r="WLQ931">
        <v>181658</v>
      </c>
      <c r="WLR931">
        <v>627794</v>
      </c>
      <c r="WLS931">
        <v>286300</v>
      </c>
      <c r="WVJ931" t="s">
        <v>919</v>
      </c>
      <c r="WVK931">
        <v>51317</v>
      </c>
      <c r="WVL931">
        <v>43986</v>
      </c>
      <c r="WVM931">
        <v>181658</v>
      </c>
      <c r="WVN931">
        <v>627794</v>
      </c>
      <c r="WVO931">
        <v>286300</v>
      </c>
    </row>
    <row r="932" spans="1:775 1026:1799 2050:2823 3074:3847 4098:4871 5122:5895 6146:6919 7170:7943 8194:8967 9218:9991 10242:11015 11266:12039 12290:13063 13314:14087 14338:15111 15362:16135">
      <c r="A932" s="96" t="s">
        <v>1338</v>
      </c>
      <c r="B932" t="s">
        <v>1091</v>
      </c>
      <c r="C932" s="100">
        <v>219583</v>
      </c>
      <c r="D932" s="100">
        <v>309729</v>
      </c>
      <c r="E932" s="100">
        <v>344603</v>
      </c>
      <c r="F932" s="100">
        <v>687200</v>
      </c>
      <c r="G932" s="100">
        <v>384611</v>
      </c>
      <c r="H932" s="100"/>
      <c r="IX932" t="s">
        <v>1338</v>
      </c>
      <c r="IY932">
        <v>219583</v>
      </c>
      <c r="IZ932">
        <v>309729</v>
      </c>
      <c r="JA932">
        <v>344603</v>
      </c>
      <c r="JB932">
        <v>687200</v>
      </c>
      <c r="JC932">
        <v>384611</v>
      </c>
      <c r="ST932" t="s">
        <v>1338</v>
      </c>
      <c r="SU932">
        <v>219583</v>
      </c>
      <c r="SV932">
        <v>309729</v>
      </c>
      <c r="SW932">
        <v>344603</v>
      </c>
      <c r="SX932">
        <v>687200</v>
      </c>
      <c r="SY932">
        <v>384611</v>
      </c>
      <c r="ACP932" t="s">
        <v>1338</v>
      </c>
      <c r="ACQ932">
        <v>219583</v>
      </c>
      <c r="ACR932">
        <v>309729</v>
      </c>
      <c r="ACS932">
        <v>344603</v>
      </c>
      <c r="ACT932">
        <v>687200</v>
      </c>
      <c r="ACU932">
        <v>384611</v>
      </c>
      <c r="AML932" t="s">
        <v>1338</v>
      </c>
      <c r="AMM932">
        <v>219583</v>
      </c>
      <c r="AMN932">
        <v>309729</v>
      </c>
      <c r="AMO932">
        <v>344603</v>
      </c>
      <c r="AMP932">
        <v>687200</v>
      </c>
      <c r="AMQ932">
        <v>384611</v>
      </c>
      <c r="AWH932" t="s">
        <v>1338</v>
      </c>
      <c r="AWI932">
        <v>219583</v>
      </c>
      <c r="AWJ932">
        <v>309729</v>
      </c>
      <c r="AWK932">
        <v>344603</v>
      </c>
      <c r="AWL932">
        <v>687200</v>
      </c>
      <c r="AWM932">
        <v>384611</v>
      </c>
      <c r="BGD932" t="s">
        <v>1338</v>
      </c>
      <c r="BGE932">
        <v>219583</v>
      </c>
      <c r="BGF932">
        <v>309729</v>
      </c>
      <c r="BGG932">
        <v>344603</v>
      </c>
      <c r="BGH932">
        <v>687200</v>
      </c>
      <c r="BGI932">
        <v>384611</v>
      </c>
      <c r="BPZ932" t="s">
        <v>1338</v>
      </c>
      <c r="BQA932">
        <v>219583</v>
      </c>
      <c r="BQB932">
        <v>309729</v>
      </c>
      <c r="BQC932">
        <v>344603</v>
      </c>
      <c r="BQD932">
        <v>687200</v>
      </c>
      <c r="BQE932">
        <v>384611</v>
      </c>
      <c r="BZV932" t="s">
        <v>1338</v>
      </c>
      <c r="BZW932">
        <v>219583</v>
      </c>
      <c r="BZX932">
        <v>309729</v>
      </c>
      <c r="BZY932">
        <v>344603</v>
      </c>
      <c r="BZZ932">
        <v>687200</v>
      </c>
      <c r="CAA932">
        <v>384611</v>
      </c>
      <c r="CJR932" t="s">
        <v>1338</v>
      </c>
      <c r="CJS932">
        <v>219583</v>
      </c>
      <c r="CJT932">
        <v>309729</v>
      </c>
      <c r="CJU932">
        <v>344603</v>
      </c>
      <c r="CJV932">
        <v>687200</v>
      </c>
      <c r="CJW932">
        <v>384611</v>
      </c>
      <c r="CTN932" t="s">
        <v>1338</v>
      </c>
      <c r="CTO932">
        <v>219583</v>
      </c>
      <c r="CTP932">
        <v>309729</v>
      </c>
      <c r="CTQ932">
        <v>344603</v>
      </c>
      <c r="CTR932">
        <v>687200</v>
      </c>
      <c r="CTS932">
        <v>384611</v>
      </c>
      <c r="DDJ932" t="s">
        <v>1338</v>
      </c>
      <c r="DDK932">
        <v>219583</v>
      </c>
      <c r="DDL932">
        <v>309729</v>
      </c>
      <c r="DDM932">
        <v>344603</v>
      </c>
      <c r="DDN932">
        <v>687200</v>
      </c>
      <c r="DDO932">
        <v>384611</v>
      </c>
      <c r="DNF932" t="s">
        <v>1338</v>
      </c>
      <c r="DNG932">
        <v>219583</v>
      </c>
      <c r="DNH932">
        <v>309729</v>
      </c>
      <c r="DNI932">
        <v>344603</v>
      </c>
      <c r="DNJ932">
        <v>687200</v>
      </c>
      <c r="DNK932">
        <v>384611</v>
      </c>
      <c r="DXB932" t="s">
        <v>1338</v>
      </c>
      <c r="DXC932">
        <v>219583</v>
      </c>
      <c r="DXD932">
        <v>309729</v>
      </c>
      <c r="DXE932">
        <v>344603</v>
      </c>
      <c r="DXF932">
        <v>687200</v>
      </c>
      <c r="DXG932">
        <v>384611</v>
      </c>
      <c r="EGX932" t="s">
        <v>1338</v>
      </c>
      <c r="EGY932">
        <v>219583</v>
      </c>
      <c r="EGZ932">
        <v>309729</v>
      </c>
      <c r="EHA932">
        <v>344603</v>
      </c>
      <c r="EHB932">
        <v>687200</v>
      </c>
      <c r="EHC932">
        <v>384611</v>
      </c>
      <c r="EQT932" t="s">
        <v>1338</v>
      </c>
      <c r="EQU932">
        <v>219583</v>
      </c>
      <c r="EQV932">
        <v>309729</v>
      </c>
      <c r="EQW932">
        <v>344603</v>
      </c>
      <c r="EQX932">
        <v>687200</v>
      </c>
      <c r="EQY932">
        <v>384611</v>
      </c>
      <c r="FAP932" t="s">
        <v>1338</v>
      </c>
      <c r="FAQ932">
        <v>219583</v>
      </c>
      <c r="FAR932">
        <v>309729</v>
      </c>
      <c r="FAS932">
        <v>344603</v>
      </c>
      <c r="FAT932">
        <v>687200</v>
      </c>
      <c r="FAU932">
        <v>384611</v>
      </c>
      <c r="FKL932" t="s">
        <v>1338</v>
      </c>
      <c r="FKM932">
        <v>219583</v>
      </c>
      <c r="FKN932">
        <v>309729</v>
      </c>
      <c r="FKO932">
        <v>344603</v>
      </c>
      <c r="FKP932">
        <v>687200</v>
      </c>
      <c r="FKQ932">
        <v>384611</v>
      </c>
      <c r="FUH932" t="s">
        <v>1338</v>
      </c>
      <c r="FUI932">
        <v>219583</v>
      </c>
      <c r="FUJ932">
        <v>309729</v>
      </c>
      <c r="FUK932">
        <v>344603</v>
      </c>
      <c r="FUL932">
        <v>687200</v>
      </c>
      <c r="FUM932">
        <v>384611</v>
      </c>
      <c r="GED932" t="s">
        <v>1338</v>
      </c>
      <c r="GEE932">
        <v>219583</v>
      </c>
      <c r="GEF932">
        <v>309729</v>
      </c>
      <c r="GEG932">
        <v>344603</v>
      </c>
      <c r="GEH932">
        <v>687200</v>
      </c>
      <c r="GEI932">
        <v>384611</v>
      </c>
      <c r="GNZ932" t="s">
        <v>1338</v>
      </c>
      <c r="GOA932">
        <v>219583</v>
      </c>
      <c r="GOB932">
        <v>309729</v>
      </c>
      <c r="GOC932">
        <v>344603</v>
      </c>
      <c r="GOD932">
        <v>687200</v>
      </c>
      <c r="GOE932">
        <v>384611</v>
      </c>
      <c r="GXV932" t="s">
        <v>1338</v>
      </c>
      <c r="GXW932">
        <v>219583</v>
      </c>
      <c r="GXX932">
        <v>309729</v>
      </c>
      <c r="GXY932">
        <v>344603</v>
      </c>
      <c r="GXZ932">
        <v>687200</v>
      </c>
      <c r="GYA932">
        <v>384611</v>
      </c>
      <c r="HHR932" t="s">
        <v>1338</v>
      </c>
      <c r="HHS932">
        <v>219583</v>
      </c>
      <c r="HHT932">
        <v>309729</v>
      </c>
      <c r="HHU932">
        <v>344603</v>
      </c>
      <c r="HHV932">
        <v>687200</v>
      </c>
      <c r="HHW932">
        <v>384611</v>
      </c>
      <c r="HRN932" t="s">
        <v>1338</v>
      </c>
      <c r="HRO932">
        <v>219583</v>
      </c>
      <c r="HRP932">
        <v>309729</v>
      </c>
      <c r="HRQ932">
        <v>344603</v>
      </c>
      <c r="HRR932">
        <v>687200</v>
      </c>
      <c r="HRS932">
        <v>384611</v>
      </c>
      <c r="IBJ932" t="s">
        <v>1338</v>
      </c>
      <c r="IBK932">
        <v>219583</v>
      </c>
      <c r="IBL932">
        <v>309729</v>
      </c>
      <c r="IBM932">
        <v>344603</v>
      </c>
      <c r="IBN932">
        <v>687200</v>
      </c>
      <c r="IBO932">
        <v>384611</v>
      </c>
      <c r="ILF932" t="s">
        <v>1338</v>
      </c>
      <c r="ILG932">
        <v>219583</v>
      </c>
      <c r="ILH932">
        <v>309729</v>
      </c>
      <c r="ILI932">
        <v>344603</v>
      </c>
      <c r="ILJ932">
        <v>687200</v>
      </c>
      <c r="ILK932">
        <v>384611</v>
      </c>
      <c r="IVB932" t="s">
        <v>1338</v>
      </c>
      <c r="IVC932">
        <v>219583</v>
      </c>
      <c r="IVD932">
        <v>309729</v>
      </c>
      <c r="IVE932">
        <v>344603</v>
      </c>
      <c r="IVF932">
        <v>687200</v>
      </c>
      <c r="IVG932">
        <v>384611</v>
      </c>
      <c r="JEX932" t="s">
        <v>1338</v>
      </c>
      <c r="JEY932">
        <v>219583</v>
      </c>
      <c r="JEZ932">
        <v>309729</v>
      </c>
      <c r="JFA932">
        <v>344603</v>
      </c>
      <c r="JFB932">
        <v>687200</v>
      </c>
      <c r="JFC932">
        <v>384611</v>
      </c>
      <c r="JOT932" t="s">
        <v>1338</v>
      </c>
      <c r="JOU932">
        <v>219583</v>
      </c>
      <c r="JOV932">
        <v>309729</v>
      </c>
      <c r="JOW932">
        <v>344603</v>
      </c>
      <c r="JOX932">
        <v>687200</v>
      </c>
      <c r="JOY932">
        <v>384611</v>
      </c>
      <c r="JYP932" t="s">
        <v>1338</v>
      </c>
      <c r="JYQ932">
        <v>219583</v>
      </c>
      <c r="JYR932">
        <v>309729</v>
      </c>
      <c r="JYS932">
        <v>344603</v>
      </c>
      <c r="JYT932">
        <v>687200</v>
      </c>
      <c r="JYU932">
        <v>384611</v>
      </c>
      <c r="KIL932" t="s">
        <v>1338</v>
      </c>
      <c r="KIM932">
        <v>219583</v>
      </c>
      <c r="KIN932">
        <v>309729</v>
      </c>
      <c r="KIO932">
        <v>344603</v>
      </c>
      <c r="KIP932">
        <v>687200</v>
      </c>
      <c r="KIQ932">
        <v>384611</v>
      </c>
      <c r="KSH932" t="s">
        <v>1338</v>
      </c>
      <c r="KSI932">
        <v>219583</v>
      </c>
      <c r="KSJ932">
        <v>309729</v>
      </c>
      <c r="KSK932">
        <v>344603</v>
      </c>
      <c r="KSL932">
        <v>687200</v>
      </c>
      <c r="KSM932">
        <v>384611</v>
      </c>
      <c r="LCD932" t="s">
        <v>1338</v>
      </c>
      <c r="LCE932">
        <v>219583</v>
      </c>
      <c r="LCF932">
        <v>309729</v>
      </c>
      <c r="LCG932">
        <v>344603</v>
      </c>
      <c r="LCH932">
        <v>687200</v>
      </c>
      <c r="LCI932">
        <v>384611</v>
      </c>
      <c r="LLZ932" t="s">
        <v>1338</v>
      </c>
      <c r="LMA932">
        <v>219583</v>
      </c>
      <c r="LMB932">
        <v>309729</v>
      </c>
      <c r="LMC932">
        <v>344603</v>
      </c>
      <c r="LMD932">
        <v>687200</v>
      </c>
      <c r="LME932">
        <v>384611</v>
      </c>
      <c r="LVV932" t="s">
        <v>1338</v>
      </c>
      <c r="LVW932">
        <v>219583</v>
      </c>
      <c r="LVX932">
        <v>309729</v>
      </c>
      <c r="LVY932">
        <v>344603</v>
      </c>
      <c r="LVZ932">
        <v>687200</v>
      </c>
      <c r="LWA932">
        <v>384611</v>
      </c>
      <c r="MFR932" t="s">
        <v>1338</v>
      </c>
      <c r="MFS932">
        <v>219583</v>
      </c>
      <c r="MFT932">
        <v>309729</v>
      </c>
      <c r="MFU932">
        <v>344603</v>
      </c>
      <c r="MFV932">
        <v>687200</v>
      </c>
      <c r="MFW932">
        <v>384611</v>
      </c>
      <c r="MPN932" t="s">
        <v>1338</v>
      </c>
      <c r="MPO932">
        <v>219583</v>
      </c>
      <c r="MPP932">
        <v>309729</v>
      </c>
      <c r="MPQ932">
        <v>344603</v>
      </c>
      <c r="MPR932">
        <v>687200</v>
      </c>
      <c r="MPS932">
        <v>384611</v>
      </c>
      <c r="MZJ932" t="s">
        <v>1338</v>
      </c>
      <c r="MZK932">
        <v>219583</v>
      </c>
      <c r="MZL932">
        <v>309729</v>
      </c>
      <c r="MZM932">
        <v>344603</v>
      </c>
      <c r="MZN932">
        <v>687200</v>
      </c>
      <c r="MZO932">
        <v>384611</v>
      </c>
      <c r="NJF932" t="s">
        <v>1338</v>
      </c>
      <c r="NJG932">
        <v>219583</v>
      </c>
      <c r="NJH932">
        <v>309729</v>
      </c>
      <c r="NJI932">
        <v>344603</v>
      </c>
      <c r="NJJ932">
        <v>687200</v>
      </c>
      <c r="NJK932">
        <v>384611</v>
      </c>
      <c r="NTB932" t="s">
        <v>1338</v>
      </c>
      <c r="NTC932">
        <v>219583</v>
      </c>
      <c r="NTD932">
        <v>309729</v>
      </c>
      <c r="NTE932">
        <v>344603</v>
      </c>
      <c r="NTF932">
        <v>687200</v>
      </c>
      <c r="NTG932">
        <v>384611</v>
      </c>
      <c r="OCX932" t="s">
        <v>1338</v>
      </c>
      <c r="OCY932">
        <v>219583</v>
      </c>
      <c r="OCZ932">
        <v>309729</v>
      </c>
      <c r="ODA932">
        <v>344603</v>
      </c>
      <c r="ODB932">
        <v>687200</v>
      </c>
      <c r="ODC932">
        <v>384611</v>
      </c>
      <c r="OMT932" t="s">
        <v>1338</v>
      </c>
      <c r="OMU932">
        <v>219583</v>
      </c>
      <c r="OMV932">
        <v>309729</v>
      </c>
      <c r="OMW932">
        <v>344603</v>
      </c>
      <c r="OMX932">
        <v>687200</v>
      </c>
      <c r="OMY932">
        <v>384611</v>
      </c>
      <c r="OWP932" t="s">
        <v>1338</v>
      </c>
      <c r="OWQ932">
        <v>219583</v>
      </c>
      <c r="OWR932">
        <v>309729</v>
      </c>
      <c r="OWS932">
        <v>344603</v>
      </c>
      <c r="OWT932">
        <v>687200</v>
      </c>
      <c r="OWU932">
        <v>384611</v>
      </c>
      <c r="PGL932" t="s">
        <v>1338</v>
      </c>
      <c r="PGM932">
        <v>219583</v>
      </c>
      <c r="PGN932">
        <v>309729</v>
      </c>
      <c r="PGO932">
        <v>344603</v>
      </c>
      <c r="PGP932">
        <v>687200</v>
      </c>
      <c r="PGQ932">
        <v>384611</v>
      </c>
      <c r="PQH932" t="s">
        <v>1338</v>
      </c>
      <c r="PQI932">
        <v>219583</v>
      </c>
      <c r="PQJ932">
        <v>309729</v>
      </c>
      <c r="PQK932">
        <v>344603</v>
      </c>
      <c r="PQL932">
        <v>687200</v>
      </c>
      <c r="PQM932">
        <v>384611</v>
      </c>
      <c r="QAD932" t="s">
        <v>1338</v>
      </c>
      <c r="QAE932">
        <v>219583</v>
      </c>
      <c r="QAF932">
        <v>309729</v>
      </c>
      <c r="QAG932">
        <v>344603</v>
      </c>
      <c r="QAH932">
        <v>687200</v>
      </c>
      <c r="QAI932">
        <v>384611</v>
      </c>
      <c r="QJZ932" t="s">
        <v>1338</v>
      </c>
      <c r="QKA932">
        <v>219583</v>
      </c>
      <c r="QKB932">
        <v>309729</v>
      </c>
      <c r="QKC932">
        <v>344603</v>
      </c>
      <c r="QKD932">
        <v>687200</v>
      </c>
      <c r="QKE932">
        <v>384611</v>
      </c>
      <c r="QTV932" t="s">
        <v>1338</v>
      </c>
      <c r="QTW932">
        <v>219583</v>
      </c>
      <c r="QTX932">
        <v>309729</v>
      </c>
      <c r="QTY932">
        <v>344603</v>
      </c>
      <c r="QTZ932">
        <v>687200</v>
      </c>
      <c r="QUA932">
        <v>384611</v>
      </c>
      <c r="RDR932" t="s">
        <v>1338</v>
      </c>
      <c r="RDS932">
        <v>219583</v>
      </c>
      <c r="RDT932">
        <v>309729</v>
      </c>
      <c r="RDU932">
        <v>344603</v>
      </c>
      <c r="RDV932">
        <v>687200</v>
      </c>
      <c r="RDW932">
        <v>384611</v>
      </c>
      <c r="RNN932" t="s">
        <v>1338</v>
      </c>
      <c r="RNO932">
        <v>219583</v>
      </c>
      <c r="RNP932">
        <v>309729</v>
      </c>
      <c r="RNQ932">
        <v>344603</v>
      </c>
      <c r="RNR932">
        <v>687200</v>
      </c>
      <c r="RNS932">
        <v>384611</v>
      </c>
      <c r="RXJ932" t="s">
        <v>1338</v>
      </c>
      <c r="RXK932">
        <v>219583</v>
      </c>
      <c r="RXL932">
        <v>309729</v>
      </c>
      <c r="RXM932">
        <v>344603</v>
      </c>
      <c r="RXN932">
        <v>687200</v>
      </c>
      <c r="RXO932">
        <v>384611</v>
      </c>
      <c r="SHF932" t="s">
        <v>1338</v>
      </c>
      <c r="SHG932">
        <v>219583</v>
      </c>
      <c r="SHH932">
        <v>309729</v>
      </c>
      <c r="SHI932">
        <v>344603</v>
      </c>
      <c r="SHJ932">
        <v>687200</v>
      </c>
      <c r="SHK932">
        <v>384611</v>
      </c>
      <c r="SRB932" t="s">
        <v>1338</v>
      </c>
      <c r="SRC932">
        <v>219583</v>
      </c>
      <c r="SRD932">
        <v>309729</v>
      </c>
      <c r="SRE932">
        <v>344603</v>
      </c>
      <c r="SRF932">
        <v>687200</v>
      </c>
      <c r="SRG932">
        <v>384611</v>
      </c>
      <c r="TAX932" t="s">
        <v>1338</v>
      </c>
      <c r="TAY932">
        <v>219583</v>
      </c>
      <c r="TAZ932">
        <v>309729</v>
      </c>
      <c r="TBA932">
        <v>344603</v>
      </c>
      <c r="TBB932">
        <v>687200</v>
      </c>
      <c r="TBC932">
        <v>384611</v>
      </c>
      <c r="TKT932" t="s">
        <v>1338</v>
      </c>
      <c r="TKU932">
        <v>219583</v>
      </c>
      <c r="TKV932">
        <v>309729</v>
      </c>
      <c r="TKW932">
        <v>344603</v>
      </c>
      <c r="TKX932">
        <v>687200</v>
      </c>
      <c r="TKY932">
        <v>384611</v>
      </c>
      <c r="TUP932" t="s">
        <v>1338</v>
      </c>
      <c r="TUQ932">
        <v>219583</v>
      </c>
      <c r="TUR932">
        <v>309729</v>
      </c>
      <c r="TUS932">
        <v>344603</v>
      </c>
      <c r="TUT932">
        <v>687200</v>
      </c>
      <c r="TUU932">
        <v>384611</v>
      </c>
      <c r="UEL932" t="s">
        <v>1338</v>
      </c>
      <c r="UEM932">
        <v>219583</v>
      </c>
      <c r="UEN932">
        <v>309729</v>
      </c>
      <c r="UEO932">
        <v>344603</v>
      </c>
      <c r="UEP932">
        <v>687200</v>
      </c>
      <c r="UEQ932">
        <v>384611</v>
      </c>
      <c r="UOH932" t="s">
        <v>1338</v>
      </c>
      <c r="UOI932">
        <v>219583</v>
      </c>
      <c r="UOJ932">
        <v>309729</v>
      </c>
      <c r="UOK932">
        <v>344603</v>
      </c>
      <c r="UOL932">
        <v>687200</v>
      </c>
      <c r="UOM932">
        <v>384611</v>
      </c>
      <c r="UYD932" t="s">
        <v>1338</v>
      </c>
      <c r="UYE932">
        <v>219583</v>
      </c>
      <c r="UYF932">
        <v>309729</v>
      </c>
      <c r="UYG932">
        <v>344603</v>
      </c>
      <c r="UYH932">
        <v>687200</v>
      </c>
      <c r="UYI932">
        <v>384611</v>
      </c>
      <c r="VHZ932" t="s">
        <v>1338</v>
      </c>
      <c r="VIA932">
        <v>219583</v>
      </c>
      <c r="VIB932">
        <v>309729</v>
      </c>
      <c r="VIC932">
        <v>344603</v>
      </c>
      <c r="VID932">
        <v>687200</v>
      </c>
      <c r="VIE932">
        <v>384611</v>
      </c>
      <c r="VRV932" t="s">
        <v>1338</v>
      </c>
      <c r="VRW932">
        <v>219583</v>
      </c>
      <c r="VRX932">
        <v>309729</v>
      </c>
      <c r="VRY932">
        <v>344603</v>
      </c>
      <c r="VRZ932">
        <v>687200</v>
      </c>
      <c r="VSA932">
        <v>384611</v>
      </c>
      <c r="WBR932" t="s">
        <v>1338</v>
      </c>
      <c r="WBS932">
        <v>219583</v>
      </c>
      <c r="WBT932">
        <v>309729</v>
      </c>
      <c r="WBU932">
        <v>344603</v>
      </c>
      <c r="WBV932">
        <v>687200</v>
      </c>
      <c r="WBW932">
        <v>384611</v>
      </c>
      <c r="WLN932" t="s">
        <v>1338</v>
      </c>
      <c r="WLO932">
        <v>219583</v>
      </c>
      <c r="WLP932">
        <v>309729</v>
      </c>
      <c r="WLQ932">
        <v>344603</v>
      </c>
      <c r="WLR932">
        <v>687200</v>
      </c>
      <c r="WLS932">
        <v>384611</v>
      </c>
      <c r="WVJ932" t="s">
        <v>1338</v>
      </c>
      <c r="WVK932">
        <v>219583</v>
      </c>
      <c r="WVL932">
        <v>309729</v>
      </c>
      <c r="WVM932">
        <v>344603</v>
      </c>
      <c r="WVN932">
        <v>687200</v>
      </c>
      <c r="WVO932">
        <v>384611</v>
      </c>
    </row>
    <row r="933" spans="1:775 1026:1799 2050:2823 3074:3847 4098:4871 5122:5895 6146:6919 7170:7943 8194:8967 9218:9991 10242:11015 11266:12039 12290:13063 13314:14087 14338:15111 15362:16135" s="1336" customFormat="1">
      <c r="A933" s="1428" t="s">
        <v>737</v>
      </c>
      <c r="C933" s="1429">
        <v>8593386</v>
      </c>
      <c r="D933" s="1429">
        <v>9498858</v>
      </c>
      <c r="E933" s="1429">
        <v>13976240</v>
      </c>
      <c r="F933" s="1429">
        <v>29198152</v>
      </c>
      <c r="G933" s="1429">
        <v>45852054</v>
      </c>
      <c r="H933" s="1429"/>
      <c r="IX933" s="1336" t="s">
        <v>737</v>
      </c>
      <c r="IY933" s="1336">
        <v>8593386</v>
      </c>
      <c r="IZ933" s="1336">
        <v>9498858</v>
      </c>
      <c r="JA933" s="1336">
        <v>13976240</v>
      </c>
      <c r="JB933" s="1336">
        <v>29198152</v>
      </c>
      <c r="JC933" s="1336">
        <v>45852054</v>
      </c>
      <c r="ST933" s="1336" t="s">
        <v>737</v>
      </c>
      <c r="SU933" s="1336">
        <v>8593386</v>
      </c>
      <c r="SV933" s="1336">
        <v>9498858</v>
      </c>
      <c r="SW933" s="1336">
        <v>13976240</v>
      </c>
      <c r="SX933" s="1336">
        <v>29198152</v>
      </c>
      <c r="SY933" s="1336">
        <v>45852054</v>
      </c>
      <c r="ACP933" s="1336" t="s">
        <v>737</v>
      </c>
      <c r="ACQ933" s="1336">
        <v>8593386</v>
      </c>
      <c r="ACR933" s="1336">
        <v>9498858</v>
      </c>
      <c r="ACS933" s="1336">
        <v>13976240</v>
      </c>
      <c r="ACT933" s="1336">
        <v>29198152</v>
      </c>
      <c r="ACU933" s="1336">
        <v>45852054</v>
      </c>
      <c r="AML933" s="1336" t="s">
        <v>737</v>
      </c>
      <c r="AMM933" s="1336">
        <v>8593386</v>
      </c>
      <c r="AMN933" s="1336">
        <v>9498858</v>
      </c>
      <c r="AMO933" s="1336">
        <v>13976240</v>
      </c>
      <c r="AMP933" s="1336">
        <v>29198152</v>
      </c>
      <c r="AMQ933" s="1336">
        <v>45852054</v>
      </c>
      <c r="AWH933" s="1336" t="s">
        <v>737</v>
      </c>
      <c r="AWI933" s="1336">
        <v>8593386</v>
      </c>
      <c r="AWJ933" s="1336">
        <v>9498858</v>
      </c>
      <c r="AWK933" s="1336">
        <v>13976240</v>
      </c>
      <c r="AWL933" s="1336">
        <v>29198152</v>
      </c>
      <c r="AWM933" s="1336">
        <v>45852054</v>
      </c>
      <c r="BGD933" s="1336" t="s">
        <v>737</v>
      </c>
      <c r="BGE933" s="1336">
        <v>8593386</v>
      </c>
      <c r="BGF933" s="1336">
        <v>9498858</v>
      </c>
      <c r="BGG933" s="1336">
        <v>13976240</v>
      </c>
      <c r="BGH933" s="1336">
        <v>29198152</v>
      </c>
      <c r="BGI933" s="1336">
        <v>45852054</v>
      </c>
      <c r="BPZ933" s="1336" t="s">
        <v>737</v>
      </c>
      <c r="BQA933" s="1336">
        <v>8593386</v>
      </c>
      <c r="BQB933" s="1336">
        <v>9498858</v>
      </c>
      <c r="BQC933" s="1336">
        <v>13976240</v>
      </c>
      <c r="BQD933" s="1336">
        <v>29198152</v>
      </c>
      <c r="BQE933" s="1336">
        <v>45852054</v>
      </c>
      <c r="BZV933" s="1336" t="s">
        <v>737</v>
      </c>
      <c r="BZW933" s="1336">
        <v>8593386</v>
      </c>
      <c r="BZX933" s="1336">
        <v>9498858</v>
      </c>
      <c r="BZY933" s="1336">
        <v>13976240</v>
      </c>
      <c r="BZZ933" s="1336">
        <v>29198152</v>
      </c>
      <c r="CAA933" s="1336">
        <v>45852054</v>
      </c>
      <c r="CJR933" s="1336" t="s">
        <v>737</v>
      </c>
      <c r="CJS933" s="1336">
        <v>8593386</v>
      </c>
      <c r="CJT933" s="1336">
        <v>9498858</v>
      </c>
      <c r="CJU933" s="1336">
        <v>13976240</v>
      </c>
      <c r="CJV933" s="1336">
        <v>29198152</v>
      </c>
      <c r="CJW933" s="1336">
        <v>45852054</v>
      </c>
      <c r="CTN933" s="1336" t="s">
        <v>737</v>
      </c>
      <c r="CTO933" s="1336">
        <v>8593386</v>
      </c>
      <c r="CTP933" s="1336">
        <v>9498858</v>
      </c>
      <c r="CTQ933" s="1336">
        <v>13976240</v>
      </c>
      <c r="CTR933" s="1336">
        <v>29198152</v>
      </c>
      <c r="CTS933" s="1336">
        <v>45852054</v>
      </c>
      <c r="DDJ933" s="1336" t="s">
        <v>737</v>
      </c>
      <c r="DDK933" s="1336">
        <v>8593386</v>
      </c>
      <c r="DDL933" s="1336">
        <v>9498858</v>
      </c>
      <c r="DDM933" s="1336">
        <v>13976240</v>
      </c>
      <c r="DDN933" s="1336">
        <v>29198152</v>
      </c>
      <c r="DDO933" s="1336">
        <v>45852054</v>
      </c>
      <c r="DNF933" s="1336" t="s">
        <v>737</v>
      </c>
      <c r="DNG933" s="1336">
        <v>8593386</v>
      </c>
      <c r="DNH933" s="1336">
        <v>9498858</v>
      </c>
      <c r="DNI933" s="1336">
        <v>13976240</v>
      </c>
      <c r="DNJ933" s="1336">
        <v>29198152</v>
      </c>
      <c r="DNK933" s="1336">
        <v>45852054</v>
      </c>
      <c r="DXB933" s="1336" t="s">
        <v>737</v>
      </c>
      <c r="DXC933" s="1336">
        <v>8593386</v>
      </c>
      <c r="DXD933" s="1336">
        <v>9498858</v>
      </c>
      <c r="DXE933" s="1336">
        <v>13976240</v>
      </c>
      <c r="DXF933" s="1336">
        <v>29198152</v>
      </c>
      <c r="DXG933" s="1336">
        <v>45852054</v>
      </c>
      <c r="EGX933" s="1336" t="s">
        <v>737</v>
      </c>
      <c r="EGY933" s="1336">
        <v>8593386</v>
      </c>
      <c r="EGZ933" s="1336">
        <v>9498858</v>
      </c>
      <c r="EHA933" s="1336">
        <v>13976240</v>
      </c>
      <c r="EHB933" s="1336">
        <v>29198152</v>
      </c>
      <c r="EHC933" s="1336">
        <v>45852054</v>
      </c>
      <c r="EQT933" s="1336" t="s">
        <v>737</v>
      </c>
      <c r="EQU933" s="1336">
        <v>8593386</v>
      </c>
      <c r="EQV933" s="1336">
        <v>9498858</v>
      </c>
      <c r="EQW933" s="1336">
        <v>13976240</v>
      </c>
      <c r="EQX933" s="1336">
        <v>29198152</v>
      </c>
      <c r="EQY933" s="1336">
        <v>45852054</v>
      </c>
      <c r="FAP933" s="1336" t="s">
        <v>737</v>
      </c>
      <c r="FAQ933" s="1336">
        <v>8593386</v>
      </c>
      <c r="FAR933" s="1336">
        <v>9498858</v>
      </c>
      <c r="FAS933" s="1336">
        <v>13976240</v>
      </c>
      <c r="FAT933" s="1336">
        <v>29198152</v>
      </c>
      <c r="FAU933" s="1336">
        <v>45852054</v>
      </c>
      <c r="FKL933" s="1336" t="s">
        <v>737</v>
      </c>
      <c r="FKM933" s="1336">
        <v>8593386</v>
      </c>
      <c r="FKN933" s="1336">
        <v>9498858</v>
      </c>
      <c r="FKO933" s="1336">
        <v>13976240</v>
      </c>
      <c r="FKP933" s="1336">
        <v>29198152</v>
      </c>
      <c r="FKQ933" s="1336">
        <v>45852054</v>
      </c>
      <c r="FUH933" s="1336" t="s">
        <v>737</v>
      </c>
      <c r="FUI933" s="1336">
        <v>8593386</v>
      </c>
      <c r="FUJ933" s="1336">
        <v>9498858</v>
      </c>
      <c r="FUK933" s="1336">
        <v>13976240</v>
      </c>
      <c r="FUL933" s="1336">
        <v>29198152</v>
      </c>
      <c r="FUM933" s="1336">
        <v>45852054</v>
      </c>
      <c r="GED933" s="1336" t="s">
        <v>737</v>
      </c>
      <c r="GEE933" s="1336">
        <v>8593386</v>
      </c>
      <c r="GEF933" s="1336">
        <v>9498858</v>
      </c>
      <c r="GEG933" s="1336">
        <v>13976240</v>
      </c>
      <c r="GEH933" s="1336">
        <v>29198152</v>
      </c>
      <c r="GEI933" s="1336">
        <v>45852054</v>
      </c>
      <c r="GNZ933" s="1336" t="s">
        <v>737</v>
      </c>
      <c r="GOA933" s="1336">
        <v>8593386</v>
      </c>
      <c r="GOB933" s="1336">
        <v>9498858</v>
      </c>
      <c r="GOC933" s="1336">
        <v>13976240</v>
      </c>
      <c r="GOD933" s="1336">
        <v>29198152</v>
      </c>
      <c r="GOE933" s="1336">
        <v>45852054</v>
      </c>
      <c r="GXV933" s="1336" t="s">
        <v>737</v>
      </c>
      <c r="GXW933" s="1336">
        <v>8593386</v>
      </c>
      <c r="GXX933" s="1336">
        <v>9498858</v>
      </c>
      <c r="GXY933" s="1336">
        <v>13976240</v>
      </c>
      <c r="GXZ933" s="1336">
        <v>29198152</v>
      </c>
      <c r="GYA933" s="1336">
        <v>45852054</v>
      </c>
      <c r="HHR933" s="1336" t="s">
        <v>737</v>
      </c>
      <c r="HHS933" s="1336">
        <v>8593386</v>
      </c>
      <c r="HHT933" s="1336">
        <v>9498858</v>
      </c>
      <c r="HHU933" s="1336">
        <v>13976240</v>
      </c>
      <c r="HHV933" s="1336">
        <v>29198152</v>
      </c>
      <c r="HHW933" s="1336">
        <v>45852054</v>
      </c>
      <c r="HRN933" s="1336" t="s">
        <v>737</v>
      </c>
      <c r="HRO933" s="1336">
        <v>8593386</v>
      </c>
      <c r="HRP933" s="1336">
        <v>9498858</v>
      </c>
      <c r="HRQ933" s="1336">
        <v>13976240</v>
      </c>
      <c r="HRR933" s="1336">
        <v>29198152</v>
      </c>
      <c r="HRS933" s="1336">
        <v>45852054</v>
      </c>
      <c r="IBJ933" s="1336" t="s">
        <v>737</v>
      </c>
      <c r="IBK933" s="1336">
        <v>8593386</v>
      </c>
      <c r="IBL933" s="1336">
        <v>9498858</v>
      </c>
      <c r="IBM933" s="1336">
        <v>13976240</v>
      </c>
      <c r="IBN933" s="1336">
        <v>29198152</v>
      </c>
      <c r="IBO933" s="1336">
        <v>45852054</v>
      </c>
      <c r="ILF933" s="1336" t="s">
        <v>737</v>
      </c>
      <c r="ILG933" s="1336">
        <v>8593386</v>
      </c>
      <c r="ILH933" s="1336">
        <v>9498858</v>
      </c>
      <c r="ILI933" s="1336">
        <v>13976240</v>
      </c>
      <c r="ILJ933" s="1336">
        <v>29198152</v>
      </c>
      <c r="ILK933" s="1336">
        <v>45852054</v>
      </c>
      <c r="IVB933" s="1336" t="s">
        <v>737</v>
      </c>
      <c r="IVC933" s="1336">
        <v>8593386</v>
      </c>
      <c r="IVD933" s="1336">
        <v>9498858</v>
      </c>
      <c r="IVE933" s="1336">
        <v>13976240</v>
      </c>
      <c r="IVF933" s="1336">
        <v>29198152</v>
      </c>
      <c r="IVG933" s="1336">
        <v>45852054</v>
      </c>
      <c r="JEX933" s="1336" t="s">
        <v>737</v>
      </c>
      <c r="JEY933" s="1336">
        <v>8593386</v>
      </c>
      <c r="JEZ933" s="1336">
        <v>9498858</v>
      </c>
      <c r="JFA933" s="1336">
        <v>13976240</v>
      </c>
      <c r="JFB933" s="1336">
        <v>29198152</v>
      </c>
      <c r="JFC933" s="1336">
        <v>45852054</v>
      </c>
      <c r="JOT933" s="1336" t="s">
        <v>737</v>
      </c>
      <c r="JOU933" s="1336">
        <v>8593386</v>
      </c>
      <c r="JOV933" s="1336">
        <v>9498858</v>
      </c>
      <c r="JOW933" s="1336">
        <v>13976240</v>
      </c>
      <c r="JOX933" s="1336">
        <v>29198152</v>
      </c>
      <c r="JOY933" s="1336">
        <v>45852054</v>
      </c>
      <c r="JYP933" s="1336" t="s">
        <v>737</v>
      </c>
      <c r="JYQ933" s="1336">
        <v>8593386</v>
      </c>
      <c r="JYR933" s="1336">
        <v>9498858</v>
      </c>
      <c r="JYS933" s="1336">
        <v>13976240</v>
      </c>
      <c r="JYT933" s="1336">
        <v>29198152</v>
      </c>
      <c r="JYU933" s="1336">
        <v>45852054</v>
      </c>
      <c r="KIL933" s="1336" t="s">
        <v>737</v>
      </c>
      <c r="KIM933" s="1336">
        <v>8593386</v>
      </c>
      <c r="KIN933" s="1336">
        <v>9498858</v>
      </c>
      <c r="KIO933" s="1336">
        <v>13976240</v>
      </c>
      <c r="KIP933" s="1336">
        <v>29198152</v>
      </c>
      <c r="KIQ933" s="1336">
        <v>45852054</v>
      </c>
      <c r="KSH933" s="1336" t="s">
        <v>737</v>
      </c>
      <c r="KSI933" s="1336">
        <v>8593386</v>
      </c>
      <c r="KSJ933" s="1336">
        <v>9498858</v>
      </c>
      <c r="KSK933" s="1336">
        <v>13976240</v>
      </c>
      <c r="KSL933" s="1336">
        <v>29198152</v>
      </c>
      <c r="KSM933" s="1336">
        <v>45852054</v>
      </c>
      <c r="LCD933" s="1336" t="s">
        <v>737</v>
      </c>
      <c r="LCE933" s="1336">
        <v>8593386</v>
      </c>
      <c r="LCF933" s="1336">
        <v>9498858</v>
      </c>
      <c r="LCG933" s="1336">
        <v>13976240</v>
      </c>
      <c r="LCH933" s="1336">
        <v>29198152</v>
      </c>
      <c r="LCI933" s="1336">
        <v>45852054</v>
      </c>
      <c r="LLZ933" s="1336" t="s">
        <v>737</v>
      </c>
      <c r="LMA933" s="1336">
        <v>8593386</v>
      </c>
      <c r="LMB933" s="1336">
        <v>9498858</v>
      </c>
      <c r="LMC933" s="1336">
        <v>13976240</v>
      </c>
      <c r="LMD933" s="1336">
        <v>29198152</v>
      </c>
      <c r="LME933" s="1336">
        <v>45852054</v>
      </c>
      <c r="LVV933" s="1336" t="s">
        <v>737</v>
      </c>
      <c r="LVW933" s="1336">
        <v>8593386</v>
      </c>
      <c r="LVX933" s="1336">
        <v>9498858</v>
      </c>
      <c r="LVY933" s="1336">
        <v>13976240</v>
      </c>
      <c r="LVZ933" s="1336">
        <v>29198152</v>
      </c>
      <c r="LWA933" s="1336">
        <v>45852054</v>
      </c>
      <c r="MFR933" s="1336" t="s">
        <v>737</v>
      </c>
      <c r="MFS933" s="1336">
        <v>8593386</v>
      </c>
      <c r="MFT933" s="1336">
        <v>9498858</v>
      </c>
      <c r="MFU933" s="1336">
        <v>13976240</v>
      </c>
      <c r="MFV933" s="1336">
        <v>29198152</v>
      </c>
      <c r="MFW933" s="1336">
        <v>45852054</v>
      </c>
      <c r="MPN933" s="1336" t="s">
        <v>737</v>
      </c>
      <c r="MPO933" s="1336">
        <v>8593386</v>
      </c>
      <c r="MPP933" s="1336">
        <v>9498858</v>
      </c>
      <c r="MPQ933" s="1336">
        <v>13976240</v>
      </c>
      <c r="MPR933" s="1336">
        <v>29198152</v>
      </c>
      <c r="MPS933" s="1336">
        <v>45852054</v>
      </c>
      <c r="MZJ933" s="1336" t="s">
        <v>737</v>
      </c>
      <c r="MZK933" s="1336">
        <v>8593386</v>
      </c>
      <c r="MZL933" s="1336">
        <v>9498858</v>
      </c>
      <c r="MZM933" s="1336">
        <v>13976240</v>
      </c>
      <c r="MZN933" s="1336">
        <v>29198152</v>
      </c>
      <c r="MZO933" s="1336">
        <v>45852054</v>
      </c>
      <c r="NJF933" s="1336" t="s">
        <v>737</v>
      </c>
      <c r="NJG933" s="1336">
        <v>8593386</v>
      </c>
      <c r="NJH933" s="1336">
        <v>9498858</v>
      </c>
      <c r="NJI933" s="1336">
        <v>13976240</v>
      </c>
      <c r="NJJ933" s="1336">
        <v>29198152</v>
      </c>
      <c r="NJK933" s="1336">
        <v>45852054</v>
      </c>
      <c r="NTB933" s="1336" t="s">
        <v>737</v>
      </c>
      <c r="NTC933" s="1336">
        <v>8593386</v>
      </c>
      <c r="NTD933" s="1336">
        <v>9498858</v>
      </c>
      <c r="NTE933" s="1336">
        <v>13976240</v>
      </c>
      <c r="NTF933" s="1336">
        <v>29198152</v>
      </c>
      <c r="NTG933" s="1336">
        <v>45852054</v>
      </c>
      <c r="OCX933" s="1336" t="s">
        <v>737</v>
      </c>
      <c r="OCY933" s="1336">
        <v>8593386</v>
      </c>
      <c r="OCZ933" s="1336">
        <v>9498858</v>
      </c>
      <c r="ODA933" s="1336">
        <v>13976240</v>
      </c>
      <c r="ODB933" s="1336">
        <v>29198152</v>
      </c>
      <c r="ODC933" s="1336">
        <v>45852054</v>
      </c>
      <c r="OMT933" s="1336" t="s">
        <v>737</v>
      </c>
      <c r="OMU933" s="1336">
        <v>8593386</v>
      </c>
      <c r="OMV933" s="1336">
        <v>9498858</v>
      </c>
      <c r="OMW933" s="1336">
        <v>13976240</v>
      </c>
      <c r="OMX933" s="1336">
        <v>29198152</v>
      </c>
      <c r="OMY933" s="1336">
        <v>45852054</v>
      </c>
      <c r="OWP933" s="1336" t="s">
        <v>737</v>
      </c>
      <c r="OWQ933" s="1336">
        <v>8593386</v>
      </c>
      <c r="OWR933" s="1336">
        <v>9498858</v>
      </c>
      <c r="OWS933" s="1336">
        <v>13976240</v>
      </c>
      <c r="OWT933" s="1336">
        <v>29198152</v>
      </c>
      <c r="OWU933" s="1336">
        <v>45852054</v>
      </c>
      <c r="PGL933" s="1336" t="s">
        <v>737</v>
      </c>
      <c r="PGM933" s="1336">
        <v>8593386</v>
      </c>
      <c r="PGN933" s="1336">
        <v>9498858</v>
      </c>
      <c r="PGO933" s="1336">
        <v>13976240</v>
      </c>
      <c r="PGP933" s="1336">
        <v>29198152</v>
      </c>
      <c r="PGQ933" s="1336">
        <v>45852054</v>
      </c>
      <c r="PQH933" s="1336" t="s">
        <v>737</v>
      </c>
      <c r="PQI933" s="1336">
        <v>8593386</v>
      </c>
      <c r="PQJ933" s="1336">
        <v>9498858</v>
      </c>
      <c r="PQK933" s="1336">
        <v>13976240</v>
      </c>
      <c r="PQL933" s="1336">
        <v>29198152</v>
      </c>
      <c r="PQM933" s="1336">
        <v>45852054</v>
      </c>
      <c r="QAD933" s="1336" t="s">
        <v>737</v>
      </c>
      <c r="QAE933" s="1336">
        <v>8593386</v>
      </c>
      <c r="QAF933" s="1336">
        <v>9498858</v>
      </c>
      <c r="QAG933" s="1336">
        <v>13976240</v>
      </c>
      <c r="QAH933" s="1336">
        <v>29198152</v>
      </c>
      <c r="QAI933" s="1336">
        <v>45852054</v>
      </c>
      <c r="QJZ933" s="1336" t="s">
        <v>737</v>
      </c>
      <c r="QKA933" s="1336">
        <v>8593386</v>
      </c>
      <c r="QKB933" s="1336">
        <v>9498858</v>
      </c>
      <c r="QKC933" s="1336">
        <v>13976240</v>
      </c>
      <c r="QKD933" s="1336">
        <v>29198152</v>
      </c>
      <c r="QKE933" s="1336">
        <v>45852054</v>
      </c>
      <c r="QTV933" s="1336" t="s">
        <v>737</v>
      </c>
      <c r="QTW933" s="1336">
        <v>8593386</v>
      </c>
      <c r="QTX933" s="1336">
        <v>9498858</v>
      </c>
      <c r="QTY933" s="1336">
        <v>13976240</v>
      </c>
      <c r="QTZ933" s="1336">
        <v>29198152</v>
      </c>
      <c r="QUA933" s="1336">
        <v>45852054</v>
      </c>
      <c r="RDR933" s="1336" t="s">
        <v>737</v>
      </c>
      <c r="RDS933" s="1336">
        <v>8593386</v>
      </c>
      <c r="RDT933" s="1336">
        <v>9498858</v>
      </c>
      <c r="RDU933" s="1336">
        <v>13976240</v>
      </c>
      <c r="RDV933" s="1336">
        <v>29198152</v>
      </c>
      <c r="RDW933" s="1336">
        <v>45852054</v>
      </c>
      <c r="RNN933" s="1336" t="s">
        <v>737</v>
      </c>
      <c r="RNO933" s="1336">
        <v>8593386</v>
      </c>
      <c r="RNP933" s="1336">
        <v>9498858</v>
      </c>
      <c r="RNQ933" s="1336">
        <v>13976240</v>
      </c>
      <c r="RNR933" s="1336">
        <v>29198152</v>
      </c>
      <c r="RNS933" s="1336">
        <v>45852054</v>
      </c>
      <c r="RXJ933" s="1336" t="s">
        <v>737</v>
      </c>
      <c r="RXK933" s="1336">
        <v>8593386</v>
      </c>
      <c r="RXL933" s="1336">
        <v>9498858</v>
      </c>
      <c r="RXM933" s="1336">
        <v>13976240</v>
      </c>
      <c r="RXN933" s="1336">
        <v>29198152</v>
      </c>
      <c r="RXO933" s="1336">
        <v>45852054</v>
      </c>
      <c r="SHF933" s="1336" t="s">
        <v>737</v>
      </c>
      <c r="SHG933" s="1336">
        <v>8593386</v>
      </c>
      <c r="SHH933" s="1336">
        <v>9498858</v>
      </c>
      <c r="SHI933" s="1336">
        <v>13976240</v>
      </c>
      <c r="SHJ933" s="1336">
        <v>29198152</v>
      </c>
      <c r="SHK933" s="1336">
        <v>45852054</v>
      </c>
      <c r="SRB933" s="1336" t="s">
        <v>737</v>
      </c>
      <c r="SRC933" s="1336">
        <v>8593386</v>
      </c>
      <c r="SRD933" s="1336">
        <v>9498858</v>
      </c>
      <c r="SRE933" s="1336">
        <v>13976240</v>
      </c>
      <c r="SRF933" s="1336">
        <v>29198152</v>
      </c>
      <c r="SRG933" s="1336">
        <v>45852054</v>
      </c>
      <c r="TAX933" s="1336" t="s">
        <v>737</v>
      </c>
      <c r="TAY933" s="1336">
        <v>8593386</v>
      </c>
      <c r="TAZ933" s="1336">
        <v>9498858</v>
      </c>
      <c r="TBA933" s="1336">
        <v>13976240</v>
      </c>
      <c r="TBB933" s="1336">
        <v>29198152</v>
      </c>
      <c r="TBC933" s="1336">
        <v>45852054</v>
      </c>
      <c r="TKT933" s="1336" t="s">
        <v>737</v>
      </c>
      <c r="TKU933" s="1336">
        <v>8593386</v>
      </c>
      <c r="TKV933" s="1336">
        <v>9498858</v>
      </c>
      <c r="TKW933" s="1336">
        <v>13976240</v>
      </c>
      <c r="TKX933" s="1336">
        <v>29198152</v>
      </c>
      <c r="TKY933" s="1336">
        <v>45852054</v>
      </c>
      <c r="TUP933" s="1336" t="s">
        <v>737</v>
      </c>
      <c r="TUQ933" s="1336">
        <v>8593386</v>
      </c>
      <c r="TUR933" s="1336">
        <v>9498858</v>
      </c>
      <c r="TUS933" s="1336">
        <v>13976240</v>
      </c>
      <c r="TUT933" s="1336">
        <v>29198152</v>
      </c>
      <c r="TUU933" s="1336">
        <v>45852054</v>
      </c>
      <c r="UEL933" s="1336" t="s">
        <v>737</v>
      </c>
      <c r="UEM933" s="1336">
        <v>8593386</v>
      </c>
      <c r="UEN933" s="1336">
        <v>9498858</v>
      </c>
      <c r="UEO933" s="1336">
        <v>13976240</v>
      </c>
      <c r="UEP933" s="1336">
        <v>29198152</v>
      </c>
      <c r="UEQ933" s="1336">
        <v>45852054</v>
      </c>
      <c r="UOH933" s="1336" t="s">
        <v>737</v>
      </c>
      <c r="UOI933" s="1336">
        <v>8593386</v>
      </c>
      <c r="UOJ933" s="1336">
        <v>9498858</v>
      </c>
      <c r="UOK933" s="1336">
        <v>13976240</v>
      </c>
      <c r="UOL933" s="1336">
        <v>29198152</v>
      </c>
      <c r="UOM933" s="1336">
        <v>45852054</v>
      </c>
      <c r="UYD933" s="1336" t="s">
        <v>737</v>
      </c>
      <c r="UYE933" s="1336">
        <v>8593386</v>
      </c>
      <c r="UYF933" s="1336">
        <v>9498858</v>
      </c>
      <c r="UYG933" s="1336">
        <v>13976240</v>
      </c>
      <c r="UYH933" s="1336">
        <v>29198152</v>
      </c>
      <c r="UYI933" s="1336">
        <v>45852054</v>
      </c>
      <c r="VHZ933" s="1336" t="s">
        <v>737</v>
      </c>
      <c r="VIA933" s="1336">
        <v>8593386</v>
      </c>
      <c r="VIB933" s="1336">
        <v>9498858</v>
      </c>
      <c r="VIC933" s="1336">
        <v>13976240</v>
      </c>
      <c r="VID933" s="1336">
        <v>29198152</v>
      </c>
      <c r="VIE933" s="1336">
        <v>45852054</v>
      </c>
      <c r="VRV933" s="1336" t="s">
        <v>737</v>
      </c>
      <c r="VRW933" s="1336">
        <v>8593386</v>
      </c>
      <c r="VRX933" s="1336">
        <v>9498858</v>
      </c>
      <c r="VRY933" s="1336">
        <v>13976240</v>
      </c>
      <c r="VRZ933" s="1336">
        <v>29198152</v>
      </c>
      <c r="VSA933" s="1336">
        <v>45852054</v>
      </c>
      <c r="WBR933" s="1336" t="s">
        <v>737</v>
      </c>
      <c r="WBS933" s="1336">
        <v>8593386</v>
      </c>
      <c r="WBT933" s="1336">
        <v>9498858</v>
      </c>
      <c r="WBU933" s="1336">
        <v>13976240</v>
      </c>
      <c r="WBV933" s="1336">
        <v>29198152</v>
      </c>
      <c r="WBW933" s="1336">
        <v>45852054</v>
      </c>
      <c r="WLN933" s="1336" t="s">
        <v>737</v>
      </c>
      <c r="WLO933" s="1336">
        <v>8593386</v>
      </c>
      <c r="WLP933" s="1336">
        <v>9498858</v>
      </c>
      <c r="WLQ933" s="1336">
        <v>13976240</v>
      </c>
      <c r="WLR933" s="1336">
        <v>29198152</v>
      </c>
      <c r="WLS933" s="1336">
        <v>45852054</v>
      </c>
      <c r="WVJ933" s="1336" t="s">
        <v>737</v>
      </c>
      <c r="WVK933" s="1336">
        <v>8593386</v>
      </c>
      <c r="WVL933" s="1336">
        <v>9498858</v>
      </c>
      <c r="WVM933" s="1336">
        <v>13976240</v>
      </c>
      <c r="WVN933" s="1336">
        <v>29198152</v>
      </c>
      <c r="WVO933" s="1336">
        <v>45852054</v>
      </c>
    </row>
    <row r="934" spans="1:775 1026:1799 2050:2823 3074:3847 4098:4871 5122:5895 6146:6919 7170:7943 8194:8967 9218:9991 10242:11015 11266:12039 12290:13063 13314:14087 14338:15111 15362:16135" s="1337" customFormat="1" ht="14.5" thickBot="1">
      <c r="A934" s="1433" t="s">
        <v>738</v>
      </c>
      <c r="C934" s="1430"/>
      <c r="D934" s="1430"/>
      <c r="E934" s="1430"/>
      <c r="F934" s="1430"/>
      <c r="G934" s="1430"/>
      <c r="H934" s="1430"/>
      <c r="IX934" s="1337" t="s">
        <v>738</v>
      </c>
      <c r="ST934" s="1337" t="s">
        <v>738</v>
      </c>
      <c r="ACP934" s="1337" t="s">
        <v>738</v>
      </c>
      <c r="AML934" s="1337" t="s">
        <v>738</v>
      </c>
      <c r="AWH934" s="1337" t="s">
        <v>738</v>
      </c>
      <c r="BGD934" s="1337" t="s">
        <v>738</v>
      </c>
      <c r="BPZ934" s="1337" t="s">
        <v>738</v>
      </c>
      <c r="BZV934" s="1337" t="s">
        <v>738</v>
      </c>
      <c r="CJR934" s="1337" t="s">
        <v>738</v>
      </c>
      <c r="CTN934" s="1337" t="s">
        <v>738</v>
      </c>
      <c r="DDJ934" s="1337" t="s">
        <v>738</v>
      </c>
      <c r="DNF934" s="1337" t="s">
        <v>738</v>
      </c>
      <c r="DXB934" s="1337" t="s">
        <v>738</v>
      </c>
      <c r="EGX934" s="1337" t="s">
        <v>738</v>
      </c>
      <c r="EQT934" s="1337" t="s">
        <v>738</v>
      </c>
      <c r="FAP934" s="1337" t="s">
        <v>738</v>
      </c>
      <c r="FKL934" s="1337" t="s">
        <v>738</v>
      </c>
      <c r="FUH934" s="1337" t="s">
        <v>738</v>
      </c>
      <c r="GED934" s="1337" t="s">
        <v>738</v>
      </c>
      <c r="GNZ934" s="1337" t="s">
        <v>738</v>
      </c>
      <c r="GXV934" s="1337" t="s">
        <v>738</v>
      </c>
      <c r="HHR934" s="1337" t="s">
        <v>738</v>
      </c>
      <c r="HRN934" s="1337" t="s">
        <v>738</v>
      </c>
      <c r="IBJ934" s="1337" t="s">
        <v>738</v>
      </c>
      <c r="ILF934" s="1337" t="s">
        <v>738</v>
      </c>
      <c r="IVB934" s="1337" t="s">
        <v>738</v>
      </c>
      <c r="JEX934" s="1337" t="s">
        <v>738</v>
      </c>
      <c r="JOT934" s="1337" t="s">
        <v>738</v>
      </c>
      <c r="JYP934" s="1337" t="s">
        <v>738</v>
      </c>
      <c r="KIL934" s="1337" t="s">
        <v>738</v>
      </c>
      <c r="KSH934" s="1337" t="s">
        <v>738</v>
      </c>
      <c r="LCD934" s="1337" t="s">
        <v>738</v>
      </c>
      <c r="LLZ934" s="1337" t="s">
        <v>738</v>
      </c>
      <c r="LVV934" s="1337" t="s">
        <v>738</v>
      </c>
      <c r="MFR934" s="1337" t="s">
        <v>738</v>
      </c>
      <c r="MPN934" s="1337" t="s">
        <v>738</v>
      </c>
      <c r="MZJ934" s="1337" t="s">
        <v>738</v>
      </c>
      <c r="NJF934" s="1337" t="s">
        <v>738</v>
      </c>
      <c r="NTB934" s="1337" t="s">
        <v>738</v>
      </c>
      <c r="OCX934" s="1337" t="s">
        <v>738</v>
      </c>
      <c r="OMT934" s="1337" t="s">
        <v>738</v>
      </c>
      <c r="OWP934" s="1337" t="s">
        <v>738</v>
      </c>
      <c r="PGL934" s="1337" t="s">
        <v>738</v>
      </c>
      <c r="PQH934" s="1337" t="s">
        <v>738</v>
      </c>
      <c r="QAD934" s="1337" t="s">
        <v>738</v>
      </c>
      <c r="QJZ934" s="1337" t="s">
        <v>738</v>
      </c>
      <c r="QTV934" s="1337" t="s">
        <v>738</v>
      </c>
      <c r="RDR934" s="1337" t="s">
        <v>738</v>
      </c>
      <c r="RNN934" s="1337" t="s">
        <v>738</v>
      </c>
      <c r="RXJ934" s="1337" t="s">
        <v>738</v>
      </c>
      <c r="SHF934" s="1337" t="s">
        <v>738</v>
      </c>
      <c r="SRB934" s="1337" t="s">
        <v>738</v>
      </c>
      <c r="TAX934" s="1337" t="s">
        <v>738</v>
      </c>
      <c r="TKT934" s="1337" t="s">
        <v>738</v>
      </c>
      <c r="TUP934" s="1337" t="s">
        <v>738</v>
      </c>
      <c r="UEL934" s="1337" t="s">
        <v>738</v>
      </c>
      <c r="UOH934" s="1337" t="s">
        <v>738</v>
      </c>
      <c r="UYD934" s="1337" t="s">
        <v>738</v>
      </c>
      <c r="VHZ934" s="1337" t="s">
        <v>738</v>
      </c>
      <c r="VRV934" s="1337" t="s">
        <v>738</v>
      </c>
      <c r="WBR934" s="1337" t="s">
        <v>738</v>
      </c>
      <c r="WLN934" s="1337" t="s">
        <v>738</v>
      </c>
      <c r="WVJ934" s="1337" t="s">
        <v>738</v>
      </c>
    </row>
    <row r="935" spans="1:775 1026:1799 2050:2823 3074:3847 4098:4871 5122:5895 6146:6919 7170:7943 8194:8967 9218:9991 10242:11015 11266:12039 12290:13063 13314:14087 14338:15111 15362:16135">
      <c r="A935" s="96" t="s">
        <v>927</v>
      </c>
      <c r="B935" t="s">
        <v>740</v>
      </c>
      <c r="C935" s="100">
        <v>1168012</v>
      </c>
      <c r="D935" s="100">
        <v>7154798</v>
      </c>
      <c r="E935" s="100">
        <v>5938279</v>
      </c>
      <c r="F935" s="100">
        <v>9739176</v>
      </c>
      <c r="G935" s="100">
        <v>10885799</v>
      </c>
      <c r="H935" s="100"/>
      <c r="IX935" t="s">
        <v>927</v>
      </c>
      <c r="IY935">
        <v>1168012</v>
      </c>
      <c r="IZ935">
        <v>7154798</v>
      </c>
      <c r="JA935">
        <v>5938279</v>
      </c>
      <c r="JB935">
        <v>9739176</v>
      </c>
      <c r="JC935">
        <v>10885799</v>
      </c>
      <c r="ST935" t="s">
        <v>927</v>
      </c>
      <c r="SU935">
        <v>1168012</v>
      </c>
      <c r="SV935">
        <v>7154798</v>
      </c>
      <c r="SW935">
        <v>5938279</v>
      </c>
      <c r="SX935">
        <v>9739176</v>
      </c>
      <c r="SY935">
        <v>10885799</v>
      </c>
      <c r="ACP935" t="s">
        <v>927</v>
      </c>
      <c r="ACQ935">
        <v>1168012</v>
      </c>
      <c r="ACR935">
        <v>7154798</v>
      </c>
      <c r="ACS935">
        <v>5938279</v>
      </c>
      <c r="ACT935">
        <v>9739176</v>
      </c>
      <c r="ACU935">
        <v>10885799</v>
      </c>
      <c r="AML935" t="s">
        <v>927</v>
      </c>
      <c r="AMM935">
        <v>1168012</v>
      </c>
      <c r="AMN935">
        <v>7154798</v>
      </c>
      <c r="AMO935">
        <v>5938279</v>
      </c>
      <c r="AMP935">
        <v>9739176</v>
      </c>
      <c r="AMQ935">
        <v>10885799</v>
      </c>
      <c r="AWH935" t="s">
        <v>927</v>
      </c>
      <c r="AWI935">
        <v>1168012</v>
      </c>
      <c r="AWJ935">
        <v>7154798</v>
      </c>
      <c r="AWK935">
        <v>5938279</v>
      </c>
      <c r="AWL935">
        <v>9739176</v>
      </c>
      <c r="AWM935">
        <v>10885799</v>
      </c>
      <c r="BGD935" t="s">
        <v>927</v>
      </c>
      <c r="BGE935">
        <v>1168012</v>
      </c>
      <c r="BGF935">
        <v>7154798</v>
      </c>
      <c r="BGG935">
        <v>5938279</v>
      </c>
      <c r="BGH935">
        <v>9739176</v>
      </c>
      <c r="BGI935">
        <v>10885799</v>
      </c>
      <c r="BPZ935" t="s">
        <v>927</v>
      </c>
      <c r="BQA935">
        <v>1168012</v>
      </c>
      <c r="BQB935">
        <v>7154798</v>
      </c>
      <c r="BQC935">
        <v>5938279</v>
      </c>
      <c r="BQD935">
        <v>9739176</v>
      </c>
      <c r="BQE935">
        <v>10885799</v>
      </c>
      <c r="BZV935" t="s">
        <v>927</v>
      </c>
      <c r="BZW935">
        <v>1168012</v>
      </c>
      <c r="BZX935">
        <v>7154798</v>
      </c>
      <c r="BZY935">
        <v>5938279</v>
      </c>
      <c r="BZZ935">
        <v>9739176</v>
      </c>
      <c r="CAA935">
        <v>10885799</v>
      </c>
      <c r="CJR935" t="s">
        <v>927</v>
      </c>
      <c r="CJS935">
        <v>1168012</v>
      </c>
      <c r="CJT935">
        <v>7154798</v>
      </c>
      <c r="CJU935">
        <v>5938279</v>
      </c>
      <c r="CJV935">
        <v>9739176</v>
      </c>
      <c r="CJW935">
        <v>10885799</v>
      </c>
      <c r="CTN935" t="s">
        <v>927</v>
      </c>
      <c r="CTO935">
        <v>1168012</v>
      </c>
      <c r="CTP935">
        <v>7154798</v>
      </c>
      <c r="CTQ935">
        <v>5938279</v>
      </c>
      <c r="CTR935">
        <v>9739176</v>
      </c>
      <c r="CTS935">
        <v>10885799</v>
      </c>
      <c r="DDJ935" t="s">
        <v>927</v>
      </c>
      <c r="DDK935">
        <v>1168012</v>
      </c>
      <c r="DDL935">
        <v>7154798</v>
      </c>
      <c r="DDM935">
        <v>5938279</v>
      </c>
      <c r="DDN935">
        <v>9739176</v>
      </c>
      <c r="DDO935">
        <v>10885799</v>
      </c>
      <c r="DNF935" t="s">
        <v>927</v>
      </c>
      <c r="DNG935">
        <v>1168012</v>
      </c>
      <c r="DNH935">
        <v>7154798</v>
      </c>
      <c r="DNI935">
        <v>5938279</v>
      </c>
      <c r="DNJ935">
        <v>9739176</v>
      </c>
      <c r="DNK935">
        <v>10885799</v>
      </c>
      <c r="DXB935" t="s">
        <v>927</v>
      </c>
      <c r="DXC935">
        <v>1168012</v>
      </c>
      <c r="DXD935">
        <v>7154798</v>
      </c>
      <c r="DXE935">
        <v>5938279</v>
      </c>
      <c r="DXF935">
        <v>9739176</v>
      </c>
      <c r="DXG935">
        <v>10885799</v>
      </c>
      <c r="EGX935" t="s">
        <v>927</v>
      </c>
      <c r="EGY935">
        <v>1168012</v>
      </c>
      <c r="EGZ935">
        <v>7154798</v>
      </c>
      <c r="EHA935">
        <v>5938279</v>
      </c>
      <c r="EHB935">
        <v>9739176</v>
      </c>
      <c r="EHC935">
        <v>10885799</v>
      </c>
      <c r="EQT935" t="s">
        <v>927</v>
      </c>
      <c r="EQU935">
        <v>1168012</v>
      </c>
      <c r="EQV935">
        <v>7154798</v>
      </c>
      <c r="EQW935">
        <v>5938279</v>
      </c>
      <c r="EQX935">
        <v>9739176</v>
      </c>
      <c r="EQY935">
        <v>10885799</v>
      </c>
      <c r="FAP935" t="s">
        <v>927</v>
      </c>
      <c r="FAQ935">
        <v>1168012</v>
      </c>
      <c r="FAR935">
        <v>7154798</v>
      </c>
      <c r="FAS935">
        <v>5938279</v>
      </c>
      <c r="FAT935">
        <v>9739176</v>
      </c>
      <c r="FAU935">
        <v>10885799</v>
      </c>
      <c r="FKL935" t="s">
        <v>927</v>
      </c>
      <c r="FKM935">
        <v>1168012</v>
      </c>
      <c r="FKN935">
        <v>7154798</v>
      </c>
      <c r="FKO935">
        <v>5938279</v>
      </c>
      <c r="FKP935">
        <v>9739176</v>
      </c>
      <c r="FKQ935">
        <v>10885799</v>
      </c>
      <c r="FUH935" t="s">
        <v>927</v>
      </c>
      <c r="FUI935">
        <v>1168012</v>
      </c>
      <c r="FUJ935">
        <v>7154798</v>
      </c>
      <c r="FUK935">
        <v>5938279</v>
      </c>
      <c r="FUL935">
        <v>9739176</v>
      </c>
      <c r="FUM935">
        <v>10885799</v>
      </c>
      <c r="GED935" t="s">
        <v>927</v>
      </c>
      <c r="GEE935">
        <v>1168012</v>
      </c>
      <c r="GEF935">
        <v>7154798</v>
      </c>
      <c r="GEG935">
        <v>5938279</v>
      </c>
      <c r="GEH935">
        <v>9739176</v>
      </c>
      <c r="GEI935">
        <v>10885799</v>
      </c>
      <c r="GNZ935" t="s">
        <v>927</v>
      </c>
      <c r="GOA935">
        <v>1168012</v>
      </c>
      <c r="GOB935">
        <v>7154798</v>
      </c>
      <c r="GOC935">
        <v>5938279</v>
      </c>
      <c r="GOD935">
        <v>9739176</v>
      </c>
      <c r="GOE935">
        <v>10885799</v>
      </c>
      <c r="GXV935" t="s">
        <v>927</v>
      </c>
      <c r="GXW935">
        <v>1168012</v>
      </c>
      <c r="GXX935">
        <v>7154798</v>
      </c>
      <c r="GXY935">
        <v>5938279</v>
      </c>
      <c r="GXZ935">
        <v>9739176</v>
      </c>
      <c r="GYA935">
        <v>10885799</v>
      </c>
      <c r="HHR935" t="s">
        <v>927</v>
      </c>
      <c r="HHS935">
        <v>1168012</v>
      </c>
      <c r="HHT935">
        <v>7154798</v>
      </c>
      <c r="HHU935">
        <v>5938279</v>
      </c>
      <c r="HHV935">
        <v>9739176</v>
      </c>
      <c r="HHW935">
        <v>10885799</v>
      </c>
      <c r="HRN935" t="s">
        <v>927</v>
      </c>
      <c r="HRO935">
        <v>1168012</v>
      </c>
      <c r="HRP935">
        <v>7154798</v>
      </c>
      <c r="HRQ935">
        <v>5938279</v>
      </c>
      <c r="HRR935">
        <v>9739176</v>
      </c>
      <c r="HRS935">
        <v>10885799</v>
      </c>
      <c r="IBJ935" t="s">
        <v>927</v>
      </c>
      <c r="IBK935">
        <v>1168012</v>
      </c>
      <c r="IBL935">
        <v>7154798</v>
      </c>
      <c r="IBM935">
        <v>5938279</v>
      </c>
      <c r="IBN935">
        <v>9739176</v>
      </c>
      <c r="IBO935">
        <v>10885799</v>
      </c>
      <c r="ILF935" t="s">
        <v>927</v>
      </c>
      <c r="ILG935">
        <v>1168012</v>
      </c>
      <c r="ILH935">
        <v>7154798</v>
      </c>
      <c r="ILI935">
        <v>5938279</v>
      </c>
      <c r="ILJ935">
        <v>9739176</v>
      </c>
      <c r="ILK935">
        <v>10885799</v>
      </c>
      <c r="IVB935" t="s">
        <v>927</v>
      </c>
      <c r="IVC935">
        <v>1168012</v>
      </c>
      <c r="IVD935">
        <v>7154798</v>
      </c>
      <c r="IVE935">
        <v>5938279</v>
      </c>
      <c r="IVF935">
        <v>9739176</v>
      </c>
      <c r="IVG935">
        <v>10885799</v>
      </c>
      <c r="JEX935" t="s">
        <v>927</v>
      </c>
      <c r="JEY935">
        <v>1168012</v>
      </c>
      <c r="JEZ935">
        <v>7154798</v>
      </c>
      <c r="JFA935">
        <v>5938279</v>
      </c>
      <c r="JFB935">
        <v>9739176</v>
      </c>
      <c r="JFC935">
        <v>10885799</v>
      </c>
      <c r="JOT935" t="s">
        <v>927</v>
      </c>
      <c r="JOU935">
        <v>1168012</v>
      </c>
      <c r="JOV935">
        <v>7154798</v>
      </c>
      <c r="JOW935">
        <v>5938279</v>
      </c>
      <c r="JOX935">
        <v>9739176</v>
      </c>
      <c r="JOY935">
        <v>10885799</v>
      </c>
      <c r="JYP935" t="s">
        <v>927</v>
      </c>
      <c r="JYQ935">
        <v>1168012</v>
      </c>
      <c r="JYR935">
        <v>7154798</v>
      </c>
      <c r="JYS935">
        <v>5938279</v>
      </c>
      <c r="JYT935">
        <v>9739176</v>
      </c>
      <c r="JYU935">
        <v>10885799</v>
      </c>
      <c r="KIL935" t="s">
        <v>927</v>
      </c>
      <c r="KIM935">
        <v>1168012</v>
      </c>
      <c r="KIN935">
        <v>7154798</v>
      </c>
      <c r="KIO935">
        <v>5938279</v>
      </c>
      <c r="KIP935">
        <v>9739176</v>
      </c>
      <c r="KIQ935">
        <v>10885799</v>
      </c>
      <c r="KSH935" t="s">
        <v>927</v>
      </c>
      <c r="KSI935">
        <v>1168012</v>
      </c>
      <c r="KSJ935">
        <v>7154798</v>
      </c>
      <c r="KSK935">
        <v>5938279</v>
      </c>
      <c r="KSL935">
        <v>9739176</v>
      </c>
      <c r="KSM935">
        <v>10885799</v>
      </c>
      <c r="LCD935" t="s">
        <v>927</v>
      </c>
      <c r="LCE935">
        <v>1168012</v>
      </c>
      <c r="LCF935">
        <v>7154798</v>
      </c>
      <c r="LCG935">
        <v>5938279</v>
      </c>
      <c r="LCH935">
        <v>9739176</v>
      </c>
      <c r="LCI935">
        <v>10885799</v>
      </c>
      <c r="LLZ935" t="s">
        <v>927</v>
      </c>
      <c r="LMA935">
        <v>1168012</v>
      </c>
      <c r="LMB935">
        <v>7154798</v>
      </c>
      <c r="LMC935">
        <v>5938279</v>
      </c>
      <c r="LMD935">
        <v>9739176</v>
      </c>
      <c r="LME935">
        <v>10885799</v>
      </c>
      <c r="LVV935" t="s">
        <v>927</v>
      </c>
      <c r="LVW935">
        <v>1168012</v>
      </c>
      <c r="LVX935">
        <v>7154798</v>
      </c>
      <c r="LVY935">
        <v>5938279</v>
      </c>
      <c r="LVZ935">
        <v>9739176</v>
      </c>
      <c r="LWA935">
        <v>10885799</v>
      </c>
      <c r="MFR935" t="s">
        <v>927</v>
      </c>
      <c r="MFS935">
        <v>1168012</v>
      </c>
      <c r="MFT935">
        <v>7154798</v>
      </c>
      <c r="MFU935">
        <v>5938279</v>
      </c>
      <c r="MFV935">
        <v>9739176</v>
      </c>
      <c r="MFW935">
        <v>10885799</v>
      </c>
      <c r="MPN935" t="s">
        <v>927</v>
      </c>
      <c r="MPO935">
        <v>1168012</v>
      </c>
      <c r="MPP935">
        <v>7154798</v>
      </c>
      <c r="MPQ935">
        <v>5938279</v>
      </c>
      <c r="MPR935">
        <v>9739176</v>
      </c>
      <c r="MPS935">
        <v>10885799</v>
      </c>
      <c r="MZJ935" t="s">
        <v>927</v>
      </c>
      <c r="MZK935">
        <v>1168012</v>
      </c>
      <c r="MZL935">
        <v>7154798</v>
      </c>
      <c r="MZM935">
        <v>5938279</v>
      </c>
      <c r="MZN935">
        <v>9739176</v>
      </c>
      <c r="MZO935">
        <v>10885799</v>
      </c>
      <c r="NJF935" t="s">
        <v>927</v>
      </c>
      <c r="NJG935">
        <v>1168012</v>
      </c>
      <c r="NJH935">
        <v>7154798</v>
      </c>
      <c r="NJI935">
        <v>5938279</v>
      </c>
      <c r="NJJ935">
        <v>9739176</v>
      </c>
      <c r="NJK935">
        <v>10885799</v>
      </c>
      <c r="NTB935" t="s">
        <v>927</v>
      </c>
      <c r="NTC935">
        <v>1168012</v>
      </c>
      <c r="NTD935">
        <v>7154798</v>
      </c>
      <c r="NTE935">
        <v>5938279</v>
      </c>
      <c r="NTF935">
        <v>9739176</v>
      </c>
      <c r="NTG935">
        <v>10885799</v>
      </c>
      <c r="OCX935" t="s">
        <v>927</v>
      </c>
      <c r="OCY935">
        <v>1168012</v>
      </c>
      <c r="OCZ935">
        <v>7154798</v>
      </c>
      <c r="ODA935">
        <v>5938279</v>
      </c>
      <c r="ODB935">
        <v>9739176</v>
      </c>
      <c r="ODC935">
        <v>10885799</v>
      </c>
      <c r="OMT935" t="s">
        <v>927</v>
      </c>
      <c r="OMU935">
        <v>1168012</v>
      </c>
      <c r="OMV935">
        <v>7154798</v>
      </c>
      <c r="OMW935">
        <v>5938279</v>
      </c>
      <c r="OMX935">
        <v>9739176</v>
      </c>
      <c r="OMY935">
        <v>10885799</v>
      </c>
      <c r="OWP935" t="s">
        <v>927</v>
      </c>
      <c r="OWQ935">
        <v>1168012</v>
      </c>
      <c r="OWR935">
        <v>7154798</v>
      </c>
      <c r="OWS935">
        <v>5938279</v>
      </c>
      <c r="OWT935">
        <v>9739176</v>
      </c>
      <c r="OWU935">
        <v>10885799</v>
      </c>
      <c r="PGL935" t="s">
        <v>927</v>
      </c>
      <c r="PGM935">
        <v>1168012</v>
      </c>
      <c r="PGN935">
        <v>7154798</v>
      </c>
      <c r="PGO935">
        <v>5938279</v>
      </c>
      <c r="PGP935">
        <v>9739176</v>
      </c>
      <c r="PGQ935">
        <v>10885799</v>
      </c>
      <c r="PQH935" t="s">
        <v>927</v>
      </c>
      <c r="PQI935">
        <v>1168012</v>
      </c>
      <c r="PQJ935">
        <v>7154798</v>
      </c>
      <c r="PQK935">
        <v>5938279</v>
      </c>
      <c r="PQL935">
        <v>9739176</v>
      </c>
      <c r="PQM935">
        <v>10885799</v>
      </c>
      <c r="QAD935" t="s">
        <v>927</v>
      </c>
      <c r="QAE935">
        <v>1168012</v>
      </c>
      <c r="QAF935">
        <v>7154798</v>
      </c>
      <c r="QAG935">
        <v>5938279</v>
      </c>
      <c r="QAH935">
        <v>9739176</v>
      </c>
      <c r="QAI935">
        <v>10885799</v>
      </c>
      <c r="QJZ935" t="s">
        <v>927</v>
      </c>
      <c r="QKA935">
        <v>1168012</v>
      </c>
      <c r="QKB935">
        <v>7154798</v>
      </c>
      <c r="QKC935">
        <v>5938279</v>
      </c>
      <c r="QKD935">
        <v>9739176</v>
      </c>
      <c r="QKE935">
        <v>10885799</v>
      </c>
      <c r="QTV935" t="s">
        <v>927</v>
      </c>
      <c r="QTW935">
        <v>1168012</v>
      </c>
      <c r="QTX935">
        <v>7154798</v>
      </c>
      <c r="QTY935">
        <v>5938279</v>
      </c>
      <c r="QTZ935">
        <v>9739176</v>
      </c>
      <c r="QUA935">
        <v>10885799</v>
      </c>
      <c r="RDR935" t="s">
        <v>927</v>
      </c>
      <c r="RDS935">
        <v>1168012</v>
      </c>
      <c r="RDT935">
        <v>7154798</v>
      </c>
      <c r="RDU935">
        <v>5938279</v>
      </c>
      <c r="RDV935">
        <v>9739176</v>
      </c>
      <c r="RDW935">
        <v>10885799</v>
      </c>
      <c r="RNN935" t="s">
        <v>927</v>
      </c>
      <c r="RNO935">
        <v>1168012</v>
      </c>
      <c r="RNP935">
        <v>7154798</v>
      </c>
      <c r="RNQ935">
        <v>5938279</v>
      </c>
      <c r="RNR935">
        <v>9739176</v>
      </c>
      <c r="RNS935">
        <v>10885799</v>
      </c>
      <c r="RXJ935" t="s">
        <v>927</v>
      </c>
      <c r="RXK935">
        <v>1168012</v>
      </c>
      <c r="RXL935">
        <v>7154798</v>
      </c>
      <c r="RXM935">
        <v>5938279</v>
      </c>
      <c r="RXN935">
        <v>9739176</v>
      </c>
      <c r="RXO935">
        <v>10885799</v>
      </c>
      <c r="SHF935" t="s">
        <v>927</v>
      </c>
      <c r="SHG935">
        <v>1168012</v>
      </c>
      <c r="SHH935">
        <v>7154798</v>
      </c>
      <c r="SHI935">
        <v>5938279</v>
      </c>
      <c r="SHJ935">
        <v>9739176</v>
      </c>
      <c r="SHK935">
        <v>10885799</v>
      </c>
      <c r="SRB935" t="s">
        <v>927</v>
      </c>
      <c r="SRC935">
        <v>1168012</v>
      </c>
      <c r="SRD935">
        <v>7154798</v>
      </c>
      <c r="SRE935">
        <v>5938279</v>
      </c>
      <c r="SRF935">
        <v>9739176</v>
      </c>
      <c r="SRG935">
        <v>10885799</v>
      </c>
      <c r="TAX935" t="s">
        <v>927</v>
      </c>
      <c r="TAY935">
        <v>1168012</v>
      </c>
      <c r="TAZ935">
        <v>7154798</v>
      </c>
      <c r="TBA935">
        <v>5938279</v>
      </c>
      <c r="TBB935">
        <v>9739176</v>
      </c>
      <c r="TBC935">
        <v>10885799</v>
      </c>
      <c r="TKT935" t="s">
        <v>927</v>
      </c>
      <c r="TKU935">
        <v>1168012</v>
      </c>
      <c r="TKV935">
        <v>7154798</v>
      </c>
      <c r="TKW935">
        <v>5938279</v>
      </c>
      <c r="TKX935">
        <v>9739176</v>
      </c>
      <c r="TKY935">
        <v>10885799</v>
      </c>
      <c r="TUP935" t="s">
        <v>927</v>
      </c>
      <c r="TUQ935">
        <v>1168012</v>
      </c>
      <c r="TUR935">
        <v>7154798</v>
      </c>
      <c r="TUS935">
        <v>5938279</v>
      </c>
      <c r="TUT935">
        <v>9739176</v>
      </c>
      <c r="TUU935">
        <v>10885799</v>
      </c>
      <c r="UEL935" t="s">
        <v>927</v>
      </c>
      <c r="UEM935">
        <v>1168012</v>
      </c>
      <c r="UEN935">
        <v>7154798</v>
      </c>
      <c r="UEO935">
        <v>5938279</v>
      </c>
      <c r="UEP935">
        <v>9739176</v>
      </c>
      <c r="UEQ935">
        <v>10885799</v>
      </c>
      <c r="UOH935" t="s">
        <v>927</v>
      </c>
      <c r="UOI935">
        <v>1168012</v>
      </c>
      <c r="UOJ935">
        <v>7154798</v>
      </c>
      <c r="UOK935">
        <v>5938279</v>
      </c>
      <c r="UOL935">
        <v>9739176</v>
      </c>
      <c r="UOM935">
        <v>10885799</v>
      </c>
      <c r="UYD935" t="s">
        <v>927</v>
      </c>
      <c r="UYE935">
        <v>1168012</v>
      </c>
      <c r="UYF935">
        <v>7154798</v>
      </c>
      <c r="UYG935">
        <v>5938279</v>
      </c>
      <c r="UYH935">
        <v>9739176</v>
      </c>
      <c r="UYI935">
        <v>10885799</v>
      </c>
      <c r="VHZ935" t="s">
        <v>927</v>
      </c>
      <c r="VIA935">
        <v>1168012</v>
      </c>
      <c r="VIB935">
        <v>7154798</v>
      </c>
      <c r="VIC935">
        <v>5938279</v>
      </c>
      <c r="VID935">
        <v>9739176</v>
      </c>
      <c r="VIE935">
        <v>10885799</v>
      </c>
      <c r="VRV935" t="s">
        <v>927</v>
      </c>
      <c r="VRW935">
        <v>1168012</v>
      </c>
      <c r="VRX935">
        <v>7154798</v>
      </c>
      <c r="VRY935">
        <v>5938279</v>
      </c>
      <c r="VRZ935">
        <v>9739176</v>
      </c>
      <c r="VSA935">
        <v>10885799</v>
      </c>
      <c r="WBR935" t="s">
        <v>927</v>
      </c>
      <c r="WBS935">
        <v>1168012</v>
      </c>
      <c r="WBT935">
        <v>7154798</v>
      </c>
      <c r="WBU935">
        <v>5938279</v>
      </c>
      <c r="WBV935">
        <v>9739176</v>
      </c>
      <c r="WBW935">
        <v>10885799</v>
      </c>
      <c r="WLN935" t="s">
        <v>927</v>
      </c>
      <c r="WLO935">
        <v>1168012</v>
      </c>
      <c r="WLP935">
        <v>7154798</v>
      </c>
      <c r="WLQ935">
        <v>5938279</v>
      </c>
      <c r="WLR935">
        <v>9739176</v>
      </c>
      <c r="WLS935">
        <v>10885799</v>
      </c>
      <c r="WVJ935" t="s">
        <v>927</v>
      </c>
      <c r="WVK935">
        <v>1168012</v>
      </c>
      <c r="WVL935">
        <v>7154798</v>
      </c>
      <c r="WVM935">
        <v>5938279</v>
      </c>
      <c r="WVN935">
        <v>9739176</v>
      </c>
      <c r="WVO935">
        <v>10885799</v>
      </c>
    </row>
    <row r="936" spans="1:775 1026:1799 2050:2823 3074:3847 4098:4871 5122:5895 6146:6919 7170:7943 8194:8967 9218:9991 10242:11015 11266:12039 12290:13063 13314:14087 14338:15111 15362:16135">
      <c r="A936" s="96" t="s">
        <v>1339</v>
      </c>
      <c r="B936" t="s">
        <v>745</v>
      </c>
      <c r="C936" s="98">
        <v>0</v>
      </c>
      <c r="D936" s="100">
        <v>1598372</v>
      </c>
      <c r="E936" s="100">
        <v>1015261</v>
      </c>
      <c r="F936" s="100">
        <v>2317193</v>
      </c>
      <c r="G936" s="100">
        <v>6517096</v>
      </c>
      <c r="H936" s="100"/>
      <c r="IX936" t="s">
        <v>1339</v>
      </c>
      <c r="IY936" t="s">
        <v>619</v>
      </c>
      <c r="IZ936">
        <v>1598372</v>
      </c>
      <c r="JA936">
        <v>1015261</v>
      </c>
      <c r="JB936">
        <v>2317193</v>
      </c>
      <c r="JC936">
        <v>6517096</v>
      </c>
      <c r="ST936" t="s">
        <v>1339</v>
      </c>
      <c r="SU936" t="s">
        <v>619</v>
      </c>
      <c r="SV936">
        <v>1598372</v>
      </c>
      <c r="SW936">
        <v>1015261</v>
      </c>
      <c r="SX936">
        <v>2317193</v>
      </c>
      <c r="SY936">
        <v>6517096</v>
      </c>
      <c r="ACP936" t="s">
        <v>1339</v>
      </c>
      <c r="ACQ936" t="s">
        <v>619</v>
      </c>
      <c r="ACR936">
        <v>1598372</v>
      </c>
      <c r="ACS936">
        <v>1015261</v>
      </c>
      <c r="ACT936">
        <v>2317193</v>
      </c>
      <c r="ACU936">
        <v>6517096</v>
      </c>
      <c r="AML936" t="s">
        <v>1339</v>
      </c>
      <c r="AMM936" t="s">
        <v>619</v>
      </c>
      <c r="AMN936">
        <v>1598372</v>
      </c>
      <c r="AMO936">
        <v>1015261</v>
      </c>
      <c r="AMP936">
        <v>2317193</v>
      </c>
      <c r="AMQ936">
        <v>6517096</v>
      </c>
      <c r="AWH936" t="s">
        <v>1339</v>
      </c>
      <c r="AWI936" t="s">
        <v>619</v>
      </c>
      <c r="AWJ936">
        <v>1598372</v>
      </c>
      <c r="AWK936">
        <v>1015261</v>
      </c>
      <c r="AWL936">
        <v>2317193</v>
      </c>
      <c r="AWM936">
        <v>6517096</v>
      </c>
      <c r="BGD936" t="s">
        <v>1339</v>
      </c>
      <c r="BGE936" t="s">
        <v>619</v>
      </c>
      <c r="BGF936">
        <v>1598372</v>
      </c>
      <c r="BGG936">
        <v>1015261</v>
      </c>
      <c r="BGH936">
        <v>2317193</v>
      </c>
      <c r="BGI936">
        <v>6517096</v>
      </c>
      <c r="BPZ936" t="s">
        <v>1339</v>
      </c>
      <c r="BQA936" t="s">
        <v>619</v>
      </c>
      <c r="BQB936">
        <v>1598372</v>
      </c>
      <c r="BQC936">
        <v>1015261</v>
      </c>
      <c r="BQD936">
        <v>2317193</v>
      </c>
      <c r="BQE936">
        <v>6517096</v>
      </c>
      <c r="BZV936" t="s">
        <v>1339</v>
      </c>
      <c r="BZW936" t="s">
        <v>619</v>
      </c>
      <c r="BZX936">
        <v>1598372</v>
      </c>
      <c r="BZY936">
        <v>1015261</v>
      </c>
      <c r="BZZ936">
        <v>2317193</v>
      </c>
      <c r="CAA936">
        <v>6517096</v>
      </c>
      <c r="CJR936" t="s">
        <v>1339</v>
      </c>
      <c r="CJS936" t="s">
        <v>619</v>
      </c>
      <c r="CJT936">
        <v>1598372</v>
      </c>
      <c r="CJU936">
        <v>1015261</v>
      </c>
      <c r="CJV936">
        <v>2317193</v>
      </c>
      <c r="CJW936">
        <v>6517096</v>
      </c>
      <c r="CTN936" t="s">
        <v>1339</v>
      </c>
      <c r="CTO936" t="s">
        <v>619</v>
      </c>
      <c r="CTP936">
        <v>1598372</v>
      </c>
      <c r="CTQ936">
        <v>1015261</v>
      </c>
      <c r="CTR936">
        <v>2317193</v>
      </c>
      <c r="CTS936">
        <v>6517096</v>
      </c>
      <c r="DDJ936" t="s">
        <v>1339</v>
      </c>
      <c r="DDK936" t="s">
        <v>619</v>
      </c>
      <c r="DDL936">
        <v>1598372</v>
      </c>
      <c r="DDM936">
        <v>1015261</v>
      </c>
      <c r="DDN936">
        <v>2317193</v>
      </c>
      <c r="DDO936">
        <v>6517096</v>
      </c>
      <c r="DNF936" t="s">
        <v>1339</v>
      </c>
      <c r="DNG936" t="s">
        <v>619</v>
      </c>
      <c r="DNH936">
        <v>1598372</v>
      </c>
      <c r="DNI936">
        <v>1015261</v>
      </c>
      <c r="DNJ936">
        <v>2317193</v>
      </c>
      <c r="DNK936">
        <v>6517096</v>
      </c>
      <c r="DXB936" t="s">
        <v>1339</v>
      </c>
      <c r="DXC936" t="s">
        <v>619</v>
      </c>
      <c r="DXD936">
        <v>1598372</v>
      </c>
      <c r="DXE936">
        <v>1015261</v>
      </c>
      <c r="DXF936">
        <v>2317193</v>
      </c>
      <c r="DXG936">
        <v>6517096</v>
      </c>
      <c r="EGX936" t="s">
        <v>1339</v>
      </c>
      <c r="EGY936" t="s">
        <v>619</v>
      </c>
      <c r="EGZ936">
        <v>1598372</v>
      </c>
      <c r="EHA936">
        <v>1015261</v>
      </c>
      <c r="EHB936">
        <v>2317193</v>
      </c>
      <c r="EHC936">
        <v>6517096</v>
      </c>
      <c r="EQT936" t="s">
        <v>1339</v>
      </c>
      <c r="EQU936" t="s">
        <v>619</v>
      </c>
      <c r="EQV936">
        <v>1598372</v>
      </c>
      <c r="EQW936">
        <v>1015261</v>
      </c>
      <c r="EQX936">
        <v>2317193</v>
      </c>
      <c r="EQY936">
        <v>6517096</v>
      </c>
      <c r="FAP936" t="s">
        <v>1339</v>
      </c>
      <c r="FAQ936" t="s">
        <v>619</v>
      </c>
      <c r="FAR936">
        <v>1598372</v>
      </c>
      <c r="FAS936">
        <v>1015261</v>
      </c>
      <c r="FAT936">
        <v>2317193</v>
      </c>
      <c r="FAU936">
        <v>6517096</v>
      </c>
      <c r="FKL936" t="s">
        <v>1339</v>
      </c>
      <c r="FKM936" t="s">
        <v>619</v>
      </c>
      <c r="FKN936">
        <v>1598372</v>
      </c>
      <c r="FKO936">
        <v>1015261</v>
      </c>
      <c r="FKP936">
        <v>2317193</v>
      </c>
      <c r="FKQ936">
        <v>6517096</v>
      </c>
      <c r="FUH936" t="s">
        <v>1339</v>
      </c>
      <c r="FUI936" t="s">
        <v>619</v>
      </c>
      <c r="FUJ936">
        <v>1598372</v>
      </c>
      <c r="FUK936">
        <v>1015261</v>
      </c>
      <c r="FUL936">
        <v>2317193</v>
      </c>
      <c r="FUM936">
        <v>6517096</v>
      </c>
      <c r="GED936" t="s">
        <v>1339</v>
      </c>
      <c r="GEE936" t="s">
        <v>619</v>
      </c>
      <c r="GEF936">
        <v>1598372</v>
      </c>
      <c r="GEG936">
        <v>1015261</v>
      </c>
      <c r="GEH936">
        <v>2317193</v>
      </c>
      <c r="GEI936">
        <v>6517096</v>
      </c>
      <c r="GNZ936" t="s">
        <v>1339</v>
      </c>
      <c r="GOA936" t="s">
        <v>619</v>
      </c>
      <c r="GOB936">
        <v>1598372</v>
      </c>
      <c r="GOC936">
        <v>1015261</v>
      </c>
      <c r="GOD936">
        <v>2317193</v>
      </c>
      <c r="GOE936">
        <v>6517096</v>
      </c>
      <c r="GXV936" t="s">
        <v>1339</v>
      </c>
      <c r="GXW936" t="s">
        <v>619</v>
      </c>
      <c r="GXX936">
        <v>1598372</v>
      </c>
      <c r="GXY936">
        <v>1015261</v>
      </c>
      <c r="GXZ936">
        <v>2317193</v>
      </c>
      <c r="GYA936">
        <v>6517096</v>
      </c>
      <c r="HHR936" t="s">
        <v>1339</v>
      </c>
      <c r="HHS936" t="s">
        <v>619</v>
      </c>
      <c r="HHT936">
        <v>1598372</v>
      </c>
      <c r="HHU936">
        <v>1015261</v>
      </c>
      <c r="HHV936">
        <v>2317193</v>
      </c>
      <c r="HHW936">
        <v>6517096</v>
      </c>
      <c r="HRN936" t="s">
        <v>1339</v>
      </c>
      <c r="HRO936" t="s">
        <v>619</v>
      </c>
      <c r="HRP936">
        <v>1598372</v>
      </c>
      <c r="HRQ936">
        <v>1015261</v>
      </c>
      <c r="HRR936">
        <v>2317193</v>
      </c>
      <c r="HRS936">
        <v>6517096</v>
      </c>
      <c r="IBJ936" t="s">
        <v>1339</v>
      </c>
      <c r="IBK936" t="s">
        <v>619</v>
      </c>
      <c r="IBL936">
        <v>1598372</v>
      </c>
      <c r="IBM936">
        <v>1015261</v>
      </c>
      <c r="IBN936">
        <v>2317193</v>
      </c>
      <c r="IBO936">
        <v>6517096</v>
      </c>
      <c r="ILF936" t="s">
        <v>1339</v>
      </c>
      <c r="ILG936" t="s">
        <v>619</v>
      </c>
      <c r="ILH936">
        <v>1598372</v>
      </c>
      <c r="ILI936">
        <v>1015261</v>
      </c>
      <c r="ILJ936">
        <v>2317193</v>
      </c>
      <c r="ILK936">
        <v>6517096</v>
      </c>
      <c r="IVB936" t="s">
        <v>1339</v>
      </c>
      <c r="IVC936" t="s">
        <v>619</v>
      </c>
      <c r="IVD936">
        <v>1598372</v>
      </c>
      <c r="IVE936">
        <v>1015261</v>
      </c>
      <c r="IVF936">
        <v>2317193</v>
      </c>
      <c r="IVG936">
        <v>6517096</v>
      </c>
      <c r="JEX936" t="s">
        <v>1339</v>
      </c>
      <c r="JEY936" t="s">
        <v>619</v>
      </c>
      <c r="JEZ936">
        <v>1598372</v>
      </c>
      <c r="JFA936">
        <v>1015261</v>
      </c>
      <c r="JFB936">
        <v>2317193</v>
      </c>
      <c r="JFC936">
        <v>6517096</v>
      </c>
      <c r="JOT936" t="s">
        <v>1339</v>
      </c>
      <c r="JOU936" t="s">
        <v>619</v>
      </c>
      <c r="JOV936">
        <v>1598372</v>
      </c>
      <c r="JOW936">
        <v>1015261</v>
      </c>
      <c r="JOX936">
        <v>2317193</v>
      </c>
      <c r="JOY936">
        <v>6517096</v>
      </c>
      <c r="JYP936" t="s">
        <v>1339</v>
      </c>
      <c r="JYQ936" t="s">
        <v>619</v>
      </c>
      <c r="JYR936">
        <v>1598372</v>
      </c>
      <c r="JYS936">
        <v>1015261</v>
      </c>
      <c r="JYT936">
        <v>2317193</v>
      </c>
      <c r="JYU936">
        <v>6517096</v>
      </c>
      <c r="KIL936" t="s">
        <v>1339</v>
      </c>
      <c r="KIM936" t="s">
        <v>619</v>
      </c>
      <c r="KIN936">
        <v>1598372</v>
      </c>
      <c r="KIO936">
        <v>1015261</v>
      </c>
      <c r="KIP936">
        <v>2317193</v>
      </c>
      <c r="KIQ936">
        <v>6517096</v>
      </c>
      <c r="KSH936" t="s">
        <v>1339</v>
      </c>
      <c r="KSI936" t="s">
        <v>619</v>
      </c>
      <c r="KSJ936">
        <v>1598372</v>
      </c>
      <c r="KSK936">
        <v>1015261</v>
      </c>
      <c r="KSL936">
        <v>2317193</v>
      </c>
      <c r="KSM936">
        <v>6517096</v>
      </c>
      <c r="LCD936" t="s">
        <v>1339</v>
      </c>
      <c r="LCE936" t="s">
        <v>619</v>
      </c>
      <c r="LCF936">
        <v>1598372</v>
      </c>
      <c r="LCG936">
        <v>1015261</v>
      </c>
      <c r="LCH936">
        <v>2317193</v>
      </c>
      <c r="LCI936">
        <v>6517096</v>
      </c>
      <c r="LLZ936" t="s">
        <v>1339</v>
      </c>
      <c r="LMA936" t="s">
        <v>619</v>
      </c>
      <c r="LMB936">
        <v>1598372</v>
      </c>
      <c r="LMC936">
        <v>1015261</v>
      </c>
      <c r="LMD936">
        <v>2317193</v>
      </c>
      <c r="LME936">
        <v>6517096</v>
      </c>
      <c r="LVV936" t="s">
        <v>1339</v>
      </c>
      <c r="LVW936" t="s">
        <v>619</v>
      </c>
      <c r="LVX936">
        <v>1598372</v>
      </c>
      <c r="LVY936">
        <v>1015261</v>
      </c>
      <c r="LVZ936">
        <v>2317193</v>
      </c>
      <c r="LWA936">
        <v>6517096</v>
      </c>
      <c r="MFR936" t="s">
        <v>1339</v>
      </c>
      <c r="MFS936" t="s">
        <v>619</v>
      </c>
      <c r="MFT936">
        <v>1598372</v>
      </c>
      <c r="MFU936">
        <v>1015261</v>
      </c>
      <c r="MFV936">
        <v>2317193</v>
      </c>
      <c r="MFW936">
        <v>6517096</v>
      </c>
      <c r="MPN936" t="s">
        <v>1339</v>
      </c>
      <c r="MPO936" t="s">
        <v>619</v>
      </c>
      <c r="MPP936">
        <v>1598372</v>
      </c>
      <c r="MPQ936">
        <v>1015261</v>
      </c>
      <c r="MPR936">
        <v>2317193</v>
      </c>
      <c r="MPS936">
        <v>6517096</v>
      </c>
      <c r="MZJ936" t="s">
        <v>1339</v>
      </c>
      <c r="MZK936" t="s">
        <v>619</v>
      </c>
      <c r="MZL936">
        <v>1598372</v>
      </c>
      <c r="MZM936">
        <v>1015261</v>
      </c>
      <c r="MZN936">
        <v>2317193</v>
      </c>
      <c r="MZO936">
        <v>6517096</v>
      </c>
      <c r="NJF936" t="s">
        <v>1339</v>
      </c>
      <c r="NJG936" t="s">
        <v>619</v>
      </c>
      <c r="NJH936">
        <v>1598372</v>
      </c>
      <c r="NJI936">
        <v>1015261</v>
      </c>
      <c r="NJJ936">
        <v>2317193</v>
      </c>
      <c r="NJK936">
        <v>6517096</v>
      </c>
      <c r="NTB936" t="s">
        <v>1339</v>
      </c>
      <c r="NTC936" t="s">
        <v>619</v>
      </c>
      <c r="NTD936">
        <v>1598372</v>
      </c>
      <c r="NTE936">
        <v>1015261</v>
      </c>
      <c r="NTF936">
        <v>2317193</v>
      </c>
      <c r="NTG936">
        <v>6517096</v>
      </c>
      <c r="OCX936" t="s">
        <v>1339</v>
      </c>
      <c r="OCY936" t="s">
        <v>619</v>
      </c>
      <c r="OCZ936">
        <v>1598372</v>
      </c>
      <c r="ODA936">
        <v>1015261</v>
      </c>
      <c r="ODB936">
        <v>2317193</v>
      </c>
      <c r="ODC936">
        <v>6517096</v>
      </c>
      <c r="OMT936" t="s">
        <v>1339</v>
      </c>
      <c r="OMU936" t="s">
        <v>619</v>
      </c>
      <c r="OMV936">
        <v>1598372</v>
      </c>
      <c r="OMW936">
        <v>1015261</v>
      </c>
      <c r="OMX936">
        <v>2317193</v>
      </c>
      <c r="OMY936">
        <v>6517096</v>
      </c>
      <c r="OWP936" t="s">
        <v>1339</v>
      </c>
      <c r="OWQ936" t="s">
        <v>619</v>
      </c>
      <c r="OWR936">
        <v>1598372</v>
      </c>
      <c r="OWS936">
        <v>1015261</v>
      </c>
      <c r="OWT936">
        <v>2317193</v>
      </c>
      <c r="OWU936">
        <v>6517096</v>
      </c>
      <c r="PGL936" t="s">
        <v>1339</v>
      </c>
      <c r="PGM936" t="s">
        <v>619</v>
      </c>
      <c r="PGN936">
        <v>1598372</v>
      </c>
      <c r="PGO936">
        <v>1015261</v>
      </c>
      <c r="PGP936">
        <v>2317193</v>
      </c>
      <c r="PGQ936">
        <v>6517096</v>
      </c>
      <c r="PQH936" t="s">
        <v>1339</v>
      </c>
      <c r="PQI936" t="s">
        <v>619</v>
      </c>
      <c r="PQJ936">
        <v>1598372</v>
      </c>
      <c r="PQK936">
        <v>1015261</v>
      </c>
      <c r="PQL936">
        <v>2317193</v>
      </c>
      <c r="PQM936">
        <v>6517096</v>
      </c>
      <c r="QAD936" t="s">
        <v>1339</v>
      </c>
      <c r="QAE936" t="s">
        <v>619</v>
      </c>
      <c r="QAF936">
        <v>1598372</v>
      </c>
      <c r="QAG936">
        <v>1015261</v>
      </c>
      <c r="QAH936">
        <v>2317193</v>
      </c>
      <c r="QAI936">
        <v>6517096</v>
      </c>
      <c r="QJZ936" t="s">
        <v>1339</v>
      </c>
      <c r="QKA936" t="s">
        <v>619</v>
      </c>
      <c r="QKB936">
        <v>1598372</v>
      </c>
      <c r="QKC936">
        <v>1015261</v>
      </c>
      <c r="QKD936">
        <v>2317193</v>
      </c>
      <c r="QKE936">
        <v>6517096</v>
      </c>
      <c r="QTV936" t="s">
        <v>1339</v>
      </c>
      <c r="QTW936" t="s">
        <v>619</v>
      </c>
      <c r="QTX936">
        <v>1598372</v>
      </c>
      <c r="QTY936">
        <v>1015261</v>
      </c>
      <c r="QTZ936">
        <v>2317193</v>
      </c>
      <c r="QUA936">
        <v>6517096</v>
      </c>
      <c r="RDR936" t="s">
        <v>1339</v>
      </c>
      <c r="RDS936" t="s">
        <v>619</v>
      </c>
      <c r="RDT936">
        <v>1598372</v>
      </c>
      <c r="RDU936">
        <v>1015261</v>
      </c>
      <c r="RDV936">
        <v>2317193</v>
      </c>
      <c r="RDW936">
        <v>6517096</v>
      </c>
      <c r="RNN936" t="s">
        <v>1339</v>
      </c>
      <c r="RNO936" t="s">
        <v>619</v>
      </c>
      <c r="RNP936">
        <v>1598372</v>
      </c>
      <c r="RNQ936">
        <v>1015261</v>
      </c>
      <c r="RNR936">
        <v>2317193</v>
      </c>
      <c r="RNS936">
        <v>6517096</v>
      </c>
      <c r="RXJ936" t="s">
        <v>1339</v>
      </c>
      <c r="RXK936" t="s">
        <v>619</v>
      </c>
      <c r="RXL936">
        <v>1598372</v>
      </c>
      <c r="RXM936">
        <v>1015261</v>
      </c>
      <c r="RXN936">
        <v>2317193</v>
      </c>
      <c r="RXO936">
        <v>6517096</v>
      </c>
      <c r="SHF936" t="s">
        <v>1339</v>
      </c>
      <c r="SHG936" t="s">
        <v>619</v>
      </c>
      <c r="SHH936">
        <v>1598372</v>
      </c>
      <c r="SHI936">
        <v>1015261</v>
      </c>
      <c r="SHJ936">
        <v>2317193</v>
      </c>
      <c r="SHK936">
        <v>6517096</v>
      </c>
      <c r="SRB936" t="s">
        <v>1339</v>
      </c>
      <c r="SRC936" t="s">
        <v>619</v>
      </c>
      <c r="SRD936">
        <v>1598372</v>
      </c>
      <c r="SRE936">
        <v>1015261</v>
      </c>
      <c r="SRF936">
        <v>2317193</v>
      </c>
      <c r="SRG936">
        <v>6517096</v>
      </c>
      <c r="TAX936" t="s">
        <v>1339</v>
      </c>
      <c r="TAY936" t="s">
        <v>619</v>
      </c>
      <c r="TAZ936">
        <v>1598372</v>
      </c>
      <c r="TBA936">
        <v>1015261</v>
      </c>
      <c r="TBB936">
        <v>2317193</v>
      </c>
      <c r="TBC936">
        <v>6517096</v>
      </c>
      <c r="TKT936" t="s">
        <v>1339</v>
      </c>
      <c r="TKU936" t="s">
        <v>619</v>
      </c>
      <c r="TKV936">
        <v>1598372</v>
      </c>
      <c r="TKW936">
        <v>1015261</v>
      </c>
      <c r="TKX936">
        <v>2317193</v>
      </c>
      <c r="TKY936">
        <v>6517096</v>
      </c>
      <c r="TUP936" t="s">
        <v>1339</v>
      </c>
      <c r="TUQ936" t="s">
        <v>619</v>
      </c>
      <c r="TUR936">
        <v>1598372</v>
      </c>
      <c r="TUS936">
        <v>1015261</v>
      </c>
      <c r="TUT936">
        <v>2317193</v>
      </c>
      <c r="TUU936">
        <v>6517096</v>
      </c>
      <c r="UEL936" t="s">
        <v>1339</v>
      </c>
      <c r="UEM936" t="s">
        <v>619</v>
      </c>
      <c r="UEN936">
        <v>1598372</v>
      </c>
      <c r="UEO936">
        <v>1015261</v>
      </c>
      <c r="UEP936">
        <v>2317193</v>
      </c>
      <c r="UEQ936">
        <v>6517096</v>
      </c>
      <c r="UOH936" t="s">
        <v>1339</v>
      </c>
      <c r="UOI936" t="s">
        <v>619</v>
      </c>
      <c r="UOJ936">
        <v>1598372</v>
      </c>
      <c r="UOK936">
        <v>1015261</v>
      </c>
      <c r="UOL936">
        <v>2317193</v>
      </c>
      <c r="UOM936">
        <v>6517096</v>
      </c>
      <c r="UYD936" t="s">
        <v>1339</v>
      </c>
      <c r="UYE936" t="s">
        <v>619</v>
      </c>
      <c r="UYF936">
        <v>1598372</v>
      </c>
      <c r="UYG936">
        <v>1015261</v>
      </c>
      <c r="UYH936">
        <v>2317193</v>
      </c>
      <c r="UYI936">
        <v>6517096</v>
      </c>
      <c r="VHZ936" t="s">
        <v>1339</v>
      </c>
      <c r="VIA936" t="s">
        <v>619</v>
      </c>
      <c r="VIB936">
        <v>1598372</v>
      </c>
      <c r="VIC936">
        <v>1015261</v>
      </c>
      <c r="VID936">
        <v>2317193</v>
      </c>
      <c r="VIE936">
        <v>6517096</v>
      </c>
      <c r="VRV936" t="s">
        <v>1339</v>
      </c>
      <c r="VRW936" t="s">
        <v>619</v>
      </c>
      <c r="VRX936">
        <v>1598372</v>
      </c>
      <c r="VRY936">
        <v>1015261</v>
      </c>
      <c r="VRZ936">
        <v>2317193</v>
      </c>
      <c r="VSA936">
        <v>6517096</v>
      </c>
      <c r="WBR936" t="s">
        <v>1339</v>
      </c>
      <c r="WBS936" t="s">
        <v>619</v>
      </c>
      <c r="WBT936">
        <v>1598372</v>
      </c>
      <c r="WBU936">
        <v>1015261</v>
      </c>
      <c r="WBV936">
        <v>2317193</v>
      </c>
      <c r="WBW936">
        <v>6517096</v>
      </c>
      <c r="WLN936" t="s">
        <v>1339</v>
      </c>
      <c r="WLO936" t="s">
        <v>619</v>
      </c>
      <c r="WLP936">
        <v>1598372</v>
      </c>
      <c r="WLQ936">
        <v>1015261</v>
      </c>
      <c r="WLR936">
        <v>2317193</v>
      </c>
      <c r="WLS936">
        <v>6517096</v>
      </c>
      <c r="WVJ936" t="s">
        <v>1339</v>
      </c>
      <c r="WVK936" t="s">
        <v>619</v>
      </c>
      <c r="WVL936">
        <v>1598372</v>
      </c>
      <c r="WVM936">
        <v>1015261</v>
      </c>
      <c r="WVN936">
        <v>2317193</v>
      </c>
      <c r="WVO936">
        <v>6517096</v>
      </c>
    </row>
    <row r="937" spans="1:775 1026:1799 2050:2823 3074:3847 4098:4871 5122:5895 6146:6919 7170:7943 8194:8967 9218:9991 10242:11015 11266:12039 12290:13063 13314:14087 14338:15111 15362:16135">
      <c r="A937" s="96" t="s">
        <v>931</v>
      </c>
      <c r="B937" t="s">
        <v>745</v>
      </c>
      <c r="C937" s="98">
        <v>0</v>
      </c>
      <c r="D937" s="98">
        <v>0</v>
      </c>
      <c r="E937" s="98">
        <v>0</v>
      </c>
      <c r="F937" s="100">
        <v>25199</v>
      </c>
      <c r="G937" s="100">
        <v>218189</v>
      </c>
      <c r="H937" s="100"/>
      <c r="IX937" t="s">
        <v>931</v>
      </c>
      <c r="IY937" t="s">
        <v>619</v>
      </c>
      <c r="IZ937" t="s">
        <v>619</v>
      </c>
      <c r="JA937" t="s">
        <v>619</v>
      </c>
      <c r="JB937">
        <v>25199</v>
      </c>
      <c r="JC937">
        <v>218189</v>
      </c>
      <c r="ST937" t="s">
        <v>931</v>
      </c>
      <c r="SU937" t="s">
        <v>619</v>
      </c>
      <c r="SV937" t="s">
        <v>619</v>
      </c>
      <c r="SW937" t="s">
        <v>619</v>
      </c>
      <c r="SX937">
        <v>25199</v>
      </c>
      <c r="SY937">
        <v>218189</v>
      </c>
      <c r="ACP937" t="s">
        <v>931</v>
      </c>
      <c r="ACQ937" t="s">
        <v>619</v>
      </c>
      <c r="ACR937" t="s">
        <v>619</v>
      </c>
      <c r="ACS937" t="s">
        <v>619</v>
      </c>
      <c r="ACT937">
        <v>25199</v>
      </c>
      <c r="ACU937">
        <v>218189</v>
      </c>
      <c r="AML937" t="s">
        <v>931</v>
      </c>
      <c r="AMM937" t="s">
        <v>619</v>
      </c>
      <c r="AMN937" t="s">
        <v>619</v>
      </c>
      <c r="AMO937" t="s">
        <v>619</v>
      </c>
      <c r="AMP937">
        <v>25199</v>
      </c>
      <c r="AMQ937">
        <v>218189</v>
      </c>
      <c r="AWH937" t="s">
        <v>931</v>
      </c>
      <c r="AWI937" t="s">
        <v>619</v>
      </c>
      <c r="AWJ937" t="s">
        <v>619</v>
      </c>
      <c r="AWK937" t="s">
        <v>619</v>
      </c>
      <c r="AWL937">
        <v>25199</v>
      </c>
      <c r="AWM937">
        <v>218189</v>
      </c>
      <c r="BGD937" t="s">
        <v>931</v>
      </c>
      <c r="BGE937" t="s">
        <v>619</v>
      </c>
      <c r="BGF937" t="s">
        <v>619</v>
      </c>
      <c r="BGG937" t="s">
        <v>619</v>
      </c>
      <c r="BGH937">
        <v>25199</v>
      </c>
      <c r="BGI937">
        <v>218189</v>
      </c>
      <c r="BPZ937" t="s">
        <v>931</v>
      </c>
      <c r="BQA937" t="s">
        <v>619</v>
      </c>
      <c r="BQB937" t="s">
        <v>619</v>
      </c>
      <c r="BQC937" t="s">
        <v>619</v>
      </c>
      <c r="BQD937">
        <v>25199</v>
      </c>
      <c r="BQE937">
        <v>218189</v>
      </c>
      <c r="BZV937" t="s">
        <v>931</v>
      </c>
      <c r="BZW937" t="s">
        <v>619</v>
      </c>
      <c r="BZX937" t="s">
        <v>619</v>
      </c>
      <c r="BZY937" t="s">
        <v>619</v>
      </c>
      <c r="BZZ937">
        <v>25199</v>
      </c>
      <c r="CAA937">
        <v>218189</v>
      </c>
      <c r="CJR937" t="s">
        <v>931</v>
      </c>
      <c r="CJS937" t="s">
        <v>619</v>
      </c>
      <c r="CJT937" t="s">
        <v>619</v>
      </c>
      <c r="CJU937" t="s">
        <v>619</v>
      </c>
      <c r="CJV937">
        <v>25199</v>
      </c>
      <c r="CJW937">
        <v>218189</v>
      </c>
      <c r="CTN937" t="s">
        <v>931</v>
      </c>
      <c r="CTO937" t="s">
        <v>619</v>
      </c>
      <c r="CTP937" t="s">
        <v>619</v>
      </c>
      <c r="CTQ937" t="s">
        <v>619</v>
      </c>
      <c r="CTR937">
        <v>25199</v>
      </c>
      <c r="CTS937">
        <v>218189</v>
      </c>
      <c r="DDJ937" t="s">
        <v>931</v>
      </c>
      <c r="DDK937" t="s">
        <v>619</v>
      </c>
      <c r="DDL937" t="s">
        <v>619</v>
      </c>
      <c r="DDM937" t="s">
        <v>619</v>
      </c>
      <c r="DDN937">
        <v>25199</v>
      </c>
      <c r="DDO937">
        <v>218189</v>
      </c>
      <c r="DNF937" t="s">
        <v>931</v>
      </c>
      <c r="DNG937" t="s">
        <v>619</v>
      </c>
      <c r="DNH937" t="s">
        <v>619</v>
      </c>
      <c r="DNI937" t="s">
        <v>619</v>
      </c>
      <c r="DNJ937">
        <v>25199</v>
      </c>
      <c r="DNK937">
        <v>218189</v>
      </c>
      <c r="DXB937" t="s">
        <v>931</v>
      </c>
      <c r="DXC937" t="s">
        <v>619</v>
      </c>
      <c r="DXD937" t="s">
        <v>619</v>
      </c>
      <c r="DXE937" t="s">
        <v>619</v>
      </c>
      <c r="DXF937">
        <v>25199</v>
      </c>
      <c r="DXG937">
        <v>218189</v>
      </c>
      <c r="EGX937" t="s">
        <v>931</v>
      </c>
      <c r="EGY937" t="s">
        <v>619</v>
      </c>
      <c r="EGZ937" t="s">
        <v>619</v>
      </c>
      <c r="EHA937" t="s">
        <v>619</v>
      </c>
      <c r="EHB937">
        <v>25199</v>
      </c>
      <c r="EHC937">
        <v>218189</v>
      </c>
      <c r="EQT937" t="s">
        <v>931</v>
      </c>
      <c r="EQU937" t="s">
        <v>619</v>
      </c>
      <c r="EQV937" t="s">
        <v>619</v>
      </c>
      <c r="EQW937" t="s">
        <v>619</v>
      </c>
      <c r="EQX937">
        <v>25199</v>
      </c>
      <c r="EQY937">
        <v>218189</v>
      </c>
      <c r="FAP937" t="s">
        <v>931</v>
      </c>
      <c r="FAQ937" t="s">
        <v>619</v>
      </c>
      <c r="FAR937" t="s">
        <v>619</v>
      </c>
      <c r="FAS937" t="s">
        <v>619</v>
      </c>
      <c r="FAT937">
        <v>25199</v>
      </c>
      <c r="FAU937">
        <v>218189</v>
      </c>
      <c r="FKL937" t="s">
        <v>931</v>
      </c>
      <c r="FKM937" t="s">
        <v>619</v>
      </c>
      <c r="FKN937" t="s">
        <v>619</v>
      </c>
      <c r="FKO937" t="s">
        <v>619</v>
      </c>
      <c r="FKP937">
        <v>25199</v>
      </c>
      <c r="FKQ937">
        <v>218189</v>
      </c>
      <c r="FUH937" t="s">
        <v>931</v>
      </c>
      <c r="FUI937" t="s">
        <v>619</v>
      </c>
      <c r="FUJ937" t="s">
        <v>619</v>
      </c>
      <c r="FUK937" t="s">
        <v>619</v>
      </c>
      <c r="FUL937">
        <v>25199</v>
      </c>
      <c r="FUM937">
        <v>218189</v>
      </c>
      <c r="GED937" t="s">
        <v>931</v>
      </c>
      <c r="GEE937" t="s">
        <v>619</v>
      </c>
      <c r="GEF937" t="s">
        <v>619</v>
      </c>
      <c r="GEG937" t="s">
        <v>619</v>
      </c>
      <c r="GEH937">
        <v>25199</v>
      </c>
      <c r="GEI937">
        <v>218189</v>
      </c>
      <c r="GNZ937" t="s">
        <v>931</v>
      </c>
      <c r="GOA937" t="s">
        <v>619</v>
      </c>
      <c r="GOB937" t="s">
        <v>619</v>
      </c>
      <c r="GOC937" t="s">
        <v>619</v>
      </c>
      <c r="GOD937">
        <v>25199</v>
      </c>
      <c r="GOE937">
        <v>218189</v>
      </c>
      <c r="GXV937" t="s">
        <v>931</v>
      </c>
      <c r="GXW937" t="s">
        <v>619</v>
      </c>
      <c r="GXX937" t="s">
        <v>619</v>
      </c>
      <c r="GXY937" t="s">
        <v>619</v>
      </c>
      <c r="GXZ937">
        <v>25199</v>
      </c>
      <c r="GYA937">
        <v>218189</v>
      </c>
      <c r="HHR937" t="s">
        <v>931</v>
      </c>
      <c r="HHS937" t="s">
        <v>619</v>
      </c>
      <c r="HHT937" t="s">
        <v>619</v>
      </c>
      <c r="HHU937" t="s">
        <v>619</v>
      </c>
      <c r="HHV937">
        <v>25199</v>
      </c>
      <c r="HHW937">
        <v>218189</v>
      </c>
      <c r="HRN937" t="s">
        <v>931</v>
      </c>
      <c r="HRO937" t="s">
        <v>619</v>
      </c>
      <c r="HRP937" t="s">
        <v>619</v>
      </c>
      <c r="HRQ937" t="s">
        <v>619</v>
      </c>
      <c r="HRR937">
        <v>25199</v>
      </c>
      <c r="HRS937">
        <v>218189</v>
      </c>
      <c r="IBJ937" t="s">
        <v>931</v>
      </c>
      <c r="IBK937" t="s">
        <v>619</v>
      </c>
      <c r="IBL937" t="s">
        <v>619</v>
      </c>
      <c r="IBM937" t="s">
        <v>619</v>
      </c>
      <c r="IBN937">
        <v>25199</v>
      </c>
      <c r="IBO937">
        <v>218189</v>
      </c>
      <c r="ILF937" t="s">
        <v>931</v>
      </c>
      <c r="ILG937" t="s">
        <v>619</v>
      </c>
      <c r="ILH937" t="s">
        <v>619</v>
      </c>
      <c r="ILI937" t="s">
        <v>619</v>
      </c>
      <c r="ILJ937">
        <v>25199</v>
      </c>
      <c r="ILK937">
        <v>218189</v>
      </c>
      <c r="IVB937" t="s">
        <v>931</v>
      </c>
      <c r="IVC937" t="s">
        <v>619</v>
      </c>
      <c r="IVD937" t="s">
        <v>619</v>
      </c>
      <c r="IVE937" t="s">
        <v>619</v>
      </c>
      <c r="IVF937">
        <v>25199</v>
      </c>
      <c r="IVG937">
        <v>218189</v>
      </c>
      <c r="JEX937" t="s">
        <v>931</v>
      </c>
      <c r="JEY937" t="s">
        <v>619</v>
      </c>
      <c r="JEZ937" t="s">
        <v>619</v>
      </c>
      <c r="JFA937" t="s">
        <v>619</v>
      </c>
      <c r="JFB937">
        <v>25199</v>
      </c>
      <c r="JFC937">
        <v>218189</v>
      </c>
      <c r="JOT937" t="s">
        <v>931</v>
      </c>
      <c r="JOU937" t="s">
        <v>619</v>
      </c>
      <c r="JOV937" t="s">
        <v>619</v>
      </c>
      <c r="JOW937" t="s">
        <v>619</v>
      </c>
      <c r="JOX937">
        <v>25199</v>
      </c>
      <c r="JOY937">
        <v>218189</v>
      </c>
      <c r="JYP937" t="s">
        <v>931</v>
      </c>
      <c r="JYQ937" t="s">
        <v>619</v>
      </c>
      <c r="JYR937" t="s">
        <v>619</v>
      </c>
      <c r="JYS937" t="s">
        <v>619</v>
      </c>
      <c r="JYT937">
        <v>25199</v>
      </c>
      <c r="JYU937">
        <v>218189</v>
      </c>
      <c r="KIL937" t="s">
        <v>931</v>
      </c>
      <c r="KIM937" t="s">
        <v>619</v>
      </c>
      <c r="KIN937" t="s">
        <v>619</v>
      </c>
      <c r="KIO937" t="s">
        <v>619</v>
      </c>
      <c r="KIP937">
        <v>25199</v>
      </c>
      <c r="KIQ937">
        <v>218189</v>
      </c>
      <c r="KSH937" t="s">
        <v>931</v>
      </c>
      <c r="KSI937" t="s">
        <v>619</v>
      </c>
      <c r="KSJ937" t="s">
        <v>619</v>
      </c>
      <c r="KSK937" t="s">
        <v>619</v>
      </c>
      <c r="KSL937">
        <v>25199</v>
      </c>
      <c r="KSM937">
        <v>218189</v>
      </c>
      <c r="LCD937" t="s">
        <v>931</v>
      </c>
      <c r="LCE937" t="s">
        <v>619</v>
      </c>
      <c r="LCF937" t="s">
        <v>619</v>
      </c>
      <c r="LCG937" t="s">
        <v>619</v>
      </c>
      <c r="LCH937">
        <v>25199</v>
      </c>
      <c r="LCI937">
        <v>218189</v>
      </c>
      <c r="LLZ937" t="s">
        <v>931</v>
      </c>
      <c r="LMA937" t="s">
        <v>619</v>
      </c>
      <c r="LMB937" t="s">
        <v>619</v>
      </c>
      <c r="LMC937" t="s">
        <v>619</v>
      </c>
      <c r="LMD937">
        <v>25199</v>
      </c>
      <c r="LME937">
        <v>218189</v>
      </c>
      <c r="LVV937" t="s">
        <v>931</v>
      </c>
      <c r="LVW937" t="s">
        <v>619</v>
      </c>
      <c r="LVX937" t="s">
        <v>619</v>
      </c>
      <c r="LVY937" t="s">
        <v>619</v>
      </c>
      <c r="LVZ937">
        <v>25199</v>
      </c>
      <c r="LWA937">
        <v>218189</v>
      </c>
      <c r="MFR937" t="s">
        <v>931</v>
      </c>
      <c r="MFS937" t="s">
        <v>619</v>
      </c>
      <c r="MFT937" t="s">
        <v>619</v>
      </c>
      <c r="MFU937" t="s">
        <v>619</v>
      </c>
      <c r="MFV937">
        <v>25199</v>
      </c>
      <c r="MFW937">
        <v>218189</v>
      </c>
      <c r="MPN937" t="s">
        <v>931</v>
      </c>
      <c r="MPO937" t="s">
        <v>619</v>
      </c>
      <c r="MPP937" t="s">
        <v>619</v>
      </c>
      <c r="MPQ937" t="s">
        <v>619</v>
      </c>
      <c r="MPR937">
        <v>25199</v>
      </c>
      <c r="MPS937">
        <v>218189</v>
      </c>
      <c r="MZJ937" t="s">
        <v>931</v>
      </c>
      <c r="MZK937" t="s">
        <v>619</v>
      </c>
      <c r="MZL937" t="s">
        <v>619</v>
      </c>
      <c r="MZM937" t="s">
        <v>619</v>
      </c>
      <c r="MZN937">
        <v>25199</v>
      </c>
      <c r="MZO937">
        <v>218189</v>
      </c>
      <c r="NJF937" t="s">
        <v>931</v>
      </c>
      <c r="NJG937" t="s">
        <v>619</v>
      </c>
      <c r="NJH937" t="s">
        <v>619</v>
      </c>
      <c r="NJI937" t="s">
        <v>619</v>
      </c>
      <c r="NJJ937">
        <v>25199</v>
      </c>
      <c r="NJK937">
        <v>218189</v>
      </c>
      <c r="NTB937" t="s">
        <v>931</v>
      </c>
      <c r="NTC937" t="s">
        <v>619</v>
      </c>
      <c r="NTD937" t="s">
        <v>619</v>
      </c>
      <c r="NTE937" t="s">
        <v>619</v>
      </c>
      <c r="NTF937">
        <v>25199</v>
      </c>
      <c r="NTG937">
        <v>218189</v>
      </c>
      <c r="OCX937" t="s">
        <v>931</v>
      </c>
      <c r="OCY937" t="s">
        <v>619</v>
      </c>
      <c r="OCZ937" t="s">
        <v>619</v>
      </c>
      <c r="ODA937" t="s">
        <v>619</v>
      </c>
      <c r="ODB937">
        <v>25199</v>
      </c>
      <c r="ODC937">
        <v>218189</v>
      </c>
      <c r="OMT937" t="s">
        <v>931</v>
      </c>
      <c r="OMU937" t="s">
        <v>619</v>
      </c>
      <c r="OMV937" t="s">
        <v>619</v>
      </c>
      <c r="OMW937" t="s">
        <v>619</v>
      </c>
      <c r="OMX937">
        <v>25199</v>
      </c>
      <c r="OMY937">
        <v>218189</v>
      </c>
      <c r="OWP937" t="s">
        <v>931</v>
      </c>
      <c r="OWQ937" t="s">
        <v>619</v>
      </c>
      <c r="OWR937" t="s">
        <v>619</v>
      </c>
      <c r="OWS937" t="s">
        <v>619</v>
      </c>
      <c r="OWT937">
        <v>25199</v>
      </c>
      <c r="OWU937">
        <v>218189</v>
      </c>
      <c r="PGL937" t="s">
        <v>931</v>
      </c>
      <c r="PGM937" t="s">
        <v>619</v>
      </c>
      <c r="PGN937" t="s">
        <v>619</v>
      </c>
      <c r="PGO937" t="s">
        <v>619</v>
      </c>
      <c r="PGP937">
        <v>25199</v>
      </c>
      <c r="PGQ937">
        <v>218189</v>
      </c>
      <c r="PQH937" t="s">
        <v>931</v>
      </c>
      <c r="PQI937" t="s">
        <v>619</v>
      </c>
      <c r="PQJ937" t="s">
        <v>619</v>
      </c>
      <c r="PQK937" t="s">
        <v>619</v>
      </c>
      <c r="PQL937">
        <v>25199</v>
      </c>
      <c r="PQM937">
        <v>218189</v>
      </c>
      <c r="QAD937" t="s">
        <v>931</v>
      </c>
      <c r="QAE937" t="s">
        <v>619</v>
      </c>
      <c r="QAF937" t="s">
        <v>619</v>
      </c>
      <c r="QAG937" t="s">
        <v>619</v>
      </c>
      <c r="QAH937">
        <v>25199</v>
      </c>
      <c r="QAI937">
        <v>218189</v>
      </c>
      <c r="QJZ937" t="s">
        <v>931</v>
      </c>
      <c r="QKA937" t="s">
        <v>619</v>
      </c>
      <c r="QKB937" t="s">
        <v>619</v>
      </c>
      <c r="QKC937" t="s">
        <v>619</v>
      </c>
      <c r="QKD937">
        <v>25199</v>
      </c>
      <c r="QKE937">
        <v>218189</v>
      </c>
      <c r="QTV937" t="s">
        <v>931</v>
      </c>
      <c r="QTW937" t="s">
        <v>619</v>
      </c>
      <c r="QTX937" t="s">
        <v>619</v>
      </c>
      <c r="QTY937" t="s">
        <v>619</v>
      </c>
      <c r="QTZ937">
        <v>25199</v>
      </c>
      <c r="QUA937">
        <v>218189</v>
      </c>
      <c r="RDR937" t="s">
        <v>931</v>
      </c>
      <c r="RDS937" t="s">
        <v>619</v>
      </c>
      <c r="RDT937" t="s">
        <v>619</v>
      </c>
      <c r="RDU937" t="s">
        <v>619</v>
      </c>
      <c r="RDV937">
        <v>25199</v>
      </c>
      <c r="RDW937">
        <v>218189</v>
      </c>
      <c r="RNN937" t="s">
        <v>931</v>
      </c>
      <c r="RNO937" t="s">
        <v>619</v>
      </c>
      <c r="RNP937" t="s">
        <v>619</v>
      </c>
      <c r="RNQ937" t="s">
        <v>619</v>
      </c>
      <c r="RNR937">
        <v>25199</v>
      </c>
      <c r="RNS937">
        <v>218189</v>
      </c>
      <c r="RXJ937" t="s">
        <v>931</v>
      </c>
      <c r="RXK937" t="s">
        <v>619</v>
      </c>
      <c r="RXL937" t="s">
        <v>619</v>
      </c>
      <c r="RXM937" t="s">
        <v>619</v>
      </c>
      <c r="RXN937">
        <v>25199</v>
      </c>
      <c r="RXO937">
        <v>218189</v>
      </c>
      <c r="SHF937" t="s">
        <v>931</v>
      </c>
      <c r="SHG937" t="s">
        <v>619</v>
      </c>
      <c r="SHH937" t="s">
        <v>619</v>
      </c>
      <c r="SHI937" t="s">
        <v>619</v>
      </c>
      <c r="SHJ937">
        <v>25199</v>
      </c>
      <c r="SHK937">
        <v>218189</v>
      </c>
      <c r="SRB937" t="s">
        <v>931</v>
      </c>
      <c r="SRC937" t="s">
        <v>619</v>
      </c>
      <c r="SRD937" t="s">
        <v>619</v>
      </c>
      <c r="SRE937" t="s">
        <v>619</v>
      </c>
      <c r="SRF937">
        <v>25199</v>
      </c>
      <c r="SRG937">
        <v>218189</v>
      </c>
      <c r="TAX937" t="s">
        <v>931</v>
      </c>
      <c r="TAY937" t="s">
        <v>619</v>
      </c>
      <c r="TAZ937" t="s">
        <v>619</v>
      </c>
      <c r="TBA937" t="s">
        <v>619</v>
      </c>
      <c r="TBB937">
        <v>25199</v>
      </c>
      <c r="TBC937">
        <v>218189</v>
      </c>
      <c r="TKT937" t="s">
        <v>931</v>
      </c>
      <c r="TKU937" t="s">
        <v>619</v>
      </c>
      <c r="TKV937" t="s">
        <v>619</v>
      </c>
      <c r="TKW937" t="s">
        <v>619</v>
      </c>
      <c r="TKX937">
        <v>25199</v>
      </c>
      <c r="TKY937">
        <v>218189</v>
      </c>
      <c r="TUP937" t="s">
        <v>931</v>
      </c>
      <c r="TUQ937" t="s">
        <v>619</v>
      </c>
      <c r="TUR937" t="s">
        <v>619</v>
      </c>
      <c r="TUS937" t="s">
        <v>619</v>
      </c>
      <c r="TUT937">
        <v>25199</v>
      </c>
      <c r="TUU937">
        <v>218189</v>
      </c>
      <c r="UEL937" t="s">
        <v>931</v>
      </c>
      <c r="UEM937" t="s">
        <v>619</v>
      </c>
      <c r="UEN937" t="s">
        <v>619</v>
      </c>
      <c r="UEO937" t="s">
        <v>619</v>
      </c>
      <c r="UEP937">
        <v>25199</v>
      </c>
      <c r="UEQ937">
        <v>218189</v>
      </c>
      <c r="UOH937" t="s">
        <v>931</v>
      </c>
      <c r="UOI937" t="s">
        <v>619</v>
      </c>
      <c r="UOJ937" t="s">
        <v>619</v>
      </c>
      <c r="UOK937" t="s">
        <v>619</v>
      </c>
      <c r="UOL937">
        <v>25199</v>
      </c>
      <c r="UOM937">
        <v>218189</v>
      </c>
      <c r="UYD937" t="s">
        <v>931</v>
      </c>
      <c r="UYE937" t="s">
        <v>619</v>
      </c>
      <c r="UYF937" t="s">
        <v>619</v>
      </c>
      <c r="UYG937" t="s">
        <v>619</v>
      </c>
      <c r="UYH937">
        <v>25199</v>
      </c>
      <c r="UYI937">
        <v>218189</v>
      </c>
      <c r="VHZ937" t="s">
        <v>931</v>
      </c>
      <c r="VIA937" t="s">
        <v>619</v>
      </c>
      <c r="VIB937" t="s">
        <v>619</v>
      </c>
      <c r="VIC937" t="s">
        <v>619</v>
      </c>
      <c r="VID937">
        <v>25199</v>
      </c>
      <c r="VIE937">
        <v>218189</v>
      </c>
      <c r="VRV937" t="s">
        <v>931</v>
      </c>
      <c r="VRW937" t="s">
        <v>619</v>
      </c>
      <c r="VRX937" t="s">
        <v>619</v>
      </c>
      <c r="VRY937" t="s">
        <v>619</v>
      </c>
      <c r="VRZ937">
        <v>25199</v>
      </c>
      <c r="VSA937">
        <v>218189</v>
      </c>
      <c r="WBR937" t="s">
        <v>931</v>
      </c>
      <c r="WBS937" t="s">
        <v>619</v>
      </c>
      <c r="WBT937" t="s">
        <v>619</v>
      </c>
      <c r="WBU937" t="s">
        <v>619</v>
      </c>
      <c r="WBV937">
        <v>25199</v>
      </c>
      <c r="WBW937">
        <v>218189</v>
      </c>
      <c r="WLN937" t="s">
        <v>931</v>
      </c>
      <c r="WLO937" t="s">
        <v>619</v>
      </c>
      <c r="WLP937" t="s">
        <v>619</v>
      </c>
      <c r="WLQ937" t="s">
        <v>619</v>
      </c>
      <c r="WLR937">
        <v>25199</v>
      </c>
      <c r="WLS937">
        <v>218189</v>
      </c>
      <c r="WVJ937" t="s">
        <v>931</v>
      </c>
      <c r="WVK937" t="s">
        <v>619</v>
      </c>
      <c r="WVL937" t="s">
        <v>619</v>
      </c>
      <c r="WVM937" t="s">
        <v>619</v>
      </c>
      <c r="WVN937">
        <v>25199</v>
      </c>
      <c r="WVO937">
        <v>218189</v>
      </c>
    </row>
    <row r="938" spans="1:775 1026:1799 2050:2823 3074:3847 4098:4871 5122:5895 6146:6919 7170:7943 8194:8967 9218:9991 10242:11015 11266:12039 12290:13063 13314:14087 14338:15111 15362:16135">
      <c r="A938" s="96" t="s">
        <v>936</v>
      </c>
      <c r="B938" t="s">
        <v>745</v>
      </c>
      <c r="C938" s="100">
        <v>-15896</v>
      </c>
      <c r="D938" s="100">
        <v>22087</v>
      </c>
      <c r="E938" s="100">
        <v>2125</v>
      </c>
      <c r="F938" s="100">
        <v>75633</v>
      </c>
      <c r="G938" s="100">
        <v>221374</v>
      </c>
      <c r="H938" s="100"/>
      <c r="IX938" t="s">
        <v>936</v>
      </c>
      <c r="IY938">
        <v>-15896</v>
      </c>
      <c r="IZ938">
        <v>22087</v>
      </c>
      <c r="JA938">
        <v>2125</v>
      </c>
      <c r="JB938">
        <v>75633</v>
      </c>
      <c r="JC938">
        <v>221374</v>
      </c>
      <c r="ST938" t="s">
        <v>936</v>
      </c>
      <c r="SU938">
        <v>-15896</v>
      </c>
      <c r="SV938">
        <v>22087</v>
      </c>
      <c r="SW938">
        <v>2125</v>
      </c>
      <c r="SX938">
        <v>75633</v>
      </c>
      <c r="SY938">
        <v>221374</v>
      </c>
      <c r="ACP938" t="s">
        <v>936</v>
      </c>
      <c r="ACQ938">
        <v>-15896</v>
      </c>
      <c r="ACR938">
        <v>22087</v>
      </c>
      <c r="ACS938">
        <v>2125</v>
      </c>
      <c r="ACT938">
        <v>75633</v>
      </c>
      <c r="ACU938">
        <v>221374</v>
      </c>
      <c r="AML938" t="s">
        <v>936</v>
      </c>
      <c r="AMM938">
        <v>-15896</v>
      </c>
      <c r="AMN938">
        <v>22087</v>
      </c>
      <c r="AMO938">
        <v>2125</v>
      </c>
      <c r="AMP938">
        <v>75633</v>
      </c>
      <c r="AMQ938">
        <v>221374</v>
      </c>
      <c r="AWH938" t="s">
        <v>936</v>
      </c>
      <c r="AWI938">
        <v>-15896</v>
      </c>
      <c r="AWJ938">
        <v>22087</v>
      </c>
      <c r="AWK938">
        <v>2125</v>
      </c>
      <c r="AWL938">
        <v>75633</v>
      </c>
      <c r="AWM938">
        <v>221374</v>
      </c>
      <c r="BGD938" t="s">
        <v>936</v>
      </c>
      <c r="BGE938">
        <v>-15896</v>
      </c>
      <c r="BGF938">
        <v>22087</v>
      </c>
      <c r="BGG938">
        <v>2125</v>
      </c>
      <c r="BGH938">
        <v>75633</v>
      </c>
      <c r="BGI938">
        <v>221374</v>
      </c>
      <c r="BPZ938" t="s">
        <v>936</v>
      </c>
      <c r="BQA938">
        <v>-15896</v>
      </c>
      <c r="BQB938">
        <v>22087</v>
      </c>
      <c r="BQC938">
        <v>2125</v>
      </c>
      <c r="BQD938">
        <v>75633</v>
      </c>
      <c r="BQE938">
        <v>221374</v>
      </c>
      <c r="BZV938" t="s">
        <v>936</v>
      </c>
      <c r="BZW938">
        <v>-15896</v>
      </c>
      <c r="BZX938">
        <v>22087</v>
      </c>
      <c r="BZY938">
        <v>2125</v>
      </c>
      <c r="BZZ938">
        <v>75633</v>
      </c>
      <c r="CAA938">
        <v>221374</v>
      </c>
      <c r="CJR938" t="s">
        <v>936</v>
      </c>
      <c r="CJS938">
        <v>-15896</v>
      </c>
      <c r="CJT938">
        <v>22087</v>
      </c>
      <c r="CJU938">
        <v>2125</v>
      </c>
      <c r="CJV938">
        <v>75633</v>
      </c>
      <c r="CJW938">
        <v>221374</v>
      </c>
      <c r="CTN938" t="s">
        <v>936</v>
      </c>
      <c r="CTO938">
        <v>-15896</v>
      </c>
      <c r="CTP938">
        <v>22087</v>
      </c>
      <c r="CTQ938">
        <v>2125</v>
      </c>
      <c r="CTR938">
        <v>75633</v>
      </c>
      <c r="CTS938">
        <v>221374</v>
      </c>
      <c r="DDJ938" t="s">
        <v>936</v>
      </c>
      <c r="DDK938">
        <v>-15896</v>
      </c>
      <c r="DDL938">
        <v>22087</v>
      </c>
      <c r="DDM938">
        <v>2125</v>
      </c>
      <c r="DDN938">
        <v>75633</v>
      </c>
      <c r="DDO938">
        <v>221374</v>
      </c>
      <c r="DNF938" t="s">
        <v>936</v>
      </c>
      <c r="DNG938">
        <v>-15896</v>
      </c>
      <c r="DNH938">
        <v>22087</v>
      </c>
      <c r="DNI938">
        <v>2125</v>
      </c>
      <c r="DNJ938">
        <v>75633</v>
      </c>
      <c r="DNK938">
        <v>221374</v>
      </c>
      <c r="DXB938" t="s">
        <v>936</v>
      </c>
      <c r="DXC938">
        <v>-15896</v>
      </c>
      <c r="DXD938">
        <v>22087</v>
      </c>
      <c r="DXE938">
        <v>2125</v>
      </c>
      <c r="DXF938">
        <v>75633</v>
      </c>
      <c r="DXG938">
        <v>221374</v>
      </c>
      <c r="EGX938" t="s">
        <v>936</v>
      </c>
      <c r="EGY938">
        <v>-15896</v>
      </c>
      <c r="EGZ938">
        <v>22087</v>
      </c>
      <c r="EHA938">
        <v>2125</v>
      </c>
      <c r="EHB938">
        <v>75633</v>
      </c>
      <c r="EHC938">
        <v>221374</v>
      </c>
      <c r="EQT938" t="s">
        <v>936</v>
      </c>
      <c r="EQU938">
        <v>-15896</v>
      </c>
      <c r="EQV938">
        <v>22087</v>
      </c>
      <c r="EQW938">
        <v>2125</v>
      </c>
      <c r="EQX938">
        <v>75633</v>
      </c>
      <c r="EQY938">
        <v>221374</v>
      </c>
      <c r="FAP938" t="s">
        <v>936</v>
      </c>
      <c r="FAQ938">
        <v>-15896</v>
      </c>
      <c r="FAR938">
        <v>22087</v>
      </c>
      <c r="FAS938">
        <v>2125</v>
      </c>
      <c r="FAT938">
        <v>75633</v>
      </c>
      <c r="FAU938">
        <v>221374</v>
      </c>
      <c r="FKL938" t="s">
        <v>936</v>
      </c>
      <c r="FKM938">
        <v>-15896</v>
      </c>
      <c r="FKN938">
        <v>22087</v>
      </c>
      <c r="FKO938">
        <v>2125</v>
      </c>
      <c r="FKP938">
        <v>75633</v>
      </c>
      <c r="FKQ938">
        <v>221374</v>
      </c>
      <c r="FUH938" t="s">
        <v>936</v>
      </c>
      <c r="FUI938">
        <v>-15896</v>
      </c>
      <c r="FUJ938">
        <v>22087</v>
      </c>
      <c r="FUK938">
        <v>2125</v>
      </c>
      <c r="FUL938">
        <v>75633</v>
      </c>
      <c r="FUM938">
        <v>221374</v>
      </c>
      <c r="GED938" t="s">
        <v>936</v>
      </c>
      <c r="GEE938">
        <v>-15896</v>
      </c>
      <c r="GEF938">
        <v>22087</v>
      </c>
      <c r="GEG938">
        <v>2125</v>
      </c>
      <c r="GEH938">
        <v>75633</v>
      </c>
      <c r="GEI938">
        <v>221374</v>
      </c>
      <c r="GNZ938" t="s">
        <v>936</v>
      </c>
      <c r="GOA938">
        <v>-15896</v>
      </c>
      <c r="GOB938">
        <v>22087</v>
      </c>
      <c r="GOC938">
        <v>2125</v>
      </c>
      <c r="GOD938">
        <v>75633</v>
      </c>
      <c r="GOE938">
        <v>221374</v>
      </c>
      <c r="GXV938" t="s">
        <v>936</v>
      </c>
      <c r="GXW938">
        <v>-15896</v>
      </c>
      <c r="GXX938">
        <v>22087</v>
      </c>
      <c r="GXY938">
        <v>2125</v>
      </c>
      <c r="GXZ938">
        <v>75633</v>
      </c>
      <c r="GYA938">
        <v>221374</v>
      </c>
      <c r="HHR938" t="s">
        <v>936</v>
      </c>
      <c r="HHS938">
        <v>-15896</v>
      </c>
      <c r="HHT938">
        <v>22087</v>
      </c>
      <c r="HHU938">
        <v>2125</v>
      </c>
      <c r="HHV938">
        <v>75633</v>
      </c>
      <c r="HHW938">
        <v>221374</v>
      </c>
      <c r="HRN938" t="s">
        <v>936</v>
      </c>
      <c r="HRO938">
        <v>-15896</v>
      </c>
      <c r="HRP938">
        <v>22087</v>
      </c>
      <c r="HRQ938">
        <v>2125</v>
      </c>
      <c r="HRR938">
        <v>75633</v>
      </c>
      <c r="HRS938">
        <v>221374</v>
      </c>
      <c r="IBJ938" t="s">
        <v>936</v>
      </c>
      <c r="IBK938">
        <v>-15896</v>
      </c>
      <c r="IBL938">
        <v>22087</v>
      </c>
      <c r="IBM938">
        <v>2125</v>
      </c>
      <c r="IBN938">
        <v>75633</v>
      </c>
      <c r="IBO938">
        <v>221374</v>
      </c>
      <c r="ILF938" t="s">
        <v>936</v>
      </c>
      <c r="ILG938">
        <v>-15896</v>
      </c>
      <c r="ILH938">
        <v>22087</v>
      </c>
      <c r="ILI938">
        <v>2125</v>
      </c>
      <c r="ILJ938">
        <v>75633</v>
      </c>
      <c r="ILK938">
        <v>221374</v>
      </c>
      <c r="IVB938" t="s">
        <v>936</v>
      </c>
      <c r="IVC938">
        <v>-15896</v>
      </c>
      <c r="IVD938">
        <v>22087</v>
      </c>
      <c r="IVE938">
        <v>2125</v>
      </c>
      <c r="IVF938">
        <v>75633</v>
      </c>
      <c r="IVG938">
        <v>221374</v>
      </c>
      <c r="JEX938" t="s">
        <v>936</v>
      </c>
      <c r="JEY938">
        <v>-15896</v>
      </c>
      <c r="JEZ938">
        <v>22087</v>
      </c>
      <c r="JFA938">
        <v>2125</v>
      </c>
      <c r="JFB938">
        <v>75633</v>
      </c>
      <c r="JFC938">
        <v>221374</v>
      </c>
      <c r="JOT938" t="s">
        <v>936</v>
      </c>
      <c r="JOU938">
        <v>-15896</v>
      </c>
      <c r="JOV938">
        <v>22087</v>
      </c>
      <c r="JOW938">
        <v>2125</v>
      </c>
      <c r="JOX938">
        <v>75633</v>
      </c>
      <c r="JOY938">
        <v>221374</v>
      </c>
      <c r="JYP938" t="s">
        <v>936</v>
      </c>
      <c r="JYQ938">
        <v>-15896</v>
      </c>
      <c r="JYR938">
        <v>22087</v>
      </c>
      <c r="JYS938">
        <v>2125</v>
      </c>
      <c r="JYT938">
        <v>75633</v>
      </c>
      <c r="JYU938">
        <v>221374</v>
      </c>
      <c r="KIL938" t="s">
        <v>936</v>
      </c>
      <c r="KIM938">
        <v>-15896</v>
      </c>
      <c r="KIN938">
        <v>22087</v>
      </c>
      <c r="KIO938">
        <v>2125</v>
      </c>
      <c r="KIP938">
        <v>75633</v>
      </c>
      <c r="KIQ938">
        <v>221374</v>
      </c>
      <c r="KSH938" t="s">
        <v>936</v>
      </c>
      <c r="KSI938">
        <v>-15896</v>
      </c>
      <c r="KSJ938">
        <v>22087</v>
      </c>
      <c r="KSK938">
        <v>2125</v>
      </c>
      <c r="KSL938">
        <v>75633</v>
      </c>
      <c r="KSM938">
        <v>221374</v>
      </c>
      <c r="LCD938" t="s">
        <v>936</v>
      </c>
      <c r="LCE938">
        <v>-15896</v>
      </c>
      <c r="LCF938">
        <v>22087</v>
      </c>
      <c r="LCG938">
        <v>2125</v>
      </c>
      <c r="LCH938">
        <v>75633</v>
      </c>
      <c r="LCI938">
        <v>221374</v>
      </c>
      <c r="LLZ938" t="s">
        <v>936</v>
      </c>
      <c r="LMA938">
        <v>-15896</v>
      </c>
      <c r="LMB938">
        <v>22087</v>
      </c>
      <c r="LMC938">
        <v>2125</v>
      </c>
      <c r="LMD938">
        <v>75633</v>
      </c>
      <c r="LME938">
        <v>221374</v>
      </c>
      <c r="LVV938" t="s">
        <v>936</v>
      </c>
      <c r="LVW938">
        <v>-15896</v>
      </c>
      <c r="LVX938">
        <v>22087</v>
      </c>
      <c r="LVY938">
        <v>2125</v>
      </c>
      <c r="LVZ938">
        <v>75633</v>
      </c>
      <c r="LWA938">
        <v>221374</v>
      </c>
      <c r="MFR938" t="s">
        <v>936</v>
      </c>
      <c r="MFS938">
        <v>-15896</v>
      </c>
      <c r="MFT938">
        <v>22087</v>
      </c>
      <c r="MFU938">
        <v>2125</v>
      </c>
      <c r="MFV938">
        <v>75633</v>
      </c>
      <c r="MFW938">
        <v>221374</v>
      </c>
      <c r="MPN938" t="s">
        <v>936</v>
      </c>
      <c r="MPO938">
        <v>-15896</v>
      </c>
      <c r="MPP938">
        <v>22087</v>
      </c>
      <c r="MPQ938">
        <v>2125</v>
      </c>
      <c r="MPR938">
        <v>75633</v>
      </c>
      <c r="MPS938">
        <v>221374</v>
      </c>
      <c r="MZJ938" t="s">
        <v>936</v>
      </c>
      <c r="MZK938">
        <v>-15896</v>
      </c>
      <c r="MZL938">
        <v>22087</v>
      </c>
      <c r="MZM938">
        <v>2125</v>
      </c>
      <c r="MZN938">
        <v>75633</v>
      </c>
      <c r="MZO938">
        <v>221374</v>
      </c>
      <c r="NJF938" t="s">
        <v>936</v>
      </c>
      <c r="NJG938">
        <v>-15896</v>
      </c>
      <c r="NJH938">
        <v>22087</v>
      </c>
      <c r="NJI938">
        <v>2125</v>
      </c>
      <c r="NJJ938">
        <v>75633</v>
      </c>
      <c r="NJK938">
        <v>221374</v>
      </c>
      <c r="NTB938" t="s">
        <v>936</v>
      </c>
      <c r="NTC938">
        <v>-15896</v>
      </c>
      <c r="NTD938">
        <v>22087</v>
      </c>
      <c r="NTE938">
        <v>2125</v>
      </c>
      <c r="NTF938">
        <v>75633</v>
      </c>
      <c r="NTG938">
        <v>221374</v>
      </c>
      <c r="OCX938" t="s">
        <v>936</v>
      </c>
      <c r="OCY938">
        <v>-15896</v>
      </c>
      <c r="OCZ938">
        <v>22087</v>
      </c>
      <c r="ODA938">
        <v>2125</v>
      </c>
      <c r="ODB938">
        <v>75633</v>
      </c>
      <c r="ODC938">
        <v>221374</v>
      </c>
      <c r="OMT938" t="s">
        <v>936</v>
      </c>
      <c r="OMU938">
        <v>-15896</v>
      </c>
      <c r="OMV938">
        <v>22087</v>
      </c>
      <c r="OMW938">
        <v>2125</v>
      </c>
      <c r="OMX938">
        <v>75633</v>
      </c>
      <c r="OMY938">
        <v>221374</v>
      </c>
      <c r="OWP938" t="s">
        <v>936</v>
      </c>
      <c r="OWQ938">
        <v>-15896</v>
      </c>
      <c r="OWR938">
        <v>22087</v>
      </c>
      <c r="OWS938">
        <v>2125</v>
      </c>
      <c r="OWT938">
        <v>75633</v>
      </c>
      <c r="OWU938">
        <v>221374</v>
      </c>
      <c r="PGL938" t="s">
        <v>936</v>
      </c>
      <c r="PGM938">
        <v>-15896</v>
      </c>
      <c r="PGN938">
        <v>22087</v>
      </c>
      <c r="PGO938">
        <v>2125</v>
      </c>
      <c r="PGP938">
        <v>75633</v>
      </c>
      <c r="PGQ938">
        <v>221374</v>
      </c>
      <c r="PQH938" t="s">
        <v>936</v>
      </c>
      <c r="PQI938">
        <v>-15896</v>
      </c>
      <c r="PQJ938">
        <v>22087</v>
      </c>
      <c r="PQK938">
        <v>2125</v>
      </c>
      <c r="PQL938">
        <v>75633</v>
      </c>
      <c r="PQM938">
        <v>221374</v>
      </c>
      <c r="QAD938" t="s">
        <v>936</v>
      </c>
      <c r="QAE938">
        <v>-15896</v>
      </c>
      <c r="QAF938">
        <v>22087</v>
      </c>
      <c r="QAG938">
        <v>2125</v>
      </c>
      <c r="QAH938">
        <v>75633</v>
      </c>
      <c r="QAI938">
        <v>221374</v>
      </c>
      <c r="QJZ938" t="s">
        <v>936</v>
      </c>
      <c r="QKA938">
        <v>-15896</v>
      </c>
      <c r="QKB938">
        <v>22087</v>
      </c>
      <c r="QKC938">
        <v>2125</v>
      </c>
      <c r="QKD938">
        <v>75633</v>
      </c>
      <c r="QKE938">
        <v>221374</v>
      </c>
      <c r="QTV938" t="s">
        <v>936</v>
      </c>
      <c r="QTW938">
        <v>-15896</v>
      </c>
      <c r="QTX938">
        <v>22087</v>
      </c>
      <c r="QTY938">
        <v>2125</v>
      </c>
      <c r="QTZ938">
        <v>75633</v>
      </c>
      <c r="QUA938">
        <v>221374</v>
      </c>
      <c r="RDR938" t="s">
        <v>936</v>
      </c>
      <c r="RDS938">
        <v>-15896</v>
      </c>
      <c r="RDT938">
        <v>22087</v>
      </c>
      <c r="RDU938">
        <v>2125</v>
      </c>
      <c r="RDV938">
        <v>75633</v>
      </c>
      <c r="RDW938">
        <v>221374</v>
      </c>
      <c r="RNN938" t="s">
        <v>936</v>
      </c>
      <c r="RNO938">
        <v>-15896</v>
      </c>
      <c r="RNP938">
        <v>22087</v>
      </c>
      <c r="RNQ938">
        <v>2125</v>
      </c>
      <c r="RNR938">
        <v>75633</v>
      </c>
      <c r="RNS938">
        <v>221374</v>
      </c>
      <c r="RXJ938" t="s">
        <v>936</v>
      </c>
      <c r="RXK938">
        <v>-15896</v>
      </c>
      <c r="RXL938">
        <v>22087</v>
      </c>
      <c r="RXM938">
        <v>2125</v>
      </c>
      <c r="RXN938">
        <v>75633</v>
      </c>
      <c r="RXO938">
        <v>221374</v>
      </c>
      <c r="SHF938" t="s">
        <v>936</v>
      </c>
      <c r="SHG938">
        <v>-15896</v>
      </c>
      <c r="SHH938">
        <v>22087</v>
      </c>
      <c r="SHI938">
        <v>2125</v>
      </c>
      <c r="SHJ938">
        <v>75633</v>
      </c>
      <c r="SHK938">
        <v>221374</v>
      </c>
      <c r="SRB938" t="s">
        <v>936</v>
      </c>
      <c r="SRC938">
        <v>-15896</v>
      </c>
      <c r="SRD938">
        <v>22087</v>
      </c>
      <c r="SRE938">
        <v>2125</v>
      </c>
      <c r="SRF938">
        <v>75633</v>
      </c>
      <c r="SRG938">
        <v>221374</v>
      </c>
      <c r="TAX938" t="s">
        <v>936</v>
      </c>
      <c r="TAY938">
        <v>-15896</v>
      </c>
      <c r="TAZ938">
        <v>22087</v>
      </c>
      <c r="TBA938">
        <v>2125</v>
      </c>
      <c r="TBB938">
        <v>75633</v>
      </c>
      <c r="TBC938">
        <v>221374</v>
      </c>
      <c r="TKT938" t="s">
        <v>936</v>
      </c>
      <c r="TKU938">
        <v>-15896</v>
      </c>
      <c r="TKV938">
        <v>22087</v>
      </c>
      <c r="TKW938">
        <v>2125</v>
      </c>
      <c r="TKX938">
        <v>75633</v>
      </c>
      <c r="TKY938">
        <v>221374</v>
      </c>
      <c r="TUP938" t="s">
        <v>936</v>
      </c>
      <c r="TUQ938">
        <v>-15896</v>
      </c>
      <c r="TUR938">
        <v>22087</v>
      </c>
      <c r="TUS938">
        <v>2125</v>
      </c>
      <c r="TUT938">
        <v>75633</v>
      </c>
      <c r="TUU938">
        <v>221374</v>
      </c>
      <c r="UEL938" t="s">
        <v>936</v>
      </c>
      <c r="UEM938">
        <v>-15896</v>
      </c>
      <c r="UEN938">
        <v>22087</v>
      </c>
      <c r="UEO938">
        <v>2125</v>
      </c>
      <c r="UEP938">
        <v>75633</v>
      </c>
      <c r="UEQ938">
        <v>221374</v>
      </c>
      <c r="UOH938" t="s">
        <v>936</v>
      </c>
      <c r="UOI938">
        <v>-15896</v>
      </c>
      <c r="UOJ938">
        <v>22087</v>
      </c>
      <c r="UOK938">
        <v>2125</v>
      </c>
      <c r="UOL938">
        <v>75633</v>
      </c>
      <c r="UOM938">
        <v>221374</v>
      </c>
      <c r="UYD938" t="s">
        <v>936</v>
      </c>
      <c r="UYE938">
        <v>-15896</v>
      </c>
      <c r="UYF938">
        <v>22087</v>
      </c>
      <c r="UYG938">
        <v>2125</v>
      </c>
      <c r="UYH938">
        <v>75633</v>
      </c>
      <c r="UYI938">
        <v>221374</v>
      </c>
      <c r="VHZ938" t="s">
        <v>936</v>
      </c>
      <c r="VIA938">
        <v>-15896</v>
      </c>
      <c r="VIB938">
        <v>22087</v>
      </c>
      <c r="VIC938">
        <v>2125</v>
      </c>
      <c r="VID938">
        <v>75633</v>
      </c>
      <c r="VIE938">
        <v>221374</v>
      </c>
      <c r="VRV938" t="s">
        <v>936</v>
      </c>
      <c r="VRW938">
        <v>-15896</v>
      </c>
      <c r="VRX938">
        <v>22087</v>
      </c>
      <c r="VRY938">
        <v>2125</v>
      </c>
      <c r="VRZ938">
        <v>75633</v>
      </c>
      <c r="VSA938">
        <v>221374</v>
      </c>
      <c r="WBR938" t="s">
        <v>936</v>
      </c>
      <c r="WBS938">
        <v>-15896</v>
      </c>
      <c r="WBT938">
        <v>22087</v>
      </c>
      <c r="WBU938">
        <v>2125</v>
      </c>
      <c r="WBV938">
        <v>75633</v>
      </c>
      <c r="WBW938">
        <v>221374</v>
      </c>
      <c r="WLN938" t="s">
        <v>936</v>
      </c>
      <c r="WLO938">
        <v>-15896</v>
      </c>
      <c r="WLP938">
        <v>22087</v>
      </c>
      <c r="WLQ938">
        <v>2125</v>
      </c>
      <c r="WLR938">
        <v>75633</v>
      </c>
      <c r="WLS938">
        <v>221374</v>
      </c>
      <c r="WVJ938" t="s">
        <v>936</v>
      </c>
      <c r="WVK938">
        <v>-15896</v>
      </c>
      <c r="WVL938">
        <v>22087</v>
      </c>
      <c r="WVM938">
        <v>2125</v>
      </c>
      <c r="WVN938">
        <v>75633</v>
      </c>
      <c r="WVO938">
        <v>221374</v>
      </c>
    </row>
    <row r="939" spans="1:775 1026:1799 2050:2823 3074:3847 4098:4871 5122:5895 6146:6919 7170:7943 8194:8967 9218:9991 10242:11015 11266:12039 12290:13063 13314:14087 14338:15111 15362:16135">
      <c r="A939" s="96" t="s">
        <v>1340</v>
      </c>
      <c r="B939" t="s">
        <v>745</v>
      </c>
      <c r="C939" s="100">
        <v>1329197</v>
      </c>
      <c r="D939" s="100">
        <v>1455787</v>
      </c>
      <c r="E939" s="100">
        <v>4691287</v>
      </c>
      <c r="F939" s="100">
        <v>3277866</v>
      </c>
      <c r="G939" s="100">
        <v>3557221</v>
      </c>
      <c r="H939" s="100"/>
      <c r="IX939" t="s">
        <v>1340</v>
      </c>
      <c r="IY939">
        <v>1329197</v>
      </c>
      <c r="IZ939">
        <v>1455787</v>
      </c>
      <c r="JA939">
        <v>4691287</v>
      </c>
      <c r="JB939">
        <v>3277866</v>
      </c>
      <c r="JC939">
        <v>3557221</v>
      </c>
      <c r="ST939" t="s">
        <v>1340</v>
      </c>
      <c r="SU939">
        <v>1329197</v>
      </c>
      <c r="SV939">
        <v>1455787</v>
      </c>
      <c r="SW939">
        <v>4691287</v>
      </c>
      <c r="SX939">
        <v>3277866</v>
      </c>
      <c r="SY939">
        <v>3557221</v>
      </c>
      <c r="ACP939" t="s">
        <v>1340</v>
      </c>
      <c r="ACQ939">
        <v>1329197</v>
      </c>
      <c r="ACR939">
        <v>1455787</v>
      </c>
      <c r="ACS939">
        <v>4691287</v>
      </c>
      <c r="ACT939">
        <v>3277866</v>
      </c>
      <c r="ACU939">
        <v>3557221</v>
      </c>
      <c r="AML939" t="s">
        <v>1340</v>
      </c>
      <c r="AMM939">
        <v>1329197</v>
      </c>
      <c r="AMN939">
        <v>1455787</v>
      </c>
      <c r="AMO939">
        <v>4691287</v>
      </c>
      <c r="AMP939">
        <v>3277866</v>
      </c>
      <c r="AMQ939">
        <v>3557221</v>
      </c>
      <c r="AWH939" t="s">
        <v>1340</v>
      </c>
      <c r="AWI939">
        <v>1329197</v>
      </c>
      <c r="AWJ939">
        <v>1455787</v>
      </c>
      <c r="AWK939">
        <v>4691287</v>
      </c>
      <c r="AWL939">
        <v>3277866</v>
      </c>
      <c r="AWM939">
        <v>3557221</v>
      </c>
      <c r="BGD939" t="s">
        <v>1340</v>
      </c>
      <c r="BGE939">
        <v>1329197</v>
      </c>
      <c r="BGF939">
        <v>1455787</v>
      </c>
      <c r="BGG939">
        <v>4691287</v>
      </c>
      <c r="BGH939">
        <v>3277866</v>
      </c>
      <c r="BGI939">
        <v>3557221</v>
      </c>
      <c r="BPZ939" t="s">
        <v>1340</v>
      </c>
      <c r="BQA939">
        <v>1329197</v>
      </c>
      <c r="BQB939">
        <v>1455787</v>
      </c>
      <c r="BQC939">
        <v>4691287</v>
      </c>
      <c r="BQD939">
        <v>3277866</v>
      </c>
      <c r="BQE939">
        <v>3557221</v>
      </c>
      <c r="BZV939" t="s">
        <v>1340</v>
      </c>
      <c r="BZW939">
        <v>1329197</v>
      </c>
      <c r="BZX939">
        <v>1455787</v>
      </c>
      <c r="BZY939">
        <v>4691287</v>
      </c>
      <c r="BZZ939">
        <v>3277866</v>
      </c>
      <c r="CAA939">
        <v>3557221</v>
      </c>
      <c r="CJR939" t="s">
        <v>1340</v>
      </c>
      <c r="CJS939">
        <v>1329197</v>
      </c>
      <c r="CJT939">
        <v>1455787</v>
      </c>
      <c r="CJU939">
        <v>4691287</v>
      </c>
      <c r="CJV939">
        <v>3277866</v>
      </c>
      <c r="CJW939">
        <v>3557221</v>
      </c>
      <c r="CTN939" t="s">
        <v>1340</v>
      </c>
      <c r="CTO939">
        <v>1329197</v>
      </c>
      <c r="CTP939">
        <v>1455787</v>
      </c>
      <c r="CTQ939">
        <v>4691287</v>
      </c>
      <c r="CTR939">
        <v>3277866</v>
      </c>
      <c r="CTS939">
        <v>3557221</v>
      </c>
      <c r="DDJ939" t="s">
        <v>1340</v>
      </c>
      <c r="DDK939">
        <v>1329197</v>
      </c>
      <c r="DDL939">
        <v>1455787</v>
      </c>
      <c r="DDM939">
        <v>4691287</v>
      </c>
      <c r="DDN939">
        <v>3277866</v>
      </c>
      <c r="DDO939">
        <v>3557221</v>
      </c>
      <c r="DNF939" t="s">
        <v>1340</v>
      </c>
      <c r="DNG939">
        <v>1329197</v>
      </c>
      <c r="DNH939">
        <v>1455787</v>
      </c>
      <c r="DNI939">
        <v>4691287</v>
      </c>
      <c r="DNJ939">
        <v>3277866</v>
      </c>
      <c r="DNK939">
        <v>3557221</v>
      </c>
      <c r="DXB939" t="s">
        <v>1340</v>
      </c>
      <c r="DXC939">
        <v>1329197</v>
      </c>
      <c r="DXD939">
        <v>1455787</v>
      </c>
      <c r="DXE939">
        <v>4691287</v>
      </c>
      <c r="DXF939">
        <v>3277866</v>
      </c>
      <c r="DXG939">
        <v>3557221</v>
      </c>
      <c r="EGX939" t="s">
        <v>1340</v>
      </c>
      <c r="EGY939">
        <v>1329197</v>
      </c>
      <c r="EGZ939">
        <v>1455787</v>
      </c>
      <c r="EHA939">
        <v>4691287</v>
      </c>
      <c r="EHB939">
        <v>3277866</v>
      </c>
      <c r="EHC939">
        <v>3557221</v>
      </c>
      <c r="EQT939" t="s">
        <v>1340</v>
      </c>
      <c r="EQU939">
        <v>1329197</v>
      </c>
      <c r="EQV939">
        <v>1455787</v>
      </c>
      <c r="EQW939">
        <v>4691287</v>
      </c>
      <c r="EQX939">
        <v>3277866</v>
      </c>
      <c r="EQY939">
        <v>3557221</v>
      </c>
      <c r="FAP939" t="s">
        <v>1340</v>
      </c>
      <c r="FAQ939">
        <v>1329197</v>
      </c>
      <c r="FAR939">
        <v>1455787</v>
      </c>
      <c r="FAS939">
        <v>4691287</v>
      </c>
      <c r="FAT939">
        <v>3277866</v>
      </c>
      <c r="FAU939">
        <v>3557221</v>
      </c>
      <c r="FKL939" t="s">
        <v>1340</v>
      </c>
      <c r="FKM939">
        <v>1329197</v>
      </c>
      <c r="FKN939">
        <v>1455787</v>
      </c>
      <c r="FKO939">
        <v>4691287</v>
      </c>
      <c r="FKP939">
        <v>3277866</v>
      </c>
      <c r="FKQ939">
        <v>3557221</v>
      </c>
      <c r="FUH939" t="s">
        <v>1340</v>
      </c>
      <c r="FUI939">
        <v>1329197</v>
      </c>
      <c r="FUJ939">
        <v>1455787</v>
      </c>
      <c r="FUK939">
        <v>4691287</v>
      </c>
      <c r="FUL939">
        <v>3277866</v>
      </c>
      <c r="FUM939">
        <v>3557221</v>
      </c>
      <c r="GED939" t="s">
        <v>1340</v>
      </c>
      <c r="GEE939">
        <v>1329197</v>
      </c>
      <c r="GEF939">
        <v>1455787</v>
      </c>
      <c r="GEG939">
        <v>4691287</v>
      </c>
      <c r="GEH939">
        <v>3277866</v>
      </c>
      <c r="GEI939">
        <v>3557221</v>
      </c>
      <c r="GNZ939" t="s">
        <v>1340</v>
      </c>
      <c r="GOA939">
        <v>1329197</v>
      </c>
      <c r="GOB939">
        <v>1455787</v>
      </c>
      <c r="GOC939">
        <v>4691287</v>
      </c>
      <c r="GOD939">
        <v>3277866</v>
      </c>
      <c r="GOE939">
        <v>3557221</v>
      </c>
      <c r="GXV939" t="s">
        <v>1340</v>
      </c>
      <c r="GXW939">
        <v>1329197</v>
      </c>
      <c r="GXX939">
        <v>1455787</v>
      </c>
      <c r="GXY939">
        <v>4691287</v>
      </c>
      <c r="GXZ939">
        <v>3277866</v>
      </c>
      <c r="GYA939">
        <v>3557221</v>
      </c>
      <c r="HHR939" t="s">
        <v>1340</v>
      </c>
      <c r="HHS939">
        <v>1329197</v>
      </c>
      <c r="HHT939">
        <v>1455787</v>
      </c>
      <c r="HHU939">
        <v>4691287</v>
      </c>
      <c r="HHV939">
        <v>3277866</v>
      </c>
      <c r="HHW939">
        <v>3557221</v>
      </c>
      <c r="HRN939" t="s">
        <v>1340</v>
      </c>
      <c r="HRO939">
        <v>1329197</v>
      </c>
      <c r="HRP939">
        <v>1455787</v>
      </c>
      <c r="HRQ939">
        <v>4691287</v>
      </c>
      <c r="HRR939">
        <v>3277866</v>
      </c>
      <c r="HRS939">
        <v>3557221</v>
      </c>
      <c r="IBJ939" t="s">
        <v>1340</v>
      </c>
      <c r="IBK939">
        <v>1329197</v>
      </c>
      <c r="IBL939">
        <v>1455787</v>
      </c>
      <c r="IBM939">
        <v>4691287</v>
      </c>
      <c r="IBN939">
        <v>3277866</v>
      </c>
      <c r="IBO939">
        <v>3557221</v>
      </c>
      <c r="ILF939" t="s">
        <v>1340</v>
      </c>
      <c r="ILG939">
        <v>1329197</v>
      </c>
      <c r="ILH939">
        <v>1455787</v>
      </c>
      <c r="ILI939">
        <v>4691287</v>
      </c>
      <c r="ILJ939">
        <v>3277866</v>
      </c>
      <c r="ILK939">
        <v>3557221</v>
      </c>
      <c r="IVB939" t="s">
        <v>1340</v>
      </c>
      <c r="IVC939">
        <v>1329197</v>
      </c>
      <c r="IVD939">
        <v>1455787</v>
      </c>
      <c r="IVE939">
        <v>4691287</v>
      </c>
      <c r="IVF939">
        <v>3277866</v>
      </c>
      <c r="IVG939">
        <v>3557221</v>
      </c>
      <c r="JEX939" t="s">
        <v>1340</v>
      </c>
      <c r="JEY939">
        <v>1329197</v>
      </c>
      <c r="JEZ939">
        <v>1455787</v>
      </c>
      <c r="JFA939">
        <v>4691287</v>
      </c>
      <c r="JFB939">
        <v>3277866</v>
      </c>
      <c r="JFC939">
        <v>3557221</v>
      </c>
      <c r="JOT939" t="s">
        <v>1340</v>
      </c>
      <c r="JOU939">
        <v>1329197</v>
      </c>
      <c r="JOV939">
        <v>1455787</v>
      </c>
      <c r="JOW939">
        <v>4691287</v>
      </c>
      <c r="JOX939">
        <v>3277866</v>
      </c>
      <c r="JOY939">
        <v>3557221</v>
      </c>
      <c r="JYP939" t="s">
        <v>1340</v>
      </c>
      <c r="JYQ939">
        <v>1329197</v>
      </c>
      <c r="JYR939">
        <v>1455787</v>
      </c>
      <c r="JYS939">
        <v>4691287</v>
      </c>
      <c r="JYT939">
        <v>3277866</v>
      </c>
      <c r="JYU939">
        <v>3557221</v>
      </c>
      <c r="KIL939" t="s">
        <v>1340</v>
      </c>
      <c r="KIM939">
        <v>1329197</v>
      </c>
      <c r="KIN939">
        <v>1455787</v>
      </c>
      <c r="KIO939">
        <v>4691287</v>
      </c>
      <c r="KIP939">
        <v>3277866</v>
      </c>
      <c r="KIQ939">
        <v>3557221</v>
      </c>
      <c r="KSH939" t="s">
        <v>1340</v>
      </c>
      <c r="KSI939">
        <v>1329197</v>
      </c>
      <c r="KSJ939">
        <v>1455787</v>
      </c>
      <c r="KSK939">
        <v>4691287</v>
      </c>
      <c r="KSL939">
        <v>3277866</v>
      </c>
      <c r="KSM939">
        <v>3557221</v>
      </c>
      <c r="LCD939" t="s">
        <v>1340</v>
      </c>
      <c r="LCE939">
        <v>1329197</v>
      </c>
      <c r="LCF939">
        <v>1455787</v>
      </c>
      <c r="LCG939">
        <v>4691287</v>
      </c>
      <c r="LCH939">
        <v>3277866</v>
      </c>
      <c r="LCI939">
        <v>3557221</v>
      </c>
      <c r="LLZ939" t="s">
        <v>1340</v>
      </c>
      <c r="LMA939">
        <v>1329197</v>
      </c>
      <c r="LMB939">
        <v>1455787</v>
      </c>
      <c r="LMC939">
        <v>4691287</v>
      </c>
      <c r="LMD939">
        <v>3277866</v>
      </c>
      <c r="LME939">
        <v>3557221</v>
      </c>
      <c r="LVV939" t="s">
        <v>1340</v>
      </c>
      <c r="LVW939">
        <v>1329197</v>
      </c>
      <c r="LVX939">
        <v>1455787</v>
      </c>
      <c r="LVY939">
        <v>4691287</v>
      </c>
      <c r="LVZ939">
        <v>3277866</v>
      </c>
      <c r="LWA939">
        <v>3557221</v>
      </c>
      <c r="MFR939" t="s">
        <v>1340</v>
      </c>
      <c r="MFS939">
        <v>1329197</v>
      </c>
      <c r="MFT939">
        <v>1455787</v>
      </c>
      <c r="MFU939">
        <v>4691287</v>
      </c>
      <c r="MFV939">
        <v>3277866</v>
      </c>
      <c r="MFW939">
        <v>3557221</v>
      </c>
      <c r="MPN939" t="s">
        <v>1340</v>
      </c>
      <c r="MPO939">
        <v>1329197</v>
      </c>
      <c r="MPP939">
        <v>1455787</v>
      </c>
      <c r="MPQ939">
        <v>4691287</v>
      </c>
      <c r="MPR939">
        <v>3277866</v>
      </c>
      <c r="MPS939">
        <v>3557221</v>
      </c>
      <c r="MZJ939" t="s">
        <v>1340</v>
      </c>
      <c r="MZK939">
        <v>1329197</v>
      </c>
      <c r="MZL939">
        <v>1455787</v>
      </c>
      <c r="MZM939">
        <v>4691287</v>
      </c>
      <c r="MZN939">
        <v>3277866</v>
      </c>
      <c r="MZO939">
        <v>3557221</v>
      </c>
      <c r="NJF939" t="s">
        <v>1340</v>
      </c>
      <c r="NJG939">
        <v>1329197</v>
      </c>
      <c r="NJH939">
        <v>1455787</v>
      </c>
      <c r="NJI939">
        <v>4691287</v>
      </c>
      <c r="NJJ939">
        <v>3277866</v>
      </c>
      <c r="NJK939">
        <v>3557221</v>
      </c>
      <c r="NTB939" t="s">
        <v>1340</v>
      </c>
      <c r="NTC939">
        <v>1329197</v>
      </c>
      <c r="NTD939">
        <v>1455787</v>
      </c>
      <c r="NTE939">
        <v>4691287</v>
      </c>
      <c r="NTF939">
        <v>3277866</v>
      </c>
      <c r="NTG939">
        <v>3557221</v>
      </c>
      <c r="OCX939" t="s">
        <v>1340</v>
      </c>
      <c r="OCY939">
        <v>1329197</v>
      </c>
      <c r="OCZ939">
        <v>1455787</v>
      </c>
      <c r="ODA939">
        <v>4691287</v>
      </c>
      <c r="ODB939">
        <v>3277866</v>
      </c>
      <c r="ODC939">
        <v>3557221</v>
      </c>
      <c r="OMT939" t="s">
        <v>1340</v>
      </c>
      <c r="OMU939">
        <v>1329197</v>
      </c>
      <c r="OMV939">
        <v>1455787</v>
      </c>
      <c r="OMW939">
        <v>4691287</v>
      </c>
      <c r="OMX939">
        <v>3277866</v>
      </c>
      <c r="OMY939">
        <v>3557221</v>
      </c>
      <c r="OWP939" t="s">
        <v>1340</v>
      </c>
      <c r="OWQ939">
        <v>1329197</v>
      </c>
      <c r="OWR939">
        <v>1455787</v>
      </c>
      <c r="OWS939">
        <v>4691287</v>
      </c>
      <c r="OWT939">
        <v>3277866</v>
      </c>
      <c r="OWU939">
        <v>3557221</v>
      </c>
      <c r="PGL939" t="s">
        <v>1340</v>
      </c>
      <c r="PGM939">
        <v>1329197</v>
      </c>
      <c r="PGN939">
        <v>1455787</v>
      </c>
      <c r="PGO939">
        <v>4691287</v>
      </c>
      <c r="PGP939">
        <v>3277866</v>
      </c>
      <c r="PGQ939">
        <v>3557221</v>
      </c>
      <c r="PQH939" t="s">
        <v>1340</v>
      </c>
      <c r="PQI939">
        <v>1329197</v>
      </c>
      <c r="PQJ939">
        <v>1455787</v>
      </c>
      <c r="PQK939">
        <v>4691287</v>
      </c>
      <c r="PQL939">
        <v>3277866</v>
      </c>
      <c r="PQM939">
        <v>3557221</v>
      </c>
      <c r="QAD939" t="s">
        <v>1340</v>
      </c>
      <c r="QAE939">
        <v>1329197</v>
      </c>
      <c r="QAF939">
        <v>1455787</v>
      </c>
      <c r="QAG939">
        <v>4691287</v>
      </c>
      <c r="QAH939">
        <v>3277866</v>
      </c>
      <c r="QAI939">
        <v>3557221</v>
      </c>
      <c r="QJZ939" t="s">
        <v>1340</v>
      </c>
      <c r="QKA939">
        <v>1329197</v>
      </c>
      <c r="QKB939">
        <v>1455787</v>
      </c>
      <c r="QKC939">
        <v>4691287</v>
      </c>
      <c r="QKD939">
        <v>3277866</v>
      </c>
      <c r="QKE939">
        <v>3557221</v>
      </c>
      <c r="QTV939" t="s">
        <v>1340</v>
      </c>
      <c r="QTW939">
        <v>1329197</v>
      </c>
      <c r="QTX939">
        <v>1455787</v>
      </c>
      <c r="QTY939">
        <v>4691287</v>
      </c>
      <c r="QTZ939">
        <v>3277866</v>
      </c>
      <c r="QUA939">
        <v>3557221</v>
      </c>
      <c r="RDR939" t="s">
        <v>1340</v>
      </c>
      <c r="RDS939">
        <v>1329197</v>
      </c>
      <c r="RDT939">
        <v>1455787</v>
      </c>
      <c r="RDU939">
        <v>4691287</v>
      </c>
      <c r="RDV939">
        <v>3277866</v>
      </c>
      <c r="RDW939">
        <v>3557221</v>
      </c>
      <c r="RNN939" t="s">
        <v>1340</v>
      </c>
      <c r="RNO939">
        <v>1329197</v>
      </c>
      <c r="RNP939">
        <v>1455787</v>
      </c>
      <c r="RNQ939">
        <v>4691287</v>
      </c>
      <c r="RNR939">
        <v>3277866</v>
      </c>
      <c r="RNS939">
        <v>3557221</v>
      </c>
      <c r="RXJ939" t="s">
        <v>1340</v>
      </c>
      <c r="RXK939">
        <v>1329197</v>
      </c>
      <c r="RXL939">
        <v>1455787</v>
      </c>
      <c r="RXM939">
        <v>4691287</v>
      </c>
      <c r="RXN939">
        <v>3277866</v>
      </c>
      <c r="RXO939">
        <v>3557221</v>
      </c>
      <c r="SHF939" t="s">
        <v>1340</v>
      </c>
      <c r="SHG939">
        <v>1329197</v>
      </c>
      <c r="SHH939">
        <v>1455787</v>
      </c>
      <c r="SHI939">
        <v>4691287</v>
      </c>
      <c r="SHJ939">
        <v>3277866</v>
      </c>
      <c r="SHK939">
        <v>3557221</v>
      </c>
      <c r="SRB939" t="s">
        <v>1340</v>
      </c>
      <c r="SRC939">
        <v>1329197</v>
      </c>
      <c r="SRD939">
        <v>1455787</v>
      </c>
      <c r="SRE939">
        <v>4691287</v>
      </c>
      <c r="SRF939">
        <v>3277866</v>
      </c>
      <c r="SRG939">
        <v>3557221</v>
      </c>
      <c r="TAX939" t="s">
        <v>1340</v>
      </c>
      <c r="TAY939">
        <v>1329197</v>
      </c>
      <c r="TAZ939">
        <v>1455787</v>
      </c>
      <c r="TBA939">
        <v>4691287</v>
      </c>
      <c r="TBB939">
        <v>3277866</v>
      </c>
      <c r="TBC939">
        <v>3557221</v>
      </c>
      <c r="TKT939" t="s">
        <v>1340</v>
      </c>
      <c r="TKU939">
        <v>1329197</v>
      </c>
      <c r="TKV939">
        <v>1455787</v>
      </c>
      <c r="TKW939">
        <v>4691287</v>
      </c>
      <c r="TKX939">
        <v>3277866</v>
      </c>
      <c r="TKY939">
        <v>3557221</v>
      </c>
      <c r="TUP939" t="s">
        <v>1340</v>
      </c>
      <c r="TUQ939">
        <v>1329197</v>
      </c>
      <c r="TUR939">
        <v>1455787</v>
      </c>
      <c r="TUS939">
        <v>4691287</v>
      </c>
      <c r="TUT939">
        <v>3277866</v>
      </c>
      <c r="TUU939">
        <v>3557221</v>
      </c>
      <c r="UEL939" t="s">
        <v>1340</v>
      </c>
      <c r="UEM939">
        <v>1329197</v>
      </c>
      <c r="UEN939">
        <v>1455787</v>
      </c>
      <c r="UEO939">
        <v>4691287</v>
      </c>
      <c r="UEP939">
        <v>3277866</v>
      </c>
      <c r="UEQ939">
        <v>3557221</v>
      </c>
      <c r="UOH939" t="s">
        <v>1340</v>
      </c>
      <c r="UOI939">
        <v>1329197</v>
      </c>
      <c r="UOJ939">
        <v>1455787</v>
      </c>
      <c r="UOK939">
        <v>4691287</v>
      </c>
      <c r="UOL939">
        <v>3277866</v>
      </c>
      <c r="UOM939">
        <v>3557221</v>
      </c>
      <c r="UYD939" t="s">
        <v>1340</v>
      </c>
      <c r="UYE939">
        <v>1329197</v>
      </c>
      <c r="UYF939">
        <v>1455787</v>
      </c>
      <c r="UYG939">
        <v>4691287</v>
      </c>
      <c r="UYH939">
        <v>3277866</v>
      </c>
      <c r="UYI939">
        <v>3557221</v>
      </c>
      <c r="VHZ939" t="s">
        <v>1340</v>
      </c>
      <c r="VIA939">
        <v>1329197</v>
      </c>
      <c r="VIB939">
        <v>1455787</v>
      </c>
      <c r="VIC939">
        <v>4691287</v>
      </c>
      <c r="VID939">
        <v>3277866</v>
      </c>
      <c r="VIE939">
        <v>3557221</v>
      </c>
      <c r="VRV939" t="s">
        <v>1340</v>
      </c>
      <c r="VRW939">
        <v>1329197</v>
      </c>
      <c r="VRX939">
        <v>1455787</v>
      </c>
      <c r="VRY939">
        <v>4691287</v>
      </c>
      <c r="VRZ939">
        <v>3277866</v>
      </c>
      <c r="VSA939">
        <v>3557221</v>
      </c>
      <c r="WBR939" t="s">
        <v>1340</v>
      </c>
      <c r="WBS939">
        <v>1329197</v>
      </c>
      <c r="WBT939">
        <v>1455787</v>
      </c>
      <c r="WBU939">
        <v>4691287</v>
      </c>
      <c r="WBV939">
        <v>3277866</v>
      </c>
      <c r="WBW939">
        <v>3557221</v>
      </c>
      <c r="WLN939" t="s">
        <v>1340</v>
      </c>
      <c r="WLO939">
        <v>1329197</v>
      </c>
      <c r="WLP939">
        <v>1455787</v>
      </c>
      <c r="WLQ939">
        <v>4691287</v>
      </c>
      <c r="WLR939">
        <v>3277866</v>
      </c>
      <c r="WLS939">
        <v>3557221</v>
      </c>
      <c r="WVJ939" t="s">
        <v>1340</v>
      </c>
      <c r="WVK939">
        <v>1329197</v>
      </c>
      <c r="WVL939">
        <v>1455787</v>
      </c>
      <c r="WVM939">
        <v>4691287</v>
      </c>
      <c r="WVN939">
        <v>3277866</v>
      </c>
      <c r="WVO939">
        <v>3557221</v>
      </c>
    </row>
    <row r="940" spans="1:775 1026:1799 2050:2823 3074:3847 4098:4871 5122:5895 6146:6919 7170:7943 8194:8967 9218:9991 10242:11015 11266:12039 12290:13063 13314:14087 14338:15111 15362:16135">
      <c r="A940" s="96" t="s">
        <v>933</v>
      </c>
      <c r="B940" t="s">
        <v>745</v>
      </c>
      <c r="C940" s="100">
        <v>930812</v>
      </c>
      <c r="D940" s="100">
        <v>1151813</v>
      </c>
      <c r="E940" s="100">
        <v>1849906</v>
      </c>
      <c r="F940" s="100">
        <v>3540458</v>
      </c>
      <c r="G940" s="100">
        <v>5144027</v>
      </c>
      <c r="H940" s="100"/>
      <c r="IX940" t="s">
        <v>933</v>
      </c>
      <c r="IY940">
        <v>930812</v>
      </c>
      <c r="IZ940">
        <v>1151813</v>
      </c>
      <c r="JA940">
        <v>1849906</v>
      </c>
      <c r="JB940">
        <v>3540458</v>
      </c>
      <c r="JC940">
        <v>5144027</v>
      </c>
      <c r="ST940" t="s">
        <v>933</v>
      </c>
      <c r="SU940">
        <v>930812</v>
      </c>
      <c r="SV940">
        <v>1151813</v>
      </c>
      <c r="SW940">
        <v>1849906</v>
      </c>
      <c r="SX940">
        <v>3540458</v>
      </c>
      <c r="SY940">
        <v>5144027</v>
      </c>
      <c r="ACP940" t="s">
        <v>933</v>
      </c>
      <c r="ACQ940">
        <v>930812</v>
      </c>
      <c r="ACR940">
        <v>1151813</v>
      </c>
      <c r="ACS940">
        <v>1849906</v>
      </c>
      <c r="ACT940">
        <v>3540458</v>
      </c>
      <c r="ACU940">
        <v>5144027</v>
      </c>
      <c r="AML940" t="s">
        <v>933</v>
      </c>
      <c r="AMM940">
        <v>930812</v>
      </c>
      <c r="AMN940">
        <v>1151813</v>
      </c>
      <c r="AMO940">
        <v>1849906</v>
      </c>
      <c r="AMP940">
        <v>3540458</v>
      </c>
      <c r="AMQ940">
        <v>5144027</v>
      </c>
      <c r="AWH940" t="s">
        <v>933</v>
      </c>
      <c r="AWI940">
        <v>930812</v>
      </c>
      <c r="AWJ940">
        <v>1151813</v>
      </c>
      <c r="AWK940">
        <v>1849906</v>
      </c>
      <c r="AWL940">
        <v>3540458</v>
      </c>
      <c r="AWM940">
        <v>5144027</v>
      </c>
      <c r="BGD940" t="s">
        <v>933</v>
      </c>
      <c r="BGE940">
        <v>930812</v>
      </c>
      <c r="BGF940">
        <v>1151813</v>
      </c>
      <c r="BGG940">
        <v>1849906</v>
      </c>
      <c r="BGH940">
        <v>3540458</v>
      </c>
      <c r="BGI940">
        <v>5144027</v>
      </c>
      <c r="BPZ940" t="s">
        <v>933</v>
      </c>
      <c r="BQA940">
        <v>930812</v>
      </c>
      <c r="BQB940">
        <v>1151813</v>
      </c>
      <c r="BQC940">
        <v>1849906</v>
      </c>
      <c r="BQD940">
        <v>3540458</v>
      </c>
      <c r="BQE940">
        <v>5144027</v>
      </c>
      <c r="BZV940" t="s">
        <v>933</v>
      </c>
      <c r="BZW940">
        <v>930812</v>
      </c>
      <c r="BZX940">
        <v>1151813</v>
      </c>
      <c r="BZY940">
        <v>1849906</v>
      </c>
      <c r="BZZ940">
        <v>3540458</v>
      </c>
      <c r="CAA940">
        <v>5144027</v>
      </c>
      <c r="CJR940" t="s">
        <v>933</v>
      </c>
      <c r="CJS940">
        <v>930812</v>
      </c>
      <c r="CJT940">
        <v>1151813</v>
      </c>
      <c r="CJU940">
        <v>1849906</v>
      </c>
      <c r="CJV940">
        <v>3540458</v>
      </c>
      <c r="CJW940">
        <v>5144027</v>
      </c>
      <c r="CTN940" t="s">
        <v>933</v>
      </c>
      <c r="CTO940">
        <v>930812</v>
      </c>
      <c r="CTP940">
        <v>1151813</v>
      </c>
      <c r="CTQ940">
        <v>1849906</v>
      </c>
      <c r="CTR940">
        <v>3540458</v>
      </c>
      <c r="CTS940">
        <v>5144027</v>
      </c>
      <c r="DDJ940" t="s">
        <v>933</v>
      </c>
      <c r="DDK940">
        <v>930812</v>
      </c>
      <c r="DDL940">
        <v>1151813</v>
      </c>
      <c r="DDM940">
        <v>1849906</v>
      </c>
      <c r="DDN940">
        <v>3540458</v>
      </c>
      <c r="DDO940">
        <v>5144027</v>
      </c>
      <c r="DNF940" t="s">
        <v>933</v>
      </c>
      <c r="DNG940">
        <v>930812</v>
      </c>
      <c r="DNH940">
        <v>1151813</v>
      </c>
      <c r="DNI940">
        <v>1849906</v>
      </c>
      <c r="DNJ940">
        <v>3540458</v>
      </c>
      <c r="DNK940">
        <v>5144027</v>
      </c>
      <c r="DXB940" t="s">
        <v>933</v>
      </c>
      <c r="DXC940">
        <v>930812</v>
      </c>
      <c r="DXD940">
        <v>1151813</v>
      </c>
      <c r="DXE940">
        <v>1849906</v>
      </c>
      <c r="DXF940">
        <v>3540458</v>
      </c>
      <c r="DXG940">
        <v>5144027</v>
      </c>
      <c r="EGX940" t="s">
        <v>933</v>
      </c>
      <c r="EGY940">
        <v>930812</v>
      </c>
      <c r="EGZ940">
        <v>1151813</v>
      </c>
      <c r="EHA940">
        <v>1849906</v>
      </c>
      <c r="EHB940">
        <v>3540458</v>
      </c>
      <c r="EHC940">
        <v>5144027</v>
      </c>
      <c r="EQT940" t="s">
        <v>933</v>
      </c>
      <c r="EQU940">
        <v>930812</v>
      </c>
      <c r="EQV940">
        <v>1151813</v>
      </c>
      <c r="EQW940">
        <v>1849906</v>
      </c>
      <c r="EQX940">
        <v>3540458</v>
      </c>
      <c r="EQY940">
        <v>5144027</v>
      </c>
      <c r="FAP940" t="s">
        <v>933</v>
      </c>
      <c r="FAQ940">
        <v>930812</v>
      </c>
      <c r="FAR940">
        <v>1151813</v>
      </c>
      <c r="FAS940">
        <v>1849906</v>
      </c>
      <c r="FAT940">
        <v>3540458</v>
      </c>
      <c r="FAU940">
        <v>5144027</v>
      </c>
      <c r="FKL940" t="s">
        <v>933</v>
      </c>
      <c r="FKM940">
        <v>930812</v>
      </c>
      <c r="FKN940">
        <v>1151813</v>
      </c>
      <c r="FKO940">
        <v>1849906</v>
      </c>
      <c r="FKP940">
        <v>3540458</v>
      </c>
      <c r="FKQ940">
        <v>5144027</v>
      </c>
      <c r="FUH940" t="s">
        <v>933</v>
      </c>
      <c r="FUI940">
        <v>930812</v>
      </c>
      <c r="FUJ940">
        <v>1151813</v>
      </c>
      <c r="FUK940">
        <v>1849906</v>
      </c>
      <c r="FUL940">
        <v>3540458</v>
      </c>
      <c r="FUM940">
        <v>5144027</v>
      </c>
      <c r="GED940" t="s">
        <v>933</v>
      </c>
      <c r="GEE940">
        <v>930812</v>
      </c>
      <c r="GEF940">
        <v>1151813</v>
      </c>
      <c r="GEG940">
        <v>1849906</v>
      </c>
      <c r="GEH940">
        <v>3540458</v>
      </c>
      <c r="GEI940">
        <v>5144027</v>
      </c>
      <c r="GNZ940" t="s">
        <v>933</v>
      </c>
      <c r="GOA940">
        <v>930812</v>
      </c>
      <c r="GOB940">
        <v>1151813</v>
      </c>
      <c r="GOC940">
        <v>1849906</v>
      </c>
      <c r="GOD940">
        <v>3540458</v>
      </c>
      <c r="GOE940">
        <v>5144027</v>
      </c>
      <c r="GXV940" t="s">
        <v>933</v>
      </c>
      <c r="GXW940">
        <v>930812</v>
      </c>
      <c r="GXX940">
        <v>1151813</v>
      </c>
      <c r="GXY940">
        <v>1849906</v>
      </c>
      <c r="GXZ940">
        <v>3540458</v>
      </c>
      <c r="GYA940">
        <v>5144027</v>
      </c>
      <c r="HHR940" t="s">
        <v>933</v>
      </c>
      <c r="HHS940">
        <v>930812</v>
      </c>
      <c r="HHT940">
        <v>1151813</v>
      </c>
      <c r="HHU940">
        <v>1849906</v>
      </c>
      <c r="HHV940">
        <v>3540458</v>
      </c>
      <c r="HHW940">
        <v>5144027</v>
      </c>
      <c r="HRN940" t="s">
        <v>933</v>
      </c>
      <c r="HRO940">
        <v>930812</v>
      </c>
      <c r="HRP940">
        <v>1151813</v>
      </c>
      <c r="HRQ940">
        <v>1849906</v>
      </c>
      <c r="HRR940">
        <v>3540458</v>
      </c>
      <c r="HRS940">
        <v>5144027</v>
      </c>
      <c r="IBJ940" t="s">
        <v>933</v>
      </c>
      <c r="IBK940">
        <v>930812</v>
      </c>
      <c r="IBL940">
        <v>1151813</v>
      </c>
      <c r="IBM940">
        <v>1849906</v>
      </c>
      <c r="IBN940">
        <v>3540458</v>
      </c>
      <c r="IBO940">
        <v>5144027</v>
      </c>
      <c r="ILF940" t="s">
        <v>933</v>
      </c>
      <c r="ILG940">
        <v>930812</v>
      </c>
      <c r="ILH940">
        <v>1151813</v>
      </c>
      <c r="ILI940">
        <v>1849906</v>
      </c>
      <c r="ILJ940">
        <v>3540458</v>
      </c>
      <c r="ILK940">
        <v>5144027</v>
      </c>
      <c r="IVB940" t="s">
        <v>933</v>
      </c>
      <c r="IVC940">
        <v>930812</v>
      </c>
      <c r="IVD940">
        <v>1151813</v>
      </c>
      <c r="IVE940">
        <v>1849906</v>
      </c>
      <c r="IVF940">
        <v>3540458</v>
      </c>
      <c r="IVG940">
        <v>5144027</v>
      </c>
      <c r="JEX940" t="s">
        <v>933</v>
      </c>
      <c r="JEY940">
        <v>930812</v>
      </c>
      <c r="JEZ940">
        <v>1151813</v>
      </c>
      <c r="JFA940">
        <v>1849906</v>
      </c>
      <c r="JFB940">
        <v>3540458</v>
      </c>
      <c r="JFC940">
        <v>5144027</v>
      </c>
      <c r="JOT940" t="s">
        <v>933</v>
      </c>
      <c r="JOU940">
        <v>930812</v>
      </c>
      <c r="JOV940">
        <v>1151813</v>
      </c>
      <c r="JOW940">
        <v>1849906</v>
      </c>
      <c r="JOX940">
        <v>3540458</v>
      </c>
      <c r="JOY940">
        <v>5144027</v>
      </c>
      <c r="JYP940" t="s">
        <v>933</v>
      </c>
      <c r="JYQ940">
        <v>930812</v>
      </c>
      <c r="JYR940">
        <v>1151813</v>
      </c>
      <c r="JYS940">
        <v>1849906</v>
      </c>
      <c r="JYT940">
        <v>3540458</v>
      </c>
      <c r="JYU940">
        <v>5144027</v>
      </c>
      <c r="KIL940" t="s">
        <v>933</v>
      </c>
      <c r="KIM940">
        <v>930812</v>
      </c>
      <c r="KIN940">
        <v>1151813</v>
      </c>
      <c r="KIO940">
        <v>1849906</v>
      </c>
      <c r="KIP940">
        <v>3540458</v>
      </c>
      <c r="KIQ940">
        <v>5144027</v>
      </c>
      <c r="KSH940" t="s">
        <v>933</v>
      </c>
      <c r="KSI940">
        <v>930812</v>
      </c>
      <c r="KSJ940">
        <v>1151813</v>
      </c>
      <c r="KSK940">
        <v>1849906</v>
      </c>
      <c r="KSL940">
        <v>3540458</v>
      </c>
      <c r="KSM940">
        <v>5144027</v>
      </c>
      <c r="LCD940" t="s">
        <v>933</v>
      </c>
      <c r="LCE940">
        <v>930812</v>
      </c>
      <c r="LCF940">
        <v>1151813</v>
      </c>
      <c r="LCG940">
        <v>1849906</v>
      </c>
      <c r="LCH940">
        <v>3540458</v>
      </c>
      <c r="LCI940">
        <v>5144027</v>
      </c>
      <c r="LLZ940" t="s">
        <v>933</v>
      </c>
      <c r="LMA940">
        <v>930812</v>
      </c>
      <c r="LMB940">
        <v>1151813</v>
      </c>
      <c r="LMC940">
        <v>1849906</v>
      </c>
      <c r="LMD940">
        <v>3540458</v>
      </c>
      <c r="LME940">
        <v>5144027</v>
      </c>
      <c r="LVV940" t="s">
        <v>933</v>
      </c>
      <c r="LVW940">
        <v>930812</v>
      </c>
      <c r="LVX940">
        <v>1151813</v>
      </c>
      <c r="LVY940">
        <v>1849906</v>
      </c>
      <c r="LVZ940">
        <v>3540458</v>
      </c>
      <c r="LWA940">
        <v>5144027</v>
      </c>
      <c r="MFR940" t="s">
        <v>933</v>
      </c>
      <c r="MFS940">
        <v>930812</v>
      </c>
      <c r="MFT940">
        <v>1151813</v>
      </c>
      <c r="MFU940">
        <v>1849906</v>
      </c>
      <c r="MFV940">
        <v>3540458</v>
      </c>
      <c r="MFW940">
        <v>5144027</v>
      </c>
      <c r="MPN940" t="s">
        <v>933</v>
      </c>
      <c r="MPO940">
        <v>930812</v>
      </c>
      <c r="MPP940">
        <v>1151813</v>
      </c>
      <c r="MPQ940">
        <v>1849906</v>
      </c>
      <c r="MPR940">
        <v>3540458</v>
      </c>
      <c r="MPS940">
        <v>5144027</v>
      </c>
      <c r="MZJ940" t="s">
        <v>933</v>
      </c>
      <c r="MZK940">
        <v>930812</v>
      </c>
      <c r="MZL940">
        <v>1151813</v>
      </c>
      <c r="MZM940">
        <v>1849906</v>
      </c>
      <c r="MZN940">
        <v>3540458</v>
      </c>
      <c r="MZO940">
        <v>5144027</v>
      </c>
      <c r="NJF940" t="s">
        <v>933</v>
      </c>
      <c r="NJG940">
        <v>930812</v>
      </c>
      <c r="NJH940">
        <v>1151813</v>
      </c>
      <c r="NJI940">
        <v>1849906</v>
      </c>
      <c r="NJJ940">
        <v>3540458</v>
      </c>
      <c r="NJK940">
        <v>5144027</v>
      </c>
      <c r="NTB940" t="s">
        <v>933</v>
      </c>
      <c r="NTC940">
        <v>930812</v>
      </c>
      <c r="NTD940">
        <v>1151813</v>
      </c>
      <c r="NTE940">
        <v>1849906</v>
      </c>
      <c r="NTF940">
        <v>3540458</v>
      </c>
      <c r="NTG940">
        <v>5144027</v>
      </c>
      <c r="OCX940" t="s">
        <v>933</v>
      </c>
      <c r="OCY940">
        <v>930812</v>
      </c>
      <c r="OCZ940">
        <v>1151813</v>
      </c>
      <c r="ODA940">
        <v>1849906</v>
      </c>
      <c r="ODB940">
        <v>3540458</v>
      </c>
      <c r="ODC940">
        <v>5144027</v>
      </c>
      <c r="OMT940" t="s">
        <v>933</v>
      </c>
      <c r="OMU940">
        <v>930812</v>
      </c>
      <c r="OMV940">
        <v>1151813</v>
      </c>
      <c r="OMW940">
        <v>1849906</v>
      </c>
      <c r="OMX940">
        <v>3540458</v>
      </c>
      <c r="OMY940">
        <v>5144027</v>
      </c>
      <c r="OWP940" t="s">
        <v>933</v>
      </c>
      <c r="OWQ940">
        <v>930812</v>
      </c>
      <c r="OWR940">
        <v>1151813</v>
      </c>
      <c r="OWS940">
        <v>1849906</v>
      </c>
      <c r="OWT940">
        <v>3540458</v>
      </c>
      <c r="OWU940">
        <v>5144027</v>
      </c>
      <c r="PGL940" t="s">
        <v>933</v>
      </c>
      <c r="PGM940">
        <v>930812</v>
      </c>
      <c r="PGN940">
        <v>1151813</v>
      </c>
      <c r="PGO940">
        <v>1849906</v>
      </c>
      <c r="PGP940">
        <v>3540458</v>
      </c>
      <c r="PGQ940">
        <v>5144027</v>
      </c>
      <c r="PQH940" t="s">
        <v>933</v>
      </c>
      <c r="PQI940">
        <v>930812</v>
      </c>
      <c r="PQJ940">
        <v>1151813</v>
      </c>
      <c r="PQK940">
        <v>1849906</v>
      </c>
      <c r="PQL940">
        <v>3540458</v>
      </c>
      <c r="PQM940">
        <v>5144027</v>
      </c>
      <c r="QAD940" t="s">
        <v>933</v>
      </c>
      <c r="QAE940">
        <v>930812</v>
      </c>
      <c r="QAF940">
        <v>1151813</v>
      </c>
      <c r="QAG940">
        <v>1849906</v>
      </c>
      <c r="QAH940">
        <v>3540458</v>
      </c>
      <c r="QAI940">
        <v>5144027</v>
      </c>
      <c r="QJZ940" t="s">
        <v>933</v>
      </c>
      <c r="QKA940">
        <v>930812</v>
      </c>
      <c r="QKB940">
        <v>1151813</v>
      </c>
      <c r="QKC940">
        <v>1849906</v>
      </c>
      <c r="QKD940">
        <v>3540458</v>
      </c>
      <c r="QKE940">
        <v>5144027</v>
      </c>
      <c r="QTV940" t="s">
        <v>933</v>
      </c>
      <c r="QTW940">
        <v>930812</v>
      </c>
      <c r="QTX940">
        <v>1151813</v>
      </c>
      <c r="QTY940">
        <v>1849906</v>
      </c>
      <c r="QTZ940">
        <v>3540458</v>
      </c>
      <c r="QUA940">
        <v>5144027</v>
      </c>
      <c r="RDR940" t="s">
        <v>933</v>
      </c>
      <c r="RDS940">
        <v>930812</v>
      </c>
      <c r="RDT940">
        <v>1151813</v>
      </c>
      <c r="RDU940">
        <v>1849906</v>
      </c>
      <c r="RDV940">
        <v>3540458</v>
      </c>
      <c r="RDW940">
        <v>5144027</v>
      </c>
      <c r="RNN940" t="s">
        <v>933</v>
      </c>
      <c r="RNO940">
        <v>930812</v>
      </c>
      <c r="RNP940">
        <v>1151813</v>
      </c>
      <c r="RNQ940">
        <v>1849906</v>
      </c>
      <c r="RNR940">
        <v>3540458</v>
      </c>
      <c r="RNS940">
        <v>5144027</v>
      </c>
      <c r="RXJ940" t="s">
        <v>933</v>
      </c>
      <c r="RXK940">
        <v>930812</v>
      </c>
      <c r="RXL940">
        <v>1151813</v>
      </c>
      <c r="RXM940">
        <v>1849906</v>
      </c>
      <c r="RXN940">
        <v>3540458</v>
      </c>
      <c r="RXO940">
        <v>5144027</v>
      </c>
      <c r="SHF940" t="s">
        <v>933</v>
      </c>
      <c r="SHG940">
        <v>930812</v>
      </c>
      <c r="SHH940">
        <v>1151813</v>
      </c>
      <c r="SHI940">
        <v>1849906</v>
      </c>
      <c r="SHJ940">
        <v>3540458</v>
      </c>
      <c r="SHK940">
        <v>5144027</v>
      </c>
      <c r="SRB940" t="s">
        <v>933</v>
      </c>
      <c r="SRC940">
        <v>930812</v>
      </c>
      <c r="SRD940">
        <v>1151813</v>
      </c>
      <c r="SRE940">
        <v>1849906</v>
      </c>
      <c r="SRF940">
        <v>3540458</v>
      </c>
      <c r="SRG940">
        <v>5144027</v>
      </c>
      <c r="TAX940" t="s">
        <v>933</v>
      </c>
      <c r="TAY940">
        <v>930812</v>
      </c>
      <c r="TAZ940">
        <v>1151813</v>
      </c>
      <c r="TBA940">
        <v>1849906</v>
      </c>
      <c r="TBB940">
        <v>3540458</v>
      </c>
      <c r="TBC940">
        <v>5144027</v>
      </c>
      <c r="TKT940" t="s">
        <v>933</v>
      </c>
      <c r="TKU940">
        <v>930812</v>
      </c>
      <c r="TKV940">
        <v>1151813</v>
      </c>
      <c r="TKW940">
        <v>1849906</v>
      </c>
      <c r="TKX940">
        <v>3540458</v>
      </c>
      <c r="TKY940">
        <v>5144027</v>
      </c>
      <c r="TUP940" t="s">
        <v>933</v>
      </c>
      <c r="TUQ940">
        <v>930812</v>
      </c>
      <c r="TUR940">
        <v>1151813</v>
      </c>
      <c r="TUS940">
        <v>1849906</v>
      </c>
      <c r="TUT940">
        <v>3540458</v>
      </c>
      <c r="TUU940">
        <v>5144027</v>
      </c>
      <c r="UEL940" t="s">
        <v>933</v>
      </c>
      <c r="UEM940">
        <v>930812</v>
      </c>
      <c r="UEN940">
        <v>1151813</v>
      </c>
      <c r="UEO940">
        <v>1849906</v>
      </c>
      <c r="UEP940">
        <v>3540458</v>
      </c>
      <c r="UEQ940">
        <v>5144027</v>
      </c>
      <c r="UOH940" t="s">
        <v>933</v>
      </c>
      <c r="UOI940">
        <v>930812</v>
      </c>
      <c r="UOJ940">
        <v>1151813</v>
      </c>
      <c r="UOK940">
        <v>1849906</v>
      </c>
      <c r="UOL940">
        <v>3540458</v>
      </c>
      <c r="UOM940">
        <v>5144027</v>
      </c>
      <c r="UYD940" t="s">
        <v>933</v>
      </c>
      <c r="UYE940">
        <v>930812</v>
      </c>
      <c r="UYF940">
        <v>1151813</v>
      </c>
      <c r="UYG940">
        <v>1849906</v>
      </c>
      <c r="UYH940">
        <v>3540458</v>
      </c>
      <c r="UYI940">
        <v>5144027</v>
      </c>
      <c r="VHZ940" t="s">
        <v>933</v>
      </c>
      <c r="VIA940">
        <v>930812</v>
      </c>
      <c r="VIB940">
        <v>1151813</v>
      </c>
      <c r="VIC940">
        <v>1849906</v>
      </c>
      <c r="VID940">
        <v>3540458</v>
      </c>
      <c r="VIE940">
        <v>5144027</v>
      </c>
      <c r="VRV940" t="s">
        <v>933</v>
      </c>
      <c r="VRW940">
        <v>930812</v>
      </c>
      <c r="VRX940">
        <v>1151813</v>
      </c>
      <c r="VRY940">
        <v>1849906</v>
      </c>
      <c r="VRZ940">
        <v>3540458</v>
      </c>
      <c r="VSA940">
        <v>5144027</v>
      </c>
      <c r="WBR940" t="s">
        <v>933</v>
      </c>
      <c r="WBS940">
        <v>930812</v>
      </c>
      <c r="WBT940">
        <v>1151813</v>
      </c>
      <c r="WBU940">
        <v>1849906</v>
      </c>
      <c r="WBV940">
        <v>3540458</v>
      </c>
      <c r="WBW940">
        <v>5144027</v>
      </c>
      <c r="WLN940" t="s">
        <v>933</v>
      </c>
      <c r="WLO940">
        <v>930812</v>
      </c>
      <c r="WLP940">
        <v>1151813</v>
      </c>
      <c r="WLQ940">
        <v>1849906</v>
      </c>
      <c r="WLR940">
        <v>3540458</v>
      </c>
      <c r="WLS940">
        <v>5144027</v>
      </c>
      <c r="WVJ940" t="s">
        <v>933</v>
      </c>
      <c r="WVK940">
        <v>930812</v>
      </c>
      <c r="WVL940">
        <v>1151813</v>
      </c>
      <c r="WVM940">
        <v>1849906</v>
      </c>
      <c r="WVN940">
        <v>3540458</v>
      </c>
      <c r="WVO940">
        <v>5144027</v>
      </c>
    </row>
    <row r="941" spans="1:775 1026:1799 2050:2823 3074:3847 4098:4871 5122:5895 6146:6919 7170:7943 8194:8967 9218:9991 10242:11015 11266:12039 12290:13063 13314:14087 14338:15111 15362:16135">
      <c r="A941" s="1428" t="s">
        <v>751</v>
      </c>
      <c r="B941" s="1336"/>
      <c r="C941" s="1484">
        <f>SUM(C933,C935:C940)</f>
        <v>12005511</v>
      </c>
      <c r="D941" s="1484">
        <f t="shared" ref="D941:G941" si="15">SUM(D933,D935:D940)</f>
        <v>20881715</v>
      </c>
      <c r="E941" s="1484">
        <f t="shared" si="15"/>
        <v>27473098</v>
      </c>
      <c r="F941" s="1484">
        <f t="shared" si="15"/>
        <v>48173677</v>
      </c>
      <c r="G941" s="1484">
        <f t="shared" si="15"/>
        <v>72395760</v>
      </c>
      <c r="H941" s="100"/>
    </row>
    <row r="942" spans="1:775 1026:1799 2050:2823 3074:3847 4098:4871 5122:5895 6146:6919 7170:7943 8194:8967 9218:9991 10242:11015 11266:12039 12290:13063 13314:14087 14338:15111 15362:16135">
      <c r="A942" s="99" t="s">
        <v>753</v>
      </c>
      <c r="C942" s="96"/>
      <c r="D942" s="96"/>
      <c r="E942" s="96"/>
      <c r="F942" s="96"/>
      <c r="G942" s="96"/>
      <c r="H942" s="96"/>
      <c r="IX942" t="s">
        <v>753</v>
      </c>
      <c r="ST942" t="s">
        <v>753</v>
      </c>
      <c r="ACP942" t="s">
        <v>753</v>
      </c>
      <c r="AML942" t="s">
        <v>753</v>
      </c>
      <c r="AWH942" t="s">
        <v>753</v>
      </c>
      <c r="BGD942" t="s">
        <v>753</v>
      </c>
      <c r="BPZ942" t="s">
        <v>753</v>
      </c>
      <c r="BZV942" t="s">
        <v>753</v>
      </c>
      <c r="CJR942" t="s">
        <v>753</v>
      </c>
      <c r="CTN942" t="s">
        <v>753</v>
      </c>
      <c r="DDJ942" t="s">
        <v>753</v>
      </c>
      <c r="DNF942" t="s">
        <v>753</v>
      </c>
      <c r="DXB942" t="s">
        <v>753</v>
      </c>
      <c r="EGX942" t="s">
        <v>753</v>
      </c>
      <c r="EQT942" t="s">
        <v>753</v>
      </c>
      <c r="FAP942" t="s">
        <v>753</v>
      </c>
      <c r="FKL942" t="s">
        <v>753</v>
      </c>
      <c r="FUH942" t="s">
        <v>753</v>
      </c>
      <c r="GED942" t="s">
        <v>753</v>
      </c>
      <c r="GNZ942" t="s">
        <v>753</v>
      </c>
      <c r="GXV942" t="s">
        <v>753</v>
      </c>
      <c r="HHR942" t="s">
        <v>753</v>
      </c>
      <c r="HRN942" t="s">
        <v>753</v>
      </c>
      <c r="IBJ942" t="s">
        <v>753</v>
      </c>
      <c r="ILF942" t="s">
        <v>753</v>
      </c>
      <c r="IVB942" t="s">
        <v>753</v>
      </c>
      <c r="JEX942" t="s">
        <v>753</v>
      </c>
      <c r="JOT942" t="s">
        <v>753</v>
      </c>
      <c r="JYP942" t="s">
        <v>753</v>
      </c>
      <c r="KIL942" t="s">
        <v>753</v>
      </c>
      <c r="KSH942" t="s">
        <v>753</v>
      </c>
      <c r="LCD942" t="s">
        <v>753</v>
      </c>
      <c r="LLZ942" t="s">
        <v>753</v>
      </c>
      <c r="LVV942" t="s">
        <v>753</v>
      </c>
      <c r="MFR942" t="s">
        <v>753</v>
      </c>
      <c r="MPN942" t="s">
        <v>753</v>
      </c>
      <c r="MZJ942" t="s">
        <v>753</v>
      </c>
      <c r="NJF942" t="s">
        <v>753</v>
      </c>
      <c r="NTB942" t="s">
        <v>753</v>
      </c>
      <c r="OCX942" t="s">
        <v>753</v>
      </c>
      <c r="OMT942" t="s">
        <v>753</v>
      </c>
      <c r="OWP942" t="s">
        <v>753</v>
      </c>
      <c r="PGL942" t="s">
        <v>753</v>
      </c>
      <c r="PQH942" t="s">
        <v>753</v>
      </c>
      <c r="QAD942" t="s">
        <v>753</v>
      </c>
      <c r="QJZ942" t="s">
        <v>753</v>
      </c>
      <c r="QTV942" t="s">
        <v>753</v>
      </c>
      <c r="RDR942" t="s">
        <v>753</v>
      </c>
      <c r="RNN942" t="s">
        <v>753</v>
      </c>
      <c r="RXJ942" t="s">
        <v>753</v>
      </c>
      <c r="SHF942" t="s">
        <v>753</v>
      </c>
      <c r="SRB942" t="s">
        <v>753</v>
      </c>
      <c r="TAX942" t="s">
        <v>753</v>
      </c>
      <c r="TKT942" t="s">
        <v>753</v>
      </c>
      <c r="TUP942" t="s">
        <v>753</v>
      </c>
      <c r="UEL942" t="s">
        <v>753</v>
      </c>
      <c r="UOH942" t="s">
        <v>753</v>
      </c>
      <c r="UYD942" t="s">
        <v>753</v>
      </c>
      <c r="VHZ942" t="s">
        <v>753</v>
      </c>
      <c r="VRV942" t="s">
        <v>753</v>
      </c>
      <c r="WBR942" t="s">
        <v>753</v>
      </c>
      <c r="WLN942" t="s">
        <v>753</v>
      </c>
      <c r="WVJ942" t="s">
        <v>753</v>
      </c>
    </row>
    <row r="943" spans="1:775 1026:1799 2050:2823 3074:3847 4098:4871 5122:5895 6146:6919 7170:7943 8194:8967 9218:9991 10242:11015 11266:12039 12290:13063 13314:14087 14338:15111 15362:16135">
      <c r="A943" s="96" t="s">
        <v>754</v>
      </c>
      <c r="B943" t="s">
        <v>755</v>
      </c>
      <c r="C943" s="100">
        <v>226</v>
      </c>
      <c r="D943" s="100">
        <v>226</v>
      </c>
      <c r="E943" s="100">
        <v>220</v>
      </c>
      <c r="F943" s="100">
        <v>220</v>
      </c>
      <c r="G943" s="100">
        <v>254</v>
      </c>
      <c r="H943" s="100"/>
      <c r="IX943" t="s">
        <v>754</v>
      </c>
      <c r="IY943">
        <v>226</v>
      </c>
      <c r="IZ943">
        <v>226</v>
      </c>
      <c r="JA943">
        <v>220</v>
      </c>
      <c r="JB943">
        <v>220</v>
      </c>
      <c r="JC943">
        <v>254</v>
      </c>
      <c r="ST943" t="s">
        <v>754</v>
      </c>
      <c r="SU943">
        <v>226</v>
      </c>
      <c r="SV943">
        <v>226</v>
      </c>
      <c r="SW943">
        <v>220</v>
      </c>
      <c r="SX943">
        <v>220</v>
      </c>
      <c r="SY943">
        <v>254</v>
      </c>
      <c r="ACP943" t="s">
        <v>754</v>
      </c>
      <c r="ACQ943">
        <v>226</v>
      </c>
      <c r="ACR943">
        <v>226</v>
      </c>
      <c r="ACS943">
        <v>220</v>
      </c>
      <c r="ACT943">
        <v>220</v>
      </c>
      <c r="ACU943">
        <v>254</v>
      </c>
      <c r="AML943" t="s">
        <v>754</v>
      </c>
      <c r="AMM943">
        <v>226</v>
      </c>
      <c r="AMN943">
        <v>226</v>
      </c>
      <c r="AMO943">
        <v>220</v>
      </c>
      <c r="AMP943">
        <v>220</v>
      </c>
      <c r="AMQ943">
        <v>254</v>
      </c>
      <c r="AWH943" t="s">
        <v>754</v>
      </c>
      <c r="AWI943">
        <v>226</v>
      </c>
      <c r="AWJ943">
        <v>226</v>
      </c>
      <c r="AWK943">
        <v>220</v>
      </c>
      <c r="AWL943">
        <v>220</v>
      </c>
      <c r="AWM943">
        <v>254</v>
      </c>
      <c r="BGD943" t="s">
        <v>754</v>
      </c>
      <c r="BGE943">
        <v>226</v>
      </c>
      <c r="BGF943">
        <v>226</v>
      </c>
      <c r="BGG943">
        <v>220</v>
      </c>
      <c r="BGH943">
        <v>220</v>
      </c>
      <c r="BGI943">
        <v>254</v>
      </c>
      <c r="BPZ943" t="s">
        <v>754</v>
      </c>
      <c r="BQA943">
        <v>226</v>
      </c>
      <c r="BQB943">
        <v>226</v>
      </c>
      <c r="BQC943">
        <v>220</v>
      </c>
      <c r="BQD943">
        <v>220</v>
      </c>
      <c r="BQE943">
        <v>254</v>
      </c>
      <c r="BZV943" t="s">
        <v>754</v>
      </c>
      <c r="BZW943">
        <v>226</v>
      </c>
      <c r="BZX943">
        <v>226</v>
      </c>
      <c r="BZY943">
        <v>220</v>
      </c>
      <c r="BZZ943">
        <v>220</v>
      </c>
      <c r="CAA943">
        <v>254</v>
      </c>
      <c r="CJR943" t="s">
        <v>754</v>
      </c>
      <c r="CJS943">
        <v>226</v>
      </c>
      <c r="CJT943">
        <v>226</v>
      </c>
      <c r="CJU943">
        <v>220</v>
      </c>
      <c r="CJV943">
        <v>220</v>
      </c>
      <c r="CJW943">
        <v>254</v>
      </c>
      <c r="CTN943" t="s">
        <v>754</v>
      </c>
      <c r="CTO943">
        <v>226</v>
      </c>
      <c r="CTP943">
        <v>226</v>
      </c>
      <c r="CTQ943">
        <v>220</v>
      </c>
      <c r="CTR943">
        <v>220</v>
      </c>
      <c r="CTS943">
        <v>254</v>
      </c>
      <c r="DDJ943" t="s">
        <v>754</v>
      </c>
      <c r="DDK943">
        <v>226</v>
      </c>
      <c r="DDL943">
        <v>226</v>
      </c>
      <c r="DDM943">
        <v>220</v>
      </c>
      <c r="DDN943">
        <v>220</v>
      </c>
      <c r="DDO943">
        <v>254</v>
      </c>
      <c r="DNF943" t="s">
        <v>754</v>
      </c>
      <c r="DNG943">
        <v>226</v>
      </c>
      <c r="DNH943">
        <v>226</v>
      </c>
      <c r="DNI943">
        <v>220</v>
      </c>
      <c r="DNJ943">
        <v>220</v>
      </c>
      <c r="DNK943">
        <v>254</v>
      </c>
      <c r="DXB943" t="s">
        <v>754</v>
      </c>
      <c r="DXC943">
        <v>226</v>
      </c>
      <c r="DXD943">
        <v>226</v>
      </c>
      <c r="DXE943">
        <v>220</v>
      </c>
      <c r="DXF943">
        <v>220</v>
      </c>
      <c r="DXG943">
        <v>254</v>
      </c>
      <c r="EGX943" t="s">
        <v>754</v>
      </c>
      <c r="EGY943">
        <v>226</v>
      </c>
      <c r="EGZ943">
        <v>226</v>
      </c>
      <c r="EHA943">
        <v>220</v>
      </c>
      <c r="EHB943">
        <v>220</v>
      </c>
      <c r="EHC943">
        <v>254</v>
      </c>
      <c r="EQT943" t="s">
        <v>754</v>
      </c>
      <c r="EQU943">
        <v>226</v>
      </c>
      <c r="EQV943">
        <v>226</v>
      </c>
      <c r="EQW943">
        <v>220</v>
      </c>
      <c r="EQX943">
        <v>220</v>
      </c>
      <c r="EQY943">
        <v>254</v>
      </c>
      <c r="FAP943" t="s">
        <v>754</v>
      </c>
      <c r="FAQ943">
        <v>226</v>
      </c>
      <c r="FAR943">
        <v>226</v>
      </c>
      <c r="FAS943">
        <v>220</v>
      </c>
      <c r="FAT943">
        <v>220</v>
      </c>
      <c r="FAU943">
        <v>254</v>
      </c>
      <c r="FKL943" t="s">
        <v>754</v>
      </c>
      <c r="FKM943">
        <v>226</v>
      </c>
      <c r="FKN943">
        <v>226</v>
      </c>
      <c r="FKO943">
        <v>220</v>
      </c>
      <c r="FKP943">
        <v>220</v>
      </c>
      <c r="FKQ943">
        <v>254</v>
      </c>
      <c r="FUH943" t="s">
        <v>754</v>
      </c>
      <c r="FUI943">
        <v>226</v>
      </c>
      <c r="FUJ943">
        <v>226</v>
      </c>
      <c r="FUK943">
        <v>220</v>
      </c>
      <c r="FUL943">
        <v>220</v>
      </c>
      <c r="FUM943">
        <v>254</v>
      </c>
      <c r="GED943" t="s">
        <v>754</v>
      </c>
      <c r="GEE943">
        <v>226</v>
      </c>
      <c r="GEF943">
        <v>226</v>
      </c>
      <c r="GEG943">
        <v>220</v>
      </c>
      <c r="GEH943">
        <v>220</v>
      </c>
      <c r="GEI943">
        <v>254</v>
      </c>
      <c r="GNZ943" t="s">
        <v>754</v>
      </c>
      <c r="GOA943">
        <v>226</v>
      </c>
      <c r="GOB943">
        <v>226</v>
      </c>
      <c r="GOC943">
        <v>220</v>
      </c>
      <c r="GOD943">
        <v>220</v>
      </c>
      <c r="GOE943">
        <v>254</v>
      </c>
      <c r="GXV943" t="s">
        <v>754</v>
      </c>
      <c r="GXW943">
        <v>226</v>
      </c>
      <c r="GXX943">
        <v>226</v>
      </c>
      <c r="GXY943">
        <v>220</v>
      </c>
      <c r="GXZ943">
        <v>220</v>
      </c>
      <c r="GYA943">
        <v>254</v>
      </c>
      <c r="HHR943" t="s">
        <v>754</v>
      </c>
      <c r="HHS943">
        <v>226</v>
      </c>
      <c r="HHT943">
        <v>226</v>
      </c>
      <c r="HHU943">
        <v>220</v>
      </c>
      <c r="HHV943">
        <v>220</v>
      </c>
      <c r="HHW943">
        <v>254</v>
      </c>
      <c r="HRN943" t="s">
        <v>754</v>
      </c>
      <c r="HRO943">
        <v>226</v>
      </c>
      <c r="HRP943">
        <v>226</v>
      </c>
      <c r="HRQ943">
        <v>220</v>
      </c>
      <c r="HRR943">
        <v>220</v>
      </c>
      <c r="HRS943">
        <v>254</v>
      </c>
      <c r="IBJ943" t="s">
        <v>754</v>
      </c>
      <c r="IBK943">
        <v>226</v>
      </c>
      <c r="IBL943">
        <v>226</v>
      </c>
      <c r="IBM943">
        <v>220</v>
      </c>
      <c r="IBN943">
        <v>220</v>
      </c>
      <c r="IBO943">
        <v>254</v>
      </c>
      <c r="ILF943" t="s">
        <v>754</v>
      </c>
      <c r="ILG943">
        <v>226</v>
      </c>
      <c r="ILH943">
        <v>226</v>
      </c>
      <c r="ILI943">
        <v>220</v>
      </c>
      <c r="ILJ943">
        <v>220</v>
      </c>
      <c r="ILK943">
        <v>254</v>
      </c>
      <c r="IVB943" t="s">
        <v>754</v>
      </c>
      <c r="IVC943">
        <v>226</v>
      </c>
      <c r="IVD943">
        <v>226</v>
      </c>
      <c r="IVE943">
        <v>220</v>
      </c>
      <c r="IVF943">
        <v>220</v>
      </c>
      <c r="IVG943">
        <v>254</v>
      </c>
      <c r="JEX943" t="s">
        <v>754</v>
      </c>
      <c r="JEY943">
        <v>226</v>
      </c>
      <c r="JEZ943">
        <v>226</v>
      </c>
      <c r="JFA943">
        <v>220</v>
      </c>
      <c r="JFB943">
        <v>220</v>
      </c>
      <c r="JFC943">
        <v>254</v>
      </c>
      <c r="JOT943" t="s">
        <v>754</v>
      </c>
      <c r="JOU943">
        <v>226</v>
      </c>
      <c r="JOV943">
        <v>226</v>
      </c>
      <c r="JOW943">
        <v>220</v>
      </c>
      <c r="JOX943">
        <v>220</v>
      </c>
      <c r="JOY943">
        <v>254</v>
      </c>
      <c r="JYP943" t="s">
        <v>754</v>
      </c>
      <c r="JYQ943">
        <v>226</v>
      </c>
      <c r="JYR943">
        <v>226</v>
      </c>
      <c r="JYS943">
        <v>220</v>
      </c>
      <c r="JYT943">
        <v>220</v>
      </c>
      <c r="JYU943">
        <v>254</v>
      </c>
      <c r="KIL943" t="s">
        <v>754</v>
      </c>
      <c r="KIM943">
        <v>226</v>
      </c>
      <c r="KIN943">
        <v>226</v>
      </c>
      <c r="KIO943">
        <v>220</v>
      </c>
      <c r="KIP943">
        <v>220</v>
      </c>
      <c r="KIQ943">
        <v>254</v>
      </c>
      <c r="KSH943" t="s">
        <v>754</v>
      </c>
      <c r="KSI943">
        <v>226</v>
      </c>
      <c r="KSJ943">
        <v>226</v>
      </c>
      <c r="KSK943">
        <v>220</v>
      </c>
      <c r="KSL943">
        <v>220</v>
      </c>
      <c r="KSM943">
        <v>254</v>
      </c>
      <c r="LCD943" t="s">
        <v>754</v>
      </c>
      <c r="LCE943">
        <v>226</v>
      </c>
      <c r="LCF943">
        <v>226</v>
      </c>
      <c r="LCG943">
        <v>220</v>
      </c>
      <c r="LCH943">
        <v>220</v>
      </c>
      <c r="LCI943">
        <v>254</v>
      </c>
      <c r="LLZ943" t="s">
        <v>754</v>
      </c>
      <c r="LMA943">
        <v>226</v>
      </c>
      <c r="LMB943">
        <v>226</v>
      </c>
      <c r="LMC943">
        <v>220</v>
      </c>
      <c r="LMD943">
        <v>220</v>
      </c>
      <c r="LME943">
        <v>254</v>
      </c>
      <c r="LVV943" t="s">
        <v>754</v>
      </c>
      <c r="LVW943">
        <v>226</v>
      </c>
      <c r="LVX943">
        <v>226</v>
      </c>
      <c r="LVY943">
        <v>220</v>
      </c>
      <c r="LVZ943">
        <v>220</v>
      </c>
      <c r="LWA943">
        <v>254</v>
      </c>
      <c r="MFR943" t="s">
        <v>754</v>
      </c>
      <c r="MFS943">
        <v>226</v>
      </c>
      <c r="MFT943">
        <v>226</v>
      </c>
      <c r="MFU943">
        <v>220</v>
      </c>
      <c r="MFV943">
        <v>220</v>
      </c>
      <c r="MFW943">
        <v>254</v>
      </c>
      <c r="MPN943" t="s">
        <v>754</v>
      </c>
      <c r="MPO943">
        <v>226</v>
      </c>
      <c r="MPP943">
        <v>226</v>
      </c>
      <c r="MPQ943">
        <v>220</v>
      </c>
      <c r="MPR943">
        <v>220</v>
      </c>
      <c r="MPS943">
        <v>254</v>
      </c>
      <c r="MZJ943" t="s">
        <v>754</v>
      </c>
      <c r="MZK943">
        <v>226</v>
      </c>
      <c r="MZL943">
        <v>226</v>
      </c>
      <c r="MZM943">
        <v>220</v>
      </c>
      <c r="MZN943">
        <v>220</v>
      </c>
      <c r="MZO943">
        <v>254</v>
      </c>
      <c r="NJF943" t="s">
        <v>754</v>
      </c>
      <c r="NJG943">
        <v>226</v>
      </c>
      <c r="NJH943">
        <v>226</v>
      </c>
      <c r="NJI943">
        <v>220</v>
      </c>
      <c r="NJJ943">
        <v>220</v>
      </c>
      <c r="NJK943">
        <v>254</v>
      </c>
      <c r="NTB943" t="s">
        <v>754</v>
      </c>
      <c r="NTC943">
        <v>226</v>
      </c>
      <c r="NTD943">
        <v>226</v>
      </c>
      <c r="NTE943">
        <v>220</v>
      </c>
      <c r="NTF943">
        <v>220</v>
      </c>
      <c r="NTG943">
        <v>254</v>
      </c>
      <c r="OCX943" t="s">
        <v>754</v>
      </c>
      <c r="OCY943">
        <v>226</v>
      </c>
      <c r="OCZ943">
        <v>226</v>
      </c>
      <c r="ODA943">
        <v>220</v>
      </c>
      <c r="ODB943">
        <v>220</v>
      </c>
      <c r="ODC943">
        <v>254</v>
      </c>
      <c r="OMT943" t="s">
        <v>754</v>
      </c>
      <c r="OMU943">
        <v>226</v>
      </c>
      <c r="OMV943">
        <v>226</v>
      </c>
      <c r="OMW943">
        <v>220</v>
      </c>
      <c r="OMX943">
        <v>220</v>
      </c>
      <c r="OMY943">
        <v>254</v>
      </c>
      <c r="OWP943" t="s">
        <v>754</v>
      </c>
      <c r="OWQ943">
        <v>226</v>
      </c>
      <c r="OWR943">
        <v>226</v>
      </c>
      <c r="OWS943">
        <v>220</v>
      </c>
      <c r="OWT943">
        <v>220</v>
      </c>
      <c r="OWU943">
        <v>254</v>
      </c>
      <c r="PGL943" t="s">
        <v>754</v>
      </c>
      <c r="PGM943">
        <v>226</v>
      </c>
      <c r="PGN943">
        <v>226</v>
      </c>
      <c r="PGO943">
        <v>220</v>
      </c>
      <c r="PGP943">
        <v>220</v>
      </c>
      <c r="PGQ943">
        <v>254</v>
      </c>
      <c r="PQH943" t="s">
        <v>754</v>
      </c>
      <c r="PQI943">
        <v>226</v>
      </c>
      <c r="PQJ943">
        <v>226</v>
      </c>
      <c r="PQK943">
        <v>220</v>
      </c>
      <c r="PQL943">
        <v>220</v>
      </c>
      <c r="PQM943">
        <v>254</v>
      </c>
      <c r="QAD943" t="s">
        <v>754</v>
      </c>
      <c r="QAE943">
        <v>226</v>
      </c>
      <c r="QAF943">
        <v>226</v>
      </c>
      <c r="QAG943">
        <v>220</v>
      </c>
      <c r="QAH943">
        <v>220</v>
      </c>
      <c r="QAI943">
        <v>254</v>
      </c>
      <c r="QJZ943" t="s">
        <v>754</v>
      </c>
      <c r="QKA943">
        <v>226</v>
      </c>
      <c r="QKB943">
        <v>226</v>
      </c>
      <c r="QKC943">
        <v>220</v>
      </c>
      <c r="QKD943">
        <v>220</v>
      </c>
      <c r="QKE943">
        <v>254</v>
      </c>
      <c r="QTV943" t="s">
        <v>754</v>
      </c>
      <c r="QTW943">
        <v>226</v>
      </c>
      <c r="QTX943">
        <v>226</v>
      </c>
      <c r="QTY943">
        <v>220</v>
      </c>
      <c r="QTZ943">
        <v>220</v>
      </c>
      <c r="QUA943">
        <v>254</v>
      </c>
      <c r="RDR943" t="s">
        <v>754</v>
      </c>
      <c r="RDS943">
        <v>226</v>
      </c>
      <c r="RDT943">
        <v>226</v>
      </c>
      <c r="RDU943">
        <v>220</v>
      </c>
      <c r="RDV943">
        <v>220</v>
      </c>
      <c r="RDW943">
        <v>254</v>
      </c>
      <c r="RNN943" t="s">
        <v>754</v>
      </c>
      <c r="RNO943">
        <v>226</v>
      </c>
      <c r="RNP943">
        <v>226</v>
      </c>
      <c r="RNQ943">
        <v>220</v>
      </c>
      <c r="RNR943">
        <v>220</v>
      </c>
      <c r="RNS943">
        <v>254</v>
      </c>
      <c r="RXJ943" t="s">
        <v>754</v>
      </c>
      <c r="RXK943">
        <v>226</v>
      </c>
      <c r="RXL943">
        <v>226</v>
      </c>
      <c r="RXM943">
        <v>220</v>
      </c>
      <c r="RXN943">
        <v>220</v>
      </c>
      <c r="RXO943">
        <v>254</v>
      </c>
      <c r="SHF943" t="s">
        <v>754</v>
      </c>
      <c r="SHG943">
        <v>226</v>
      </c>
      <c r="SHH943">
        <v>226</v>
      </c>
      <c r="SHI943">
        <v>220</v>
      </c>
      <c r="SHJ943">
        <v>220</v>
      </c>
      <c r="SHK943">
        <v>254</v>
      </c>
      <c r="SRB943" t="s">
        <v>754</v>
      </c>
      <c r="SRC943">
        <v>226</v>
      </c>
      <c r="SRD943">
        <v>226</v>
      </c>
      <c r="SRE943">
        <v>220</v>
      </c>
      <c r="SRF943">
        <v>220</v>
      </c>
      <c r="SRG943">
        <v>254</v>
      </c>
      <c r="TAX943" t="s">
        <v>754</v>
      </c>
      <c r="TAY943">
        <v>226</v>
      </c>
      <c r="TAZ943">
        <v>226</v>
      </c>
      <c r="TBA943">
        <v>220</v>
      </c>
      <c r="TBB943">
        <v>220</v>
      </c>
      <c r="TBC943">
        <v>254</v>
      </c>
      <c r="TKT943" t="s">
        <v>754</v>
      </c>
      <c r="TKU943">
        <v>226</v>
      </c>
      <c r="TKV943">
        <v>226</v>
      </c>
      <c r="TKW943">
        <v>220</v>
      </c>
      <c r="TKX943">
        <v>220</v>
      </c>
      <c r="TKY943">
        <v>254</v>
      </c>
      <c r="TUP943" t="s">
        <v>754</v>
      </c>
      <c r="TUQ943">
        <v>226</v>
      </c>
      <c r="TUR943">
        <v>226</v>
      </c>
      <c r="TUS943">
        <v>220</v>
      </c>
      <c r="TUT943">
        <v>220</v>
      </c>
      <c r="TUU943">
        <v>254</v>
      </c>
      <c r="UEL943" t="s">
        <v>754</v>
      </c>
      <c r="UEM943">
        <v>226</v>
      </c>
      <c r="UEN943">
        <v>226</v>
      </c>
      <c r="UEO943">
        <v>220</v>
      </c>
      <c r="UEP943">
        <v>220</v>
      </c>
      <c r="UEQ943">
        <v>254</v>
      </c>
      <c r="UOH943" t="s">
        <v>754</v>
      </c>
      <c r="UOI943">
        <v>226</v>
      </c>
      <c r="UOJ943">
        <v>226</v>
      </c>
      <c r="UOK943">
        <v>220</v>
      </c>
      <c r="UOL943">
        <v>220</v>
      </c>
      <c r="UOM943">
        <v>254</v>
      </c>
      <c r="UYD943" t="s">
        <v>754</v>
      </c>
      <c r="UYE943">
        <v>226</v>
      </c>
      <c r="UYF943">
        <v>226</v>
      </c>
      <c r="UYG943">
        <v>220</v>
      </c>
      <c r="UYH943">
        <v>220</v>
      </c>
      <c r="UYI943">
        <v>254</v>
      </c>
      <c r="VHZ943" t="s">
        <v>754</v>
      </c>
      <c r="VIA943">
        <v>226</v>
      </c>
      <c r="VIB943">
        <v>226</v>
      </c>
      <c r="VIC943">
        <v>220</v>
      </c>
      <c r="VID943">
        <v>220</v>
      </c>
      <c r="VIE943">
        <v>254</v>
      </c>
      <c r="VRV943" t="s">
        <v>754</v>
      </c>
      <c r="VRW943">
        <v>226</v>
      </c>
      <c r="VRX943">
        <v>226</v>
      </c>
      <c r="VRY943">
        <v>220</v>
      </c>
      <c r="VRZ943">
        <v>220</v>
      </c>
      <c r="VSA943">
        <v>254</v>
      </c>
      <c r="WBR943" t="s">
        <v>754</v>
      </c>
      <c r="WBS943">
        <v>226</v>
      </c>
      <c r="WBT943">
        <v>226</v>
      </c>
      <c r="WBU943">
        <v>220</v>
      </c>
      <c r="WBV943">
        <v>220</v>
      </c>
      <c r="WBW943">
        <v>254</v>
      </c>
      <c r="WLN943" t="s">
        <v>754</v>
      </c>
      <c r="WLO943">
        <v>226</v>
      </c>
      <c r="WLP943">
        <v>226</v>
      </c>
      <c r="WLQ943">
        <v>220</v>
      </c>
      <c r="WLR943">
        <v>220</v>
      </c>
      <c r="WLS943">
        <v>254</v>
      </c>
      <c r="WVJ943" t="s">
        <v>754</v>
      </c>
      <c r="WVK943">
        <v>226</v>
      </c>
      <c r="WVL943">
        <v>226</v>
      </c>
      <c r="WVM943">
        <v>220</v>
      </c>
      <c r="WVN943">
        <v>220</v>
      </c>
      <c r="WVO943">
        <v>254</v>
      </c>
    </row>
    <row r="944" spans="1:775 1026:1799 2050:2823 3074:3847 4098:4871 5122:5895 6146:6919 7170:7943 8194:8967 9218:9991 10242:11015 11266:12039 12290:13063 13314:14087 14338:15111 15362:16135">
      <c r="A944" s="96" t="s">
        <v>754</v>
      </c>
      <c r="B944" t="s">
        <v>755</v>
      </c>
      <c r="C944" s="100">
        <v>254</v>
      </c>
      <c r="D944" s="100">
        <v>254</v>
      </c>
      <c r="E944" s="100">
        <v>254</v>
      </c>
      <c r="F944" s="100">
        <v>254</v>
      </c>
      <c r="G944" s="100">
        <v>2668</v>
      </c>
      <c r="H944" s="100"/>
      <c r="IX944" t="s">
        <v>754</v>
      </c>
      <c r="IY944">
        <v>254</v>
      </c>
      <c r="IZ944">
        <v>254</v>
      </c>
      <c r="JA944">
        <v>254</v>
      </c>
      <c r="JB944">
        <v>254</v>
      </c>
      <c r="JC944">
        <v>2668</v>
      </c>
      <c r="ST944" t="s">
        <v>754</v>
      </c>
      <c r="SU944">
        <v>254</v>
      </c>
      <c r="SV944">
        <v>254</v>
      </c>
      <c r="SW944">
        <v>254</v>
      </c>
      <c r="SX944">
        <v>254</v>
      </c>
      <c r="SY944">
        <v>2668</v>
      </c>
      <c r="ACP944" t="s">
        <v>754</v>
      </c>
      <c r="ACQ944">
        <v>254</v>
      </c>
      <c r="ACR944">
        <v>254</v>
      </c>
      <c r="ACS944">
        <v>254</v>
      </c>
      <c r="ACT944">
        <v>254</v>
      </c>
      <c r="ACU944">
        <v>2668</v>
      </c>
      <c r="AML944" t="s">
        <v>754</v>
      </c>
      <c r="AMM944">
        <v>254</v>
      </c>
      <c r="AMN944">
        <v>254</v>
      </c>
      <c r="AMO944">
        <v>254</v>
      </c>
      <c r="AMP944">
        <v>254</v>
      </c>
      <c r="AMQ944">
        <v>2668</v>
      </c>
      <c r="AWH944" t="s">
        <v>754</v>
      </c>
      <c r="AWI944">
        <v>254</v>
      </c>
      <c r="AWJ944">
        <v>254</v>
      </c>
      <c r="AWK944">
        <v>254</v>
      </c>
      <c r="AWL944">
        <v>254</v>
      </c>
      <c r="AWM944">
        <v>2668</v>
      </c>
      <c r="BGD944" t="s">
        <v>754</v>
      </c>
      <c r="BGE944">
        <v>254</v>
      </c>
      <c r="BGF944">
        <v>254</v>
      </c>
      <c r="BGG944">
        <v>254</v>
      </c>
      <c r="BGH944">
        <v>254</v>
      </c>
      <c r="BGI944">
        <v>2668</v>
      </c>
      <c r="BPZ944" t="s">
        <v>754</v>
      </c>
      <c r="BQA944">
        <v>254</v>
      </c>
      <c r="BQB944">
        <v>254</v>
      </c>
      <c r="BQC944">
        <v>254</v>
      </c>
      <c r="BQD944">
        <v>254</v>
      </c>
      <c r="BQE944">
        <v>2668</v>
      </c>
      <c r="BZV944" t="s">
        <v>754</v>
      </c>
      <c r="BZW944">
        <v>254</v>
      </c>
      <c r="BZX944">
        <v>254</v>
      </c>
      <c r="BZY944">
        <v>254</v>
      </c>
      <c r="BZZ944">
        <v>254</v>
      </c>
      <c r="CAA944">
        <v>2668</v>
      </c>
      <c r="CJR944" t="s">
        <v>754</v>
      </c>
      <c r="CJS944">
        <v>254</v>
      </c>
      <c r="CJT944">
        <v>254</v>
      </c>
      <c r="CJU944">
        <v>254</v>
      </c>
      <c r="CJV944">
        <v>254</v>
      </c>
      <c r="CJW944">
        <v>2668</v>
      </c>
      <c r="CTN944" t="s">
        <v>754</v>
      </c>
      <c r="CTO944">
        <v>254</v>
      </c>
      <c r="CTP944">
        <v>254</v>
      </c>
      <c r="CTQ944">
        <v>254</v>
      </c>
      <c r="CTR944">
        <v>254</v>
      </c>
      <c r="CTS944">
        <v>2668</v>
      </c>
      <c r="DDJ944" t="s">
        <v>754</v>
      </c>
      <c r="DDK944">
        <v>254</v>
      </c>
      <c r="DDL944">
        <v>254</v>
      </c>
      <c r="DDM944">
        <v>254</v>
      </c>
      <c r="DDN944">
        <v>254</v>
      </c>
      <c r="DDO944">
        <v>2668</v>
      </c>
      <c r="DNF944" t="s">
        <v>754</v>
      </c>
      <c r="DNG944">
        <v>254</v>
      </c>
      <c r="DNH944">
        <v>254</v>
      </c>
      <c r="DNI944">
        <v>254</v>
      </c>
      <c r="DNJ944">
        <v>254</v>
      </c>
      <c r="DNK944">
        <v>2668</v>
      </c>
      <c r="DXB944" t="s">
        <v>754</v>
      </c>
      <c r="DXC944">
        <v>254</v>
      </c>
      <c r="DXD944">
        <v>254</v>
      </c>
      <c r="DXE944">
        <v>254</v>
      </c>
      <c r="DXF944">
        <v>254</v>
      </c>
      <c r="DXG944">
        <v>2668</v>
      </c>
      <c r="EGX944" t="s">
        <v>754</v>
      </c>
      <c r="EGY944">
        <v>254</v>
      </c>
      <c r="EGZ944">
        <v>254</v>
      </c>
      <c r="EHA944">
        <v>254</v>
      </c>
      <c r="EHB944">
        <v>254</v>
      </c>
      <c r="EHC944">
        <v>2668</v>
      </c>
      <c r="EQT944" t="s">
        <v>754</v>
      </c>
      <c r="EQU944">
        <v>254</v>
      </c>
      <c r="EQV944">
        <v>254</v>
      </c>
      <c r="EQW944">
        <v>254</v>
      </c>
      <c r="EQX944">
        <v>254</v>
      </c>
      <c r="EQY944">
        <v>2668</v>
      </c>
      <c r="FAP944" t="s">
        <v>754</v>
      </c>
      <c r="FAQ944">
        <v>254</v>
      </c>
      <c r="FAR944">
        <v>254</v>
      </c>
      <c r="FAS944">
        <v>254</v>
      </c>
      <c r="FAT944">
        <v>254</v>
      </c>
      <c r="FAU944">
        <v>2668</v>
      </c>
      <c r="FKL944" t="s">
        <v>754</v>
      </c>
      <c r="FKM944">
        <v>254</v>
      </c>
      <c r="FKN944">
        <v>254</v>
      </c>
      <c r="FKO944">
        <v>254</v>
      </c>
      <c r="FKP944">
        <v>254</v>
      </c>
      <c r="FKQ944">
        <v>2668</v>
      </c>
      <c r="FUH944" t="s">
        <v>754</v>
      </c>
      <c r="FUI944">
        <v>254</v>
      </c>
      <c r="FUJ944">
        <v>254</v>
      </c>
      <c r="FUK944">
        <v>254</v>
      </c>
      <c r="FUL944">
        <v>254</v>
      </c>
      <c r="FUM944">
        <v>2668</v>
      </c>
      <c r="GED944" t="s">
        <v>754</v>
      </c>
      <c r="GEE944">
        <v>254</v>
      </c>
      <c r="GEF944">
        <v>254</v>
      </c>
      <c r="GEG944">
        <v>254</v>
      </c>
      <c r="GEH944">
        <v>254</v>
      </c>
      <c r="GEI944">
        <v>2668</v>
      </c>
      <c r="GNZ944" t="s">
        <v>754</v>
      </c>
      <c r="GOA944">
        <v>254</v>
      </c>
      <c r="GOB944">
        <v>254</v>
      </c>
      <c r="GOC944">
        <v>254</v>
      </c>
      <c r="GOD944">
        <v>254</v>
      </c>
      <c r="GOE944">
        <v>2668</v>
      </c>
      <c r="GXV944" t="s">
        <v>754</v>
      </c>
      <c r="GXW944">
        <v>254</v>
      </c>
      <c r="GXX944">
        <v>254</v>
      </c>
      <c r="GXY944">
        <v>254</v>
      </c>
      <c r="GXZ944">
        <v>254</v>
      </c>
      <c r="GYA944">
        <v>2668</v>
      </c>
      <c r="HHR944" t="s">
        <v>754</v>
      </c>
      <c r="HHS944">
        <v>254</v>
      </c>
      <c r="HHT944">
        <v>254</v>
      </c>
      <c r="HHU944">
        <v>254</v>
      </c>
      <c r="HHV944">
        <v>254</v>
      </c>
      <c r="HHW944">
        <v>2668</v>
      </c>
      <c r="HRN944" t="s">
        <v>754</v>
      </c>
      <c r="HRO944">
        <v>254</v>
      </c>
      <c r="HRP944">
        <v>254</v>
      </c>
      <c r="HRQ944">
        <v>254</v>
      </c>
      <c r="HRR944">
        <v>254</v>
      </c>
      <c r="HRS944">
        <v>2668</v>
      </c>
      <c r="IBJ944" t="s">
        <v>754</v>
      </c>
      <c r="IBK944">
        <v>254</v>
      </c>
      <c r="IBL944">
        <v>254</v>
      </c>
      <c r="IBM944">
        <v>254</v>
      </c>
      <c r="IBN944">
        <v>254</v>
      </c>
      <c r="IBO944">
        <v>2668</v>
      </c>
      <c r="ILF944" t="s">
        <v>754</v>
      </c>
      <c r="ILG944">
        <v>254</v>
      </c>
      <c r="ILH944">
        <v>254</v>
      </c>
      <c r="ILI944">
        <v>254</v>
      </c>
      <c r="ILJ944">
        <v>254</v>
      </c>
      <c r="ILK944">
        <v>2668</v>
      </c>
      <c r="IVB944" t="s">
        <v>754</v>
      </c>
      <c r="IVC944">
        <v>254</v>
      </c>
      <c r="IVD944">
        <v>254</v>
      </c>
      <c r="IVE944">
        <v>254</v>
      </c>
      <c r="IVF944">
        <v>254</v>
      </c>
      <c r="IVG944">
        <v>2668</v>
      </c>
      <c r="JEX944" t="s">
        <v>754</v>
      </c>
      <c r="JEY944">
        <v>254</v>
      </c>
      <c r="JEZ944">
        <v>254</v>
      </c>
      <c r="JFA944">
        <v>254</v>
      </c>
      <c r="JFB944">
        <v>254</v>
      </c>
      <c r="JFC944">
        <v>2668</v>
      </c>
      <c r="JOT944" t="s">
        <v>754</v>
      </c>
      <c r="JOU944">
        <v>254</v>
      </c>
      <c r="JOV944">
        <v>254</v>
      </c>
      <c r="JOW944">
        <v>254</v>
      </c>
      <c r="JOX944">
        <v>254</v>
      </c>
      <c r="JOY944">
        <v>2668</v>
      </c>
      <c r="JYP944" t="s">
        <v>754</v>
      </c>
      <c r="JYQ944">
        <v>254</v>
      </c>
      <c r="JYR944">
        <v>254</v>
      </c>
      <c r="JYS944">
        <v>254</v>
      </c>
      <c r="JYT944">
        <v>254</v>
      </c>
      <c r="JYU944">
        <v>2668</v>
      </c>
      <c r="KIL944" t="s">
        <v>754</v>
      </c>
      <c r="KIM944">
        <v>254</v>
      </c>
      <c r="KIN944">
        <v>254</v>
      </c>
      <c r="KIO944">
        <v>254</v>
      </c>
      <c r="KIP944">
        <v>254</v>
      </c>
      <c r="KIQ944">
        <v>2668</v>
      </c>
      <c r="KSH944" t="s">
        <v>754</v>
      </c>
      <c r="KSI944">
        <v>254</v>
      </c>
      <c r="KSJ944">
        <v>254</v>
      </c>
      <c r="KSK944">
        <v>254</v>
      </c>
      <c r="KSL944">
        <v>254</v>
      </c>
      <c r="KSM944">
        <v>2668</v>
      </c>
      <c r="LCD944" t="s">
        <v>754</v>
      </c>
      <c r="LCE944">
        <v>254</v>
      </c>
      <c r="LCF944">
        <v>254</v>
      </c>
      <c r="LCG944">
        <v>254</v>
      </c>
      <c r="LCH944">
        <v>254</v>
      </c>
      <c r="LCI944">
        <v>2668</v>
      </c>
      <c r="LLZ944" t="s">
        <v>754</v>
      </c>
      <c r="LMA944">
        <v>254</v>
      </c>
      <c r="LMB944">
        <v>254</v>
      </c>
      <c r="LMC944">
        <v>254</v>
      </c>
      <c r="LMD944">
        <v>254</v>
      </c>
      <c r="LME944">
        <v>2668</v>
      </c>
      <c r="LVV944" t="s">
        <v>754</v>
      </c>
      <c r="LVW944">
        <v>254</v>
      </c>
      <c r="LVX944">
        <v>254</v>
      </c>
      <c r="LVY944">
        <v>254</v>
      </c>
      <c r="LVZ944">
        <v>254</v>
      </c>
      <c r="LWA944">
        <v>2668</v>
      </c>
      <c r="MFR944" t="s">
        <v>754</v>
      </c>
      <c r="MFS944">
        <v>254</v>
      </c>
      <c r="MFT944">
        <v>254</v>
      </c>
      <c r="MFU944">
        <v>254</v>
      </c>
      <c r="MFV944">
        <v>254</v>
      </c>
      <c r="MFW944">
        <v>2668</v>
      </c>
      <c r="MPN944" t="s">
        <v>754</v>
      </c>
      <c r="MPO944">
        <v>254</v>
      </c>
      <c r="MPP944">
        <v>254</v>
      </c>
      <c r="MPQ944">
        <v>254</v>
      </c>
      <c r="MPR944">
        <v>254</v>
      </c>
      <c r="MPS944">
        <v>2668</v>
      </c>
      <c r="MZJ944" t="s">
        <v>754</v>
      </c>
      <c r="MZK944">
        <v>254</v>
      </c>
      <c r="MZL944">
        <v>254</v>
      </c>
      <c r="MZM944">
        <v>254</v>
      </c>
      <c r="MZN944">
        <v>254</v>
      </c>
      <c r="MZO944">
        <v>2668</v>
      </c>
      <c r="NJF944" t="s">
        <v>754</v>
      </c>
      <c r="NJG944">
        <v>254</v>
      </c>
      <c r="NJH944">
        <v>254</v>
      </c>
      <c r="NJI944">
        <v>254</v>
      </c>
      <c r="NJJ944">
        <v>254</v>
      </c>
      <c r="NJK944">
        <v>2668</v>
      </c>
      <c r="NTB944" t="s">
        <v>754</v>
      </c>
      <c r="NTC944">
        <v>254</v>
      </c>
      <c r="NTD944">
        <v>254</v>
      </c>
      <c r="NTE944">
        <v>254</v>
      </c>
      <c r="NTF944">
        <v>254</v>
      </c>
      <c r="NTG944">
        <v>2668</v>
      </c>
      <c r="OCX944" t="s">
        <v>754</v>
      </c>
      <c r="OCY944">
        <v>254</v>
      </c>
      <c r="OCZ944">
        <v>254</v>
      </c>
      <c r="ODA944">
        <v>254</v>
      </c>
      <c r="ODB944">
        <v>254</v>
      </c>
      <c r="ODC944">
        <v>2668</v>
      </c>
      <c r="OMT944" t="s">
        <v>754</v>
      </c>
      <c r="OMU944">
        <v>254</v>
      </c>
      <c r="OMV944">
        <v>254</v>
      </c>
      <c r="OMW944">
        <v>254</v>
      </c>
      <c r="OMX944">
        <v>254</v>
      </c>
      <c r="OMY944">
        <v>2668</v>
      </c>
      <c r="OWP944" t="s">
        <v>754</v>
      </c>
      <c r="OWQ944">
        <v>254</v>
      </c>
      <c r="OWR944">
        <v>254</v>
      </c>
      <c r="OWS944">
        <v>254</v>
      </c>
      <c r="OWT944">
        <v>254</v>
      </c>
      <c r="OWU944">
        <v>2668</v>
      </c>
      <c r="PGL944" t="s">
        <v>754</v>
      </c>
      <c r="PGM944">
        <v>254</v>
      </c>
      <c r="PGN944">
        <v>254</v>
      </c>
      <c r="PGO944">
        <v>254</v>
      </c>
      <c r="PGP944">
        <v>254</v>
      </c>
      <c r="PGQ944">
        <v>2668</v>
      </c>
      <c r="PQH944" t="s">
        <v>754</v>
      </c>
      <c r="PQI944">
        <v>254</v>
      </c>
      <c r="PQJ944">
        <v>254</v>
      </c>
      <c r="PQK944">
        <v>254</v>
      </c>
      <c r="PQL944">
        <v>254</v>
      </c>
      <c r="PQM944">
        <v>2668</v>
      </c>
      <c r="QAD944" t="s">
        <v>754</v>
      </c>
      <c r="QAE944">
        <v>254</v>
      </c>
      <c r="QAF944">
        <v>254</v>
      </c>
      <c r="QAG944">
        <v>254</v>
      </c>
      <c r="QAH944">
        <v>254</v>
      </c>
      <c r="QAI944">
        <v>2668</v>
      </c>
      <c r="QJZ944" t="s">
        <v>754</v>
      </c>
      <c r="QKA944">
        <v>254</v>
      </c>
      <c r="QKB944">
        <v>254</v>
      </c>
      <c r="QKC944">
        <v>254</v>
      </c>
      <c r="QKD944">
        <v>254</v>
      </c>
      <c r="QKE944">
        <v>2668</v>
      </c>
      <c r="QTV944" t="s">
        <v>754</v>
      </c>
      <c r="QTW944">
        <v>254</v>
      </c>
      <c r="QTX944">
        <v>254</v>
      </c>
      <c r="QTY944">
        <v>254</v>
      </c>
      <c r="QTZ944">
        <v>254</v>
      </c>
      <c r="QUA944">
        <v>2668</v>
      </c>
      <c r="RDR944" t="s">
        <v>754</v>
      </c>
      <c r="RDS944">
        <v>254</v>
      </c>
      <c r="RDT944">
        <v>254</v>
      </c>
      <c r="RDU944">
        <v>254</v>
      </c>
      <c r="RDV944">
        <v>254</v>
      </c>
      <c r="RDW944">
        <v>2668</v>
      </c>
      <c r="RNN944" t="s">
        <v>754</v>
      </c>
      <c r="RNO944">
        <v>254</v>
      </c>
      <c r="RNP944">
        <v>254</v>
      </c>
      <c r="RNQ944">
        <v>254</v>
      </c>
      <c r="RNR944">
        <v>254</v>
      </c>
      <c r="RNS944">
        <v>2668</v>
      </c>
      <c r="RXJ944" t="s">
        <v>754</v>
      </c>
      <c r="RXK944">
        <v>254</v>
      </c>
      <c r="RXL944">
        <v>254</v>
      </c>
      <c r="RXM944">
        <v>254</v>
      </c>
      <c r="RXN944">
        <v>254</v>
      </c>
      <c r="RXO944">
        <v>2668</v>
      </c>
      <c r="SHF944" t="s">
        <v>754</v>
      </c>
      <c r="SHG944">
        <v>254</v>
      </c>
      <c r="SHH944">
        <v>254</v>
      </c>
      <c r="SHI944">
        <v>254</v>
      </c>
      <c r="SHJ944">
        <v>254</v>
      </c>
      <c r="SHK944">
        <v>2668</v>
      </c>
      <c r="SRB944" t="s">
        <v>754</v>
      </c>
      <c r="SRC944">
        <v>254</v>
      </c>
      <c r="SRD944">
        <v>254</v>
      </c>
      <c r="SRE944">
        <v>254</v>
      </c>
      <c r="SRF944">
        <v>254</v>
      </c>
      <c r="SRG944">
        <v>2668</v>
      </c>
      <c r="TAX944" t="s">
        <v>754</v>
      </c>
      <c r="TAY944">
        <v>254</v>
      </c>
      <c r="TAZ944">
        <v>254</v>
      </c>
      <c r="TBA944">
        <v>254</v>
      </c>
      <c r="TBB944">
        <v>254</v>
      </c>
      <c r="TBC944">
        <v>2668</v>
      </c>
      <c r="TKT944" t="s">
        <v>754</v>
      </c>
      <c r="TKU944">
        <v>254</v>
      </c>
      <c r="TKV944">
        <v>254</v>
      </c>
      <c r="TKW944">
        <v>254</v>
      </c>
      <c r="TKX944">
        <v>254</v>
      </c>
      <c r="TKY944">
        <v>2668</v>
      </c>
      <c r="TUP944" t="s">
        <v>754</v>
      </c>
      <c r="TUQ944">
        <v>254</v>
      </c>
      <c r="TUR944">
        <v>254</v>
      </c>
      <c r="TUS944">
        <v>254</v>
      </c>
      <c r="TUT944">
        <v>254</v>
      </c>
      <c r="TUU944">
        <v>2668</v>
      </c>
      <c r="UEL944" t="s">
        <v>754</v>
      </c>
      <c r="UEM944">
        <v>254</v>
      </c>
      <c r="UEN944">
        <v>254</v>
      </c>
      <c r="UEO944">
        <v>254</v>
      </c>
      <c r="UEP944">
        <v>254</v>
      </c>
      <c r="UEQ944">
        <v>2668</v>
      </c>
      <c r="UOH944" t="s">
        <v>754</v>
      </c>
      <c r="UOI944">
        <v>254</v>
      </c>
      <c r="UOJ944">
        <v>254</v>
      </c>
      <c r="UOK944">
        <v>254</v>
      </c>
      <c r="UOL944">
        <v>254</v>
      </c>
      <c r="UOM944">
        <v>2668</v>
      </c>
      <c r="UYD944" t="s">
        <v>754</v>
      </c>
      <c r="UYE944">
        <v>254</v>
      </c>
      <c r="UYF944">
        <v>254</v>
      </c>
      <c r="UYG944">
        <v>254</v>
      </c>
      <c r="UYH944">
        <v>254</v>
      </c>
      <c r="UYI944">
        <v>2668</v>
      </c>
      <c r="VHZ944" t="s">
        <v>754</v>
      </c>
      <c r="VIA944">
        <v>254</v>
      </c>
      <c r="VIB944">
        <v>254</v>
      </c>
      <c r="VIC944">
        <v>254</v>
      </c>
      <c r="VID944">
        <v>254</v>
      </c>
      <c r="VIE944">
        <v>2668</v>
      </c>
      <c r="VRV944" t="s">
        <v>754</v>
      </c>
      <c r="VRW944">
        <v>254</v>
      </c>
      <c r="VRX944">
        <v>254</v>
      </c>
      <c r="VRY944">
        <v>254</v>
      </c>
      <c r="VRZ944">
        <v>254</v>
      </c>
      <c r="VSA944">
        <v>2668</v>
      </c>
      <c r="WBR944" t="s">
        <v>754</v>
      </c>
      <c r="WBS944">
        <v>254</v>
      </c>
      <c r="WBT944">
        <v>254</v>
      </c>
      <c r="WBU944">
        <v>254</v>
      </c>
      <c r="WBV944">
        <v>254</v>
      </c>
      <c r="WBW944">
        <v>2668</v>
      </c>
      <c r="WLN944" t="s">
        <v>754</v>
      </c>
      <c r="WLO944">
        <v>254</v>
      </c>
      <c r="WLP944">
        <v>254</v>
      </c>
      <c r="WLQ944">
        <v>254</v>
      </c>
      <c r="WLR944">
        <v>254</v>
      </c>
      <c r="WLS944">
        <v>2668</v>
      </c>
      <c r="WVJ944" t="s">
        <v>754</v>
      </c>
      <c r="WVK944">
        <v>254</v>
      </c>
      <c r="WVL944">
        <v>254</v>
      </c>
      <c r="WVM944">
        <v>254</v>
      </c>
      <c r="WVN944">
        <v>254</v>
      </c>
      <c r="WVO944">
        <v>2668</v>
      </c>
    </row>
    <row r="945" spans="1:775 1026:1799 2050:2823 3074:3847 4098:4871 5122:5895 6146:6919 7170:7943 8194:8967 9218:9991 10242:11015 11266:12039 12290:13063 13314:14087 14338:15111 15362:16135">
      <c r="A945" s="96" t="s">
        <v>754</v>
      </c>
      <c r="B945" t="s">
        <v>755</v>
      </c>
      <c r="C945" s="100">
        <v>1329</v>
      </c>
      <c r="D945" s="100">
        <v>1347</v>
      </c>
      <c r="E945" s="100">
        <v>2205</v>
      </c>
      <c r="F945" s="100">
        <v>2418</v>
      </c>
      <c r="G945" s="98">
        <v>0</v>
      </c>
      <c r="H945" s="98"/>
      <c r="IX945" t="s">
        <v>754</v>
      </c>
      <c r="IY945">
        <v>1329</v>
      </c>
      <c r="IZ945">
        <v>1347</v>
      </c>
      <c r="JA945">
        <v>2205</v>
      </c>
      <c r="JB945">
        <v>2418</v>
      </c>
      <c r="JC945" t="s">
        <v>619</v>
      </c>
      <c r="ST945" t="s">
        <v>754</v>
      </c>
      <c r="SU945">
        <v>1329</v>
      </c>
      <c r="SV945">
        <v>1347</v>
      </c>
      <c r="SW945">
        <v>2205</v>
      </c>
      <c r="SX945">
        <v>2418</v>
      </c>
      <c r="SY945" t="s">
        <v>619</v>
      </c>
      <c r="ACP945" t="s">
        <v>754</v>
      </c>
      <c r="ACQ945">
        <v>1329</v>
      </c>
      <c r="ACR945">
        <v>1347</v>
      </c>
      <c r="ACS945">
        <v>2205</v>
      </c>
      <c r="ACT945">
        <v>2418</v>
      </c>
      <c r="ACU945" t="s">
        <v>619</v>
      </c>
      <c r="AML945" t="s">
        <v>754</v>
      </c>
      <c r="AMM945">
        <v>1329</v>
      </c>
      <c r="AMN945">
        <v>1347</v>
      </c>
      <c r="AMO945">
        <v>2205</v>
      </c>
      <c r="AMP945">
        <v>2418</v>
      </c>
      <c r="AMQ945" t="s">
        <v>619</v>
      </c>
      <c r="AWH945" t="s">
        <v>754</v>
      </c>
      <c r="AWI945">
        <v>1329</v>
      </c>
      <c r="AWJ945">
        <v>1347</v>
      </c>
      <c r="AWK945">
        <v>2205</v>
      </c>
      <c r="AWL945">
        <v>2418</v>
      </c>
      <c r="AWM945" t="s">
        <v>619</v>
      </c>
      <c r="BGD945" t="s">
        <v>754</v>
      </c>
      <c r="BGE945">
        <v>1329</v>
      </c>
      <c r="BGF945">
        <v>1347</v>
      </c>
      <c r="BGG945">
        <v>2205</v>
      </c>
      <c r="BGH945">
        <v>2418</v>
      </c>
      <c r="BGI945" t="s">
        <v>619</v>
      </c>
      <c r="BPZ945" t="s">
        <v>754</v>
      </c>
      <c r="BQA945">
        <v>1329</v>
      </c>
      <c r="BQB945">
        <v>1347</v>
      </c>
      <c r="BQC945">
        <v>2205</v>
      </c>
      <c r="BQD945">
        <v>2418</v>
      </c>
      <c r="BQE945" t="s">
        <v>619</v>
      </c>
      <c r="BZV945" t="s">
        <v>754</v>
      </c>
      <c r="BZW945">
        <v>1329</v>
      </c>
      <c r="BZX945">
        <v>1347</v>
      </c>
      <c r="BZY945">
        <v>2205</v>
      </c>
      <c r="BZZ945">
        <v>2418</v>
      </c>
      <c r="CAA945" t="s">
        <v>619</v>
      </c>
      <c r="CJR945" t="s">
        <v>754</v>
      </c>
      <c r="CJS945">
        <v>1329</v>
      </c>
      <c r="CJT945">
        <v>1347</v>
      </c>
      <c r="CJU945">
        <v>2205</v>
      </c>
      <c r="CJV945">
        <v>2418</v>
      </c>
      <c r="CJW945" t="s">
        <v>619</v>
      </c>
      <c r="CTN945" t="s">
        <v>754</v>
      </c>
      <c r="CTO945">
        <v>1329</v>
      </c>
      <c r="CTP945">
        <v>1347</v>
      </c>
      <c r="CTQ945">
        <v>2205</v>
      </c>
      <c r="CTR945">
        <v>2418</v>
      </c>
      <c r="CTS945" t="s">
        <v>619</v>
      </c>
      <c r="DDJ945" t="s">
        <v>754</v>
      </c>
      <c r="DDK945">
        <v>1329</v>
      </c>
      <c r="DDL945">
        <v>1347</v>
      </c>
      <c r="DDM945">
        <v>2205</v>
      </c>
      <c r="DDN945">
        <v>2418</v>
      </c>
      <c r="DDO945" t="s">
        <v>619</v>
      </c>
      <c r="DNF945" t="s">
        <v>754</v>
      </c>
      <c r="DNG945">
        <v>1329</v>
      </c>
      <c r="DNH945">
        <v>1347</v>
      </c>
      <c r="DNI945">
        <v>2205</v>
      </c>
      <c r="DNJ945">
        <v>2418</v>
      </c>
      <c r="DNK945" t="s">
        <v>619</v>
      </c>
      <c r="DXB945" t="s">
        <v>754</v>
      </c>
      <c r="DXC945">
        <v>1329</v>
      </c>
      <c r="DXD945">
        <v>1347</v>
      </c>
      <c r="DXE945">
        <v>2205</v>
      </c>
      <c r="DXF945">
        <v>2418</v>
      </c>
      <c r="DXG945" t="s">
        <v>619</v>
      </c>
      <c r="EGX945" t="s">
        <v>754</v>
      </c>
      <c r="EGY945">
        <v>1329</v>
      </c>
      <c r="EGZ945">
        <v>1347</v>
      </c>
      <c r="EHA945">
        <v>2205</v>
      </c>
      <c r="EHB945">
        <v>2418</v>
      </c>
      <c r="EHC945" t="s">
        <v>619</v>
      </c>
      <c r="EQT945" t="s">
        <v>754</v>
      </c>
      <c r="EQU945">
        <v>1329</v>
      </c>
      <c r="EQV945">
        <v>1347</v>
      </c>
      <c r="EQW945">
        <v>2205</v>
      </c>
      <c r="EQX945">
        <v>2418</v>
      </c>
      <c r="EQY945" t="s">
        <v>619</v>
      </c>
      <c r="FAP945" t="s">
        <v>754</v>
      </c>
      <c r="FAQ945">
        <v>1329</v>
      </c>
      <c r="FAR945">
        <v>1347</v>
      </c>
      <c r="FAS945">
        <v>2205</v>
      </c>
      <c r="FAT945">
        <v>2418</v>
      </c>
      <c r="FAU945" t="s">
        <v>619</v>
      </c>
      <c r="FKL945" t="s">
        <v>754</v>
      </c>
      <c r="FKM945">
        <v>1329</v>
      </c>
      <c r="FKN945">
        <v>1347</v>
      </c>
      <c r="FKO945">
        <v>2205</v>
      </c>
      <c r="FKP945">
        <v>2418</v>
      </c>
      <c r="FKQ945" t="s">
        <v>619</v>
      </c>
      <c r="FUH945" t="s">
        <v>754</v>
      </c>
      <c r="FUI945">
        <v>1329</v>
      </c>
      <c r="FUJ945">
        <v>1347</v>
      </c>
      <c r="FUK945">
        <v>2205</v>
      </c>
      <c r="FUL945">
        <v>2418</v>
      </c>
      <c r="FUM945" t="s">
        <v>619</v>
      </c>
      <c r="GED945" t="s">
        <v>754</v>
      </c>
      <c r="GEE945">
        <v>1329</v>
      </c>
      <c r="GEF945">
        <v>1347</v>
      </c>
      <c r="GEG945">
        <v>2205</v>
      </c>
      <c r="GEH945">
        <v>2418</v>
      </c>
      <c r="GEI945" t="s">
        <v>619</v>
      </c>
      <c r="GNZ945" t="s">
        <v>754</v>
      </c>
      <c r="GOA945">
        <v>1329</v>
      </c>
      <c r="GOB945">
        <v>1347</v>
      </c>
      <c r="GOC945">
        <v>2205</v>
      </c>
      <c r="GOD945">
        <v>2418</v>
      </c>
      <c r="GOE945" t="s">
        <v>619</v>
      </c>
      <c r="GXV945" t="s">
        <v>754</v>
      </c>
      <c r="GXW945">
        <v>1329</v>
      </c>
      <c r="GXX945">
        <v>1347</v>
      </c>
      <c r="GXY945">
        <v>2205</v>
      </c>
      <c r="GXZ945">
        <v>2418</v>
      </c>
      <c r="GYA945" t="s">
        <v>619</v>
      </c>
      <c r="HHR945" t="s">
        <v>754</v>
      </c>
      <c r="HHS945">
        <v>1329</v>
      </c>
      <c r="HHT945">
        <v>1347</v>
      </c>
      <c r="HHU945">
        <v>2205</v>
      </c>
      <c r="HHV945">
        <v>2418</v>
      </c>
      <c r="HHW945" t="s">
        <v>619</v>
      </c>
      <c r="HRN945" t="s">
        <v>754</v>
      </c>
      <c r="HRO945">
        <v>1329</v>
      </c>
      <c r="HRP945">
        <v>1347</v>
      </c>
      <c r="HRQ945">
        <v>2205</v>
      </c>
      <c r="HRR945">
        <v>2418</v>
      </c>
      <c r="HRS945" t="s">
        <v>619</v>
      </c>
      <c r="IBJ945" t="s">
        <v>754</v>
      </c>
      <c r="IBK945">
        <v>1329</v>
      </c>
      <c r="IBL945">
        <v>1347</v>
      </c>
      <c r="IBM945">
        <v>2205</v>
      </c>
      <c r="IBN945">
        <v>2418</v>
      </c>
      <c r="IBO945" t="s">
        <v>619</v>
      </c>
      <c r="ILF945" t="s">
        <v>754</v>
      </c>
      <c r="ILG945">
        <v>1329</v>
      </c>
      <c r="ILH945">
        <v>1347</v>
      </c>
      <c r="ILI945">
        <v>2205</v>
      </c>
      <c r="ILJ945">
        <v>2418</v>
      </c>
      <c r="ILK945" t="s">
        <v>619</v>
      </c>
      <c r="IVB945" t="s">
        <v>754</v>
      </c>
      <c r="IVC945">
        <v>1329</v>
      </c>
      <c r="IVD945">
        <v>1347</v>
      </c>
      <c r="IVE945">
        <v>2205</v>
      </c>
      <c r="IVF945">
        <v>2418</v>
      </c>
      <c r="IVG945" t="s">
        <v>619</v>
      </c>
      <c r="JEX945" t="s">
        <v>754</v>
      </c>
      <c r="JEY945">
        <v>1329</v>
      </c>
      <c r="JEZ945">
        <v>1347</v>
      </c>
      <c r="JFA945">
        <v>2205</v>
      </c>
      <c r="JFB945">
        <v>2418</v>
      </c>
      <c r="JFC945" t="s">
        <v>619</v>
      </c>
      <c r="JOT945" t="s">
        <v>754</v>
      </c>
      <c r="JOU945">
        <v>1329</v>
      </c>
      <c r="JOV945">
        <v>1347</v>
      </c>
      <c r="JOW945">
        <v>2205</v>
      </c>
      <c r="JOX945">
        <v>2418</v>
      </c>
      <c r="JOY945" t="s">
        <v>619</v>
      </c>
      <c r="JYP945" t="s">
        <v>754</v>
      </c>
      <c r="JYQ945">
        <v>1329</v>
      </c>
      <c r="JYR945">
        <v>1347</v>
      </c>
      <c r="JYS945">
        <v>2205</v>
      </c>
      <c r="JYT945">
        <v>2418</v>
      </c>
      <c r="JYU945" t="s">
        <v>619</v>
      </c>
      <c r="KIL945" t="s">
        <v>754</v>
      </c>
      <c r="KIM945">
        <v>1329</v>
      </c>
      <c r="KIN945">
        <v>1347</v>
      </c>
      <c r="KIO945">
        <v>2205</v>
      </c>
      <c r="KIP945">
        <v>2418</v>
      </c>
      <c r="KIQ945" t="s">
        <v>619</v>
      </c>
      <c r="KSH945" t="s">
        <v>754</v>
      </c>
      <c r="KSI945">
        <v>1329</v>
      </c>
      <c r="KSJ945">
        <v>1347</v>
      </c>
      <c r="KSK945">
        <v>2205</v>
      </c>
      <c r="KSL945">
        <v>2418</v>
      </c>
      <c r="KSM945" t="s">
        <v>619</v>
      </c>
      <c r="LCD945" t="s">
        <v>754</v>
      </c>
      <c r="LCE945">
        <v>1329</v>
      </c>
      <c r="LCF945">
        <v>1347</v>
      </c>
      <c r="LCG945">
        <v>2205</v>
      </c>
      <c r="LCH945">
        <v>2418</v>
      </c>
      <c r="LCI945" t="s">
        <v>619</v>
      </c>
      <c r="LLZ945" t="s">
        <v>754</v>
      </c>
      <c r="LMA945">
        <v>1329</v>
      </c>
      <c r="LMB945">
        <v>1347</v>
      </c>
      <c r="LMC945">
        <v>2205</v>
      </c>
      <c r="LMD945">
        <v>2418</v>
      </c>
      <c r="LME945" t="s">
        <v>619</v>
      </c>
      <c r="LVV945" t="s">
        <v>754</v>
      </c>
      <c r="LVW945">
        <v>1329</v>
      </c>
      <c r="LVX945">
        <v>1347</v>
      </c>
      <c r="LVY945">
        <v>2205</v>
      </c>
      <c r="LVZ945">
        <v>2418</v>
      </c>
      <c r="LWA945" t="s">
        <v>619</v>
      </c>
      <c r="MFR945" t="s">
        <v>754</v>
      </c>
      <c r="MFS945">
        <v>1329</v>
      </c>
      <c r="MFT945">
        <v>1347</v>
      </c>
      <c r="MFU945">
        <v>2205</v>
      </c>
      <c r="MFV945">
        <v>2418</v>
      </c>
      <c r="MFW945" t="s">
        <v>619</v>
      </c>
      <c r="MPN945" t="s">
        <v>754</v>
      </c>
      <c r="MPO945">
        <v>1329</v>
      </c>
      <c r="MPP945">
        <v>1347</v>
      </c>
      <c r="MPQ945">
        <v>2205</v>
      </c>
      <c r="MPR945">
        <v>2418</v>
      </c>
      <c r="MPS945" t="s">
        <v>619</v>
      </c>
      <c r="MZJ945" t="s">
        <v>754</v>
      </c>
      <c r="MZK945">
        <v>1329</v>
      </c>
      <c r="MZL945">
        <v>1347</v>
      </c>
      <c r="MZM945">
        <v>2205</v>
      </c>
      <c r="MZN945">
        <v>2418</v>
      </c>
      <c r="MZO945" t="s">
        <v>619</v>
      </c>
      <c r="NJF945" t="s">
        <v>754</v>
      </c>
      <c r="NJG945">
        <v>1329</v>
      </c>
      <c r="NJH945">
        <v>1347</v>
      </c>
      <c r="NJI945">
        <v>2205</v>
      </c>
      <c r="NJJ945">
        <v>2418</v>
      </c>
      <c r="NJK945" t="s">
        <v>619</v>
      </c>
      <c r="NTB945" t="s">
        <v>754</v>
      </c>
      <c r="NTC945">
        <v>1329</v>
      </c>
      <c r="NTD945">
        <v>1347</v>
      </c>
      <c r="NTE945">
        <v>2205</v>
      </c>
      <c r="NTF945">
        <v>2418</v>
      </c>
      <c r="NTG945" t="s">
        <v>619</v>
      </c>
      <c r="OCX945" t="s">
        <v>754</v>
      </c>
      <c r="OCY945">
        <v>1329</v>
      </c>
      <c r="OCZ945">
        <v>1347</v>
      </c>
      <c r="ODA945">
        <v>2205</v>
      </c>
      <c r="ODB945">
        <v>2418</v>
      </c>
      <c r="ODC945" t="s">
        <v>619</v>
      </c>
      <c r="OMT945" t="s">
        <v>754</v>
      </c>
      <c r="OMU945">
        <v>1329</v>
      </c>
      <c r="OMV945">
        <v>1347</v>
      </c>
      <c r="OMW945">
        <v>2205</v>
      </c>
      <c r="OMX945">
        <v>2418</v>
      </c>
      <c r="OMY945" t="s">
        <v>619</v>
      </c>
      <c r="OWP945" t="s">
        <v>754</v>
      </c>
      <c r="OWQ945">
        <v>1329</v>
      </c>
      <c r="OWR945">
        <v>1347</v>
      </c>
      <c r="OWS945">
        <v>2205</v>
      </c>
      <c r="OWT945">
        <v>2418</v>
      </c>
      <c r="OWU945" t="s">
        <v>619</v>
      </c>
      <c r="PGL945" t="s">
        <v>754</v>
      </c>
      <c r="PGM945">
        <v>1329</v>
      </c>
      <c r="PGN945">
        <v>1347</v>
      </c>
      <c r="PGO945">
        <v>2205</v>
      </c>
      <c r="PGP945">
        <v>2418</v>
      </c>
      <c r="PGQ945" t="s">
        <v>619</v>
      </c>
      <c r="PQH945" t="s">
        <v>754</v>
      </c>
      <c r="PQI945">
        <v>1329</v>
      </c>
      <c r="PQJ945">
        <v>1347</v>
      </c>
      <c r="PQK945">
        <v>2205</v>
      </c>
      <c r="PQL945">
        <v>2418</v>
      </c>
      <c r="PQM945" t="s">
        <v>619</v>
      </c>
      <c r="QAD945" t="s">
        <v>754</v>
      </c>
      <c r="QAE945">
        <v>1329</v>
      </c>
      <c r="QAF945">
        <v>1347</v>
      </c>
      <c r="QAG945">
        <v>2205</v>
      </c>
      <c r="QAH945">
        <v>2418</v>
      </c>
      <c r="QAI945" t="s">
        <v>619</v>
      </c>
      <c r="QJZ945" t="s">
        <v>754</v>
      </c>
      <c r="QKA945">
        <v>1329</v>
      </c>
      <c r="QKB945">
        <v>1347</v>
      </c>
      <c r="QKC945">
        <v>2205</v>
      </c>
      <c r="QKD945">
        <v>2418</v>
      </c>
      <c r="QKE945" t="s">
        <v>619</v>
      </c>
      <c r="QTV945" t="s">
        <v>754</v>
      </c>
      <c r="QTW945">
        <v>1329</v>
      </c>
      <c r="QTX945">
        <v>1347</v>
      </c>
      <c r="QTY945">
        <v>2205</v>
      </c>
      <c r="QTZ945">
        <v>2418</v>
      </c>
      <c r="QUA945" t="s">
        <v>619</v>
      </c>
      <c r="RDR945" t="s">
        <v>754</v>
      </c>
      <c r="RDS945">
        <v>1329</v>
      </c>
      <c r="RDT945">
        <v>1347</v>
      </c>
      <c r="RDU945">
        <v>2205</v>
      </c>
      <c r="RDV945">
        <v>2418</v>
      </c>
      <c r="RDW945" t="s">
        <v>619</v>
      </c>
      <c r="RNN945" t="s">
        <v>754</v>
      </c>
      <c r="RNO945">
        <v>1329</v>
      </c>
      <c r="RNP945">
        <v>1347</v>
      </c>
      <c r="RNQ945">
        <v>2205</v>
      </c>
      <c r="RNR945">
        <v>2418</v>
      </c>
      <c r="RNS945" t="s">
        <v>619</v>
      </c>
      <c r="RXJ945" t="s">
        <v>754</v>
      </c>
      <c r="RXK945">
        <v>1329</v>
      </c>
      <c r="RXL945">
        <v>1347</v>
      </c>
      <c r="RXM945">
        <v>2205</v>
      </c>
      <c r="RXN945">
        <v>2418</v>
      </c>
      <c r="RXO945" t="s">
        <v>619</v>
      </c>
      <c r="SHF945" t="s">
        <v>754</v>
      </c>
      <c r="SHG945">
        <v>1329</v>
      </c>
      <c r="SHH945">
        <v>1347</v>
      </c>
      <c r="SHI945">
        <v>2205</v>
      </c>
      <c r="SHJ945">
        <v>2418</v>
      </c>
      <c r="SHK945" t="s">
        <v>619</v>
      </c>
      <c r="SRB945" t="s">
        <v>754</v>
      </c>
      <c r="SRC945">
        <v>1329</v>
      </c>
      <c r="SRD945">
        <v>1347</v>
      </c>
      <c r="SRE945">
        <v>2205</v>
      </c>
      <c r="SRF945">
        <v>2418</v>
      </c>
      <c r="SRG945" t="s">
        <v>619</v>
      </c>
      <c r="TAX945" t="s">
        <v>754</v>
      </c>
      <c r="TAY945">
        <v>1329</v>
      </c>
      <c r="TAZ945">
        <v>1347</v>
      </c>
      <c r="TBA945">
        <v>2205</v>
      </c>
      <c r="TBB945">
        <v>2418</v>
      </c>
      <c r="TBC945" t="s">
        <v>619</v>
      </c>
      <c r="TKT945" t="s">
        <v>754</v>
      </c>
      <c r="TKU945">
        <v>1329</v>
      </c>
      <c r="TKV945">
        <v>1347</v>
      </c>
      <c r="TKW945">
        <v>2205</v>
      </c>
      <c r="TKX945">
        <v>2418</v>
      </c>
      <c r="TKY945" t="s">
        <v>619</v>
      </c>
      <c r="TUP945" t="s">
        <v>754</v>
      </c>
      <c r="TUQ945">
        <v>1329</v>
      </c>
      <c r="TUR945">
        <v>1347</v>
      </c>
      <c r="TUS945">
        <v>2205</v>
      </c>
      <c r="TUT945">
        <v>2418</v>
      </c>
      <c r="TUU945" t="s">
        <v>619</v>
      </c>
      <c r="UEL945" t="s">
        <v>754</v>
      </c>
      <c r="UEM945">
        <v>1329</v>
      </c>
      <c r="UEN945">
        <v>1347</v>
      </c>
      <c r="UEO945">
        <v>2205</v>
      </c>
      <c r="UEP945">
        <v>2418</v>
      </c>
      <c r="UEQ945" t="s">
        <v>619</v>
      </c>
      <c r="UOH945" t="s">
        <v>754</v>
      </c>
      <c r="UOI945">
        <v>1329</v>
      </c>
      <c r="UOJ945">
        <v>1347</v>
      </c>
      <c r="UOK945">
        <v>2205</v>
      </c>
      <c r="UOL945">
        <v>2418</v>
      </c>
      <c r="UOM945" t="s">
        <v>619</v>
      </c>
      <c r="UYD945" t="s">
        <v>754</v>
      </c>
      <c r="UYE945">
        <v>1329</v>
      </c>
      <c r="UYF945">
        <v>1347</v>
      </c>
      <c r="UYG945">
        <v>2205</v>
      </c>
      <c r="UYH945">
        <v>2418</v>
      </c>
      <c r="UYI945" t="s">
        <v>619</v>
      </c>
      <c r="VHZ945" t="s">
        <v>754</v>
      </c>
      <c r="VIA945">
        <v>1329</v>
      </c>
      <c r="VIB945">
        <v>1347</v>
      </c>
      <c r="VIC945">
        <v>2205</v>
      </c>
      <c r="VID945">
        <v>2418</v>
      </c>
      <c r="VIE945" t="s">
        <v>619</v>
      </c>
      <c r="VRV945" t="s">
        <v>754</v>
      </c>
      <c r="VRW945">
        <v>1329</v>
      </c>
      <c r="VRX945">
        <v>1347</v>
      </c>
      <c r="VRY945">
        <v>2205</v>
      </c>
      <c r="VRZ945">
        <v>2418</v>
      </c>
      <c r="VSA945" t="s">
        <v>619</v>
      </c>
      <c r="WBR945" t="s">
        <v>754</v>
      </c>
      <c r="WBS945">
        <v>1329</v>
      </c>
      <c r="WBT945">
        <v>1347</v>
      </c>
      <c r="WBU945">
        <v>2205</v>
      </c>
      <c r="WBV945">
        <v>2418</v>
      </c>
      <c r="WBW945" t="s">
        <v>619</v>
      </c>
      <c r="WLN945" t="s">
        <v>754</v>
      </c>
      <c r="WLO945">
        <v>1329</v>
      </c>
      <c r="WLP945">
        <v>1347</v>
      </c>
      <c r="WLQ945">
        <v>2205</v>
      </c>
      <c r="WLR945">
        <v>2418</v>
      </c>
      <c r="WLS945" t="s">
        <v>619</v>
      </c>
      <c r="WVJ945" t="s">
        <v>754</v>
      </c>
      <c r="WVK945">
        <v>1329</v>
      </c>
      <c r="WVL945">
        <v>1347</v>
      </c>
      <c r="WVM945">
        <v>2205</v>
      </c>
      <c r="WVN945">
        <v>2418</v>
      </c>
      <c r="WVO945" t="s">
        <v>619</v>
      </c>
    </row>
    <row r="946" spans="1:775 1026:1799 2050:2823 3074:3847 4098:4871 5122:5895 6146:6919 7170:7943 8194:8967 9218:9991 10242:11015 11266:12039 12290:13063 13314:14087 14338:15111 15362:16135">
      <c r="A946" s="96" t="s">
        <v>756</v>
      </c>
      <c r="B946" t="s">
        <v>755</v>
      </c>
      <c r="C946" s="100">
        <v>41918936</v>
      </c>
      <c r="D946" s="100">
        <v>40227856</v>
      </c>
      <c r="E946" s="100">
        <v>78880014</v>
      </c>
      <c r="F946" s="100">
        <v>92467072</v>
      </c>
      <c r="G946" s="100">
        <v>94593062</v>
      </c>
      <c r="H946" s="100"/>
      <c r="IX946" t="s">
        <v>1341</v>
      </c>
      <c r="IY946">
        <v>41918936</v>
      </c>
      <c r="IZ946">
        <v>40227856</v>
      </c>
      <c r="JA946">
        <v>78880014</v>
      </c>
      <c r="JB946">
        <v>92467072</v>
      </c>
      <c r="JC946">
        <v>94593062</v>
      </c>
      <c r="ST946" t="s">
        <v>1341</v>
      </c>
      <c r="SU946">
        <v>41918936</v>
      </c>
      <c r="SV946">
        <v>40227856</v>
      </c>
      <c r="SW946">
        <v>78880014</v>
      </c>
      <c r="SX946">
        <v>92467072</v>
      </c>
      <c r="SY946">
        <v>94593062</v>
      </c>
      <c r="ACP946" t="s">
        <v>1341</v>
      </c>
      <c r="ACQ946">
        <v>41918936</v>
      </c>
      <c r="ACR946">
        <v>40227856</v>
      </c>
      <c r="ACS946">
        <v>78880014</v>
      </c>
      <c r="ACT946">
        <v>92467072</v>
      </c>
      <c r="ACU946">
        <v>94593062</v>
      </c>
      <c r="AML946" t="s">
        <v>1341</v>
      </c>
      <c r="AMM946">
        <v>41918936</v>
      </c>
      <c r="AMN946">
        <v>40227856</v>
      </c>
      <c r="AMO946">
        <v>78880014</v>
      </c>
      <c r="AMP946">
        <v>92467072</v>
      </c>
      <c r="AMQ946">
        <v>94593062</v>
      </c>
      <c r="AWH946" t="s">
        <v>1341</v>
      </c>
      <c r="AWI946">
        <v>41918936</v>
      </c>
      <c r="AWJ946">
        <v>40227856</v>
      </c>
      <c r="AWK946">
        <v>78880014</v>
      </c>
      <c r="AWL946">
        <v>92467072</v>
      </c>
      <c r="AWM946">
        <v>94593062</v>
      </c>
      <c r="BGD946" t="s">
        <v>1341</v>
      </c>
      <c r="BGE946">
        <v>41918936</v>
      </c>
      <c r="BGF946">
        <v>40227856</v>
      </c>
      <c r="BGG946">
        <v>78880014</v>
      </c>
      <c r="BGH946">
        <v>92467072</v>
      </c>
      <c r="BGI946">
        <v>94593062</v>
      </c>
      <c r="BPZ946" t="s">
        <v>1341</v>
      </c>
      <c r="BQA946">
        <v>41918936</v>
      </c>
      <c r="BQB946">
        <v>40227856</v>
      </c>
      <c r="BQC946">
        <v>78880014</v>
      </c>
      <c r="BQD946">
        <v>92467072</v>
      </c>
      <c r="BQE946">
        <v>94593062</v>
      </c>
      <c r="BZV946" t="s">
        <v>1341</v>
      </c>
      <c r="BZW946">
        <v>41918936</v>
      </c>
      <c r="BZX946">
        <v>40227856</v>
      </c>
      <c r="BZY946">
        <v>78880014</v>
      </c>
      <c r="BZZ946">
        <v>92467072</v>
      </c>
      <c r="CAA946">
        <v>94593062</v>
      </c>
      <c r="CJR946" t="s">
        <v>1341</v>
      </c>
      <c r="CJS946">
        <v>41918936</v>
      </c>
      <c r="CJT946">
        <v>40227856</v>
      </c>
      <c r="CJU946">
        <v>78880014</v>
      </c>
      <c r="CJV946">
        <v>92467072</v>
      </c>
      <c r="CJW946">
        <v>94593062</v>
      </c>
      <c r="CTN946" t="s">
        <v>1341</v>
      </c>
      <c r="CTO946">
        <v>41918936</v>
      </c>
      <c r="CTP946">
        <v>40227856</v>
      </c>
      <c r="CTQ946">
        <v>78880014</v>
      </c>
      <c r="CTR946">
        <v>92467072</v>
      </c>
      <c r="CTS946">
        <v>94593062</v>
      </c>
      <c r="DDJ946" t="s">
        <v>1341</v>
      </c>
      <c r="DDK946">
        <v>41918936</v>
      </c>
      <c r="DDL946">
        <v>40227856</v>
      </c>
      <c r="DDM946">
        <v>78880014</v>
      </c>
      <c r="DDN946">
        <v>92467072</v>
      </c>
      <c r="DDO946">
        <v>94593062</v>
      </c>
      <c r="DNF946" t="s">
        <v>1341</v>
      </c>
      <c r="DNG946">
        <v>41918936</v>
      </c>
      <c r="DNH946">
        <v>40227856</v>
      </c>
      <c r="DNI946">
        <v>78880014</v>
      </c>
      <c r="DNJ946">
        <v>92467072</v>
      </c>
      <c r="DNK946">
        <v>94593062</v>
      </c>
      <c r="DXB946" t="s">
        <v>1341</v>
      </c>
      <c r="DXC946">
        <v>41918936</v>
      </c>
      <c r="DXD946">
        <v>40227856</v>
      </c>
      <c r="DXE946">
        <v>78880014</v>
      </c>
      <c r="DXF946">
        <v>92467072</v>
      </c>
      <c r="DXG946">
        <v>94593062</v>
      </c>
      <c r="EGX946" t="s">
        <v>1341</v>
      </c>
      <c r="EGY946">
        <v>41918936</v>
      </c>
      <c r="EGZ946">
        <v>40227856</v>
      </c>
      <c r="EHA946">
        <v>78880014</v>
      </c>
      <c r="EHB946">
        <v>92467072</v>
      </c>
      <c r="EHC946">
        <v>94593062</v>
      </c>
      <c r="EQT946" t="s">
        <v>1341</v>
      </c>
      <c r="EQU946">
        <v>41918936</v>
      </c>
      <c r="EQV946">
        <v>40227856</v>
      </c>
      <c r="EQW946">
        <v>78880014</v>
      </c>
      <c r="EQX946">
        <v>92467072</v>
      </c>
      <c r="EQY946">
        <v>94593062</v>
      </c>
      <c r="FAP946" t="s">
        <v>1341</v>
      </c>
      <c r="FAQ946">
        <v>41918936</v>
      </c>
      <c r="FAR946">
        <v>40227856</v>
      </c>
      <c r="FAS946">
        <v>78880014</v>
      </c>
      <c r="FAT946">
        <v>92467072</v>
      </c>
      <c r="FAU946">
        <v>94593062</v>
      </c>
      <c r="FKL946" t="s">
        <v>1341</v>
      </c>
      <c r="FKM946">
        <v>41918936</v>
      </c>
      <c r="FKN946">
        <v>40227856</v>
      </c>
      <c r="FKO946">
        <v>78880014</v>
      </c>
      <c r="FKP946">
        <v>92467072</v>
      </c>
      <c r="FKQ946">
        <v>94593062</v>
      </c>
      <c r="FUH946" t="s">
        <v>1341</v>
      </c>
      <c r="FUI946">
        <v>41918936</v>
      </c>
      <c r="FUJ946">
        <v>40227856</v>
      </c>
      <c r="FUK946">
        <v>78880014</v>
      </c>
      <c r="FUL946">
        <v>92467072</v>
      </c>
      <c r="FUM946">
        <v>94593062</v>
      </c>
      <c r="GED946" t="s">
        <v>1341</v>
      </c>
      <c r="GEE946">
        <v>41918936</v>
      </c>
      <c r="GEF946">
        <v>40227856</v>
      </c>
      <c r="GEG946">
        <v>78880014</v>
      </c>
      <c r="GEH946">
        <v>92467072</v>
      </c>
      <c r="GEI946">
        <v>94593062</v>
      </c>
      <c r="GNZ946" t="s">
        <v>1341</v>
      </c>
      <c r="GOA946">
        <v>41918936</v>
      </c>
      <c r="GOB946">
        <v>40227856</v>
      </c>
      <c r="GOC946">
        <v>78880014</v>
      </c>
      <c r="GOD946">
        <v>92467072</v>
      </c>
      <c r="GOE946">
        <v>94593062</v>
      </c>
      <c r="GXV946" t="s">
        <v>1341</v>
      </c>
      <c r="GXW946">
        <v>41918936</v>
      </c>
      <c r="GXX946">
        <v>40227856</v>
      </c>
      <c r="GXY946">
        <v>78880014</v>
      </c>
      <c r="GXZ946">
        <v>92467072</v>
      </c>
      <c r="GYA946">
        <v>94593062</v>
      </c>
      <c r="HHR946" t="s">
        <v>1341</v>
      </c>
      <c r="HHS946">
        <v>41918936</v>
      </c>
      <c r="HHT946">
        <v>40227856</v>
      </c>
      <c r="HHU946">
        <v>78880014</v>
      </c>
      <c r="HHV946">
        <v>92467072</v>
      </c>
      <c r="HHW946">
        <v>94593062</v>
      </c>
      <c r="HRN946" t="s">
        <v>1341</v>
      </c>
      <c r="HRO946">
        <v>41918936</v>
      </c>
      <c r="HRP946">
        <v>40227856</v>
      </c>
      <c r="HRQ946">
        <v>78880014</v>
      </c>
      <c r="HRR946">
        <v>92467072</v>
      </c>
      <c r="HRS946">
        <v>94593062</v>
      </c>
      <c r="IBJ946" t="s">
        <v>1341</v>
      </c>
      <c r="IBK946">
        <v>41918936</v>
      </c>
      <c r="IBL946">
        <v>40227856</v>
      </c>
      <c r="IBM946">
        <v>78880014</v>
      </c>
      <c r="IBN946">
        <v>92467072</v>
      </c>
      <c r="IBO946">
        <v>94593062</v>
      </c>
      <c r="ILF946" t="s">
        <v>1341</v>
      </c>
      <c r="ILG946">
        <v>41918936</v>
      </c>
      <c r="ILH946">
        <v>40227856</v>
      </c>
      <c r="ILI946">
        <v>78880014</v>
      </c>
      <c r="ILJ946">
        <v>92467072</v>
      </c>
      <c r="ILK946">
        <v>94593062</v>
      </c>
      <c r="IVB946" t="s">
        <v>1341</v>
      </c>
      <c r="IVC946">
        <v>41918936</v>
      </c>
      <c r="IVD946">
        <v>40227856</v>
      </c>
      <c r="IVE946">
        <v>78880014</v>
      </c>
      <c r="IVF946">
        <v>92467072</v>
      </c>
      <c r="IVG946">
        <v>94593062</v>
      </c>
      <c r="JEX946" t="s">
        <v>1341</v>
      </c>
      <c r="JEY946">
        <v>41918936</v>
      </c>
      <c r="JEZ946">
        <v>40227856</v>
      </c>
      <c r="JFA946">
        <v>78880014</v>
      </c>
      <c r="JFB946">
        <v>92467072</v>
      </c>
      <c r="JFC946">
        <v>94593062</v>
      </c>
      <c r="JOT946" t="s">
        <v>1341</v>
      </c>
      <c r="JOU946">
        <v>41918936</v>
      </c>
      <c r="JOV946">
        <v>40227856</v>
      </c>
      <c r="JOW946">
        <v>78880014</v>
      </c>
      <c r="JOX946">
        <v>92467072</v>
      </c>
      <c r="JOY946">
        <v>94593062</v>
      </c>
      <c r="JYP946" t="s">
        <v>1341</v>
      </c>
      <c r="JYQ946">
        <v>41918936</v>
      </c>
      <c r="JYR946">
        <v>40227856</v>
      </c>
      <c r="JYS946">
        <v>78880014</v>
      </c>
      <c r="JYT946">
        <v>92467072</v>
      </c>
      <c r="JYU946">
        <v>94593062</v>
      </c>
      <c r="KIL946" t="s">
        <v>1341</v>
      </c>
      <c r="KIM946">
        <v>41918936</v>
      </c>
      <c r="KIN946">
        <v>40227856</v>
      </c>
      <c r="KIO946">
        <v>78880014</v>
      </c>
      <c r="KIP946">
        <v>92467072</v>
      </c>
      <c r="KIQ946">
        <v>94593062</v>
      </c>
      <c r="KSH946" t="s">
        <v>1341</v>
      </c>
      <c r="KSI946">
        <v>41918936</v>
      </c>
      <c r="KSJ946">
        <v>40227856</v>
      </c>
      <c r="KSK946">
        <v>78880014</v>
      </c>
      <c r="KSL946">
        <v>92467072</v>
      </c>
      <c r="KSM946">
        <v>94593062</v>
      </c>
      <c r="LCD946" t="s">
        <v>1341</v>
      </c>
      <c r="LCE946">
        <v>41918936</v>
      </c>
      <c r="LCF946">
        <v>40227856</v>
      </c>
      <c r="LCG946">
        <v>78880014</v>
      </c>
      <c r="LCH946">
        <v>92467072</v>
      </c>
      <c r="LCI946">
        <v>94593062</v>
      </c>
      <c r="LLZ946" t="s">
        <v>1341</v>
      </c>
      <c r="LMA946">
        <v>41918936</v>
      </c>
      <c r="LMB946">
        <v>40227856</v>
      </c>
      <c r="LMC946">
        <v>78880014</v>
      </c>
      <c r="LMD946">
        <v>92467072</v>
      </c>
      <c r="LME946">
        <v>94593062</v>
      </c>
      <c r="LVV946" t="s">
        <v>1341</v>
      </c>
      <c r="LVW946">
        <v>41918936</v>
      </c>
      <c r="LVX946">
        <v>40227856</v>
      </c>
      <c r="LVY946">
        <v>78880014</v>
      </c>
      <c r="LVZ946">
        <v>92467072</v>
      </c>
      <c r="LWA946">
        <v>94593062</v>
      </c>
      <c r="MFR946" t="s">
        <v>1341</v>
      </c>
      <c r="MFS946">
        <v>41918936</v>
      </c>
      <c r="MFT946">
        <v>40227856</v>
      </c>
      <c r="MFU946">
        <v>78880014</v>
      </c>
      <c r="MFV946">
        <v>92467072</v>
      </c>
      <c r="MFW946">
        <v>94593062</v>
      </c>
      <c r="MPN946" t="s">
        <v>1341</v>
      </c>
      <c r="MPO946">
        <v>41918936</v>
      </c>
      <c r="MPP946">
        <v>40227856</v>
      </c>
      <c r="MPQ946">
        <v>78880014</v>
      </c>
      <c r="MPR946">
        <v>92467072</v>
      </c>
      <c r="MPS946">
        <v>94593062</v>
      </c>
      <c r="MZJ946" t="s">
        <v>1341</v>
      </c>
      <c r="MZK946">
        <v>41918936</v>
      </c>
      <c r="MZL946">
        <v>40227856</v>
      </c>
      <c r="MZM946">
        <v>78880014</v>
      </c>
      <c r="MZN946">
        <v>92467072</v>
      </c>
      <c r="MZO946">
        <v>94593062</v>
      </c>
      <c r="NJF946" t="s">
        <v>1341</v>
      </c>
      <c r="NJG946">
        <v>41918936</v>
      </c>
      <c r="NJH946">
        <v>40227856</v>
      </c>
      <c r="NJI946">
        <v>78880014</v>
      </c>
      <c r="NJJ946">
        <v>92467072</v>
      </c>
      <c r="NJK946">
        <v>94593062</v>
      </c>
      <c r="NTB946" t="s">
        <v>1341</v>
      </c>
      <c r="NTC946">
        <v>41918936</v>
      </c>
      <c r="NTD946">
        <v>40227856</v>
      </c>
      <c r="NTE946">
        <v>78880014</v>
      </c>
      <c r="NTF946">
        <v>92467072</v>
      </c>
      <c r="NTG946">
        <v>94593062</v>
      </c>
      <c r="OCX946" t="s">
        <v>1341</v>
      </c>
      <c r="OCY946">
        <v>41918936</v>
      </c>
      <c r="OCZ946">
        <v>40227856</v>
      </c>
      <c r="ODA946">
        <v>78880014</v>
      </c>
      <c r="ODB946">
        <v>92467072</v>
      </c>
      <c r="ODC946">
        <v>94593062</v>
      </c>
      <c r="OMT946" t="s">
        <v>1341</v>
      </c>
      <c r="OMU946">
        <v>41918936</v>
      </c>
      <c r="OMV946">
        <v>40227856</v>
      </c>
      <c r="OMW946">
        <v>78880014</v>
      </c>
      <c r="OMX946">
        <v>92467072</v>
      </c>
      <c r="OMY946">
        <v>94593062</v>
      </c>
      <c r="OWP946" t="s">
        <v>1341</v>
      </c>
      <c r="OWQ946">
        <v>41918936</v>
      </c>
      <c r="OWR946">
        <v>40227856</v>
      </c>
      <c r="OWS946">
        <v>78880014</v>
      </c>
      <c r="OWT946">
        <v>92467072</v>
      </c>
      <c r="OWU946">
        <v>94593062</v>
      </c>
      <c r="PGL946" t="s">
        <v>1341</v>
      </c>
      <c r="PGM946">
        <v>41918936</v>
      </c>
      <c r="PGN946">
        <v>40227856</v>
      </c>
      <c r="PGO946">
        <v>78880014</v>
      </c>
      <c r="PGP946">
        <v>92467072</v>
      </c>
      <c r="PGQ946">
        <v>94593062</v>
      </c>
      <c r="PQH946" t="s">
        <v>1341</v>
      </c>
      <c r="PQI946">
        <v>41918936</v>
      </c>
      <c r="PQJ946">
        <v>40227856</v>
      </c>
      <c r="PQK946">
        <v>78880014</v>
      </c>
      <c r="PQL946">
        <v>92467072</v>
      </c>
      <c r="PQM946">
        <v>94593062</v>
      </c>
      <c r="QAD946" t="s">
        <v>1341</v>
      </c>
      <c r="QAE946">
        <v>41918936</v>
      </c>
      <c r="QAF946">
        <v>40227856</v>
      </c>
      <c r="QAG946">
        <v>78880014</v>
      </c>
      <c r="QAH946">
        <v>92467072</v>
      </c>
      <c r="QAI946">
        <v>94593062</v>
      </c>
      <c r="QJZ946" t="s">
        <v>1341</v>
      </c>
      <c r="QKA946">
        <v>41918936</v>
      </c>
      <c r="QKB946">
        <v>40227856</v>
      </c>
      <c r="QKC946">
        <v>78880014</v>
      </c>
      <c r="QKD946">
        <v>92467072</v>
      </c>
      <c r="QKE946">
        <v>94593062</v>
      </c>
      <c r="QTV946" t="s">
        <v>1341</v>
      </c>
      <c r="QTW946">
        <v>41918936</v>
      </c>
      <c r="QTX946">
        <v>40227856</v>
      </c>
      <c r="QTY946">
        <v>78880014</v>
      </c>
      <c r="QTZ946">
        <v>92467072</v>
      </c>
      <c r="QUA946">
        <v>94593062</v>
      </c>
      <c r="RDR946" t="s">
        <v>1341</v>
      </c>
      <c r="RDS946">
        <v>41918936</v>
      </c>
      <c r="RDT946">
        <v>40227856</v>
      </c>
      <c r="RDU946">
        <v>78880014</v>
      </c>
      <c r="RDV946">
        <v>92467072</v>
      </c>
      <c r="RDW946">
        <v>94593062</v>
      </c>
      <c r="RNN946" t="s">
        <v>1341</v>
      </c>
      <c r="RNO946">
        <v>41918936</v>
      </c>
      <c r="RNP946">
        <v>40227856</v>
      </c>
      <c r="RNQ946">
        <v>78880014</v>
      </c>
      <c r="RNR946">
        <v>92467072</v>
      </c>
      <c r="RNS946">
        <v>94593062</v>
      </c>
      <c r="RXJ946" t="s">
        <v>1341</v>
      </c>
      <c r="RXK946">
        <v>41918936</v>
      </c>
      <c r="RXL946">
        <v>40227856</v>
      </c>
      <c r="RXM946">
        <v>78880014</v>
      </c>
      <c r="RXN946">
        <v>92467072</v>
      </c>
      <c r="RXO946">
        <v>94593062</v>
      </c>
      <c r="SHF946" t="s">
        <v>1341</v>
      </c>
      <c r="SHG946">
        <v>41918936</v>
      </c>
      <c r="SHH946">
        <v>40227856</v>
      </c>
      <c r="SHI946">
        <v>78880014</v>
      </c>
      <c r="SHJ946">
        <v>92467072</v>
      </c>
      <c r="SHK946">
        <v>94593062</v>
      </c>
      <c r="SRB946" t="s">
        <v>1341</v>
      </c>
      <c r="SRC946">
        <v>41918936</v>
      </c>
      <c r="SRD946">
        <v>40227856</v>
      </c>
      <c r="SRE946">
        <v>78880014</v>
      </c>
      <c r="SRF946">
        <v>92467072</v>
      </c>
      <c r="SRG946">
        <v>94593062</v>
      </c>
      <c r="TAX946" t="s">
        <v>1341</v>
      </c>
      <c r="TAY946">
        <v>41918936</v>
      </c>
      <c r="TAZ946">
        <v>40227856</v>
      </c>
      <c r="TBA946">
        <v>78880014</v>
      </c>
      <c r="TBB946">
        <v>92467072</v>
      </c>
      <c r="TBC946">
        <v>94593062</v>
      </c>
      <c r="TKT946" t="s">
        <v>1341</v>
      </c>
      <c r="TKU946">
        <v>41918936</v>
      </c>
      <c r="TKV946">
        <v>40227856</v>
      </c>
      <c r="TKW946">
        <v>78880014</v>
      </c>
      <c r="TKX946">
        <v>92467072</v>
      </c>
      <c r="TKY946">
        <v>94593062</v>
      </c>
      <c r="TUP946" t="s">
        <v>1341</v>
      </c>
      <c r="TUQ946">
        <v>41918936</v>
      </c>
      <c r="TUR946">
        <v>40227856</v>
      </c>
      <c r="TUS946">
        <v>78880014</v>
      </c>
      <c r="TUT946">
        <v>92467072</v>
      </c>
      <c r="TUU946">
        <v>94593062</v>
      </c>
      <c r="UEL946" t="s">
        <v>1341</v>
      </c>
      <c r="UEM946">
        <v>41918936</v>
      </c>
      <c r="UEN946">
        <v>40227856</v>
      </c>
      <c r="UEO946">
        <v>78880014</v>
      </c>
      <c r="UEP946">
        <v>92467072</v>
      </c>
      <c r="UEQ946">
        <v>94593062</v>
      </c>
      <c r="UOH946" t="s">
        <v>1341</v>
      </c>
      <c r="UOI946">
        <v>41918936</v>
      </c>
      <c r="UOJ946">
        <v>40227856</v>
      </c>
      <c r="UOK946">
        <v>78880014</v>
      </c>
      <c r="UOL946">
        <v>92467072</v>
      </c>
      <c r="UOM946">
        <v>94593062</v>
      </c>
      <c r="UYD946" t="s">
        <v>1341</v>
      </c>
      <c r="UYE946">
        <v>41918936</v>
      </c>
      <c r="UYF946">
        <v>40227856</v>
      </c>
      <c r="UYG946">
        <v>78880014</v>
      </c>
      <c r="UYH946">
        <v>92467072</v>
      </c>
      <c r="UYI946">
        <v>94593062</v>
      </c>
      <c r="VHZ946" t="s">
        <v>1341</v>
      </c>
      <c r="VIA946">
        <v>41918936</v>
      </c>
      <c r="VIB946">
        <v>40227856</v>
      </c>
      <c r="VIC946">
        <v>78880014</v>
      </c>
      <c r="VID946">
        <v>92467072</v>
      </c>
      <c r="VIE946">
        <v>94593062</v>
      </c>
      <c r="VRV946" t="s">
        <v>1341</v>
      </c>
      <c r="VRW946">
        <v>41918936</v>
      </c>
      <c r="VRX946">
        <v>40227856</v>
      </c>
      <c r="VRY946">
        <v>78880014</v>
      </c>
      <c r="VRZ946">
        <v>92467072</v>
      </c>
      <c r="VSA946">
        <v>94593062</v>
      </c>
      <c r="WBR946" t="s">
        <v>1341</v>
      </c>
      <c r="WBS946">
        <v>41918936</v>
      </c>
      <c r="WBT946">
        <v>40227856</v>
      </c>
      <c r="WBU946">
        <v>78880014</v>
      </c>
      <c r="WBV946">
        <v>92467072</v>
      </c>
      <c r="WBW946">
        <v>94593062</v>
      </c>
      <c r="WLN946" t="s">
        <v>1341</v>
      </c>
      <c r="WLO946">
        <v>41918936</v>
      </c>
      <c r="WLP946">
        <v>40227856</v>
      </c>
      <c r="WLQ946">
        <v>78880014</v>
      </c>
      <c r="WLR946">
        <v>92467072</v>
      </c>
      <c r="WLS946">
        <v>94593062</v>
      </c>
      <c r="WVJ946" t="s">
        <v>1341</v>
      </c>
      <c r="WVK946">
        <v>41918936</v>
      </c>
      <c r="WVL946">
        <v>40227856</v>
      </c>
      <c r="WVM946">
        <v>78880014</v>
      </c>
      <c r="WVN946">
        <v>92467072</v>
      </c>
      <c r="WVO946">
        <v>94593062</v>
      </c>
    </row>
    <row r="947" spans="1:775 1026:1799 2050:2823 3074:3847 4098:4871 5122:5895 6146:6919 7170:7943 8194:8967 9218:9991 10242:11015 11266:12039 12290:13063 13314:14087 14338:15111 15362:16135">
      <c r="A947" s="96" t="s">
        <v>1342</v>
      </c>
      <c r="B947" s="1357" t="s">
        <v>1125</v>
      </c>
      <c r="C947" s="100">
        <v>-9186</v>
      </c>
      <c r="D947" s="98">
        <v>0</v>
      </c>
      <c r="E947" s="98">
        <v>0</v>
      </c>
      <c r="F947" s="100">
        <v>-1849600</v>
      </c>
      <c r="G947" s="100">
        <v>-1849600</v>
      </c>
      <c r="H947" s="100"/>
      <c r="IX947" t="s">
        <v>1342</v>
      </c>
      <c r="IY947">
        <v>-9186</v>
      </c>
      <c r="IZ947" t="s">
        <v>619</v>
      </c>
      <c r="JA947" t="s">
        <v>619</v>
      </c>
      <c r="JB947">
        <v>-1849600</v>
      </c>
      <c r="JC947">
        <v>-1849600</v>
      </c>
      <c r="ST947" t="s">
        <v>1342</v>
      </c>
      <c r="SU947">
        <v>-9186</v>
      </c>
      <c r="SV947" t="s">
        <v>619</v>
      </c>
      <c r="SW947" t="s">
        <v>619</v>
      </c>
      <c r="SX947">
        <v>-1849600</v>
      </c>
      <c r="SY947">
        <v>-1849600</v>
      </c>
      <c r="ACP947" t="s">
        <v>1342</v>
      </c>
      <c r="ACQ947">
        <v>-9186</v>
      </c>
      <c r="ACR947" t="s">
        <v>619</v>
      </c>
      <c r="ACS947" t="s">
        <v>619</v>
      </c>
      <c r="ACT947">
        <v>-1849600</v>
      </c>
      <c r="ACU947">
        <v>-1849600</v>
      </c>
      <c r="AML947" t="s">
        <v>1342</v>
      </c>
      <c r="AMM947">
        <v>-9186</v>
      </c>
      <c r="AMN947" t="s">
        <v>619</v>
      </c>
      <c r="AMO947" t="s">
        <v>619</v>
      </c>
      <c r="AMP947">
        <v>-1849600</v>
      </c>
      <c r="AMQ947">
        <v>-1849600</v>
      </c>
      <c r="AWH947" t="s">
        <v>1342</v>
      </c>
      <c r="AWI947">
        <v>-9186</v>
      </c>
      <c r="AWJ947" t="s">
        <v>619</v>
      </c>
      <c r="AWK947" t="s">
        <v>619</v>
      </c>
      <c r="AWL947">
        <v>-1849600</v>
      </c>
      <c r="AWM947">
        <v>-1849600</v>
      </c>
      <c r="BGD947" t="s">
        <v>1342</v>
      </c>
      <c r="BGE947">
        <v>-9186</v>
      </c>
      <c r="BGF947" t="s">
        <v>619</v>
      </c>
      <c r="BGG947" t="s">
        <v>619</v>
      </c>
      <c r="BGH947">
        <v>-1849600</v>
      </c>
      <c r="BGI947">
        <v>-1849600</v>
      </c>
      <c r="BPZ947" t="s">
        <v>1342</v>
      </c>
      <c r="BQA947">
        <v>-9186</v>
      </c>
      <c r="BQB947" t="s">
        <v>619</v>
      </c>
      <c r="BQC947" t="s">
        <v>619</v>
      </c>
      <c r="BQD947">
        <v>-1849600</v>
      </c>
      <c r="BQE947">
        <v>-1849600</v>
      </c>
      <c r="BZV947" t="s">
        <v>1342</v>
      </c>
      <c r="BZW947">
        <v>-9186</v>
      </c>
      <c r="BZX947" t="s">
        <v>619</v>
      </c>
      <c r="BZY947" t="s">
        <v>619</v>
      </c>
      <c r="BZZ947">
        <v>-1849600</v>
      </c>
      <c r="CAA947">
        <v>-1849600</v>
      </c>
      <c r="CJR947" t="s">
        <v>1342</v>
      </c>
      <c r="CJS947">
        <v>-9186</v>
      </c>
      <c r="CJT947" t="s">
        <v>619</v>
      </c>
      <c r="CJU947" t="s">
        <v>619</v>
      </c>
      <c r="CJV947">
        <v>-1849600</v>
      </c>
      <c r="CJW947">
        <v>-1849600</v>
      </c>
      <c r="CTN947" t="s">
        <v>1342</v>
      </c>
      <c r="CTO947">
        <v>-9186</v>
      </c>
      <c r="CTP947" t="s">
        <v>619</v>
      </c>
      <c r="CTQ947" t="s">
        <v>619</v>
      </c>
      <c r="CTR947">
        <v>-1849600</v>
      </c>
      <c r="CTS947">
        <v>-1849600</v>
      </c>
      <c r="DDJ947" t="s">
        <v>1342</v>
      </c>
      <c r="DDK947">
        <v>-9186</v>
      </c>
      <c r="DDL947" t="s">
        <v>619</v>
      </c>
      <c r="DDM947" t="s">
        <v>619</v>
      </c>
      <c r="DDN947">
        <v>-1849600</v>
      </c>
      <c r="DDO947">
        <v>-1849600</v>
      </c>
      <c r="DNF947" t="s">
        <v>1342</v>
      </c>
      <c r="DNG947">
        <v>-9186</v>
      </c>
      <c r="DNH947" t="s">
        <v>619</v>
      </c>
      <c r="DNI947" t="s">
        <v>619</v>
      </c>
      <c r="DNJ947">
        <v>-1849600</v>
      </c>
      <c r="DNK947">
        <v>-1849600</v>
      </c>
      <c r="DXB947" t="s">
        <v>1342</v>
      </c>
      <c r="DXC947">
        <v>-9186</v>
      </c>
      <c r="DXD947" t="s">
        <v>619</v>
      </c>
      <c r="DXE947" t="s">
        <v>619</v>
      </c>
      <c r="DXF947">
        <v>-1849600</v>
      </c>
      <c r="DXG947">
        <v>-1849600</v>
      </c>
      <c r="EGX947" t="s">
        <v>1342</v>
      </c>
      <c r="EGY947">
        <v>-9186</v>
      </c>
      <c r="EGZ947" t="s">
        <v>619</v>
      </c>
      <c r="EHA947" t="s">
        <v>619</v>
      </c>
      <c r="EHB947">
        <v>-1849600</v>
      </c>
      <c r="EHC947">
        <v>-1849600</v>
      </c>
      <c r="EQT947" t="s">
        <v>1342</v>
      </c>
      <c r="EQU947">
        <v>-9186</v>
      </c>
      <c r="EQV947" t="s">
        <v>619</v>
      </c>
      <c r="EQW947" t="s">
        <v>619</v>
      </c>
      <c r="EQX947">
        <v>-1849600</v>
      </c>
      <c r="EQY947">
        <v>-1849600</v>
      </c>
      <c r="FAP947" t="s">
        <v>1342</v>
      </c>
      <c r="FAQ947">
        <v>-9186</v>
      </c>
      <c r="FAR947" t="s">
        <v>619</v>
      </c>
      <c r="FAS947" t="s">
        <v>619</v>
      </c>
      <c r="FAT947">
        <v>-1849600</v>
      </c>
      <c r="FAU947">
        <v>-1849600</v>
      </c>
      <c r="FKL947" t="s">
        <v>1342</v>
      </c>
      <c r="FKM947">
        <v>-9186</v>
      </c>
      <c r="FKN947" t="s">
        <v>619</v>
      </c>
      <c r="FKO947" t="s">
        <v>619</v>
      </c>
      <c r="FKP947">
        <v>-1849600</v>
      </c>
      <c r="FKQ947">
        <v>-1849600</v>
      </c>
      <c r="FUH947" t="s">
        <v>1342</v>
      </c>
      <c r="FUI947">
        <v>-9186</v>
      </c>
      <c r="FUJ947" t="s">
        <v>619</v>
      </c>
      <c r="FUK947" t="s">
        <v>619</v>
      </c>
      <c r="FUL947">
        <v>-1849600</v>
      </c>
      <c r="FUM947">
        <v>-1849600</v>
      </c>
      <c r="GED947" t="s">
        <v>1342</v>
      </c>
      <c r="GEE947">
        <v>-9186</v>
      </c>
      <c r="GEF947" t="s">
        <v>619</v>
      </c>
      <c r="GEG947" t="s">
        <v>619</v>
      </c>
      <c r="GEH947">
        <v>-1849600</v>
      </c>
      <c r="GEI947">
        <v>-1849600</v>
      </c>
      <c r="GNZ947" t="s">
        <v>1342</v>
      </c>
      <c r="GOA947">
        <v>-9186</v>
      </c>
      <c r="GOB947" t="s">
        <v>619</v>
      </c>
      <c r="GOC947" t="s">
        <v>619</v>
      </c>
      <c r="GOD947">
        <v>-1849600</v>
      </c>
      <c r="GOE947">
        <v>-1849600</v>
      </c>
      <c r="GXV947" t="s">
        <v>1342</v>
      </c>
      <c r="GXW947">
        <v>-9186</v>
      </c>
      <c r="GXX947" t="s">
        <v>619</v>
      </c>
      <c r="GXY947" t="s">
        <v>619</v>
      </c>
      <c r="GXZ947">
        <v>-1849600</v>
      </c>
      <c r="GYA947">
        <v>-1849600</v>
      </c>
      <c r="HHR947" t="s">
        <v>1342</v>
      </c>
      <c r="HHS947">
        <v>-9186</v>
      </c>
      <c r="HHT947" t="s">
        <v>619</v>
      </c>
      <c r="HHU947" t="s">
        <v>619</v>
      </c>
      <c r="HHV947">
        <v>-1849600</v>
      </c>
      <c r="HHW947">
        <v>-1849600</v>
      </c>
      <c r="HRN947" t="s">
        <v>1342</v>
      </c>
      <c r="HRO947">
        <v>-9186</v>
      </c>
      <c r="HRP947" t="s">
        <v>619</v>
      </c>
      <c r="HRQ947" t="s">
        <v>619</v>
      </c>
      <c r="HRR947">
        <v>-1849600</v>
      </c>
      <c r="HRS947">
        <v>-1849600</v>
      </c>
      <c r="IBJ947" t="s">
        <v>1342</v>
      </c>
      <c r="IBK947">
        <v>-9186</v>
      </c>
      <c r="IBL947" t="s">
        <v>619</v>
      </c>
      <c r="IBM947" t="s">
        <v>619</v>
      </c>
      <c r="IBN947">
        <v>-1849600</v>
      </c>
      <c r="IBO947">
        <v>-1849600</v>
      </c>
      <c r="ILF947" t="s">
        <v>1342</v>
      </c>
      <c r="ILG947">
        <v>-9186</v>
      </c>
      <c r="ILH947" t="s">
        <v>619</v>
      </c>
      <c r="ILI947" t="s">
        <v>619</v>
      </c>
      <c r="ILJ947">
        <v>-1849600</v>
      </c>
      <c r="ILK947">
        <v>-1849600</v>
      </c>
      <c r="IVB947" t="s">
        <v>1342</v>
      </c>
      <c r="IVC947">
        <v>-9186</v>
      </c>
      <c r="IVD947" t="s">
        <v>619</v>
      </c>
      <c r="IVE947" t="s">
        <v>619</v>
      </c>
      <c r="IVF947">
        <v>-1849600</v>
      </c>
      <c r="IVG947">
        <v>-1849600</v>
      </c>
      <c r="JEX947" t="s">
        <v>1342</v>
      </c>
      <c r="JEY947">
        <v>-9186</v>
      </c>
      <c r="JEZ947" t="s">
        <v>619</v>
      </c>
      <c r="JFA947" t="s">
        <v>619</v>
      </c>
      <c r="JFB947">
        <v>-1849600</v>
      </c>
      <c r="JFC947">
        <v>-1849600</v>
      </c>
      <c r="JOT947" t="s">
        <v>1342</v>
      </c>
      <c r="JOU947">
        <v>-9186</v>
      </c>
      <c r="JOV947" t="s">
        <v>619</v>
      </c>
      <c r="JOW947" t="s">
        <v>619</v>
      </c>
      <c r="JOX947">
        <v>-1849600</v>
      </c>
      <c r="JOY947">
        <v>-1849600</v>
      </c>
      <c r="JYP947" t="s">
        <v>1342</v>
      </c>
      <c r="JYQ947">
        <v>-9186</v>
      </c>
      <c r="JYR947" t="s">
        <v>619</v>
      </c>
      <c r="JYS947" t="s">
        <v>619</v>
      </c>
      <c r="JYT947">
        <v>-1849600</v>
      </c>
      <c r="JYU947">
        <v>-1849600</v>
      </c>
      <c r="KIL947" t="s">
        <v>1342</v>
      </c>
      <c r="KIM947">
        <v>-9186</v>
      </c>
      <c r="KIN947" t="s">
        <v>619</v>
      </c>
      <c r="KIO947" t="s">
        <v>619</v>
      </c>
      <c r="KIP947">
        <v>-1849600</v>
      </c>
      <c r="KIQ947">
        <v>-1849600</v>
      </c>
      <c r="KSH947" t="s">
        <v>1342</v>
      </c>
      <c r="KSI947">
        <v>-9186</v>
      </c>
      <c r="KSJ947" t="s">
        <v>619</v>
      </c>
      <c r="KSK947" t="s">
        <v>619</v>
      </c>
      <c r="KSL947">
        <v>-1849600</v>
      </c>
      <c r="KSM947">
        <v>-1849600</v>
      </c>
      <c r="LCD947" t="s">
        <v>1342</v>
      </c>
      <c r="LCE947">
        <v>-9186</v>
      </c>
      <c r="LCF947" t="s">
        <v>619</v>
      </c>
      <c r="LCG947" t="s">
        <v>619</v>
      </c>
      <c r="LCH947">
        <v>-1849600</v>
      </c>
      <c r="LCI947">
        <v>-1849600</v>
      </c>
      <c r="LLZ947" t="s">
        <v>1342</v>
      </c>
      <c r="LMA947">
        <v>-9186</v>
      </c>
      <c r="LMB947" t="s">
        <v>619</v>
      </c>
      <c r="LMC947" t="s">
        <v>619</v>
      </c>
      <c r="LMD947">
        <v>-1849600</v>
      </c>
      <c r="LME947">
        <v>-1849600</v>
      </c>
      <c r="LVV947" t="s">
        <v>1342</v>
      </c>
      <c r="LVW947">
        <v>-9186</v>
      </c>
      <c r="LVX947" t="s">
        <v>619</v>
      </c>
      <c r="LVY947" t="s">
        <v>619</v>
      </c>
      <c r="LVZ947">
        <v>-1849600</v>
      </c>
      <c r="LWA947">
        <v>-1849600</v>
      </c>
      <c r="MFR947" t="s">
        <v>1342</v>
      </c>
      <c r="MFS947">
        <v>-9186</v>
      </c>
      <c r="MFT947" t="s">
        <v>619</v>
      </c>
      <c r="MFU947" t="s">
        <v>619</v>
      </c>
      <c r="MFV947">
        <v>-1849600</v>
      </c>
      <c r="MFW947">
        <v>-1849600</v>
      </c>
      <c r="MPN947" t="s">
        <v>1342</v>
      </c>
      <c r="MPO947">
        <v>-9186</v>
      </c>
      <c r="MPP947" t="s">
        <v>619</v>
      </c>
      <c r="MPQ947" t="s">
        <v>619</v>
      </c>
      <c r="MPR947">
        <v>-1849600</v>
      </c>
      <c r="MPS947">
        <v>-1849600</v>
      </c>
      <c r="MZJ947" t="s">
        <v>1342</v>
      </c>
      <c r="MZK947">
        <v>-9186</v>
      </c>
      <c r="MZL947" t="s">
        <v>619</v>
      </c>
      <c r="MZM947" t="s">
        <v>619</v>
      </c>
      <c r="MZN947">
        <v>-1849600</v>
      </c>
      <c r="MZO947">
        <v>-1849600</v>
      </c>
      <c r="NJF947" t="s">
        <v>1342</v>
      </c>
      <c r="NJG947">
        <v>-9186</v>
      </c>
      <c r="NJH947" t="s">
        <v>619</v>
      </c>
      <c r="NJI947" t="s">
        <v>619</v>
      </c>
      <c r="NJJ947">
        <v>-1849600</v>
      </c>
      <c r="NJK947">
        <v>-1849600</v>
      </c>
      <c r="NTB947" t="s">
        <v>1342</v>
      </c>
      <c r="NTC947">
        <v>-9186</v>
      </c>
      <c r="NTD947" t="s">
        <v>619</v>
      </c>
      <c r="NTE947" t="s">
        <v>619</v>
      </c>
      <c r="NTF947">
        <v>-1849600</v>
      </c>
      <c r="NTG947">
        <v>-1849600</v>
      </c>
      <c r="OCX947" t="s">
        <v>1342</v>
      </c>
      <c r="OCY947">
        <v>-9186</v>
      </c>
      <c r="OCZ947" t="s">
        <v>619</v>
      </c>
      <c r="ODA947" t="s">
        <v>619</v>
      </c>
      <c r="ODB947">
        <v>-1849600</v>
      </c>
      <c r="ODC947">
        <v>-1849600</v>
      </c>
      <c r="OMT947" t="s">
        <v>1342</v>
      </c>
      <c r="OMU947">
        <v>-9186</v>
      </c>
      <c r="OMV947" t="s">
        <v>619</v>
      </c>
      <c r="OMW947" t="s">
        <v>619</v>
      </c>
      <c r="OMX947">
        <v>-1849600</v>
      </c>
      <c r="OMY947">
        <v>-1849600</v>
      </c>
      <c r="OWP947" t="s">
        <v>1342</v>
      </c>
      <c r="OWQ947">
        <v>-9186</v>
      </c>
      <c r="OWR947" t="s">
        <v>619</v>
      </c>
      <c r="OWS947" t="s">
        <v>619</v>
      </c>
      <c r="OWT947">
        <v>-1849600</v>
      </c>
      <c r="OWU947">
        <v>-1849600</v>
      </c>
      <c r="PGL947" t="s">
        <v>1342</v>
      </c>
      <c r="PGM947">
        <v>-9186</v>
      </c>
      <c r="PGN947" t="s">
        <v>619</v>
      </c>
      <c r="PGO947" t="s">
        <v>619</v>
      </c>
      <c r="PGP947">
        <v>-1849600</v>
      </c>
      <c r="PGQ947">
        <v>-1849600</v>
      </c>
      <c r="PQH947" t="s">
        <v>1342</v>
      </c>
      <c r="PQI947">
        <v>-9186</v>
      </c>
      <c r="PQJ947" t="s">
        <v>619</v>
      </c>
      <c r="PQK947" t="s">
        <v>619</v>
      </c>
      <c r="PQL947">
        <v>-1849600</v>
      </c>
      <c r="PQM947">
        <v>-1849600</v>
      </c>
      <c r="QAD947" t="s">
        <v>1342</v>
      </c>
      <c r="QAE947">
        <v>-9186</v>
      </c>
      <c r="QAF947" t="s">
        <v>619</v>
      </c>
      <c r="QAG947" t="s">
        <v>619</v>
      </c>
      <c r="QAH947">
        <v>-1849600</v>
      </c>
      <c r="QAI947">
        <v>-1849600</v>
      </c>
      <c r="QJZ947" t="s">
        <v>1342</v>
      </c>
      <c r="QKA947">
        <v>-9186</v>
      </c>
      <c r="QKB947" t="s">
        <v>619</v>
      </c>
      <c r="QKC947" t="s">
        <v>619</v>
      </c>
      <c r="QKD947">
        <v>-1849600</v>
      </c>
      <c r="QKE947">
        <v>-1849600</v>
      </c>
      <c r="QTV947" t="s">
        <v>1342</v>
      </c>
      <c r="QTW947">
        <v>-9186</v>
      </c>
      <c r="QTX947" t="s">
        <v>619</v>
      </c>
      <c r="QTY947" t="s">
        <v>619</v>
      </c>
      <c r="QTZ947">
        <v>-1849600</v>
      </c>
      <c r="QUA947">
        <v>-1849600</v>
      </c>
      <c r="RDR947" t="s">
        <v>1342</v>
      </c>
      <c r="RDS947">
        <v>-9186</v>
      </c>
      <c r="RDT947" t="s">
        <v>619</v>
      </c>
      <c r="RDU947" t="s">
        <v>619</v>
      </c>
      <c r="RDV947">
        <v>-1849600</v>
      </c>
      <c r="RDW947">
        <v>-1849600</v>
      </c>
      <c r="RNN947" t="s">
        <v>1342</v>
      </c>
      <c r="RNO947">
        <v>-9186</v>
      </c>
      <c r="RNP947" t="s">
        <v>619</v>
      </c>
      <c r="RNQ947" t="s">
        <v>619</v>
      </c>
      <c r="RNR947">
        <v>-1849600</v>
      </c>
      <c r="RNS947">
        <v>-1849600</v>
      </c>
      <c r="RXJ947" t="s">
        <v>1342</v>
      </c>
      <c r="RXK947">
        <v>-9186</v>
      </c>
      <c r="RXL947" t="s">
        <v>619</v>
      </c>
      <c r="RXM947" t="s">
        <v>619</v>
      </c>
      <c r="RXN947">
        <v>-1849600</v>
      </c>
      <c r="RXO947">
        <v>-1849600</v>
      </c>
      <c r="SHF947" t="s">
        <v>1342</v>
      </c>
      <c r="SHG947">
        <v>-9186</v>
      </c>
      <c r="SHH947" t="s">
        <v>619</v>
      </c>
      <c r="SHI947" t="s">
        <v>619</v>
      </c>
      <c r="SHJ947">
        <v>-1849600</v>
      </c>
      <c r="SHK947">
        <v>-1849600</v>
      </c>
      <c r="SRB947" t="s">
        <v>1342</v>
      </c>
      <c r="SRC947">
        <v>-9186</v>
      </c>
      <c r="SRD947" t="s">
        <v>619</v>
      </c>
      <c r="SRE947" t="s">
        <v>619</v>
      </c>
      <c r="SRF947">
        <v>-1849600</v>
      </c>
      <c r="SRG947">
        <v>-1849600</v>
      </c>
      <c r="TAX947" t="s">
        <v>1342</v>
      </c>
      <c r="TAY947">
        <v>-9186</v>
      </c>
      <c r="TAZ947" t="s">
        <v>619</v>
      </c>
      <c r="TBA947" t="s">
        <v>619</v>
      </c>
      <c r="TBB947">
        <v>-1849600</v>
      </c>
      <c r="TBC947">
        <v>-1849600</v>
      </c>
      <c r="TKT947" t="s">
        <v>1342</v>
      </c>
      <c r="TKU947">
        <v>-9186</v>
      </c>
      <c r="TKV947" t="s">
        <v>619</v>
      </c>
      <c r="TKW947" t="s">
        <v>619</v>
      </c>
      <c r="TKX947">
        <v>-1849600</v>
      </c>
      <c r="TKY947">
        <v>-1849600</v>
      </c>
      <c r="TUP947" t="s">
        <v>1342</v>
      </c>
      <c r="TUQ947">
        <v>-9186</v>
      </c>
      <c r="TUR947" t="s">
        <v>619</v>
      </c>
      <c r="TUS947" t="s">
        <v>619</v>
      </c>
      <c r="TUT947">
        <v>-1849600</v>
      </c>
      <c r="TUU947">
        <v>-1849600</v>
      </c>
      <c r="UEL947" t="s">
        <v>1342</v>
      </c>
      <c r="UEM947">
        <v>-9186</v>
      </c>
      <c r="UEN947" t="s">
        <v>619</v>
      </c>
      <c r="UEO947" t="s">
        <v>619</v>
      </c>
      <c r="UEP947">
        <v>-1849600</v>
      </c>
      <c r="UEQ947">
        <v>-1849600</v>
      </c>
      <c r="UOH947" t="s">
        <v>1342</v>
      </c>
      <c r="UOI947">
        <v>-9186</v>
      </c>
      <c r="UOJ947" t="s">
        <v>619</v>
      </c>
      <c r="UOK947" t="s">
        <v>619</v>
      </c>
      <c r="UOL947">
        <v>-1849600</v>
      </c>
      <c r="UOM947">
        <v>-1849600</v>
      </c>
      <c r="UYD947" t="s">
        <v>1342</v>
      </c>
      <c r="UYE947">
        <v>-9186</v>
      </c>
      <c r="UYF947" t="s">
        <v>619</v>
      </c>
      <c r="UYG947" t="s">
        <v>619</v>
      </c>
      <c r="UYH947">
        <v>-1849600</v>
      </c>
      <c r="UYI947">
        <v>-1849600</v>
      </c>
      <c r="VHZ947" t="s">
        <v>1342</v>
      </c>
      <c r="VIA947">
        <v>-9186</v>
      </c>
      <c r="VIB947" t="s">
        <v>619</v>
      </c>
      <c r="VIC947" t="s">
        <v>619</v>
      </c>
      <c r="VID947">
        <v>-1849600</v>
      </c>
      <c r="VIE947">
        <v>-1849600</v>
      </c>
      <c r="VRV947" t="s">
        <v>1342</v>
      </c>
      <c r="VRW947">
        <v>-9186</v>
      </c>
      <c r="VRX947" t="s">
        <v>619</v>
      </c>
      <c r="VRY947" t="s">
        <v>619</v>
      </c>
      <c r="VRZ947">
        <v>-1849600</v>
      </c>
      <c r="VSA947">
        <v>-1849600</v>
      </c>
      <c r="WBR947" t="s">
        <v>1342</v>
      </c>
      <c r="WBS947">
        <v>-9186</v>
      </c>
      <c r="WBT947" t="s">
        <v>619</v>
      </c>
      <c r="WBU947" t="s">
        <v>619</v>
      </c>
      <c r="WBV947">
        <v>-1849600</v>
      </c>
      <c r="WBW947">
        <v>-1849600</v>
      </c>
      <c r="WLN947" t="s">
        <v>1342</v>
      </c>
      <c r="WLO947">
        <v>-9186</v>
      </c>
      <c r="WLP947" t="s">
        <v>619</v>
      </c>
      <c r="WLQ947" t="s">
        <v>619</v>
      </c>
      <c r="WLR947">
        <v>-1849600</v>
      </c>
      <c r="WLS947">
        <v>-1849600</v>
      </c>
      <c r="WVJ947" t="s">
        <v>1342</v>
      </c>
      <c r="WVK947">
        <v>-9186</v>
      </c>
      <c r="WVL947" t="s">
        <v>619</v>
      </c>
      <c r="WVM947" t="s">
        <v>619</v>
      </c>
      <c r="WVN947">
        <v>-1849600</v>
      </c>
      <c r="WVO947">
        <v>-1849600</v>
      </c>
    </row>
    <row r="948" spans="1:775 1026:1799 2050:2823 3074:3847 4098:4871 5122:5895 6146:6919 7170:7943 8194:8967 9218:9991 10242:11015 11266:12039 12290:13063 13314:14087 14338:15111 15362:16135">
      <c r="A948" s="96" t="s">
        <v>757</v>
      </c>
      <c r="B948" s="1357" t="s">
        <v>758</v>
      </c>
      <c r="C948" s="100">
        <v>-35039810</v>
      </c>
      <c r="D948" s="100">
        <v>-46326321</v>
      </c>
      <c r="E948" s="100">
        <v>-51648410</v>
      </c>
      <c r="F948" s="100">
        <v>-55634140</v>
      </c>
      <c r="G948" s="100">
        <v>-69914230</v>
      </c>
      <c r="H948" s="100"/>
      <c r="IX948" t="s">
        <v>757</v>
      </c>
      <c r="IY948">
        <v>-35039810</v>
      </c>
      <c r="IZ948">
        <v>-46326321</v>
      </c>
      <c r="JA948">
        <v>-51648410</v>
      </c>
      <c r="JB948">
        <v>-55634140</v>
      </c>
      <c r="JC948">
        <v>-69914230</v>
      </c>
      <c r="ST948" t="s">
        <v>757</v>
      </c>
      <c r="SU948">
        <v>-35039810</v>
      </c>
      <c r="SV948">
        <v>-46326321</v>
      </c>
      <c r="SW948">
        <v>-51648410</v>
      </c>
      <c r="SX948">
        <v>-55634140</v>
      </c>
      <c r="SY948">
        <v>-69914230</v>
      </c>
      <c r="ACP948" t="s">
        <v>757</v>
      </c>
      <c r="ACQ948">
        <v>-35039810</v>
      </c>
      <c r="ACR948">
        <v>-46326321</v>
      </c>
      <c r="ACS948">
        <v>-51648410</v>
      </c>
      <c r="ACT948">
        <v>-55634140</v>
      </c>
      <c r="ACU948">
        <v>-69914230</v>
      </c>
      <c r="AML948" t="s">
        <v>757</v>
      </c>
      <c r="AMM948">
        <v>-35039810</v>
      </c>
      <c r="AMN948">
        <v>-46326321</v>
      </c>
      <c r="AMO948">
        <v>-51648410</v>
      </c>
      <c r="AMP948">
        <v>-55634140</v>
      </c>
      <c r="AMQ948">
        <v>-69914230</v>
      </c>
      <c r="AWH948" t="s">
        <v>757</v>
      </c>
      <c r="AWI948">
        <v>-35039810</v>
      </c>
      <c r="AWJ948">
        <v>-46326321</v>
      </c>
      <c r="AWK948">
        <v>-51648410</v>
      </c>
      <c r="AWL948">
        <v>-55634140</v>
      </c>
      <c r="AWM948">
        <v>-69914230</v>
      </c>
      <c r="BGD948" t="s">
        <v>757</v>
      </c>
      <c r="BGE948">
        <v>-35039810</v>
      </c>
      <c r="BGF948">
        <v>-46326321</v>
      </c>
      <c r="BGG948">
        <v>-51648410</v>
      </c>
      <c r="BGH948">
        <v>-55634140</v>
      </c>
      <c r="BGI948">
        <v>-69914230</v>
      </c>
      <c r="BPZ948" t="s">
        <v>757</v>
      </c>
      <c r="BQA948">
        <v>-35039810</v>
      </c>
      <c r="BQB948">
        <v>-46326321</v>
      </c>
      <c r="BQC948">
        <v>-51648410</v>
      </c>
      <c r="BQD948">
        <v>-55634140</v>
      </c>
      <c r="BQE948">
        <v>-69914230</v>
      </c>
      <c r="BZV948" t="s">
        <v>757</v>
      </c>
      <c r="BZW948">
        <v>-35039810</v>
      </c>
      <c r="BZX948">
        <v>-46326321</v>
      </c>
      <c r="BZY948">
        <v>-51648410</v>
      </c>
      <c r="BZZ948">
        <v>-55634140</v>
      </c>
      <c r="CAA948">
        <v>-69914230</v>
      </c>
      <c r="CJR948" t="s">
        <v>757</v>
      </c>
      <c r="CJS948">
        <v>-35039810</v>
      </c>
      <c r="CJT948">
        <v>-46326321</v>
      </c>
      <c r="CJU948">
        <v>-51648410</v>
      </c>
      <c r="CJV948">
        <v>-55634140</v>
      </c>
      <c r="CJW948">
        <v>-69914230</v>
      </c>
      <c r="CTN948" t="s">
        <v>757</v>
      </c>
      <c r="CTO948">
        <v>-35039810</v>
      </c>
      <c r="CTP948">
        <v>-46326321</v>
      </c>
      <c r="CTQ948">
        <v>-51648410</v>
      </c>
      <c r="CTR948">
        <v>-55634140</v>
      </c>
      <c r="CTS948">
        <v>-69914230</v>
      </c>
      <c r="DDJ948" t="s">
        <v>757</v>
      </c>
      <c r="DDK948">
        <v>-35039810</v>
      </c>
      <c r="DDL948">
        <v>-46326321</v>
      </c>
      <c r="DDM948">
        <v>-51648410</v>
      </c>
      <c r="DDN948">
        <v>-55634140</v>
      </c>
      <c r="DDO948">
        <v>-69914230</v>
      </c>
      <c r="DNF948" t="s">
        <v>757</v>
      </c>
      <c r="DNG948">
        <v>-35039810</v>
      </c>
      <c r="DNH948">
        <v>-46326321</v>
      </c>
      <c r="DNI948">
        <v>-51648410</v>
      </c>
      <c r="DNJ948">
        <v>-55634140</v>
      </c>
      <c r="DNK948">
        <v>-69914230</v>
      </c>
      <c r="DXB948" t="s">
        <v>757</v>
      </c>
      <c r="DXC948">
        <v>-35039810</v>
      </c>
      <c r="DXD948">
        <v>-46326321</v>
      </c>
      <c r="DXE948">
        <v>-51648410</v>
      </c>
      <c r="DXF948">
        <v>-55634140</v>
      </c>
      <c r="DXG948">
        <v>-69914230</v>
      </c>
      <c r="EGX948" t="s">
        <v>757</v>
      </c>
      <c r="EGY948">
        <v>-35039810</v>
      </c>
      <c r="EGZ948">
        <v>-46326321</v>
      </c>
      <c r="EHA948">
        <v>-51648410</v>
      </c>
      <c r="EHB948">
        <v>-55634140</v>
      </c>
      <c r="EHC948">
        <v>-69914230</v>
      </c>
      <c r="EQT948" t="s">
        <v>757</v>
      </c>
      <c r="EQU948">
        <v>-35039810</v>
      </c>
      <c r="EQV948">
        <v>-46326321</v>
      </c>
      <c r="EQW948">
        <v>-51648410</v>
      </c>
      <c r="EQX948">
        <v>-55634140</v>
      </c>
      <c r="EQY948">
        <v>-69914230</v>
      </c>
      <c r="FAP948" t="s">
        <v>757</v>
      </c>
      <c r="FAQ948">
        <v>-35039810</v>
      </c>
      <c r="FAR948">
        <v>-46326321</v>
      </c>
      <c r="FAS948">
        <v>-51648410</v>
      </c>
      <c r="FAT948">
        <v>-55634140</v>
      </c>
      <c r="FAU948">
        <v>-69914230</v>
      </c>
      <c r="FKL948" t="s">
        <v>757</v>
      </c>
      <c r="FKM948">
        <v>-35039810</v>
      </c>
      <c r="FKN948">
        <v>-46326321</v>
      </c>
      <c r="FKO948">
        <v>-51648410</v>
      </c>
      <c r="FKP948">
        <v>-55634140</v>
      </c>
      <c r="FKQ948">
        <v>-69914230</v>
      </c>
      <c r="FUH948" t="s">
        <v>757</v>
      </c>
      <c r="FUI948">
        <v>-35039810</v>
      </c>
      <c r="FUJ948">
        <v>-46326321</v>
      </c>
      <c r="FUK948">
        <v>-51648410</v>
      </c>
      <c r="FUL948">
        <v>-55634140</v>
      </c>
      <c r="FUM948">
        <v>-69914230</v>
      </c>
      <c r="GED948" t="s">
        <v>757</v>
      </c>
      <c r="GEE948">
        <v>-35039810</v>
      </c>
      <c r="GEF948">
        <v>-46326321</v>
      </c>
      <c r="GEG948">
        <v>-51648410</v>
      </c>
      <c r="GEH948">
        <v>-55634140</v>
      </c>
      <c r="GEI948">
        <v>-69914230</v>
      </c>
      <c r="GNZ948" t="s">
        <v>757</v>
      </c>
      <c r="GOA948">
        <v>-35039810</v>
      </c>
      <c r="GOB948">
        <v>-46326321</v>
      </c>
      <c r="GOC948">
        <v>-51648410</v>
      </c>
      <c r="GOD948">
        <v>-55634140</v>
      </c>
      <c r="GOE948">
        <v>-69914230</v>
      </c>
      <c r="GXV948" t="s">
        <v>757</v>
      </c>
      <c r="GXW948">
        <v>-35039810</v>
      </c>
      <c r="GXX948">
        <v>-46326321</v>
      </c>
      <c r="GXY948">
        <v>-51648410</v>
      </c>
      <c r="GXZ948">
        <v>-55634140</v>
      </c>
      <c r="GYA948">
        <v>-69914230</v>
      </c>
      <c r="HHR948" t="s">
        <v>757</v>
      </c>
      <c r="HHS948">
        <v>-35039810</v>
      </c>
      <c r="HHT948">
        <v>-46326321</v>
      </c>
      <c r="HHU948">
        <v>-51648410</v>
      </c>
      <c r="HHV948">
        <v>-55634140</v>
      </c>
      <c r="HHW948">
        <v>-69914230</v>
      </c>
      <c r="HRN948" t="s">
        <v>757</v>
      </c>
      <c r="HRO948">
        <v>-35039810</v>
      </c>
      <c r="HRP948">
        <v>-46326321</v>
      </c>
      <c r="HRQ948">
        <v>-51648410</v>
      </c>
      <c r="HRR948">
        <v>-55634140</v>
      </c>
      <c r="HRS948">
        <v>-69914230</v>
      </c>
      <c r="IBJ948" t="s">
        <v>757</v>
      </c>
      <c r="IBK948">
        <v>-35039810</v>
      </c>
      <c r="IBL948">
        <v>-46326321</v>
      </c>
      <c r="IBM948">
        <v>-51648410</v>
      </c>
      <c r="IBN948">
        <v>-55634140</v>
      </c>
      <c r="IBO948">
        <v>-69914230</v>
      </c>
      <c r="ILF948" t="s">
        <v>757</v>
      </c>
      <c r="ILG948">
        <v>-35039810</v>
      </c>
      <c r="ILH948">
        <v>-46326321</v>
      </c>
      <c r="ILI948">
        <v>-51648410</v>
      </c>
      <c r="ILJ948">
        <v>-55634140</v>
      </c>
      <c r="ILK948">
        <v>-69914230</v>
      </c>
      <c r="IVB948" t="s">
        <v>757</v>
      </c>
      <c r="IVC948">
        <v>-35039810</v>
      </c>
      <c r="IVD948">
        <v>-46326321</v>
      </c>
      <c r="IVE948">
        <v>-51648410</v>
      </c>
      <c r="IVF948">
        <v>-55634140</v>
      </c>
      <c r="IVG948">
        <v>-69914230</v>
      </c>
      <c r="JEX948" t="s">
        <v>757</v>
      </c>
      <c r="JEY948">
        <v>-35039810</v>
      </c>
      <c r="JEZ948">
        <v>-46326321</v>
      </c>
      <c r="JFA948">
        <v>-51648410</v>
      </c>
      <c r="JFB948">
        <v>-55634140</v>
      </c>
      <c r="JFC948">
        <v>-69914230</v>
      </c>
      <c r="JOT948" t="s">
        <v>757</v>
      </c>
      <c r="JOU948">
        <v>-35039810</v>
      </c>
      <c r="JOV948">
        <v>-46326321</v>
      </c>
      <c r="JOW948">
        <v>-51648410</v>
      </c>
      <c r="JOX948">
        <v>-55634140</v>
      </c>
      <c r="JOY948">
        <v>-69914230</v>
      </c>
      <c r="JYP948" t="s">
        <v>757</v>
      </c>
      <c r="JYQ948">
        <v>-35039810</v>
      </c>
      <c r="JYR948">
        <v>-46326321</v>
      </c>
      <c r="JYS948">
        <v>-51648410</v>
      </c>
      <c r="JYT948">
        <v>-55634140</v>
      </c>
      <c r="JYU948">
        <v>-69914230</v>
      </c>
      <c r="KIL948" t="s">
        <v>757</v>
      </c>
      <c r="KIM948">
        <v>-35039810</v>
      </c>
      <c r="KIN948">
        <v>-46326321</v>
      </c>
      <c r="KIO948">
        <v>-51648410</v>
      </c>
      <c r="KIP948">
        <v>-55634140</v>
      </c>
      <c r="KIQ948">
        <v>-69914230</v>
      </c>
      <c r="KSH948" t="s">
        <v>757</v>
      </c>
      <c r="KSI948">
        <v>-35039810</v>
      </c>
      <c r="KSJ948">
        <v>-46326321</v>
      </c>
      <c r="KSK948">
        <v>-51648410</v>
      </c>
      <c r="KSL948">
        <v>-55634140</v>
      </c>
      <c r="KSM948">
        <v>-69914230</v>
      </c>
      <c r="LCD948" t="s">
        <v>757</v>
      </c>
      <c r="LCE948">
        <v>-35039810</v>
      </c>
      <c r="LCF948">
        <v>-46326321</v>
      </c>
      <c r="LCG948">
        <v>-51648410</v>
      </c>
      <c r="LCH948">
        <v>-55634140</v>
      </c>
      <c r="LCI948">
        <v>-69914230</v>
      </c>
      <c r="LLZ948" t="s">
        <v>757</v>
      </c>
      <c r="LMA948">
        <v>-35039810</v>
      </c>
      <c r="LMB948">
        <v>-46326321</v>
      </c>
      <c r="LMC948">
        <v>-51648410</v>
      </c>
      <c r="LMD948">
        <v>-55634140</v>
      </c>
      <c r="LME948">
        <v>-69914230</v>
      </c>
      <c r="LVV948" t="s">
        <v>757</v>
      </c>
      <c r="LVW948">
        <v>-35039810</v>
      </c>
      <c r="LVX948">
        <v>-46326321</v>
      </c>
      <c r="LVY948">
        <v>-51648410</v>
      </c>
      <c r="LVZ948">
        <v>-55634140</v>
      </c>
      <c r="LWA948">
        <v>-69914230</v>
      </c>
      <c r="MFR948" t="s">
        <v>757</v>
      </c>
      <c r="MFS948">
        <v>-35039810</v>
      </c>
      <c r="MFT948">
        <v>-46326321</v>
      </c>
      <c r="MFU948">
        <v>-51648410</v>
      </c>
      <c r="MFV948">
        <v>-55634140</v>
      </c>
      <c r="MFW948">
        <v>-69914230</v>
      </c>
      <c r="MPN948" t="s">
        <v>757</v>
      </c>
      <c r="MPO948">
        <v>-35039810</v>
      </c>
      <c r="MPP948">
        <v>-46326321</v>
      </c>
      <c r="MPQ948">
        <v>-51648410</v>
      </c>
      <c r="MPR948">
        <v>-55634140</v>
      </c>
      <c r="MPS948">
        <v>-69914230</v>
      </c>
      <c r="MZJ948" t="s">
        <v>757</v>
      </c>
      <c r="MZK948">
        <v>-35039810</v>
      </c>
      <c r="MZL948">
        <v>-46326321</v>
      </c>
      <c r="MZM948">
        <v>-51648410</v>
      </c>
      <c r="MZN948">
        <v>-55634140</v>
      </c>
      <c r="MZO948">
        <v>-69914230</v>
      </c>
      <c r="NJF948" t="s">
        <v>757</v>
      </c>
      <c r="NJG948">
        <v>-35039810</v>
      </c>
      <c r="NJH948">
        <v>-46326321</v>
      </c>
      <c r="NJI948">
        <v>-51648410</v>
      </c>
      <c r="NJJ948">
        <v>-55634140</v>
      </c>
      <c r="NJK948">
        <v>-69914230</v>
      </c>
      <c r="NTB948" t="s">
        <v>757</v>
      </c>
      <c r="NTC948">
        <v>-35039810</v>
      </c>
      <c r="NTD948">
        <v>-46326321</v>
      </c>
      <c r="NTE948">
        <v>-51648410</v>
      </c>
      <c r="NTF948">
        <v>-55634140</v>
      </c>
      <c r="NTG948">
        <v>-69914230</v>
      </c>
      <c r="OCX948" t="s">
        <v>757</v>
      </c>
      <c r="OCY948">
        <v>-35039810</v>
      </c>
      <c r="OCZ948">
        <v>-46326321</v>
      </c>
      <c r="ODA948">
        <v>-51648410</v>
      </c>
      <c r="ODB948">
        <v>-55634140</v>
      </c>
      <c r="ODC948">
        <v>-69914230</v>
      </c>
      <c r="OMT948" t="s">
        <v>757</v>
      </c>
      <c r="OMU948">
        <v>-35039810</v>
      </c>
      <c r="OMV948">
        <v>-46326321</v>
      </c>
      <c r="OMW948">
        <v>-51648410</v>
      </c>
      <c r="OMX948">
        <v>-55634140</v>
      </c>
      <c r="OMY948">
        <v>-69914230</v>
      </c>
      <c r="OWP948" t="s">
        <v>757</v>
      </c>
      <c r="OWQ948">
        <v>-35039810</v>
      </c>
      <c r="OWR948">
        <v>-46326321</v>
      </c>
      <c r="OWS948">
        <v>-51648410</v>
      </c>
      <c r="OWT948">
        <v>-55634140</v>
      </c>
      <c r="OWU948">
        <v>-69914230</v>
      </c>
      <c r="PGL948" t="s">
        <v>757</v>
      </c>
      <c r="PGM948">
        <v>-35039810</v>
      </c>
      <c r="PGN948">
        <v>-46326321</v>
      </c>
      <c r="PGO948">
        <v>-51648410</v>
      </c>
      <c r="PGP948">
        <v>-55634140</v>
      </c>
      <c r="PGQ948">
        <v>-69914230</v>
      </c>
      <c r="PQH948" t="s">
        <v>757</v>
      </c>
      <c r="PQI948">
        <v>-35039810</v>
      </c>
      <c r="PQJ948">
        <v>-46326321</v>
      </c>
      <c r="PQK948">
        <v>-51648410</v>
      </c>
      <c r="PQL948">
        <v>-55634140</v>
      </c>
      <c r="PQM948">
        <v>-69914230</v>
      </c>
      <c r="QAD948" t="s">
        <v>757</v>
      </c>
      <c r="QAE948">
        <v>-35039810</v>
      </c>
      <c r="QAF948">
        <v>-46326321</v>
      </c>
      <c r="QAG948">
        <v>-51648410</v>
      </c>
      <c r="QAH948">
        <v>-55634140</v>
      </c>
      <c r="QAI948">
        <v>-69914230</v>
      </c>
      <c r="QJZ948" t="s">
        <v>757</v>
      </c>
      <c r="QKA948">
        <v>-35039810</v>
      </c>
      <c r="QKB948">
        <v>-46326321</v>
      </c>
      <c r="QKC948">
        <v>-51648410</v>
      </c>
      <c r="QKD948">
        <v>-55634140</v>
      </c>
      <c r="QKE948">
        <v>-69914230</v>
      </c>
      <c r="QTV948" t="s">
        <v>757</v>
      </c>
      <c r="QTW948">
        <v>-35039810</v>
      </c>
      <c r="QTX948">
        <v>-46326321</v>
      </c>
      <c r="QTY948">
        <v>-51648410</v>
      </c>
      <c r="QTZ948">
        <v>-55634140</v>
      </c>
      <c r="QUA948">
        <v>-69914230</v>
      </c>
      <c r="RDR948" t="s">
        <v>757</v>
      </c>
      <c r="RDS948">
        <v>-35039810</v>
      </c>
      <c r="RDT948">
        <v>-46326321</v>
      </c>
      <c r="RDU948">
        <v>-51648410</v>
      </c>
      <c r="RDV948">
        <v>-55634140</v>
      </c>
      <c r="RDW948">
        <v>-69914230</v>
      </c>
      <c r="RNN948" t="s">
        <v>757</v>
      </c>
      <c r="RNO948">
        <v>-35039810</v>
      </c>
      <c r="RNP948">
        <v>-46326321</v>
      </c>
      <c r="RNQ948">
        <v>-51648410</v>
      </c>
      <c r="RNR948">
        <v>-55634140</v>
      </c>
      <c r="RNS948">
        <v>-69914230</v>
      </c>
      <c r="RXJ948" t="s">
        <v>757</v>
      </c>
      <c r="RXK948">
        <v>-35039810</v>
      </c>
      <c r="RXL948">
        <v>-46326321</v>
      </c>
      <c r="RXM948">
        <v>-51648410</v>
      </c>
      <c r="RXN948">
        <v>-55634140</v>
      </c>
      <c r="RXO948">
        <v>-69914230</v>
      </c>
      <c r="SHF948" t="s">
        <v>757</v>
      </c>
      <c r="SHG948">
        <v>-35039810</v>
      </c>
      <c r="SHH948">
        <v>-46326321</v>
      </c>
      <c r="SHI948">
        <v>-51648410</v>
      </c>
      <c r="SHJ948">
        <v>-55634140</v>
      </c>
      <c r="SHK948">
        <v>-69914230</v>
      </c>
      <c r="SRB948" t="s">
        <v>757</v>
      </c>
      <c r="SRC948">
        <v>-35039810</v>
      </c>
      <c r="SRD948">
        <v>-46326321</v>
      </c>
      <c r="SRE948">
        <v>-51648410</v>
      </c>
      <c r="SRF948">
        <v>-55634140</v>
      </c>
      <c r="SRG948">
        <v>-69914230</v>
      </c>
      <c r="TAX948" t="s">
        <v>757</v>
      </c>
      <c r="TAY948">
        <v>-35039810</v>
      </c>
      <c r="TAZ948">
        <v>-46326321</v>
      </c>
      <c r="TBA948">
        <v>-51648410</v>
      </c>
      <c r="TBB948">
        <v>-55634140</v>
      </c>
      <c r="TBC948">
        <v>-69914230</v>
      </c>
      <c r="TKT948" t="s">
        <v>757</v>
      </c>
      <c r="TKU948">
        <v>-35039810</v>
      </c>
      <c r="TKV948">
        <v>-46326321</v>
      </c>
      <c r="TKW948">
        <v>-51648410</v>
      </c>
      <c r="TKX948">
        <v>-55634140</v>
      </c>
      <c r="TKY948">
        <v>-69914230</v>
      </c>
      <c r="TUP948" t="s">
        <v>757</v>
      </c>
      <c r="TUQ948">
        <v>-35039810</v>
      </c>
      <c r="TUR948">
        <v>-46326321</v>
      </c>
      <c r="TUS948">
        <v>-51648410</v>
      </c>
      <c r="TUT948">
        <v>-55634140</v>
      </c>
      <c r="TUU948">
        <v>-69914230</v>
      </c>
      <c r="UEL948" t="s">
        <v>757</v>
      </c>
      <c r="UEM948">
        <v>-35039810</v>
      </c>
      <c r="UEN948">
        <v>-46326321</v>
      </c>
      <c r="UEO948">
        <v>-51648410</v>
      </c>
      <c r="UEP948">
        <v>-55634140</v>
      </c>
      <c r="UEQ948">
        <v>-69914230</v>
      </c>
      <c r="UOH948" t="s">
        <v>757</v>
      </c>
      <c r="UOI948">
        <v>-35039810</v>
      </c>
      <c r="UOJ948">
        <v>-46326321</v>
      </c>
      <c r="UOK948">
        <v>-51648410</v>
      </c>
      <c r="UOL948">
        <v>-55634140</v>
      </c>
      <c r="UOM948">
        <v>-69914230</v>
      </c>
      <c r="UYD948" t="s">
        <v>757</v>
      </c>
      <c r="UYE948">
        <v>-35039810</v>
      </c>
      <c r="UYF948">
        <v>-46326321</v>
      </c>
      <c r="UYG948">
        <v>-51648410</v>
      </c>
      <c r="UYH948">
        <v>-55634140</v>
      </c>
      <c r="UYI948">
        <v>-69914230</v>
      </c>
      <c r="VHZ948" t="s">
        <v>757</v>
      </c>
      <c r="VIA948">
        <v>-35039810</v>
      </c>
      <c r="VIB948">
        <v>-46326321</v>
      </c>
      <c r="VIC948">
        <v>-51648410</v>
      </c>
      <c r="VID948">
        <v>-55634140</v>
      </c>
      <c r="VIE948">
        <v>-69914230</v>
      </c>
      <c r="VRV948" t="s">
        <v>757</v>
      </c>
      <c r="VRW948">
        <v>-35039810</v>
      </c>
      <c r="VRX948">
        <v>-46326321</v>
      </c>
      <c r="VRY948">
        <v>-51648410</v>
      </c>
      <c r="VRZ948">
        <v>-55634140</v>
      </c>
      <c r="VSA948">
        <v>-69914230</v>
      </c>
      <c r="WBR948" t="s">
        <v>757</v>
      </c>
      <c r="WBS948">
        <v>-35039810</v>
      </c>
      <c r="WBT948">
        <v>-46326321</v>
      </c>
      <c r="WBU948">
        <v>-51648410</v>
      </c>
      <c r="WBV948">
        <v>-55634140</v>
      </c>
      <c r="WBW948">
        <v>-69914230</v>
      </c>
      <c r="WLN948" t="s">
        <v>757</v>
      </c>
      <c r="WLO948">
        <v>-35039810</v>
      </c>
      <c r="WLP948">
        <v>-46326321</v>
      </c>
      <c r="WLQ948">
        <v>-51648410</v>
      </c>
      <c r="WLR948">
        <v>-55634140</v>
      </c>
      <c r="WLS948">
        <v>-69914230</v>
      </c>
      <c r="WVJ948" t="s">
        <v>757</v>
      </c>
      <c r="WVK948">
        <v>-35039810</v>
      </c>
      <c r="WVL948">
        <v>-46326321</v>
      </c>
      <c r="WVM948">
        <v>-51648410</v>
      </c>
      <c r="WVN948">
        <v>-55634140</v>
      </c>
      <c r="WVO948">
        <v>-69914230</v>
      </c>
    </row>
    <row r="949" spans="1:775 1026:1799 2050:2823 3074:3847 4098:4871 5122:5895 6146:6919 7170:7943 8194:8967 9218:9991 10242:11015 11266:12039 12290:13063 13314:14087 14338:15111 15362:16135">
      <c r="A949" s="96" t="s">
        <v>761</v>
      </c>
      <c r="B949" s="1357" t="s">
        <v>760</v>
      </c>
      <c r="C949" s="100">
        <v>-34708</v>
      </c>
      <c r="D949" s="100">
        <v>-203048</v>
      </c>
      <c r="E949" s="100">
        <v>-65452</v>
      </c>
      <c r="F949" s="98">
        <v>0</v>
      </c>
      <c r="G949" s="98">
        <v>0</v>
      </c>
      <c r="H949" s="98"/>
      <c r="IX949" t="s">
        <v>761</v>
      </c>
      <c r="IY949">
        <v>-34708</v>
      </c>
      <c r="IZ949">
        <v>-203048</v>
      </c>
      <c r="JA949">
        <v>-65452</v>
      </c>
      <c r="JB949" t="s">
        <v>619</v>
      </c>
      <c r="JC949" t="s">
        <v>619</v>
      </c>
      <c r="ST949" t="s">
        <v>761</v>
      </c>
      <c r="SU949">
        <v>-34708</v>
      </c>
      <c r="SV949">
        <v>-203048</v>
      </c>
      <c r="SW949">
        <v>-65452</v>
      </c>
      <c r="SX949" t="s">
        <v>619</v>
      </c>
      <c r="SY949" t="s">
        <v>619</v>
      </c>
      <c r="ACP949" t="s">
        <v>761</v>
      </c>
      <c r="ACQ949">
        <v>-34708</v>
      </c>
      <c r="ACR949">
        <v>-203048</v>
      </c>
      <c r="ACS949">
        <v>-65452</v>
      </c>
      <c r="ACT949" t="s">
        <v>619</v>
      </c>
      <c r="ACU949" t="s">
        <v>619</v>
      </c>
      <c r="AML949" t="s">
        <v>761</v>
      </c>
      <c r="AMM949">
        <v>-34708</v>
      </c>
      <c r="AMN949">
        <v>-203048</v>
      </c>
      <c r="AMO949">
        <v>-65452</v>
      </c>
      <c r="AMP949" t="s">
        <v>619</v>
      </c>
      <c r="AMQ949" t="s">
        <v>619</v>
      </c>
      <c r="AWH949" t="s">
        <v>761</v>
      </c>
      <c r="AWI949">
        <v>-34708</v>
      </c>
      <c r="AWJ949">
        <v>-203048</v>
      </c>
      <c r="AWK949">
        <v>-65452</v>
      </c>
      <c r="AWL949" t="s">
        <v>619</v>
      </c>
      <c r="AWM949" t="s">
        <v>619</v>
      </c>
      <c r="BGD949" t="s">
        <v>761</v>
      </c>
      <c r="BGE949">
        <v>-34708</v>
      </c>
      <c r="BGF949">
        <v>-203048</v>
      </c>
      <c r="BGG949">
        <v>-65452</v>
      </c>
      <c r="BGH949" t="s">
        <v>619</v>
      </c>
      <c r="BGI949" t="s">
        <v>619</v>
      </c>
      <c r="BPZ949" t="s">
        <v>761</v>
      </c>
      <c r="BQA949">
        <v>-34708</v>
      </c>
      <c r="BQB949">
        <v>-203048</v>
      </c>
      <c r="BQC949">
        <v>-65452</v>
      </c>
      <c r="BQD949" t="s">
        <v>619</v>
      </c>
      <c r="BQE949" t="s">
        <v>619</v>
      </c>
      <c r="BZV949" t="s">
        <v>761</v>
      </c>
      <c r="BZW949">
        <v>-34708</v>
      </c>
      <c r="BZX949">
        <v>-203048</v>
      </c>
      <c r="BZY949">
        <v>-65452</v>
      </c>
      <c r="BZZ949" t="s">
        <v>619</v>
      </c>
      <c r="CAA949" t="s">
        <v>619</v>
      </c>
      <c r="CJR949" t="s">
        <v>761</v>
      </c>
      <c r="CJS949">
        <v>-34708</v>
      </c>
      <c r="CJT949">
        <v>-203048</v>
      </c>
      <c r="CJU949">
        <v>-65452</v>
      </c>
      <c r="CJV949" t="s">
        <v>619</v>
      </c>
      <c r="CJW949" t="s">
        <v>619</v>
      </c>
      <c r="CTN949" t="s">
        <v>761</v>
      </c>
      <c r="CTO949">
        <v>-34708</v>
      </c>
      <c r="CTP949">
        <v>-203048</v>
      </c>
      <c r="CTQ949">
        <v>-65452</v>
      </c>
      <c r="CTR949" t="s">
        <v>619</v>
      </c>
      <c r="CTS949" t="s">
        <v>619</v>
      </c>
      <c r="DDJ949" t="s">
        <v>761</v>
      </c>
      <c r="DDK949">
        <v>-34708</v>
      </c>
      <c r="DDL949">
        <v>-203048</v>
      </c>
      <c r="DDM949">
        <v>-65452</v>
      </c>
      <c r="DDN949" t="s">
        <v>619</v>
      </c>
      <c r="DDO949" t="s">
        <v>619</v>
      </c>
      <c r="DNF949" t="s">
        <v>761</v>
      </c>
      <c r="DNG949">
        <v>-34708</v>
      </c>
      <c r="DNH949">
        <v>-203048</v>
      </c>
      <c r="DNI949">
        <v>-65452</v>
      </c>
      <c r="DNJ949" t="s">
        <v>619</v>
      </c>
      <c r="DNK949" t="s">
        <v>619</v>
      </c>
      <c r="DXB949" t="s">
        <v>761</v>
      </c>
      <c r="DXC949">
        <v>-34708</v>
      </c>
      <c r="DXD949">
        <v>-203048</v>
      </c>
      <c r="DXE949">
        <v>-65452</v>
      </c>
      <c r="DXF949" t="s">
        <v>619</v>
      </c>
      <c r="DXG949" t="s">
        <v>619</v>
      </c>
      <c r="EGX949" t="s">
        <v>761</v>
      </c>
      <c r="EGY949">
        <v>-34708</v>
      </c>
      <c r="EGZ949">
        <v>-203048</v>
      </c>
      <c r="EHA949">
        <v>-65452</v>
      </c>
      <c r="EHB949" t="s">
        <v>619</v>
      </c>
      <c r="EHC949" t="s">
        <v>619</v>
      </c>
      <c r="EQT949" t="s">
        <v>761</v>
      </c>
      <c r="EQU949">
        <v>-34708</v>
      </c>
      <c r="EQV949">
        <v>-203048</v>
      </c>
      <c r="EQW949">
        <v>-65452</v>
      </c>
      <c r="EQX949" t="s">
        <v>619</v>
      </c>
      <c r="EQY949" t="s">
        <v>619</v>
      </c>
      <c r="FAP949" t="s">
        <v>761</v>
      </c>
      <c r="FAQ949">
        <v>-34708</v>
      </c>
      <c r="FAR949">
        <v>-203048</v>
      </c>
      <c r="FAS949">
        <v>-65452</v>
      </c>
      <c r="FAT949" t="s">
        <v>619</v>
      </c>
      <c r="FAU949" t="s">
        <v>619</v>
      </c>
      <c r="FKL949" t="s">
        <v>761</v>
      </c>
      <c r="FKM949">
        <v>-34708</v>
      </c>
      <c r="FKN949">
        <v>-203048</v>
      </c>
      <c r="FKO949">
        <v>-65452</v>
      </c>
      <c r="FKP949" t="s">
        <v>619</v>
      </c>
      <c r="FKQ949" t="s">
        <v>619</v>
      </c>
      <c r="FUH949" t="s">
        <v>761</v>
      </c>
      <c r="FUI949">
        <v>-34708</v>
      </c>
      <c r="FUJ949">
        <v>-203048</v>
      </c>
      <c r="FUK949">
        <v>-65452</v>
      </c>
      <c r="FUL949" t="s">
        <v>619</v>
      </c>
      <c r="FUM949" t="s">
        <v>619</v>
      </c>
      <c r="GED949" t="s">
        <v>761</v>
      </c>
      <c r="GEE949">
        <v>-34708</v>
      </c>
      <c r="GEF949">
        <v>-203048</v>
      </c>
      <c r="GEG949">
        <v>-65452</v>
      </c>
      <c r="GEH949" t="s">
        <v>619</v>
      </c>
      <c r="GEI949" t="s">
        <v>619</v>
      </c>
      <c r="GNZ949" t="s">
        <v>761</v>
      </c>
      <c r="GOA949">
        <v>-34708</v>
      </c>
      <c r="GOB949">
        <v>-203048</v>
      </c>
      <c r="GOC949">
        <v>-65452</v>
      </c>
      <c r="GOD949" t="s">
        <v>619</v>
      </c>
      <c r="GOE949" t="s">
        <v>619</v>
      </c>
      <c r="GXV949" t="s">
        <v>761</v>
      </c>
      <c r="GXW949">
        <v>-34708</v>
      </c>
      <c r="GXX949">
        <v>-203048</v>
      </c>
      <c r="GXY949">
        <v>-65452</v>
      </c>
      <c r="GXZ949" t="s">
        <v>619</v>
      </c>
      <c r="GYA949" t="s">
        <v>619</v>
      </c>
      <c r="HHR949" t="s">
        <v>761</v>
      </c>
      <c r="HHS949">
        <v>-34708</v>
      </c>
      <c r="HHT949">
        <v>-203048</v>
      </c>
      <c r="HHU949">
        <v>-65452</v>
      </c>
      <c r="HHV949" t="s">
        <v>619</v>
      </c>
      <c r="HHW949" t="s">
        <v>619</v>
      </c>
      <c r="HRN949" t="s">
        <v>761</v>
      </c>
      <c r="HRO949">
        <v>-34708</v>
      </c>
      <c r="HRP949">
        <v>-203048</v>
      </c>
      <c r="HRQ949">
        <v>-65452</v>
      </c>
      <c r="HRR949" t="s">
        <v>619</v>
      </c>
      <c r="HRS949" t="s">
        <v>619</v>
      </c>
      <c r="IBJ949" t="s">
        <v>761</v>
      </c>
      <c r="IBK949">
        <v>-34708</v>
      </c>
      <c r="IBL949">
        <v>-203048</v>
      </c>
      <c r="IBM949">
        <v>-65452</v>
      </c>
      <c r="IBN949" t="s">
        <v>619</v>
      </c>
      <c r="IBO949" t="s">
        <v>619</v>
      </c>
      <c r="ILF949" t="s">
        <v>761</v>
      </c>
      <c r="ILG949">
        <v>-34708</v>
      </c>
      <c r="ILH949">
        <v>-203048</v>
      </c>
      <c r="ILI949">
        <v>-65452</v>
      </c>
      <c r="ILJ949" t="s">
        <v>619</v>
      </c>
      <c r="ILK949" t="s">
        <v>619</v>
      </c>
      <c r="IVB949" t="s">
        <v>761</v>
      </c>
      <c r="IVC949">
        <v>-34708</v>
      </c>
      <c r="IVD949">
        <v>-203048</v>
      </c>
      <c r="IVE949">
        <v>-65452</v>
      </c>
      <c r="IVF949" t="s">
        <v>619</v>
      </c>
      <c r="IVG949" t="s">
        <v>619</v>
      </c>
      <c r="JEX949" t="s">
        <v>761</v>
      </c>
      <c r="JEY949">
        <v>-34708</v>
      </c>
      <c r="JEZ949">
        <v>-203048</v>
      </c>
      <c r="JFA949">
        <v>-65452</v>
      </c>
      <c r="JFB949" t="s">
        <v>619</v>
      </c>
      <c r="JFC949" t="s">
        <v>619</v>
      </c>
      <c r="JOT949" t="s">
        <v>761</v>
      </c>
      <c r="JOU949">
        <v>-34708</v>
      </c>
      <c r="JOV949">
        <v>-203048</v>
      </c>
      <c r="JOW949">
        <v>-65452</v>
      </c>
      <c r="JOX949" t="s">
        <v>619</v>
      </c>
      <c r="JOY949" t="s">
        <v>619</v>
      </c>
      <c r="JYP949" t="s">
        <v>761</v>
      </c>
      <c r="JYQ949">
        <v>-34708</v>
      </c>
      <c r="JYR949">
        <v>-203048</v>
      </c>
      <c r="JYS949">
        <v>-65452</v>
      </c>
      <c r="JYT949" t="s">
        <v>619</v>
      </c>
      <c r="JYU949" t="s">
        <v>619</v>
      </c>
      <c r="KIL949" t="s">
        <v>761</v>
      </c>
      <c r="KIM949">
        <v>-34708</v>
      </c>
      <c r="KIN949">
        <v>-203048</v>
      </c>
      <c r="KIO949">
        <v>-65452</v>
      </c>
      <c r="KIP949" t="s">
        <v>619</v>
      </c>
      <c r="KIQ949" t="s">
        <v>619</v>
      </c>
      <c r="KSH949" t="s">
        <v>761</v>
      </c>
      <c r="KSI949">
        <v>-34708</v>
      </c>
      <c r="KSJ949">
        <v>-203048</v>
      </c>
      <c r="KSK949">
        <v>-65452</v>
      </c>
      <c r="KSL949" t="s">
        <v>619</v>
      </c>
      <c r="KSM949" t="s">
        <v>619</v>
      </c>
      <c r="LCD949" t="s">
        <v>761</v>
      </c>
      <c r="LCE949">
        <v>-34708</v>
      </c>
      <c r="LCF949">
        <v>-203048</v>
      </c>
      <c r="LCG949">
        <v>-65452</v>
      </c>
      <c r="LCH949" t="s">
        <v>619</v>
      </c>
      <c r="LCI949" t="s">
        <v>619</v>
      </c>
      <c r="LLZ949" t="s">
        <v>761</v>
      </c>
      <c r="LMA949">
        <v>-34708</v>
      </c>
      <c r="LMB949">
        <v>-203048</v>
      </c>
      <c r="LMC949">
        <v>-65452</v>
      </c>
      <c r="LMD949" t="s">
        <v>619</v>
      </c>
      <c r="LME949" t="s">
        <v>619</v>
      </c>
      <c r="LVV949" t="s">
        <v>761</v>
      </c>
      <c r="LVW949">
        <v>-34708</v>
      </c>
      <c r="LVX949">
        <v>-203048</v>
      </c>
      <c r="LVY949">
        <v>-65452</v>
      </c>
      <c r="LVZ949" t="s">
        <v>619</v>
      </c>
      <c r="LWA949" t="s">
        <v>619</v>
      </c>
      <c r="MFR949" t="s">
        <v>761</v>
      </c>
      <c r="MFS949">
        <v>-34708</v>
      </c>
      <c r="MFT949">
        <v>-203048</v>
      </c>
      <c r="MFU949">
        <v>-65452</v>
      </c>
      <c r="MFV949" t="s">
        <v>619</v>
      </c>
      <c r="MFW949" t="s">
        <v>619</v>
      </c>
      <c r="MPN949" t="s">
        <v>761</v>
      </c>
      <c r="MPO949">
        <v>-34708</v>
      </c>
      <c r="MPP949">
        <v>-203048</v>
      </c>
      <c r="MPQ949">
        <v>-65452</v>
      </c>
      <c r="MPR949" t="s">
        <v>619</v>
      </c>
      <c r="MPS949" t="s">
        <v>619</v>
      </c>
      <c r="MZJ949" t="s">
        <v>761</v>
      </c>
      <c r="MZK949">
        <v>-34708</v>
      </c>
      <c r="MZL949">
        <v>-203048</v>
      </c>
      <c r="MZM949">
        <v>-65452</v>
      </c>
      <c r="MZN949" t="s">
        <v>619</v>
      </c>
      <c r="MZO949" t="s">
        <v>619</v>
      </c>
      <c r="NJF949" t="s">
        <v>761</v>
      </c>
      <c r="NJG949">
        <v>-34708</v>
      </c>
      <c r="NJH949">
        <v>-203048</v>
      </c>
      <c r="NJI949">
        <v>-65452</v>
      </c>
      <c r="NJJ949" t="s">
        <v>619</v>
      </c>
      <c r="NJK949" t="s">
        <v>619</v>
      </c>
      <c r="NTB949" t="s">
        <v>761</v>
      </c>
      <c r="NTC949">
        <v>-34708</v>
      </c>
      <c r="NTD949">
        <v>-203048</v>
      </c>
      <c r="NTE949">
        <v>-65452</v>
      </c>
      <c r="NTF949" t="s">
        <v>619</v>
      </c>
      <c r="NTG949" t="s">
        <v>619</v>
      </c>
      <c r="OCX949" t="s">
        <v>761</v>
      </c>
      <c r="OCY949">
        <v>-34708</v>
      </c>
      <c r="OCZ949">
        <v>-203048</v>
      </c>
      <c r="ODA949">
        <v>-65452</v>
      </c>
      <c r="ODB949" t="s">
        <v>619</v>
      </c>
      <c r="ODC949" t="s">
        <v>619</v>
      </c>
      <c r="OMT949" t="s">
        <v>761</v>
      </c>
      <c r="OMU949">
        <v>-34708</v>
      </c>
      <c r="OMV949">
        <v>-203048</v>
      </c>
      <c r="OMW949">
        <v>-65452</v>
      </c>
      <c r="OMX949" t="s">
        <v>619</v>
      </c>
      <c r="OMY949" t="s">
        <v>619</v>
      </c>
      <c r="OWP949" t="s">
        <v>761</v>
      </c>
      <c r="OWQ949">
        <v>-34708</v>
      </c>
      <c r="OWR949">
        <v>-203048</v>
      </c>
      <c r="OWS949">
        <v>-65452</v>
      </c>
      <c r="OWT949" t="s">
        <v>619</v>
      </c>
      <c r="OWU949" t="s">
        <v>619</v>
      </c>
      <c r="PGL949" t="s">
        <v>761</v>
      </c>
      <c r="PGM949">
        <v>-34708</v>
      </c>
      <c r="PGN949">
        <v>-203048</v>
      </c>
      <c r="PGO949">
        <v>-65452</v>
      </c>
      <c r="PGP949" t="s">
        <v>619</v>
      </c>
      <c r="PGQ949" t="s">
        <v>619</v>
      </c>
      <c r="PQH949" t="s">
        <v>761</v>
      </c>
      <c r="PQI949">
        <v>-34708</v>
      </c>
      <c r="PQJ949">
        <v>-203048</v>
      </c>
      <c r="PQK949">
        <v>-65452</v>
      </c>
      <c r="PQL949" t="s">
        <v>619</v>
      </c>
      <c r="PQM949" t="s">
        <v>619</v>
      </c>
      <c r="QAD949" t="s">
        <v>761</v>
      </c>
      <c r="QAE949">
        <v>-34708</v>
      </c>
      <c r="QAF949">
        <v>-203048</v>
      </c>
      <c r="QAG949">
        <v>-65452</v>
      </c>
      <c r="QAH949" t="s">
        <v>619</v>
      </c>
      <c r="QAI949" t="s">
        <v>619</v>
      </c>
      <c r="QJZ949" t="s">
        <v>761</v>
      </c>
      <c r="QKA949">
        <v>-34708</v>
      </c>
      <c r="QKB949">
        <v>-203048</v>
      </c>
      <c r="QKC949">
        <v>-65452</v>
      </c>
      <c r="QKD949" t="s">
        <v>619</v>
      </c>
      <c r="QKE949" t="s">
        <v>619</v>
      </c>
      <c r="QTV949" t="s">
        <v>761</v>
      </c>
      <c r="QTW949">
        <v>-34708</v>
      </c>
      <c r="QTX949">
        <v>-203048</v>
      </c>
      <c r="QTY949">
        <v>-65452</v>
      </c>
      <c r="QTZ949" t="s">
        <v>619</v>
      </c>
      <c r="QUA949" t="s">
        <v>619</v>
      </c>
      <c r="RDR949" t="s">
        <v>761</v>
      </c>
      <c r="RDS949">
        <v>-34708</v>
      </c>
      <c r="RDT949">
        <v>-203048</v>
      </c>
      <c r="RDU949">
        <v>-65452</v>
      </c>
      <c r="RDV949" t="s">
        <v>619</v>
      </c>
      <c r="RDW949" t="s">
        <v>619</v>
      </c>
      <c r="RNN949" t="s">
        <v>761</v>
      </c>
      <c r="RNO949">
        <v>-34708</v>
      </c>
      <c r="RNP949">
        <v>-203048</v>
      </c>
      <c r="RNQ949">
        <v>-65452</v>
      </c>
      <c r="RNR949" t="s">
        <v>619</v>
      </c>
      <c r="RNS949" t="s">
        <v>619</v>
      </c>
      <c r="RXJ949" t="s">
        <v>761</v>
      </c>
      <c r="RXK949">
        <v>-34708</v>
      </c>
      <c r="RXL949">
        <v>-203048</v>
      </c>
      <c r="RXM949">
        <v>-65452</v>
      </c>
      <c r="RXN949" t="s">
        <v>619</v>
      </c>
      <c r="RXO949" t="s">
        <v>619</v>
      </c>
      <c r="SHF949" t="s">
        <v>761</v>
      </c>
      <c r="SHG949">
        <v>-34708</v>
      </c>
      <c r="SHH949">
        <v>-203048</v>
      </c>
      <c r="SHI949">
        <v>-65452</v>
      </c>
      <c r="SHJ949" t="s">
        <v>619</v>
      </c>
      <c r="SHK949" t="s">
        <v>619</v>
      </c>
      <c r="SRB949" t="s">
        <v>761</v>
      </c>
      <c r="SRC949">
        <v>-34708</v>
      </c>
      <c r="SRD949">
        <v>-203048</v>
      </c>
      <c r="SRE949">
        <v>-65452</v>
      </c>
      <c r="SRF949" t="s">
        <v>619</v>
      </c>
      <c r="SRG949" t="s">
        <v>619</v>
      </c>
      <c r="TAX949" t="s">
        <v>761</v>
      </c>
      <c r="TAY949">
        <v>-34708</v>
      </c>
      <c r="TAZ949">
        <v>-203048</v>
      </c>
      <c r="TBA949">
        <v>-65452</v>
      </c>
      <c r="TBB949" t="s">
        <v>619</v>
      </c>
      <c r="TBC949" t="s">
        <v>619</v>
      </c>
      <c r="TKT949" t="s">
        <v>761</v>
      </c>
      <c r="TKU949">
        <v>-34708</v>
      </c>
      <c r="TKV949">
        <v>-203048</v>
      </c>
      <c r="TKW949">
        <v>-65452</v>
      </c>
      <c r="TKX949" t="s">
        <v>619</v>
      </c>
      <c r="TKY949" t="s">
        <v>619</v>
      </c>
      <c r="TUP949" t="s">
        <v>761</v>
      </c>
      <c r="TUQ949">
        <v>-34708</v>
      </c>
      <c r="TUR949">
        <v>-203048</v>
      </c>
      <c r="TUS949">
        <v>-65452</v>
      </c>
      <c r="TUT949" t="s">
        <v>619</v>
      </c>
      <c r="TUU949" t="s">
        <v>619</v>
      </c>
      <c r="UEL949" t="s">
        <v>761</v>
      </c>
      <c r="UEM949">
        <v>-34708</v>
      </c>
      <c r="UEN949">
        <v>-203048</v>
      </c>
      <c r="UEO949">
        <v>-65452</v>
      </c>
      <c r="UEP949" t="s">
        <v>619</v>
      </c>
      <c r="UEQ949" t="s">
        <v>619</v>
      </c>
      <c r="UOH949" t="s">
        <v>761</v>
      </c>
      <c r="UOI949">
        <v>-34708</v>
      </c>
      <c r="UOJ949">
        <v>-203048</v>
      </c>
      <c r="UOK949">
        <v>-65452</v>
      </c>
      <c r="UOL949" t="s">
        <v>619</v>
      </c>
      <c r="UOM949" t="s">
        <v>619</v>
      </c>
      <c r="UYD949" t="s">
        <v>761</v>
      </c>
      <c r="UYE949">
        <v>-34708</v>
      </c>
      <c r="UYF949">
        <v>-203048</v>
      </c>
      <c r="UYG949">
        <v>-65452</v>
      </c>
      <c r="UYH949" t="s">
        <v>619</v>
      </c>
      <c r="UYI949" t="s">
        <v>619</v>
      </c>
      <c r="VHZ949" t="s">
        <v>761</v>
      </c>
      <c r="VIA949">
        <v>-34708</v>
      </c>
      <c r="VIB949">
        <v>-203048</v>
      </c>
      <c r="VIC949">
        <v>-65452</v>
      </c>
      <c r="VID949" t="s">
        <v>619</v>
      </c>
      <c r="VIE949" t="s">
        <v>619</v>
      </c>
      <c r="VRV949" t="s">
        <v>761</v>
      </c>
      <c r="VRW949">
        <v>-34708</v>
      </c>
      <c r="VRX949">
        <v>-203048</v>
      </c>
      <c r="VRY949">
        <v>-65452</v>
      </c>
      <c r="VRZ949" t="s">
        <v>619</v>
      </c>
      <c r="VSA949" t="s">
        <v>619</v>
      </c>
      <c r="WBR949" t="s">
        <v>761</v>
      </c>
      <c r="WBS949">
        <v>-34708</v>
      </c>
      <c r="WBT949">
        <v>-203048</v>
      </c>
      <c r="WBU949">
        <v>-65452</v>
      </c>
      <c r="WBV949" t="s">
        <v>619</v>
      </c>
      <c r="WBW949" t="s">
        <v>619</v>
      </c>
      <c r="WLN949" t="s">
        <v>761</v>
      </c>
      <c r="WLO949">
        <v>-34708</v>
      </c>
      <c r="WLP949">
        <v>-203048</v>
      </c>
      <c r="WLQ949">
        <v>-65452</v>
      </c>
      <c r="WLR949" t="s">
        <v>619</v>
      </c>
      <c r="WLS949" t="s">
        <v>619</v>
      </c>
      <c r="WVJ949" t="s">
        <v>761</v>
      </c>
      <c r="WVK949">
        <v>-34708</v>
      </c>
      <c r="WVL949">
        <v>-203048</v>
      </c>
      <c r="WVM949">
        <v>-65452</v>
      </c>
      <c r="WVN949" t="s">
        <v>619</v>
      </c>
      <c r="WVO949" t="s">
        <v>619</v>
      </c>
    </row>
    <row r="950" spans="1:775 1026:1799 2050:2823 3074:3847 4098:4871 5122:5895 6146:6919 7170:7943 8194:8967 9218:9991 10242:11015 11266:12039 12290:13063 13314:14087 14338:15111 15362:16135" ht="14.5" thickBot="1">
      <c r="A950" s="96" t="s">
        <v>1343</v>
      </c>
      <c r="B950" s="1357" t="s">
        <v>760</v>
      </c>
      <c r="C950" s="98">
        <v>0</v>
      </c>
      <c r="D950" s="98">
        <v>0</v>
      </c>
      <c r="E950" s="98">
        <v>0</v>
      </c>
      <c r="F950" s="100">
        <v>-276300</v>
      </c>
      <c r="G950" s="100">
        <v>1036011</v>
      </c>
      <c r="H950" s="100"/>
      <c r="IX950" t="s">
        <v>1343</v>
      </c>
      <c r="IY950" t="s">
        <v>619</v>
      </c>
      <c r="IZ950" t="s">
        <v>619</v>
      </c>
      <c r="JA950" t="s">
        <v>619</v>
      </c>
      <c r="JB950">
        <v>-276300</v>
      </c>
      <c r="JC950">
        <v>1036011</v>
      </c>
      <c r="ST950" t="s">
        <v>1343</v>
      </c>
      <c r="SU950" t="s">
        <v>619</v>
      </c>
      <c r="SV950" t="s">
        <v>619</v>
      </c>
      <c r="SW950" t="s">
        <v>619</v>
      </c>
      <c r="SX950">
        <v>-276300</v>
      </c>
      <c r="SY950">
        <v>1036011</v>
      </c>
      <c r="ACP950" t="s">
        <v>1343</v>
      </c>
      <c r="ACQ950" t="s">
        <v>619</v>
      </c>
      <c r="ACR950" t="s">
        <v>619</v>
      </c>
      <c r="ACS950" t="s">
        <v>619</v>
      </c>
      <c r="ACT950">
        <v>-276300</v>
      </c>
      <c r="ACU950">
        <v>1036011</v>
      </c>
      <c r="AML950" t="s">
        <v>1343</v>
      </c>
      <c r="AMM950" t="s">
        <v>619</v>
      </c>
      <c r="AMN950" t="s">
        <v>619</v>
      </c>
      <c r="AMO950" t="s">
        <v>619</v>
      </c>
      <c r="AMP950">
        <v>-276300</v>
      </c>
      <c r="AMQ950">
        <v>1036011</v>
      </c>
      <c r="AWH950" t="s">
        <v>1343</v>
      </c>
      <c r="AWI950" t="s">
        <v>619</v>
      </c>
      <c r="AWJ950" t="s">
        <v>619</v>
      </c>
      <c r="AWK950" t="s">
        <v>619</v>
      </c>
      <c r="AWL950">
        <v>-276300</v>
      </c>
      <c r="AWM950">
        <v>1036011</v>
      </c>
      <c r="BGD950" t="s">
        <v>1343</v>
      </c>
      <c r="BGE950" t="s">
        <v>619</v>
      </c>
      <c r="BGF950" t="s">
        <v>619</v>
      </c>
      <c r="BGG950" t="s">
        <v>619</v>
      </c>
      <c r="BGH950">
        <v>-276300</v>
      </c>
      <c r="BGI950">
        <v>1036011</v>
      </c>
      <c r="BPZ950" t="s">
        <v>1343</v>
      </c>
      <c r="BQA950" t="s">
        <v>619</v>
      </c>
      <c r="BQB950" t="s">
        <v>619</v>
      </c>
      <c r="BQC950" t="s">
        <v>619</v>
      </c>
      <c r="BQD950">
        <v>-276300</v>
      </c>
      <c r="BQE950">
        <v>1036011</v>
      </c>
      <c r="BZV950" t="s">
        <v>1343</v>
      </c>
      <c r="BZW950" t="s">
        <v>619</v>
      </c>
      <c r="BZX950" t="s">
        <v>619</v>
      </c>
      <c r="BZY950" t="s">
        <v>619</v>
      </c>
      <c r="BZZ950">
        <v>-276300</v>
      </c>
      <c r="CAA950">
        <v>1036011</v>
      </c>
      <c r="CJR950" t="s">
        <v>1343</v>
      </c>
      <c r="CJS950" t="s">
        <v>619</v>
      </c>
      <c r="CJT950" t="s">
        <v>619</v>
      </c>
      <c r="CJU950" t="s">
        <v>619</v>
      </c>
      <c r="CJV950">
        <v>-276300</v>
      </c>
      <c r="CJW950">
        <v>1036011</v>
      </c>
      <c r="CTN950" t="s">
        <v>1343</v>
      </c>
      <c r="CTO950" t="s">
        <v>619</v>
      </c>
      <c r="CTP950" t="s">
        <v>619</v>
      </c>
      <c r="CTQ950" t="s">
        <v>619</v>
      </c>
      <c r="CTR950">
        <v>-276300</v>
      </c>
      <c r="CTS950">
        <v>1036011</v>
      </c>
      <c r="DDJ950" t="s">
        <v>1343</v>
      </c>
      <c r="DDK950" t="s">
        <v>619</v>
      </c>
      <c r="DDL950" t="s">
        <v>619</v>
      </c>
      <c r="DDM950" t="s">
        <v>619</v>
      </c>
      <c r="DDN950">
        <v>-276300</v>
      </c>
      <c r="DDO950">
        <v>1036011</v>
      </c>
      <c r="DNF950" t="s">
        <v>1343</v>
      </c>
      <c r="DNG950" t="s">
        <v>619</v>
      </c>
      <c r="DNH950" t="s">
        <v>619</v>
      </c>
      <c r="DNI950" t="s">
        <v>619</v>
      </c>
      <c r="DNJ950">
        <v>-276300</v>
      </c>
      <c r="DNK950">
        <v>1036011</v>
      </c>
      <c r="DXB950" t="s">
        <v>1343</v>
      </c>
      <c r="DXC950" t="s">
        <v>619</v>
      </c>
      <c r="DXD950" t="s">
        <v>619</v>
      </c>
      <c r="DXE950" t="s">
        <v>619</v>
      </c>
      <c r="DXF950">
        <v>-276300</v>
      </c>
      <c r="DXG950">
        <v>1036011</v>
      </c>
      <c r="EGX950" t="s">
        <v>1343</v>
      </c>
      <c r="EGY950" t="s">
        <v>619</v>
      </c>
      <c r="EGZ950" t="s">
        <v>619</v>
      </c>
      <c r="EHA950" t="s">
        <v>619</v>
      </c>
      <c r="EHB950">
        <v>-276300</v>
      </c>
      <c r="EHC950">
        <v>1036011</v>
      </c>
      <c r="EQT950" t="s">
        <v>1343</v>
      </c>
      <c r="EQU950" t="s">
        <v>619</v>
      </c>
      <c r="EQV950" t="s">
        <v>619</v>
      </c>
      <c r="EQW950" t="s">
        <v>619</v>
      </c>
      <c r="EQX950">
        <v>-276300</v>
      </c>
      <c r="EQY950">
        <v>1036011</v>
      </c>
      <c r="FAP950" t="s">
        <v>1343</v>
      </c>
      <c r="FAQ950" t="s">
        <v>619</v>
      </c>
      <c r="FAR950" t="s">
        <v>619</v>
      </c>
      <c r="FAS950" t="s">
        <v>619</v>
      </c>
      <c r="FAT950">
        <v>-276300</v>
      </c>
      <c r="FAU950">
        <v>1036011</v>
      </c>
      <c r="FKL950" t="s">
        <v>1343</v>
      </c>
      <c r="FKM950" t="s">
        <v>619</v>
      </c>
      <c r="FKN950" t="s">
        <v>619</v>
      </c>
      <c r="FKO950" t="s">
        <v>619</v>
      </c>
      <c r="FKP950">
        <v>-276300</v>
      </c>
      <c r="FKQ950">
        <v>1036011</v>
      </c>
      <c r="FUH950" t="s">
        <v>1343</v>
      </c>
      <c r="FUI950" t="s">
        <v>619</v>
      </c>
      <c r="FUJ950" t="s">
        <v>619</v>
      </c>
      <c r="FUK950" t="s">
        <v>619</v>
      </c>
      <c r="FUL950">
        <v>-276300</v>
      </c>
      <c r="FUM950">
        <v>1036011</v>
      </c>
      <c r="GED950" t="s">
        <v>1343</v>
      </c>
      <c r="GEE950" t="s">
        <v>619</v>
      </c>
      <c r="GEF950" t="s">
        <v>619</v>
      </c>
      <c r="GEG950" t="s">
        <v>619</v>
      </c>
      <c r="GEH950">
        <v>-276300</v>
      </c>
      <c r="GEI950">
        <v>1036011</v>
      </c>
      <c r="GNZ950" t="s">
        <v>1343</v>
      </c>
      <c r="GOA950" t="s">
        <v>619</v>
      </c>
      <c r="GOB950" t="s">
        <v>619</v>
      </c>
      <c r="GOC950" t="s">
        <v>619</v>
      </c>
      <c r="GOD950">
        <v>-276300</v>
      </c>
      <c r="GOE950">
        <v>1036011</v>
      </c>
      <c r="GXV950" t="s">
        <v>1343</v>
      </c>
      <c r="GXW950" t="s">
        <v>619</v>
      </c>
      <c r="GXX950" t="s">
        <v>619</v>
      </c>
      <c r="GXY950" t="s">
        <v>619</v>
      </c>
      <c r="GXZ950">
        <v>-276300</v>
      </c>
      <c r="GYA950">
        <v>1036011</v>
      </c>
      <c r="HHR950" t="s">
        <v>1343</v>
      </c>
      <c r="HHS950" t="s">
        <v>619</v>
      </c>
      <c r="HHT950" t="s">
        <v>619</v>
      </c>
      <c r="HHU950" t="s">
        <v>619</v>
      </c>
      <c r="HHV950">
        <v>-276300</v>
      </c>
      <c r="HHW950">
        <v>1036011</v>
      </c>
      <c r="HRN950" t="s">
        <v>1343</v>
      </c>
      <c r="HRO950" t="s">
        <v>619</v>
      </c>
      <c r="HRP950" t="s">
        <v>619</v>
      </c>
      <c r="HRQ950" t="s">
        <v>619</v>
      </c>
      <c r="HRR950">
        <v>-276300</v>
      </c>
      <c r="HRS950">
        <v>1036011</v>
      </c>
      <c r="IBJ950" t="s">
        <v>1343</v>
      </c>
      <c r="IBK950" t="s">
        <v>619</v>
      </c>
      <c r="IBL950" t="s">
        <v>619</v>
      </c>
      <c r="IBM950" t="s">
        <v>619</v>
      </c>
      <c r="IBN950">
        <v>-276300</v>
      </c>
      <c r="IBO950">
        <v>1036011</v>
      </c>
      <c r="ILF950" t="s">
        <v>1343</v>
      </c>
      <c r="ILG950" t="s">
        <v>619</v>
      </c>
      <c r="ILH950" t="s">
        <v>619</v>
      </c>
      <c r="ILI950" t="s">
        <v>619</v>
      </c>
      <c r="ILJ950">
        <v>-276300</v>
      </c>
      <c r="ILK950">
        <v>1036011</v>
      </c>
      <c r="IVB950" t="s">
        <v>1343</v>
      </c>
      <c r="IVC950" t="s">
        <v>619</v>
      </c>
      <c r="IVD950" t="s">
        <v>619</v>
      </c>
      <c r="IVE950" t="s">
        <v>619</v>
      </c>
      <c r="IVF950">
        <v>-276300</v>
      </c>
      <c r="IVG950">
        <v>1036011</v>
      </c>
      <c r="JEX950" t="s">
        <v>1343</v>
      </c>
      <c r="JEY950" t="s">
        <v>619</v>
      </c>
      <c r="JEZ950" t="s">
        <v>619</v>
      </c>
      <c r="JFA950" t="s">
        <v>619</v>
      </c>
      <c r="JFB950">
        <v>-276300</v>
      </c>
      <c r="JFC950">
        <v>1036011</v>
      </c>
      <c r="JOT950" t="s">
        <v>1343</v>
      </c>
      <c r="JOU950" t="s">
        <v>619</v>
      </c>
      <c r="JOV950" t="s">
        <v>619</v>
      </c>
      <c r="JOW950" t="s">
        <v>619</v>
      </c>
      <c r="JOX950">
        <v>-276300</v>
      </c>
      <c r="JOY950">
        <v>1036011</v>
      </c>
      <c r="JYP950" t="s">
        <v>1343</v>
      </c>
      <c r="JYQ950" t="s">
        <v>619</v>
      </c>
      <c r="JYR950" t="s">
        <v>619</v>
      </c>
      <c r="JYS950" t="s">
        <v>619</v>
      </c>
      <c r="JYT950">
        <v>-276300</v>
      </c>
      <c r="JYU950">
        <v>1036011</v>
      </c>
      <c r="KIL950" t="s">
        <v>1343</v>
      </c>
      <c r="KIM950" t="s">
        <v>619</v>
      </c>
      <c r="KIN950" t="s">
        <v>619</v>
      </c>
      <c r="KIO950" t="s">
        <v>619</v>
      </c>
      <c r="KIP950">
        <v>-276300</v>
      </c>
      <c r="KIQ950">
        <v>1036011</v>
      </c>
      <c r="KSH950" t="s">
        <v>1343</v>
      </c>
      <c r="KSI950" t="s">
        <v>619</v>
      </c>
      <c r="KSJ950" t="s">
        <v>619</v>
      </c>
      <c r="KSK950" t="s">
        <v>619</v>
      </c>
      <c r="KSL950">
        <v>-276300</v>
      </c>
      <c r="KSM950">
        <v>1036011</v>
      </c>
      <c r="LCD950" t="s">
        <v>1343</v>
      </c>
      <c r="LCE950" t="s">
        <v>619</v>
      </c>
      <c r="LCF950" t="s">
        <v>619</v>
      </c>
      <c r="LCG950" t="s">
        <v>619</v>
      </c>
      <c r="LCH950">
        <v>-276300</v>
      </c>
      <c r="LCI950">
        <v>1036011</v>
      </c>
      <c r="LLZ950" t="s">
        <v>1343</v>
      </c>
      <c r="LMA950" t="s">
        <v>619</v>
      </c>
      <c r="LMB950" t="s">
        <v>619</v>
      </c>
      <c r="LMC950" t="s">
        <v>619</v>
      </c>
      <c r="LMD950">
        <v>-276300</v>
      </c>
      <c r="LME950">
        <v>1036011</v>
      </c>
      <c r="LVV950" t="s">
        <v>1343</v>
      </c>
      <c r="LVW950" t="s">
        <v>619</v>
      </c>
      <c r="LVX950" t="s">
        <v>619</v>
      </c>
      <c r="LVY950" t="s">
        <v>619</v>
      </c>
      <c r="LVZ950">
        <v>-276300</v>
      </c>
      <c r="LWA950">
        <v>1036011</v>
      </c>
      <c r="MFR950" t="s">
        <v>1343</v>
      </c>
      <c r="MFS950" t="s">
        <v>619</v>
      </c>
      <c r="MFT950" t="s">
        <v>619</v>
      </c>
      <c r="MFU950" t="s">
        <v>619</v>
      </c>
      <c r="MFV950">
        <v>-276300</v>
      </c>
      <c r="MFW950">
        <v>1036011</v>
      </c>
      <c r="MPN950" t="s">
        <v>1343</v>
      </c>
      <c r="MPO950" t="s">
        <v>619</v>
      </c>
      <c r="MPP950" t="s">
        <v>619</v>
      </c>
      <c r="MPQ950" t="s">
        <v>619</v>
      </c>
      <c r="MPR950">
        <v>-276300</v>
      </c>
      <c r="MPS950">
        <v>1036011</v>
      </c>
      <c r="MZJ950" t="s">
        <v>1343</v>
      </c>
      <c r="MZK950" t="s">
        <v>619</v>
      </c>
      <c r="MZL950" t="s">
        <v>619</v>
      </c>
      <c r="MZM950" t="s">
        <v>619</v>
      </c>
      <c r="MZN950">
        <v>-276300</v>
      </c>
      <c r="MZO950">
        <v>1036011</v>
      </c>
      <c r="NJF950" t="s">
        <v>1343</v>
      </c>
      <c r="NJG950" t="s">
        <v>619</v>
      </c>
      <c r="NJH950" t="s">
        <v>619</v>
      </c>
      <c r="NJI950" t="s">
        <v>619</v>
      </c>
      <c r="NJJ950">
        <v>-276300</v>
      </c>
      <c r="NJK950">
        <v>1036011</v>
      </c>
      <c r="NTB950" t="s">
        <v>1343</v>
      </c>
      <c r="NTC950" t="s">
        <v>619</v>
      </c>
      <c r="NTD950" t="s">
        <v>619</v>
      </c>
      <c r="NTE950" t="s">
        <v>619</v>
      </c>
      <c r="NTF950">
        <v>-276300</v>
      </c>
      <c r="NTG950">
        <v>1036011</v>
      </c>
      <c r="OCX950" t="s">
        <v>1343</v>
      </c>
      <c r="OCY950" t="s">
        <v>619</v>
      </c>
      <c r="OCZ950" t="s">
        <v>619</v>
      </c>
      <c r="ODA950" t="s">
        <v>619</v>
      </c>
      <c r="ODB950">
        <v>-276300</v>
      </c>
      <c r="ODC950">
        <v>1036011</v>
      </c>
      <c r="OMT950" t="s">
        <v>1343</v>
      </c>
      <c r="OMU950" t="s">
        <v>619</v>
      </c>
      <c r="OMV950" t="s">
        <v>619</v>
      </c>
      <c r="OMW950" t="s">
        <v>619</v>
      </c>
      <c r="OMX950">
        <v>-276300</v>
      </c>
      <c r="OMY950">
        <v>1036011</v>
      </c>
      <c r="OWP950" t="s">
        <v>1343</v>
      </c>
      <c r="OWQ950" t="s">
        <v>619</v>
      </c>
      <c r="OWR950" t="s">
        <v>619</v>
      </c>
      <c r="OWS950" t="s">
        <v>619</v>
      </c>
      <c r="OWT950">
        <v>-276300</v>
      </c>
      <c r="OWU950">
        <v>1036011</v>
      </c>
      <c r="PGL950" t="s">
        <v>1343</v>
      </c>
      <c r="PGM950" t="s">
        <v>619</v>
      </c>
      <c r="PGN950" t="s">
        <v>619</v>
      </c>
      <c r="PGO950" t="s">
        <v>619</v>
      </c>
      <c r="PGP950">
        <v>-276300</v>
      </c>
      <c r="PGQ950">
        <v>1036011</v>
      </c>
      <c r="PQH950" t="s">
        <v>1343</v>
      </c>
      <c r="PQI950" t="s">
        <v>619</v>
      </c>
      <c r="PQJ950" t="s">
        <v>619</v>
      </c>
      <c r="PQK950" t="s">
        <v>619</v>
      </c>
      <c r="PQL950">
        <v>-276300</v>
      </c>
      <c r="PQM950">
        <v>1036011</v>
      </c>
      <c r="QAD950" t="s">
        <v>1343</v>
      </c>
      <c r="QAE950" t="s">
        <v>619</v>
      </c>
      <c r="QAF950" t="s">
        <v>619</v>
      </c>
      <c r="QAG950" t="s">
        <v>619</v>
      </c>
      <c r="QAH950">
        <v>-276300</v>
      </c>
      <c r="QAI950">
        <v>1036011</v>
      </c>
      <c r="QJZ950" t="s">
        <v>1343</v>
      </c>
      <c r="QKA950" t="s">
        <v>619</v>
      </c>
      <c r="QKB950" t="s">
        <v>619</v>
      </c>
      <c r="QKC950" t="s">
        <v>619</v>
      </c>
      <c r="QKD950">
        <v>-276300</v>
      </c>
      <c r="QKE950">
        <v>1036011</v>
      </c>
      <c r="QTV950" t="s">
        <v>1343</v>
      </c>
      <c r="QTW950" t="s">
        <v>619</v>
      </c>
      <c r="QTX950" t="s">
        <v>619</v>
      </c>
      <c r="QTY950" t="s">
        <v>619</v>
      </c>
      <c r="QTZ950">
        <v>-276300</v>
      </c>
      <c r="QUA950">
        <v>1036011</v>
      </c>
      <c r="RDR950" t="s">
        <v>1343</v>
      </c>
      <c r="RDS950" t="s">
        <v>619</v>
      </c>
      <c r="RDT950" t="s">
        <v>619</v>
      </c>
      <c r="RDU950" t="s">
        <v>619</v>
      </c>
      <c r="RDV950">
        <v>-276300</v>
      </c>
      <c r="RDW950">
        <v>1036011</v>
      </c>
      <c r="RNN950" t="s">
        <v>1343</v>
      </c>
      <c r="RNO950" t="s">
        <v>619</v>
      </c>
      <c r="RNP950" t="s">
        <v>619</v>
      </c>
      <c r="RNQ950" t="s">
        <v>619</v>
      </c>
      <c r="RNR950">
        <v>-276300</v>
      </c>
      <c r="RNS950">
        <v>1036011</v>
      </c>
      <c r="RXJ950" t="s">
        <v>1343</v>
      </c>
      <c r="RXK950" t="s">
        <v>619</v>
      </c>
      <c r="RXL950" t="s">
        <v>619</v>
      </c>
      <c r="RXM950" t="s">
        <v>619</v>
      </c>
      <c r="RXN950">
        <v>-276300</v>
      </c>
      <c r="RXO950">
        <v>1036011</v>
      </c>
      <c r="SHF950" t="s">
        <v>1343</v>
      </c>
      <c r="SHG950" t="s">
        <v>619</v>
      </c>
      <c r="SHH950" t="s">
        <v>619</v>
      </c>
      <c r="SHI950" t="s">
        <v>619</v>
      </c>
      <c r="SHJ950">
        <v>-276300</v>
      </c>
      <c r="SHK950">
        <v>1036011</v>
      </c>
      <c r="SRB950" t="s">
        <v>1343</v>
      </c>
      <c r="SRC950" t="s">
        <v>619</v>
      </c>
      <c r="SRD950" t="s">
        <v>619</v>
      </c>
      <c r="SRE950" t="s">
        <v>619</v>
      </c>
      <c r="SRF950">
        <v>-276300</v>
      </c>
      <c r="SRG950">
        <v>1036011</v>
      </c>
      <c r="TAX950" t="s">
        <v>1343</v>
      </c>
      <c r="TAY950" t="s">
        <v>619</v>
      </c>
      <c r="TAZ950" t="s">
        <v>619</v>
      </c>
      <c r="TBA950" t="s">
        <v>619</v>
      </c>
      <c r="TBB950">
        <v>-276300</v>
      </c>
      <c r="TBC950">
        <v>1036011</v>
      </c>
      <c r="TKT950" t="s">
        <v>1343</v>
      </c>
      <c r="TKU950" t="s">
        <v>619</v>
      </c>
      <c r="TKV950" t="s">
        <v>619</v>
      </c>
      <c r="TKW950" t="s">
        <v>619</v>
      </c>
      <c r="TKX950">
        <v>-276300</v>
      </c>
      <c r="TKY950">
        <v>1036011</v>
      </c>
      <c r="TUP950" t="s">
        <v>1343</v>
      </c>
      <c r="TUQ950" t="s">
        <v>619</v>
      </c>
      <c r="TUR950" t="s">
        <v>619</v>
      </c>
      <c r="TUS950" t="s">
        <v>619</v>
      </c>
      <c r="TUT950">
        <v>-276300</v>
      </c>
      <c r="TUU950">
        <v>1036011</v>
      </c>
      <c r="UEL950" t="s">
        <v>1343</v>
      </c>
      <c r="UEM950" t="s">
        <v>619</v>
      </c>
      <c r="UEN950" t="s">
        <v>619</v>
      </c>
      <c r="UEO950" t="s">
        <v>619</v>
      </c>
      <c r="UEP950">
        <v>-276300</v>
      </c>
      <c r="UEQ950">
        <v>1036011</v>
      </c>
      <c r="UOH950" t="s">
        <v>1343</v>
      </c>
      <c r="UOI950" t="s">
        <v>619</v>
      </c>
      <c r="UOJ950" t="s">
        <v>619</v>
      </c>
      <c r="UOK950" t="s">
        <v>619</v>
      </c>
      <c r="UOL950">
        <v>-276300</v>
      </c>
      <c r="UOM950">
        <v>1036011</v>
      </c>
      <c r="UYD950" t="s">
        <v>1343</v>
      </c>
      <c r="UYE950" t="s">
        <v>619</v>
      </c>
      <c r="UYF950" t="s">
        <v>619</v>
      </c>
      <c r="UYG950" t="s">
        <v>619</v>
      </c>
      <c r="UYH950">
        <v>-276300</v>
      </c>
      <c r="UYI950">
        <v>1036011</v>
      </c>
      <c r="VHZ950" t="s">
        <v>1343</v>
      </c>
      <c r="VIA950" t="s">
        <v>619</v>
      </c>
      <c r="VIB950" t="s">
        <v>619</v>
      </c>
      <c r="VIC950" t="s">
        <v>619</v>
      </c>
      <c r="VID950">
        <v>-276300</v>
      </c>
      <c r="VIE950">
        <v>1036011</v>
      </c>
      <c r="VRV950" t="s">
        <v>1343</v>
      </c>
      <c r="VRW950" t="s">
        <v>619</v>
      </c>
      <c r="VRX950" t="s">
        <v>619</v>
      </c>
      <c r="VRY950" t="s">
        <v>619</v>
      </c>
      <c r="VRZ950">
        <v>-276300</v>
      </c>
      <c r="VSA950">
        <v>1036011</v>
      </c>
      <c r="WBR950" t="s">
        <v>1343</v>
      </c>
      <c r="WBS950" t="s">
        <v>619</v>
      </c>
      <c r="WBT950" t="s">
        <v>619</v>
      </c>
      <c r="WBU950" t="s">
        <v>619</v>
      </c>
      <c r="WBV950">
        <v>-276300</v>
      </c>
      <c r="WBW950">
        <v>1036011</v>
      </c>
      <c r="WLN950" t="s">
        <v>1343</v>
      </c>
      <c r="WLO950" t="s">
        <v>619</v>
      </c>
      <c r="WLP950" t="s">
        <v>619</v>
      </c>
      <c r="WLQ950" t="s">
        <v>619</v>
      </c>
      <c r="WLR950">
        <v>-276300</v>
      </c>
      <c r="WLS950">
        <v>1036011</v>
      </c>
      <c r="WVJ950" t="s">
        <v>1343</v>
      </c>
      <c r="WVK950" t="s">
        <v>619</v>
      </c>
      <c r="WVL950" t="s">
        <v>619</v>
      </c>
      <c r="WVM950" t="s">
        <v>619</v>
      </c>
      <c r="WVN950">
        <v>-276300</v>
      </c>
      <c r="WVO950">
        <v>1036011</v>
      </c>
    </row>
    <row r="951" spans="1:775 1026:1799 2050:2823 3074:3847 4098:4871 5122:5895 6146:6919 7170:7943 8194:8967 9218:9991 10242:11015 11266:12039 12290:13063 13314:14087 14338:15111 15362:16135" s="1342" customFormat="1" ht="14.5" thickBot="1">
      <c r="A951" s="1434" t="s">
        <v>763</v>
      </c>
      <c r="C951" s="1435">
        <v>6837041</v>
      </c>
      <c r="D951" s="1435">
        <v>-6299686</v>
      </c>
      <c r="E951" s="1435">
        <v>27168831</v>
      </c>
      <c r="F951" s="1435">
        <v>34709924</v>
      </c>
      <c r="G951" s="1435">
        <v>23868165</v>
      </c>
      <c r="H951" s="1435"/>
      <c r="IX951" s="1342" t="s">
        <v>763</v>
      </c>
      <c r="IY951" s="1342">
        <v>6837041</v>
      </c>
      <c r="IZ951" s="1342">
        <v>-6299686</v>
      </c>
      <c r="JA951" s="1342">
        <v>27168831</v>
      </c>
      <c r="JB951" s="1342">
        <v>34709924</v>
      </c>
      <c r="JC951" s="1342">
        <v>23868165</v>
      </c>
      <c r="ST951" s="1342" t="s">
        <v>763</v>
      </c>
      <c r="SU951" s="1342">
        <v>6837041</v>
      </c>
      <c r="SV951" s="1342">
        <v>-6299686</v>
      </c>
      <c r="SW951" s="1342">
        <v>27168831</v>
      </c>
      <c r="SX951" s="1342">
        <v>34709924</v>
      </c>
      <c r="SY951" s="1342">
        <v>23868165</v>
      </c>
      <c r="ACP951" s="1342" t="s">
        <v>763</v>
      </c>
      <c r="ACQ951" s="1342">
        <v>6837041</v>
      </c>
      <c r="ACR951" s="1342">
        <v>-6299686</v>
      </c>
      <c r="ACS951" s="1342">
        <v>27168831</v>
      </c>
      <c r="ACT951" s="1342">
        <v>34709924</v>
      </c>
      <c r="ACU951" s="1342">
        <v>23868165</v>
      </c>
      <c r="AML951" s="1342" t="s">
        <v>763</v>
      </c>
      <c r="AMM951" s="1342">
        <v>6837041</v>
      </c>
      <c r="AMN951" s="1342">
        <v>-6299686</v>
      </c>
      <c r="AMO951" s="1342">
        <v>27168831</v>
      </c>
      <c r="AMP951" s="1342">
        <v>34709924</v>
      </c>
      <c r="AMQ951" s="1342">
        <v>23868165</v>
      </c>
      <c r="AWH951" s="1342" t="s">
        <v>763</v>
      </c>
      <c r="AWI951" s="1342">
        <v>6837041</v>
      </c>
      <c r="AWJ951" s="1342">
        <v>-6299686</v>
      </c>
      <c r="AWK951" s="1342">
        <v>27168831</v>
      </c>
      <c r="AWL951" s="1342">
        <v>34709924</v>
      </c>
      <c r="AWM951" s="1342">
        <v>23868165</v>
      </c>
      <c r="BGD951" s="1342" t="s">
        <v>763</v>
      </c>
      <c r="BGE951" s="1342">
        <v>6837041</v>
      </c>
      <c r="BGF951" s="1342">
        <v>-6299686</v>
      </c>
      <c r="BGG951" s="1342">
        <v>27168831</v>
      </c>
      <c r="BGH951" s="1342">
        <v>34709924</v>
      </c>
      <c r="BGI951" s="1342">
        <v>23868165</v>
      </c>
      <c r="BPZ951" s="1342" t="s">
        <v>763</v>
      </c>
      <c r="BQA951" s="1342">
        <v>6837041</v>
      </c>
      <c r="BQB951" s="1342">
        <v>-6299686</v>
      </c>
      <c r="BQC951" s="1342">
        <v>27168831</v>
      </c>
      <c r="BQD951" s="1342">
        <v>34709924</v>
      </c>
      <c r="BQE951" s="1342">
        <v>23868165</v>
      </c>
      <c r="BZV951" s="1342" t="s">
        <v>763</v>
      </c>
      <c r="BZW951" s="1342">
        <v>6837041</v>
      </c>
      <c r="BZX951" s="1342">
        <v>-6299686</v>
      </c>
      <c r="BZY951" s="1342">
        <v>27168831</v>
      </c>
      <c r="BZZ951" s="1342">
        <v>34709924</v>
      </c>
      <c r="CAA951" s="1342">
        <v>23868165</v>
      </c>
      <c r="CJR951" s="1342" t="s">
        <v>763</v>
      </c>
      <c r="CJS951" s="1342">
        <v>6837041</v>
      </c>
      <c r="CJT951" s="1342">
        <v>-6299686</v>
      </c>
      <c r="CJU951" s="1342">
        <v>27168831</v>
      </c>
      <c r="CJV951" s="1342">
        <v>34709924</v>
      </c>
      <c r="CJW951" s="1342">
        <v>23868165</v>
      </c>
      <c r="CTN951" s="1342" t="s">
        <v>763</v>
      </c>
      <c r="CTO951" s="1342">
        <v>6837041</v>
      </c>
      <c r="CTP951" s="1342">
        <v>-6299686</v>
      </c>
      <c r="CTQ951" s="1342">
        <v>27168831</v>
      </c>
      <c r="CTR951" s="1342">
        <v>34709924</v>
      </c>
      <c r="CTS951" s="1342">
        <v>23868165</v>
      </c>
      <c r="DDJ951" s="1342" t="s">
        <v>763</v>
      </c>
      <c r="DDK951" s="1342">
        <v>6837041</v>
      </c>
      <c r="DDL951" s="1342">
        <v>-6299686</v>
      </c>
      <c r="DDM951" s="1342">
        <v>27168831</v>
      </c>
      <c r="DDN951" s="1342">
        <v>34709924</v>
      </c>
      <c r="DDO951" s="1342">
        <v>23868165</v>
      </c>
      <c r="DNF951" s="1342" t="s">
        <v>763</v>
      </c>
      <c r="DNG951" s="1342">
        <v>6837041</v>
      </c>
      <c r="DNH951" s="1342">
        <v>-6299686</v>
      </c>
      <c r="DNI951" s="1342">
        <v>27168831</v>
      </c>
      <c r="DNJ951" s="1342">
        <v>34709924</v>
      </c>
      <c r="DNK951" s="1342">
        <v>23868165</v>
      </c>
      <c r="DXB951" s="1342" t="s">
        <v>763</v>
      </c>
      <c r="DXC951" s="1342">
        <v>6837041</v>
      </c>
      <c r="DXD951" s="1342">
        <v>-6299686</v>
      </c>
      <c r="DXE951" s="1342">
        <v>27168831</v>
      </c>
      <c r="DXF951" s="1342">
        <v>34709924</v>
      </c>
      <c r="DXG951" s="1342">
        <v>23868165</v>
      </c>
      <c r="EGX951" s="1342" t="s">
        <v>763</v>
      </c>
      <c r="EGY951" s="1342">
        <v>6837041</v>
      </c>
      <c r="EGZ951" s="1342">
        <v>-6299686</v>
      </c>
      <c r="EHA951" s="1342">
        <v>27168831</v>
      </c>
      <c r="EHB951" s="1342">
        <v>34709924</v>
      </c>
      <c r="EHC951" s="1342">
        <v>23868165</v>
      </c>
      <c r="EQT951" s="1342" t="s">
        <v>763</v>
      </c>
      <c r="EQU951" s="1342">
        <v>6837041</v>
      </c>
      <c r="EQV951" s="1342">
        <v>-6299686</v>
      </c>
      <c r="EQW951" s="1342">
        <v>27168831</v>
      </c>
      <c r="EQX951" s="1342">
        <v>34709924</v>
      </c>
      <c r="EQY951" s="1342">
        <v>23868165</v>
      </c>
      <c r="FAP951" s="1342" t="s">
        <v>763</v>
      </c>
      <c r="FAQ951" s="1342">
        <v>6837041</v>
      </c>
      <c r="FAR951" s="1342">
        <v>-6299686</v>
      </c>
      <c r="FAS951" s="1342">
        <v>27168831</v>
      </c>
      <c r="FAT951" s="1342">
        <v>34709924</v>
      </c>
      <c r="FAU951" s="1342">
        <v>23868165</v>
      </c>
      <c r="FKL951" s="1342" t="s">
        <v>763</v>
      </c>
      <c r="FKM951" s="1342">
        <v>6837041</v>
      </c>
      <c r="FKN951" s="1342">
        <v>-6299686</v>
      </c>
      <c r="FKO951" s="1342">
        <v>27168831</v>
      </c>
      <c r="FKP951" s="1342">
        <v>34709924</v>
      </c>
      <c r="FKQ951" s="1342">
        <v>23868165</v>
      </c>
      <c r="FUH951" s="1342" t="s">
        <v>763</v>
      </c>
      <c r="FUI951" s="1342">
        <v>6837041</v>
      </c>
      <c r="FUJ951" s="1342">
        <v>-6299686</v>
      </c>
      <c r="FUK951" s="1342">
        <v>27168831</v>
      </c>
      <c r="FUL951" s="1342">
        <v>34709924</v>
      </c>
      <c r="FUM951" s="1342">
        <v>23868165</v>
      </c>
      <c r="GED951" s="1342" t="s">
        <v>763</v>
      </c>
      <c r="GEE951" s="1342">
        <v>6837041</v>
      </c>
      <c r="GEF951" s="1342">
        <v>-6299686</v>
      </c>
      <c r="GEG951" s="1342">
        <v>27168831</v>
      </c>
      <c r="GEH951" s="1342">
        <v>34709924</v>
      </c>
      <c r="GEI951" s="1342">
        <v>23868165</v>
      </c>
      <c r="GNZ951" s="1342" t="s">
        <v>763</v>
      </c>
      <c r="GOA951" s="1342">
        <v>6837041</v>
      </c>
      <c r="GOB951" s="1342">
        <v>-6299686</v>
      </c>
      <c r="GOC951" s="1342">
        <v>27168831</v>
      </c>
      <c r="GOD951" s="1342">
        <v>34709924</v>
      </c>
      <c r="GOE951" s="1342">
        <v>23868165</v>
      </c>
      <c r="GXV951" s="1342" t="s">
        <v>763</v>
      </c>
      <c r="GXW951" s="1342">
        <v>6837041</v>
      </c>
      <c r="GXX951" s="1342">
        <v>-6299686</v>
      </c>
      <c r="GXY951" s="1342">
        <v>27168831</v>
      </c>
      <c r="GXZ951" s="1342">
        <v>34709924</v>
      </c>
      <c r="GYA951" s="1342">
        <v>23868165</v>
      </c>
      <c r="HHR951" s="1342" t="s">
        <v>763</v>
      </c>
      <c r="HHS951" s="1342">
        <v>6837041</v>
      </c>
      <c r="HHT951" s="1342">
        <v>-6299686</v>
      </c>
      <c r="HHU951" s="1342">
        <v>27168831</v>
      </c>
      <c r="HHV951" s="1342">
        <v>34709924</v>
      </c>
      <c r="HHW951" s="1342">
        <v>23868165</v>
      </c>
      <c r="HRN951" s="1342" t="s">
        <v>763</v>
      </c>
      <c r="HRO951" s="1342">
        <v>6837041</v>
      </c>
      <c r="HRP951" s="1342">
        <v>-6299686</v>
      </c>
      <c r="HRQ951" s="1342">
        <v>27168831</v>
      </c>
      <c r="HRR951" s="1342">
        <v>34709924</v>
      </c>
      <c r="HRS951" s="1342">
        <v>23868165</v>
      </c>
      <c r="IBJ951" s="1342" t="s">
        <v>763</v>
      </c>
      <c r="IBK951" s="1342">
        <v>6837041</v>
      </c>
      <c r="IBL951" s="1342">
        <v>-6299686</v>
      </c>
      <c r="IBM951" s="1342">
        <v>27168831</v>
      </c>
      <c r="IBN951" s="1342">
        <v>34709924</v>
      </c>
      <c r="IBO951" s="1342">
        <v>23868165</v>
      </c>
      <c r="ILF951" s="1342" t="s">
        <v>763</v>
      </c>
      <c r="ILG951" s="1342">
        <v>6837041</v>
      </c>
      <c r="ILH951" s="1342">
        <v>-6299686</v>
      </c>
      <c r="ILI951" s="1342">
        <v>27168831</v>
      </c>
      <c r="ILJ951" s="1342">
        <v>34709924</v>
      </c>
      <c r="ILK951" s="1342">
        <v>23868165</v>
      </c>
      <c r="IVB951" s="1342" t="s">
        <v>763</v>
      </c>
      <c r="IVC951" s="1342">
        <v>6837041</v>
      </c>
      <c r="IVD951" s="1342">
        <v>-6299686</v>
      </c>
      <c r="IVE951" s="1342">
        <v>27168831</v>
      </c>
      <c r="IVF951" s="1342">
        <v>34709924</v>
      </c>
      <c r="IVG951" s="1342">
        <v>23868165</v>
      </c>
      <c r="JEX951" s="1342" t="s">
        <v>763</v>
      </c>
      <c r="JEY951" s="1342">
        <v>6837041</v>
      </c>
      <c r="JEZ951" s="1342">
        <v>-6299686</v>
      </c>
      <c r="JFA951" s="1342">
        <v>27168831</v>
      </c>
      <c r="JFB951" s="1342">
        <v>34709924</v>
      </c>
      <c r="JFC951" s="1342">
        <v>23868165</v>
      </c>
      <c r="JOT951" s="1342" t="s">
        <v>763</v>
      </c>
      <c r="JOU951" s="1342">
        <v>6837041</v>
      </c>
      <c r="JOV951" s="1342">
        <v>-6299686</v>
      </c>
      <c r="JOW951" s="1342">
        <v>27168831</v>
      </c>
      <c r="JOX951" s="1342">
        <v>34709924</v>
      </c>
      <c r="JOY951" s="1342">
        <v>23868165</v>
      </c>
      <c r="JYP951" s="1342" t="s">
        <v>763</v>
      </c>
      <c r="JYQ951" s="1342">
        <v>6837041</v>
      </c>
      <c r="JYR951" s="1342">
        <v>-6299686</v>
      </c>
      <c r="JYS951" s="1342">
        <v>27168831</v>
      </c>
      <c r="JYT951" s="1342">
        <v>34709924</v>
      </c>
      <c r="JYU951" s="1342">
        <v>23868165</v>
      </c>
      <c r="KIL951" s="1342" t="s">
        <v>763</v>
      </c>
      <c r="KIM951" s="1342">
        <v>6837041</v>
      </c>
      <c r="KIN951" s="1342">
        <v>-6299686</v>
      </c>
      <c r="KIO951" s="1342">
        <v>27168831</v>
      </c>
      <c r="KIP951" s="1342">
        <v>34709924</v>
      </c>
      <c r="KIQ951" s="1342">
        <v>23868165</v>
      </c>
      <c r="KSH951" s="1342" t="s">
        <v>763</v>
      </c>
      <c r="KSI951" s="1342">
        <v>6837041</v>
      </c>
      <c r="KSJ951" s="1342">
        <v>-6299686</v>
      </c>
      <c r="KSK951" s="1342">
        <v>27168831</v>
      </c>
      <c r="KSL951" s="1342">
        <v>34709924</v>
      </c>
      <c r="KSM951" s="1342">
        <v>23868165</v>
      </c>
      <c r="LCD951" s="1342" t="s">
        <v>763</v>
      </c>
      <c r="LCE951" s="1342">
        <v>6837041</v>
      </c>
      <c r="LCF951" s="1342">
        <v>-6299686</v>
      </c>
      <c r="LCG951" s="1342">
        <v>27168831</v>
      </c>
      <c r="LCH951" s="1342">
        <v>34709924</v>
      </c>
      <c r="LCI951" s="1342">
        <v>23868165</v>
      </c>
      <c r="LLZ951" s="1342" t="s">
        <v>763</v>
      </c>
      <c r="LMA951" s="1342">
        <v>6837041</v>
      </c>
      <c r="LMB951" s="1342">
        <v>-6299686</v>
      </c>
      <c r="LMC951" s="1342">
        <v>27168831</v>
      </c>
      <c r="LMD951" s="1342">
        <v>34709924</v>
      </c>
      <c r="LME951" s="1342">
        <v>23868165</v>
      </c>
      <c r="LVV951" s="1342" t="s">
        <v>763</v>
      </c>
      <c r="LVW951" s="1342">
        <v>6837041</v>
      </c>
      <c r="LVX951" s="1342">
        <v>-6299686</v>
      </c>
      <c r="LVY951" s="1342">
        <v>27168831</v>
      </c>
      <c r="LVZ951" s="1342">
        <v>34709924</v>
      </c>
      <c r="LWA951" s="1342">
        <v>23868165</v>
      </c>
      <c r="MFR951" s="1342" t="s">
        <v>763</v>
      </c>
      <c r="MFS951" s="1342">
        <v>6837041</v>
      </c>
      <c r="MFT951" s="1342">
        <v>-6299686</v>
      </c>
      <c r="MFU951" s="1342">
        <v>27168831</v>
      </c>
      <c r="MFV951" s="1342">
        <v>34709924</v>
      </c>
      <c r="MFW951" s="1342">
        <v>23868165</v>
      </c>
      <c r="MPN951" s="1342" t="s">
        <v>763</v>
      </c>
      <c r="MPO951" s="1342">
        <v>6837041</v>
      </c>
      <c r="MPP951" s="1342">
        <v>-6299686</v>
      </c>
      <c r="MPQ951" s="1342">
        <v>27168831</v>
      </c>
      <c r="MPR951" s="1342">
        <v>34709924</v>
      </c>
      <c r="MPS951" s="1342">
        <v>23868165</v>
      </c>
      <c r="MZJ951" s="1342" t="s">
        <v>763</v>
      </c>
      <c r="MZK951" s="1342">
        <v>6837041</v>
      </c>
      <c r="MZL951" s="1342">
        <v>-6299686</v>
      </c>
      <c r="MZM951" s="1342">
        <v>27168831</v>
      </c>
      <c r="MZN951" s="1342">
        <v>34709924</v>
      </c>
      <c r="MZO951" s="1342">
        <v>23868165</v>
      </c>
      <c r="NJF951" s="1342" t="s">
        <v>763</v>
      </c>
      <c r="NJG951" s="1342">
        <v>6837041</v>
      </c>
      <c r="NJH951" s="1342">
        <v>-6299686</v>
      </c>
      <c r="NJI951" s="1342">
        <v>27168831</v>
      </c>
      <c r="NJJ951" s="1342">
        <v>34709924</v>
      </c>
      <c r="NJK951" s="1342">
        <v>23868165</v>
      </c>
      <c r="NTB951" s="1342" t="s">
        <v>763</v>
      </c>
      <c r="NTC951" s="1342">
        <v>6837041</v>
      </c>
      <c r="NTD951" s="1342">
        <v>-6299686</v>
      </c>
      <c r="NTE951" s="1342">
        <v>27168831</v>
      </c>
      <c r="NTF951" s="1342">
        <v>34709924</v>
      </c>
      <c r="NTG951" s="1342">
        <v>23868165</v>
      </c>
      <c r="OCX951" s="1342" t="s">
        <v>763</v>
      </c>
      <c r="OCY951" s="1342">
        <v>6837041</v>
      </c>
      <c r="OCZ951" s="1342">
        <v>-6299686</v>
      </c>
      <c r="ODA951" s="1342">
        <v>27168831</v>
      </c>
      <c r="ODB951" s="1342">
        <v>34709924</v>
      </c>
      <c r="ODC951" s="1342">
        <v>23868165</v>
      </c>
      <c r="OMT951" s="1342" t="s">
        <v>763</v>
      </c>
      <c r="OMU951" s="1342">
        <v>6837041</v>
      </c>
      <c r="OMV951" s="1342">
        <v>-6299686</v>
      </c>
      <c r="OMW951" s="1342">
        <v>27168831</v>
      </c>
      <c r="OMX951" s="1342">
        <v>34709924</v>
      </c>
      <c r="OMY951" s="1342">
        <v>23868165</v>
      </c>
      <c r="OWP951" s="1342" t="s">
        <v>763</v>
      </c>
      <c r="OWQ951" s="1342">
        <v>6837041</v>
      </c>
      <c r="OWR951" s="1342">
        <v>-6299686</v>
      </c>
      <c r="OWS951" s="1342">
        <v>27168831</v>
      </c>
      <c r="OWT951" s="1342">
        <v>34709924</v>
      </c>
      <c r="OWU951" s="1342">
        <v>23868165</v>
      </c>
      <c r="PGL951" s="1342" t="s">
        <v>763</v>
      </c>
      <c r="PGM951" s="1342">
        <v>6837041</v>
      </c>
      <c r="PGN951" s="1342">
        <v>-6299686</v>
      </c>
      <c r="PGO951" s="1342">
        <v>27168831</v>
      </c>
      <c r="PGP951" s="1342">
        <v>34709924</v>
      </c>
      <c r="PGQ951" s="1342">
        <v>23868165</v>
      </c>
      <c r="PQH951" s="1342" t="s">
        <v>763</v>
      </c>
      <c r="PQI951" s="1342">
        <v>6837041</v>
      </c>
      <c r="PQJ951" s="1342">
        <v>-6299686</v>
      </c>
      <c r="PQK951" s="1342">
        <v>27168831</v>
      </c>
      <c r="PQL951" s="1342">
        <v>34709924</v>
      </c>
      <c r="PQM951" s="1342">
        <v>23868165</v>
      </c>
      <c r="QAD951" s="1342" t="s">
        <v>763</v>
      </c>
      <c r="QAE951" s="1342">
        <v>6837041</v>
      </c>
      <c r="QAF951" s="1342">
        <v>-6299686</v>
      </c>
      <c r="QAG951" s="1342">
        <v>27168831</v>
      </c>
      <c r="QAH951" s="1342">
        <v>34709924</v>
      </c>
      <c r="QAI951" s="1342">
        <v>23868165</v>
      </c>
      <c r="QJZ951" s="1342" t="s">
        <v>763</v>
      </c>
      <c r="QKA951" s="1342">
        <v>6837041</v>
      </c>
      <c r="QKB951" s="1342">
        <v>-6299686</v>
      </c>
      <c r="QKC951" s="1342">
        <v>27168831</v>
      </c>
      <c r="QKD951" s="1342">
        <v>34709924</v>
      </c>
      <c r="QKE951" s="1342">
        <v>23868165</v>
      </c>
      <c r="QTV951" s="1342" t="s">
        <v>763</v>
      </c>
      <c r="QTW951" s="1342">
        <v>6837041</v>
      </c>
      <c r="QTX951" s="1342">
        <v>-6299686</v>
      </c>
      <c r="QTY951" s="1342">
        <v>27168831</v>
      </c>
      <c r="QTZ951" s="1342">
        <v>34709924</v>
      </c>
      <c r="QUA951" s="1342">
        <v>23868165</v>
      </c>
      <c r="RDR951" s="1342" t="s">
        <v>763</v>
      </c>
      <c r="RDS951" s="1342">
        <v>6837041</v>
      </c>
      <c r="RDT951" s="1342">
        <v>-6299686</v>
      </c>
      <c r="RDU951" s="1342">
        <v>27168831</v>
      </c>
      <c r="RDV951" s="1342">
        <v>34709924</v>
      </c>
      <c r="RDW951" s="1342">
        <v>23868165</v>
      </c>
      <c r="RNN951" s="1342" t="s">
        <v>763</v>
      </c>
      <c r="RNO951" s="1342">
        <v>6837041</v>
      </c>
      <c r="RNP951" s="1342">
        <v>-6299686</v>
      </c>
      <c r="RNQ951" s="1342">
        <v>27168831</v>
      </c>
      <c r="RNR951" s="1342">
        <v>34709924</v>
      </c>
      <c r="RNS951" s="1342">
        <v>23868165</v>
      </c>
      <c r="RXJ951" s="1342" t="s">
        <v>763</v>
      </c>
      <c r="RXK951" s="1342">
        <v>6837041</v>
      </c>
      <c r="RXL951" s="1342">
        <v>-6299686</v>
      </c>
      <c r="RXM951" s="1342">
        <v>27168831</v>
      </c>
      <c r="RXN951" s="1342">
        <v>34709924</v>
      </c>
      <c r="RXO951" s="1342">
        <v>23868165</v>
      </c>
      <c r="SHF951" s="1342" t="s">
        <v>763</v>
      </c>
      <c r="SHG951" s="1342">
        <v>6837041</v>
      </c>
      <c r="SHH951" s="1342">
        <v>-6299686</v>
      </c>
      <c r="SHI951" s="1342">
        <v>27168831</v>
      </c>
      <c r="SHJ951" s="1342">
        <v>34709924</v>
      </c>
      <c r="SHK951" s="1342">
        <v>23868165</v>
      </c>
      <c r="SRB951" s="1342" t="s">
        <v>763</v>
      </c>
      <c r="SRC951" s="1342">
        <v>6837041</v>
      </c>
      <c r="SRD951" s="1342">
        <v>-6299686</v>
      </c>
      <c r="SRE951" s="1342">
        <v>27168831</v>
      </c>
      <c r="SRF951" s="1342">
        <v>34709924</v>
      </c>
      <c r="SRG951" s="1342">
        <v>23868165</v>
      </c>
      <c r="TAX951" s="1342" t="s">
        <v>763</v>
      </c>
      <c r="TAY951" s="1342">
        <v>6837041</v>
      </c>
      <c r="TAZ951" s="1342">
        <v>-6299686</v>
      </c>
      <c r="TBA951" s="1342">
        <v>27168831</v>
      </c>
      <c r="TBB951" s="1342">
        <v>34709924</v>
      </c>
      <c r="TBC951" s="1342">
        <v>23868165</v>
      </c>
      <c r="TKT951" s="1342" t="s">
        <v>763</v>
      </c>
      <c r="TKU951" s="1342">
        <v>6837041</v>
      </c>
      <c r="TKV951" s="1342">
        <v>-6299686</v>
      </c>
      <c r="TKW951" s="1342">
        <v>27168831</v>
      </c>
      <c r="TKX951" s="1342">
        <v>34709924</v>
      </c>
      <c r="TKY951" s="1342">
        <v>23868165</v>
      </c>
      <c r="TUP951" s="1342" t="s">
        <v>763</v>
      </c>
      <c r="TUQ951" s="1342">
        <v>6837041</v>
      </c>
      <c r="TUR951" s="1342">
        <v>-6299686</v>
      </c>
      <c r="TUS951" s="1342">
        <v>27168831</v>
      </c>
      <c r="TUT951" s="1342">
        <v>34709924</v>
      </c>
      <c r="TUU951" s="1342">
        <v>23868165</v>
      </c>
      <c r="UEL951" s="1342" t="s">
        <v>763</v>
      </c>
      <c r="UEM951" s="1342">
        <v>6837041</v>
      </c>
      <c r="UEN951" s="1342">
        <v>-6299686</v>
      </c>
      <c r="UEO951" s="1342">
        <v>27168831</v>
      </c>
      <c r="UEP951" s="1342">
        <v>34709924</v>
      </c>
      <c r="UEQ951" s="1342">
        <v>23868165</v>
      </c>
      <c r="UOH951" s="1342" t="s">
        <v>763</v>
      </c>
      <c r="UOI951" s="1342">
        <v>6837041</v>
      </c>
      <c r="UOJ951" s="1342">
        <v>-6299686</v>
      </c>
      <c r="UOK951" s="1342">
        <v>27168831</v>
      </c>
      <c r="UOL951" s="1342">
        <v>34709924</v>
      </c>
      <c r="UOM951" s="1342">
        <v>23868165</v>
      </c>
      <c r="UYD951" s="1342" t="s">
        <v>763</v>
      </c>
      <c r="UYE951" s="1342">
        <v>6837041</v>
      </c>
      <c r="UYF951" s="1342">
        <v>-6299686</v>
      </c>
      <c r="UYG951" s="1342">
        <v>27168831</v>
      </c>
      <c r="UYH951" s="1342">
        <v>34709924</v>
      </c>
      <c r="UYI951" s="1342">
        <v>23868165</v>
      </c>
      <c r="VHZ951" s="1342" t="s">
        <v>763</v>
      </c>
      <c r="VIA951" s="1342">
        <v>6837041</v>
      </c>
      <c r="VIB951" s="1342">
        <v>-6299686</v>
      </c>
      <c r="VIC951" s="1342">
        <v>27168831</v>
      </c>
      <c r="VID951" s="1342">
        <v>34709924</v>
      </c>
      <c r="VIE951" s="1342">
        <v>23868165</v>
      </c>
      <c r="VRV951" s="1342" t="s">
        <v>763</v>
      </c>
      <c r="VRW951" s="1342">
        <v>6837041</v>
      </c>
      <c r="VRX951" s="1342">
        <v>-6299686</v>
      </c>
      <c r="VRY951" s="1342">
        <v>27168831</v>
      </c>
      <c r="VRZ951" s="1342">
        <v>34709924</v>
      </c>
      <c r="VSA951" s="1342">
        <v>23868165</v>
      </c>
      <c r="WBR951" s="1342" t="s">
        <v>763</v>
      </c>
      <c r="WBS951" s="1342">
        <v>6837041</v>
      </c>
      <c r="WBT951" s="1342">
        <v>-6299686</v>
      </c>
      <c r="WBU951" s="1342">
        <v>27168831</v>
      </c>
      <c r="WBV951" s="1342">
        <v>34709924</v>
      </c>
      <c r="WBW951" s="1342">
        <v>23868165</v>
      </c>
      <c r="WLN951" s="1342" t="s">
        <v>763</v>
      </c>
      <c r="WLO951" s="1342">
        <v>6837041</v>
      </c>
      <c r="WLP951" s="1342">
        <v>-6299686</v>
      </c>
      <c r="WLQ951" s="1342">
        <v>27168831</v>
      </c>
      <c r="WLR951" s="1342">
        <v>34709924</v>
      </c>
      <c r="WLS951" s="1342">
        <v>23868165</v>
      </c>
      <c r="WVJ951" s="1342" t="s">
        <v>763</v>
      </c>
      <c r="WVK951" s="1342">
        <v>6837041</v>
      </c>
      <c r="WVL951" s="1342">
        <v>-6299686</v>
      </c>
      <c r="WVM951" s="1342">
        <v>27168831</v>
      </c>
      <c r="WVN951" s="1342">
        <v>34709924</v>
      </c>
      <c r="WVO951" s="1342">
        <v>23868165</v>
      </c>
    </row>
    <row r="952" spans="1:775 1026:1799 2050:2823 3074:3847 4098:4871 5122:5895 6146:6919 7170:7943 8194:8967 9218:9991 10242:11015 11266:12039 12290:13063 13314:14087 14338:15111 15362:16135">
      <c r="A952" s="96" t="s">
        <v>766</v>
      </c>
      <c r="C952" s="100">
        <v>18842552</v>
      </c>
      <c r="D952" s="100">
        <v>14582029</v>
      </c>
      <c r="E952" s="100">
        <v>54641929</v>
      </c>
      <c r="F952" s="100">
        <v>82883601</v>
      </c>
      <c r="G952" s="100">
        <v>96263925</v>
      </c>
      <c r="H952" s="100"/>
      <c r="IX952" t="s">
        <v>766</v>
      </c>
      <c r="IY952">
        <v>18842552</v>
      </c>
      <c r="IZ952">
        <v>14582029</v>
      </c>
      <c r="JA952">
        <v>54641929</v>
      </c>
      <c r="JB952">
        <v>82883601</v>
      </c>
      <c r="JC952">
        <v>96263925</v>
      </c>
      <c r="ST952" t="s">
        <v>766</v>
      </c>
      <c r="SU952">
        <v>18842552</v>
      </c>
      <c r="SV952">
        <v>14582029</v>
      </c>
      <c r="SW952">
        <v>54641929</v>
      </c>
      <c r="SX952">
        <v>82883601</v>
      </c>
      <c r="SY952">
        <v>96263925</v>
      </c>
      <c r="ACP952" t="s">
        <v>766</v>
      </c>
      <c r="ACQ952">
        <v>18842552</v>
      </c>
      <c r="ACR952">
        <v>14582029</v>
      </c>
      <c r="ACS952">
        <v>54641929</v>
      </c>
      <c r="ACT952">
        <v>82883601</v>
      </c>
      <c r="ACU952">
        <v>96263925</v>
      </c>
      <c r="AML952" t="s">
        <v>766</v>
      </c>
      <c r="AMM952">
        <v>18842552</v>
      </c>
      <c r="AMN952">
        <v>14582029</v>
      </c>
      <c r="AMO952">
        <v>54641929</v>
      </c>
      <c r="AMP952">
        <v>82883601</v>
      </c>
      <c r="AMQ952">
        <v>96263925</v>
      </c>
      <c r="AWH952" t="s">
        <v>766</v>
      </c>
      <c r="AWI952">
        <v>18842552</v>
      </c>
      <c r="AWJ952">
        <v>14582029</v>
      </c>
      <c r="AWK952">
        <v>54641929</v>
      </c>
      <c r="AWL952">
        <v>82883601</v>
      </c>
      <c r="AWM952">
        <v>96263925</v>
      </c>
      <c r="BGD952" t="s">
        <v>766</v>
      </c>
      <c r="BGE952">
        <v>18842552</v>
      </c>
      <c r="BGF952">
        <v>14582029</v>
      </c>
      <c r="BGG952">
        <v>54641929</v>
      </c>
      <c r="BGH952">
        <v>82883601</v>
      </c>
      <c r="BGI952">
        <v>96263925</v>
      </c>
      <c r="BPZ952" t="s">
        <v>766</v>
      </c>
      <c r="BQA952">
        <v>18842552</v>
      </c>
      <c r="BQB952">
        <v>14582029</v>
      </c>
      <c r="BQC952">
        <v>54641929</v>
      </c>
      <c r="BQD952">
        <v>82883601</v>
      </c>
      <c r="BQE952">
        <v>96263925</v>
      </c>
      <c r="BZV952" t="s">
        <v>766</v>
      </c>
      <c r="BZW952">
        <v>18842552</v>
      </c>
      <c r="BZX952">
        <v>14582029</v>
      </c>
      <c r="BZY952">
        <v>54641929</v>
      </c>
      <c r="BZZ952">
        <v>82883601</v>
      </c>
      <c r="CAA952">
        <v>96263925</v>
      </c>
      <c r="CJR952" t="s">
        <v>766</v>
      </c>
      <c r="CJS952">
        <v>18842552</v>
      </c>
      <c r="CJT952">
        <v>14582029</v>
      </c>
      <c r="CJU952">
        <v>54641929</v>
      </c>
      <c r="CJV952">
        <v>82883601</v>
      </c>
      <c r="CJW952">
        <v>96263925</v>
      </c>
      <c r="CTN952" t="s">
        <v>766</v>
      </c>
      <c r="CTO952">
        <v>18842552</v>
      </c>
      <c r="CTP952">
        <v>14582029</v>
      </c>
      <c r="CTQ952">
        <v>54641929</v>
      </c>
      <c r="CTR952">
        <v>82883601</v>
      </c>
      <c r="CTS952">
        <v>96263925</v>
      </c>
      <c r="DDJ952" t="s">
        <v>766</v>
      </c>
      <c r="DDK952">
        <v>18842552</v>
      </c>
      <c r="DDL952">
        <v>14582029</v>
      </c>
      <c r="DDM952">
        <v>54641929</v>
      </c>
      <c r="DDN952">
        <v>82883601</v>
      </c>
      <c r="DDO952">
        <v>96263925</v>
      </c>
      <c r="DNF952" t="s">
        <v>766</v>
      </c>
      <c r="DNG952">
        <v>18842552</v>
      </c>
      <c r="DNH952">
        <v>14582029</v>
      </c>
      <c r="DNI952">
        <v>54641929</v>
      </c>
      <c r="DNJ952">
        <v>82883601</v>
      </c>
      <c r="DNK952">
        <v>96263925</v>
      </c>
      <c r="DXB952" t="s">
        <v>766</v>
      </c>
      <c r="DXC952">
        <v>18842552</v>
      </c>
      <c r="DXD952">
        <v>14582029</v>
      </c>
      <c r="DXE952">
        <v>54641929</v>
      </c>
      <c r="DXF952">
        <v>82883601</v>
      </c>
      <c r="DXG952">
        <v>96263925</v>
      </c>
      <c r="EGX952" t="s">
        <v>766</v>
      </c>
      <c r="EGY952">
        <v>18842552</v>
      </c>
      <c r="EGZ952">
        <v>14582029</v>
      </c>
      <c r="EHA952">
        <v>54641929</v>
      </c>
      <c r="EHB952">
        <v>82883601</v>
      </c>
      <c r="EHC952">
        <v>96263925</v>
      </c>
      <c r="EQT952" t="s">
        <v>766</v>
      </c>
      <c r="EQU952">
        <v>18842552</v>
      </c>
      <c r="EQV952">
        <v>14582029</v>
      </c>
      <c r="EQW952">
        <v>54641929</v>
      </c>
      <c r="EQX952">
        <v>82883601</v>
      </c>
      <c r="EQY952">
        <v>96263925</v>
      </c>
      <c r="FAP952" t="s">
        <v>766</v>
      </c>
      <c r="FAQ952">
        <v>18842552</v>
      </c>
      <c r="FAR952">
        <v>14582029</v>
      </c>
      <c r="FAS952">
        <v>54641929</v>
      </c>
      <c r="FAT952">
        <v>82883601</v>
      </c>
      <c r="FAU952">
        <v>96263925</v>
      </c>
      <c r="FKL952" t="s">
        <v>766</v>
      </c>
      <c r="FKM952">
        <v>18842552</v>
      </c>
      <c r="FKN952">
        <v>14582029</v>
      </c>
      <c r="FKO952">
        <v>54641929</v>
      </c>
      <c r="FKP952">
        <v>82883601</v>
      </c>
      <c r="FKQ952">
        <v>96263925</v>
      </c>
      <c r="FUH952" t="s">
        <v>766</v>
      </c>
      <c r="FUI952">
        <v>18842552</v>
      </c>
      <c r="FUJ952">
        <v>14582029</v>
      </c>
      <c r="FUK952">
        <v>54641929</v>
      </c>
      <c r="FUL952">
        <v>82883601</v>
      </c>
      <c r="FUM952">
        <v>96263925</v>
      </c>
      <c r="GED952" t="s">
        <v>766</v>
      </c>
      <c r="GEE952">
        <v>18842552</v>
      </c>
      <c r="GEF952">
        <v>14582029</v>
      </c>
      <c r="GEG952">
        <v>54641929</v>
      </c>
      <c r="GEH952">
        <v>82883601</v>
      </c>
      <c r="GEI952">
        <v>96263925</v>
      </c>
      <c r="GNZ952" t="s">
        <v>766</v>
      </c>
      <c r="GOA952">
        <v>18842552</v>
      </c>
      <c r="GOB952">
        <v>14582029</v>
      </c>
      <c r="GOC952">
        <v>54641929</v>
      </c>
      <c r="GOD952">
        <v>82883601</v>
      </c>
      <c r="GOE952">
        <v>96263925</v>
      </c>
      <c r="GXV952" t="s">
        <v>766</v>
      </c>
      <c r="GXW952">
        <v>18842552</v>
      </c>
      <c r="GXX952">
        <v>14582029</v>
      </c>
      <c r="GXY952">
        <v>54641929</v>
      </c>
      <c r="GXZ952">
        <v>82883601</v>
      </c>
      <c r="GYA952">
        <v>96263925</v>
      </c>
      <c r="HHR952" t="s">
        <v>766</v>
      </c>
      <c r="HHS952">
        <v>18842552</v>
      </c>
      <c r="HHT952">
        <v>14582029</v>
      </c>
      <c r="HHU952">
        <v>54641929</v>
      </c>
      <c r="HHV952">
        <v>82883601</v>
      </c>
      <c r="HHW952">
        <v>96263925</v>
      </c>
      <c r="HRN952" t="s">
        <v>766</v>
      </c>
      <c r="HRO952">
        <v>18842552</v>
      </c>
      <c r="HRP952">
        <v>14582029</v>
      </c>
      <c r="HRQ952">
        <v>54641929</v>
      </c>
      <c r="HRR952">
        <v>82883601</v>
      </c>
      <c r="HRS952">
        <v>96263925</v>
      </c>
      <c r="IBJ952" t="s">
        <v>766</v>
      </c>
      <c r="IBK952">
        <v>18842552</v>
      </c>
      <c r="IBL952">
        <v>14582029</v>
      </c>
      <c r="IBM952">
        <v>54641929</v>
      </c>
      <c r="IBN952">
        <v>82883601</v>
      </c>
      <c r="IBO952">
        <v>96263925</v>
      </c>
      <c r="ILF952" t="s">
        <v>766</v>
      </c>
      <c r="ILG952">
        <v>18842552</v>
      </c>
      <c r="ILH952">
        <v>14582029</v>
      </c>
      <c r="ILI952">
        <v>54641929</v>
      </c>
      <c r="ILJ952">
        <v>82883601</v>
      </c>
      <c r="ILK952">
        <v>96263925</v>
      </c>
      <c r="IVB952" t="s">
        <v>766</v>
      </c>
      <c r="IVC952">
        <v>18842552</v>
      </c>
      <c r="IVD952">
        <v>14582029</v>
      </c>
      <c r="IVE952">
        <v>54641929</v>
      </c>
      <c r="IVF952">
        <v>82883601</v>
      </c>
      <c r="IVG952">
        <v>96263925</v>
      </c>
      <c r="JEX952" t="s">
        <v>766</v>
      </c>
      <c r="JEY952">
        <v>18842552</v>
      </c>
      <c r="JEZ952">
        <v>14582029</v>
      </c>
      <c r="JFA952">
        <v>54641929</v>
      </c>
      <c r="JFB952">
        <v>82883601</v>
      </c>
      <c r="JFC952">
        <v>96263925</v>
      </c>
      <c r="JOT952" t="s">
        <v>766</v>
      </c>
      <c r="JOU952">
        <v>18842552</v>
      </c>
      <c r="JOV952">
        <v>14582029</v>
      </c>
      <c r="JOW952">
        <v>54641929</v>
      </c>
      <c r="JOX952">
        <v>82883601</v>
      </c>
      <c r="JOY952">
        <v>96263925</v>
      </c>
      <c r="JYP952" t="s">
        <v>766</v>
      </c>
      <c r="JYQ952">
        <v>18842552</v>
      </c>
      <c r="JYR952">
        <v>14582029</v>
      </c>
      <c r="JYS952">
        <v>54641929</v>
      </c>
      <c r="JYT952">
        <v>82883601</v>
      </c>
      <c r="JYU952">
        <v>96263925</v>
      </c>
      <c r="KIL952" t="s">
        <v>766</v>
      </c>
      <c r="KIM952">
        <v>18842552</v>
      </c>
      <c r="KIN952">
        <v>14582029</v>
      </c>
      <c r="KIO952">
        <v>54641929</v>
      </c>
      <c r="KIP952">
        <v>82883601</v>
      </c>
      <c r="KIQ952">
        <v>96263925</v>
      </c>
      <c r="KSH952" t="s">
        <v>766</v>
      </c>
      <c r="KSI952">
        <v>18842552</v>
      </c>
      <c r="KSJ952">
        <v>14582029</v>
      </c>
      <c r="KSK952">
        <v>54641929</v>
      </c>
      <c r="KSL952">
        <v>82883601</v>
      </c>
      <c r="KSM952">
        <v>96263925</v>
      </c>
      <c r="LCD952" t="s">
        <v>766</v>
      </c>
      <c r="LCE952">
        <v>18842552</v>
      </c>
      <c r="LCF952">
        <v>14582029</v>
      </c>
      <c r="LCG952">
        <v>54641929</v>
      </c>
      <c r="LCH952">
        <v>82883601</v>
      </c>
      <c r="LCI952">
        <v>96263925</v>
      </c>
      <c r="LLZ952" t="s">
        <v>766</v>
      </c>
      <c r="LMA952">
        <v>18842552</v>
      </c>
      <c r="LMB952">
        <v>14582029</v>
      </c>
      <c r="LMC952">
        <v>54641929</v>
      </c>
      <c r="LMD952">
        <v>82883601</v>
      </c>
      <c r="LME952">
        <v>96263925</v>
      </c>
      <c r="LVV952" t="s">
        <v>766</v>
      </c>
      <c r="LVW952">
        <v>18842552</v>
      </c>
      <c r="LVX952">
        <v>14582029</v>
      </c>
      <c r="LVY952">
        <v>54641929</v>
      </c>
      <c r="LVZ952">
        <v>82883601</v>
      </c>
      <c r="LWA952">
        <v>96263925</v>
      </c>
      <c r="MFR952" t="s">
        <v>766</v>
      </c>
      <c r="MFS952">
        <v>18842552</v>
      </c>
      <c r="MFT952">
        <v>14582029</v>
      </c>
      <c r="MFU952">
        <v>54641929</v>
      </c>
      <c r="MFV952">
        <v>82883601</v>
      </c>
      <c r="MFW952">
        <v>96263925</v>
      </c>
      <c r="MPN952" t="s">
        <v>766</v>
      </c>
      <c r="MPO952">
        <v>18842552</v>
      </c>
      <c r="MPP952">
        <v>14582029</v>
      </c>
      <c r="MPQ952">
        <v>54641929</v>
      </c>
      <c r="MPR952">
        <v>82883601</v>
      </c>
      <c r="MPS952">
        <v>96263925</v>
      </c>
      <c r="MZJ952" t="s">
        <v>766</v>
      </c>
      <c r="MZK952">
        <v>18842552</v>
      </c>
      <c r="MZL952">
        <v>14582029</v>
      </c>
      <c r="MZM952">
        <v>54641929</v>
      </c>
      <c r="MZN952">
        <v>82883601</v>
      </c>
      <c r="MZO952">
        <v>96263925</v>
      </c>
      <c r="NJF952" t="s">
        <v>766</v>
      </c>
      <c r="NJG952">
        <v>18842552</v>
      </c>
      <c r="NJH952">
        <v>14582029</v>
      </c>
      <c r="NJI952">
        <v>54641929</v>
      </c>
      <c r="NJJ952">
        <v>82883601</v>
      </c>
      <c r="NJK952">
        <v>96263925</v>
      </c>
      <c r="NTB952" t="s">
        <v>766</v>
      </c>
      <c r="NTC952">
        <v>18842552</v>
      </c>
      <c r="NTD952">
        <v>14582029</v>
      </c>
      <c r="NTE952">
        <v>54641929</v>
      </c>
      <c r="NTF952">
        <v>82883601</v>
      </c>
      <c r="NTG952">
        <v>96263925</v>
      </c>
      <c r="OCX952" t="s">
        <v>766</v>
      </c>
      <c r="OCY952">
        <v>18842552</v>
      </c>
      <c r="OCZ952">
        <v>14582029</v>
      </c>
      <c r="ODA952">
        <v>54641929</v>
      </c>
      <c r="ODB952">
        <v>82883601</v>
      </c>
      <c r="ODC952">
        <v>96263925</v>
      </c>
      <c r="OMT952" t="s">
        <v>766</v>
      </c>
      <c r="OMU952">
        <v>18842552</v>
      </c>
      <c r="OMV952">
        <v>14582029</v>
      </c>
      <c r="OMW952">
        <v>54641929</v>
      </c>
      <c r="OMX952">
        <v>82883601</v>
      </c>
      <c r="OMY952">
        <v>96263925</v>
      </c>
      <c r="OWP952" t="s">
        <v>766</v>
      </c>
      <c r="OWQ952">
        <v>18842552</v>
      </c>
      <c r="OWR952">
        <v>14582029</v>
      </c>
      <c r="OWS952">
        <v>54641929</v>
      </c>
      <c r="OWT952">
        <v>82883601</v>
      </c>
      <c r="OWU952">
        <v>96263925</v>
      </c>
      <c r="PGL952" t="s">
        <v>766</v>
      </c>
      <c r="PGM952">
        <v>18842552</v>
      </c>
      <c r="PGN952">
        <v>14582029</v>
      </c>
      <c r="PGO952">
        <v>54641929</v>
      </c>
      <c r="PGP952">
        <v>82883601</v>
      </c>
      <c r="PGQ952">
        <v>96263925</v>
      </c>
      <c r="PQH952" t="s">
        <v>766</v>
      </c>
      <c r="PQI952">
        <v>18842552</v>
      </c>
      <c r="PQJ952">
        <v>14582029</v>
      </c>
      <c r="PQK952">
        <v>54641929</v>
      </c>
      <c r="PQL952">
        <v>82883601</v>
      </c>
      <c r="PQM952">
        <v>96263925</v>
      </c>
      <c r="QAD952" t="s">
        <v>766</v>
      </c>
      <c r="QAE952">
        <v>18842552</v>
      </c>
      <c r="QAF952">
        <v>14582029</v>
      </c>
      <c r="QAG952">
        <v>54641929</v>
      </c>
      <c r="QAH952">
        <v>82883601</v>
      </c>
      <c r="QAI952">
        <v>96263925</v>
      </c>
      <c r="QJZ952" t="s">
        <v>766</v>
      </c>
      <c r="QKA952">
        <v>18842552</v>
      </c>
      <c r="QKB952">
        <v>14582029</v>
      </c>
      <c r="QKC952">
        <v>54641929</v>
      </c>
      <c r="QKD952">
        <v>82883601</v>
      </c>
      <c r="QKE952">
        <v>96263925</v>
      </c>
      <c r="QTV952" t="s">
        <v>766</v>
      </c>
      <c r="QTW952">
        <v>18842552</v>
      </c>
      <c r="QTX952">
        <v>14582029</v>
      </c>
      <c r="QTY952">
        <v>54641929</v>
      </c>
      <c r="QTZ952">
        <v>82883601</v>
      </c>
      <c r="QUA952">
        <v>96263925</v>
      </c>
      <c r="RDR952" t="s">
        <v>766</v>
      </c>
      <c r="RDS952">
        <v>18842552</v>
      </c>
      <c r="RDT952">
        <v>14582029</v>
      </c>
      <c r="RDU952">
        <v>54641929</v>
      </c>
      <c r="RDV952">
        <v>82883601</v>
      </c>
      <c r="RDW952">
        <v>96263925</v>
      </c>
      <c r="RNN952" t="s">
        <v>766</v>
      </c>
      <c r="RNO952">
        <v>18842552</v>
      </c>
      <c r="RNP952">
        <v>14582029</v>
      </c>
      <c r="RNQ952">
        <v>54641929</v>
      </c>
      <c r="RNR952">
        <v>82883601</v>
      </c>
      <c r="RNS952">
        <v>96263925</v>
      </c>
      <c r="RXJ952" t="s">
        <v>766</v>
      </c>
      <c r="RXK952">
        <v>18842552</v>
      </c>
      <c r="RXL952">
        <v>14582029</v>
      </c>
      <c r="RXM952">
        <v>54641929</v>
      </c>
      <c r="RXN952">
        <v>82883601</v>
      </c>
      <c r="RXO952">
        <v>96263925</v>
      </c>
      <c r="SHF952" t="s">
        <v>766</v>
      </c>
      <c r="SHG952">
        <v>18842552</v>
      </c>
      <c r="SHH952">
        <v>14582029</v>
      </c>
      <c r="SHI952">
        <v>54641929</v>
      </c>
      <c r="SHJ952">
        <v>82883601</v>
      </c>
      <c r="SHK952">
        <v>96263925</v>
      </c>
      <c r="SRB952" t="s">
        <v>766</v>
      </c>
      <c r="SRC952">
        <v>18842552</v>
      </c>
      <c r="SRD952">
        <v>14582029</v>
      </c>
      <c r="SRE952">
        <v>54641929</v>
      </c>
      <c r="SRF952">
        <v>82883601</v>
      </c>
      <c r="SRG952">
        <v>96263925</v>
      </c>
      <c r="TAX952" t="s">
        <v>766</v>
      </c>
      <c r="TAY952">
        <v>18842552</v>
      </c>
      <c r="TAZ952">
        <v>14582029</v>
      </c>
      <c r="TBA952">
        <v>54641929</v>
      </c>
      <c r="TBB952">
        <v>82883601</v>
      </c>
      <c r="TBC952">
        <v>96263925</v>
      </c>
      <c r="TKT952" t="s">
        <v>766</v>
      </c>
      <c r="TKU952">
        <v>18842552</v>
      </c>
      <c r="TKV952">
        <v>14582029</v>
      </c>
      <c r="TKW952">
        <v>54641929</v>
      </c>
      <c r="TKX952">
        <v>82883601</v>
      </c>
      <c r="TKY952">
        <v>96263925</v>
      </c>
      <c r="TUP952" t="s">
        <v>766</v>
      </c>
      <c r="TUQ952">
        <v>18842552</v>
      </c>
      <c r="TUR952">
        <v>14582029</v>
      </c>
      <c r="TUS952">
        <v>54641929</v>
      </c>
      <c r="TUT952">
        <v>82883601</v>
      </c>
      <c r="TUU952">
        <v>96263925</v>
      </c>
      <c r="UEL952" t="s">
        <v>766</v>
      </c>
      <c r="UEM952">
        <v>18842552</v>
      </c>
      <c r="UEN952">
        <v>14582029</v>
      </c>
      <c r="UEO952">
        <v>54641929</v>
      </c>
      <c r="UEP952">
        <v>82883601</v>
      </c>
      <c r="UEQ952">
        <v>96263925</v>
      </c>
      <c r="UOH952" t="s">
        <v>766</v>
      </c>
      <c r="UOI952">
        <v>18842552</v>
      </c>
      <c r="UOJ952">
        <v>14582029</v>
      </c>
      <c r="UOK952">
        <v>54641929</v>
      </c>
      <c r="UOL952">
        <v>82883601</v>
      </c>
      <c r="UOM952">
        <v>96263925</v>
      </c>
      <c r="UYD952" t="s">
        <v>766</v>
      </c>
      <c r="UYE952">
        <v>18842552</v>
      </c>
      <c r="UYF952">
        <v>14582029</v>
      </c>
      <c r="UYG952">
        <v>54641929</v>
      </c>
      <c r="UYH952">
        <v>82883601</v>
      </c>
      <c r="UYI952">
        <v>96263925</v>
      </c>
      <c r="VHZ952" t="s">
        <v>766</v>
      </c>
      <c r="VIA952">
        <v>18842552</v>
      </c>
      <c r="VIB952">
        <v>14582029</v>
      </c>
      <c r="VIC952">
        <v>54641929</v>
      </c>
      <c r="VID952">
        <v>82883601</v>
      </c>
      <c r="VIE952">
        <v>96263925</v>
      </c>
      <c r="VRV952" t="s">
        <v>766</v>
      </c>
      <c r="VRW952">
        <v>18842552</v>
      </c>
      <c r="VRX952">
        <v>14582029</v>
      </c>
      <c r="VRY952">
        <v>54641929</v>
      </c>
      <c r="VRZ952">
        <v>82883601</v>
      </c>
      <c r="VSA952">
        <v>96263925</v>
      </c>
      <c r="WBR952" t="s">
        <v>766</v>
      </c>
      <c r="WBS952">
        <v>18842552</v>
      </c>
      <c r="WBT952">
        <v>14582029</v>
      </c>
      <c r="WBU952">
        <v>54641929</v>
      </c>
      <c r="WBV952">
        <v>82883601</v>
      </c>
      <c r="WBW952">
        <v>96263925</v>
      </c>
      <c r="WLN952" t="s">
        <v>766</v>
      </c>
      <c r="WLO952">
        <v>18842552</v>
      </c>
      <c r="WLP952">
        <v>14582029</v>
      </c>
      <c r="WLQ952">
        <v>54641929</v>
      </c>
      <c r="WLR952">
        <v>82883601</v>
      </c>
      <c r="WLS952">
        <v>96263925</v>
      </c>
      <c r="WVJ952" t="s">
        <v>766</v>
      </c>
      <c r="WVK952">
        <v>18842552</v>
      </c>
      <c r="WVL952">
        <v>14582029</v>
      </c>
      <c r="WVM952">
        <v>54641929</v>
      </c>
      <c r="WVN952">
        <v>82883601</v>
      </c>
      <c r="WVO952">
        <v>96263925</v>
      </c>
    </row>
    <row r="953" spans="1:775 1026:1799 2050:2823 3074:3847 4098:4871 5122:5895 6146:6919 7170:7943 8194:8967 9218:9991 10242:11015 11266:12039 12290:13063 13314:14087 14338:15111 15362:16135">
      <c r="A953" s="96"/>
    </row>
    <row r="954" spans="1:775 1026:1799 2050:2823 3074:3847 4098:4871 5122:5895 6146:6919 7170:7943 8194:8967 9218:9991 10242:11015 11266:12039 12290:13063 13314:14087 14338:15111 15362:16135">
      <c r="A954" s="1971" t="s">
        <v>1344</v>
      </c>
      <c r="B954" s="1972"/>
      <c r="C954" s="1972"/>
      <c r="D954" s="1972"/>
      <c r="E954" s="1972"/>
      <c r="F954" s="1972"/>
      <c r="G954" s="1972"/>
      <c r="H954" s="1972"/>
      <c r="I954" s="1972"/>
      <c r="J954" s="1972"/>
      <c r="K954" s="1972"/>
      <c r="L954" s="1972"/>
      <c r="M954" s="1972"/>
      <c r="IX954" t="s">
        <v>1344</v>
      </c>
      <c r="ST954" t="s">
        <v>1344</v>
      </c>
      <c r="ACP954" t="s">
        <v>1344</v>
      </c>
      <c r="AML954" t="s">
        <v>1344</v>
      </c>
      <c r="AWH954" t="s">
        <v>1344</v>
      </c>
      <c r="BGD954" t="s">
        <v>1344</v>
      </c>
      <c r="BPZ954" t="s">
        <v>1344</v>
      </c>
      <c r="BZV954" t="s">
        <v>1344</v>
      </c>
      <c r="CJR954" t="s">
        <v>1344</v>
      </c>
      <c r="CTN954" t="s">
        <v>1344</v>
      </c>
      <c r="DDJ954" t="s">
        <v>1344</v>
      </c>
      <c r="DNF954" t="s">
        <v>1344</v>
      </c>
      <c r="DXB954" t="s">
        <v>1344</v>
      </c>
      <c r="EGX954" t="s">
        <v>1344</v>
      </c>
      <c r="EQT954" t="s">
        <v>1344</v>
      </c>
      <c r="FAP954" t="s">
        <v>1344</v>
      </c>
      <c r="FKL954" t="s">
        <v>1344</v>
      </c>
      <c r="FUH954" t="s">
        <v>1344</v>
      </c>
      <c r="GED954" t="s">
        <v>1344</v>
      </c>
      <c r="GNZ954" t="s">
        <v>1344</v>
      </c>
      <c r="GXV954" t="s">
        <v>1344</v>
      </c>
      <c r="HHR954" t="s">
        <v>1344</v>
      </c>
      <c r="HRN954" t="s">
        <v>1344</v>
      </c>
      <c r="IBJ954" t="s">
        <v>1344</v>
      </c>
      <c r="ILF954" t="s">
        <v>1344</v>
      </c>
      <c r="IVB954" t="s">
        <v>1344</v>
      </c>
      <c r="JEX954" t="s">
        <v>1344</v>
      </c>
      <c r="JOT954" t="s">
        <v>1344</v>
      </c>
      <c r="JYP954" t="s">
        <v>1344</v>
      </c>
      <c r="KIL954" t="s">
        <v>1344</v>
      </c>
      <c r="KSH954" t="s">
        <v>1344</v>
      </c>
      <c r="LCD954" t="s">
        <v>1344</v>
      </c>
      <c r="LLZ954" t="s">
        <v>1344</v>
      </c>
      <c r="LVV954" t="s">
        <v>1344</v>
      </c>
      <c r="MFR954" t="s">
        <v>1344</v>
      </c>
      <c r="MPN954" t="s">
        <v>1344</v>
      </c>
      <c r="MZJ954" t="s">
        <v>1344</v>
      </c>
      <c r="NJF954" t="s">
        <v>1344</v>
      </c>
      <c r="NTB954" t="s">
        <v>1344</v>
      </c>
      <c r="OCX954" t="s">
        <v>1344</v>
      </c>
      <c r="OMT954" t="s">
        <v>1344</v>
      </c>
      <c r="OWP954" t="s">
        <v>1344</v>
      </c>
      <c r="PGL954" t="s">
        <v>1344</v>
      </c>
      <c r="PQH954" t="s">
        <v>1344</v>
      </c>
      <c r="QAD954" t="s">
        <v>1344</v>
      </c>
      <c r="QJZ954" t="s">
        <v>1344</v>
      </c>
      <c r="QTV954" t="s">
        <v>1344</v>
      </c>
      <c r="RDR954" t="s">
        <v>1344</v>
      </c>
      <c r="RNN954" t="s">
        <v>1344</v>
      </c>
      <c r="RXJ954" t="s">
        <v>1344</v>
      </c>
      <c r="SHF954" t="s">
        <v>1344</v>
      </c>
      <c r="SRB954" t="s">
        <v>1344</v>
      </c>
      <c r="TAX954" t="s">
        <v>1344</v>
      </c>
      <c r="TKT954" t="s">
        <v>1344</v>
      </c>
      <c r="TUP954" t="s">
        <v>1344</v>
      </c>
      <c r="UEL954" t="s">
        <v>1344</v>
      </c>
      <c r="UOH954" t="s">
        <v>1344</v>
      </c>
      <c r="UYD954" t="s">
        <v>1344</v>
      </c>
      <c r="VHZ954" t="s">
        <v>1344</v>
      </c>
      <c r="VRV954" t="s">
        <v>1344</v>
      </c>
      <c r="WBR954" t="s">
        <v>1344</v>
      </c>
      <c r="WLN954" t="s">
        <v>1344</v>
      </c>
      <c r="WVJ954" t="s">
        <v>1344</v>
      </c>
    </row>
    <row r="955" spans="1:775 1026:1799 2050:2823 3074:3847 4098:4871 5122:5895 6146:6919 7170:7943 8194:8967 9218:9991 10242:11015 11266:12039 12290:13063 13314:14087 14338:15111 15362:16135" ht="15.5">
      <c r="A955" s="1419" t="s">
        <v>1019</v>
      </c>
      <c r="B955" s="1422"/>
      <c r="C955" s="1420" t="s">
        <v>657</v>
      </c>
      <c r="D955" s="1420" t="s">
        <v>658</v>
      </c>
      <c r="E955" s="1420" t="s">
        <v>659</v>
      </c>
      <c r="F955" s="1420" t="s">
        <v>660</v>
      </c>
      <c r="G955" s="1444" t="s">
        <v>661</v>
      </c>
      <c r="H955" s="1445" t="s">
        <v>1345</v>
      </c>
      <c r="I955" s="1446">
        <v>2017</v>
      </c>
      <c r="J955" s="1446">
        <v>2018</v>
      </c>
      <c r="K955" s="1446">
        <v>2019</v>
      </c>
      <c r="L955" s="1446">
        <v>2020</v>
      </c>
      <c r="M955" s="1446">
        <v>2021</v>
      </c>
      <c r="N955" s="1446">
        <v>2022</v>
      </c>
      <c r="IX955" t="s">
        <v>1019</v>
      </c>
      <c r="IY955" t="s">
        <v>657</v>
      </c>
      <c r="IZ955" t="s">
        <v>658</v>
      </c>
      <c r="JA955" t="s">
        <v>659</v>
      </c>
      <c r="JB955" t="s">
        <v>660</v>
      </c>
      <c r="JC955" t="s">
        <v>661</v>
      </c>
      <c r="ST955" t="s">
        <v>1019</v>
      </c>
      <c r="SU955" t="s">
        <v>657</v>
      </c>
      <c r="SV955" t="s">
        <v>658</v>
      </c>
      <c r="SW955" t="s">
        <v>659</v>
      </c>
      <c r="SX955" t="s">
        <v>660</v>
      </c>
      <c r="SY955" t="s">
        <v>661</v>
      </c>
      <c r="ACP955" t="s">
        <v>1019</v>
      </c>
      <c r="ACQ955" t="s">
        <v>657</v>
      </c>
      <c r="ACR955" t="s">
        <v>658</v>
      </c>
      <c r="ACS955" t="s">
        <v>659</v>
      </c>
      <c r="ACT955" t="s">
        <v>660</v>
      </c>
      <c r="ACU955" t="s">
        <v>661</v>
      </c>
      <c r="AML955" t="s">
        <v>1019</v>
      </c>
      <c r="AMM955" t="s">
        <v>657</v>
      </c>
      <c r="AMN955" t="s">
        <v>658</v>
      </c>
      <c r="AMO955" t="s">
        <v>659</v>
      </c>
      <c r="AMP955" t="s">
        <v>660</v>
      </c>
      <c r="AMQ955" t="s">
        <v>661</v>
      </c>
      <c r="AWH955" t="s">
        <v>1019</v>
      </c>
      <c r="AWI955" t="s">
        <v>657</v>
      </c>
      <c r="AWJ955" t="s">
        <v>658</v>
      </c>
      <c r="AWK955" t="s">
        <v>659</v>
      </c>
      <c r="AWL955" t="s">
        <v>660</v>
      </c>
      <c r="AWM955" t="s">
        <v>661</v>
      </c>
      <c r="BGD955" t="s">
        <v>1019</v>
      </c>
      <c r="BGE955" t="s">
        <v>657</v>
      </c>
      <c r="BGF955" t="s">
        <v>658</v>
      </c>
      <c r="BGG955" t="s">
        <v>659</v>
      </c>
      <c r="BGH955" t="s">
        <v>660</v>
      </c>
      <c r="BGI955" t="s">
        <v>661</v>
      </c>
      <c r="BPZ955" t="s">
        <v>1019</v>
      </c>
      <c r="BQA955" t="s">
        <v>657</v>
      </c>
      <c r="BQB955" t="s">
        <v>658</v>
      </c>
      <c r="BQC955" t="s">
        <v>659</v>
      </c>
      <c r="BQD955" t="s">
        <v>660</v>
      </c>
      <c r="BQE955" t="s">
        <v>661</v>
      </c>
      <c r="BZV955" t="s">
        <v>1019</v>
      </c>
      <c r="BZW955" t="s">
        <v>657</v>
      </c>
      <c r="BZX955" t="s">
        <v>658</v>
      </c>
      <c r="BZY955" t="s">
        <v>659</v>
      </c>
      <c r="BZZ955" t="s">
        <v>660</v>
      </c>
      <c r="CAA955" t="s">
        <v>661</v>
      </c>
      <c r="CJR955" t="s">
        <v>1019</v>
      </c>
      <c r="CJS955" t="s">
        <v>657</v>
      </c>
      <c r="CJT955" t="s">
        <v>658</v>
      </c>
      <c r="CJU955" t="s">
        <v>659</v>
      </c>
      <c r="CJV955" t="s">
        <v>660</v>
      </c>
      <c r="CJW955" t="s">
        <v>661</v>
      </c>
      <c r="CTN955" t="s">
        <v>1019</v>
      </c>
      <c r="CTO955" t="s">
        <v>657</v>
      </c>
      <c r="CTP955" t="s">
        <v>658</v>
      </c>
      <c r="CTQ955" t="s">
        <v>659</v>
      </c>
      <c r="CTR955" t="s">
        <v>660</v>
      </c>
      <c r="CTS955" t="s">
        <v>661</v>
      </c>
      <c r="DDJ955" t="s">
        <v>1019</v>
      </c>
      <c r="DDK955" t="s">
        <v>657</v>
      </c>
      <c r="DDL955" t="s">
        <v>658</v>
      </c>
      <c r="DDM955" t="s">
        <v>659</v>
      </c>
      <c r="DDN955" t="s">
        <v>660</v>
      </c>
      <c r="DDO955" t="s">
        <v>661</v>
      </c>
      <c r="DNF955" t="s">
        <v>1019</v>
      </c>
      <c r="DNG955" t="s">
        <v>657</v>
      </c>
      <c r="DNH955" t="s">
        <v>658</v>
      </c>
      <c r="DNI955" t="s">
        <v>659</v>
      </c>
      <c r="DNJ955" t="s">
        <v>660</v>
      </c>
      <c r="DNK955" t="s">
        <v>661</v>
      </c>
      <c r="DXB955" t="s">
        <v>1019</v>
      </c>
      <c r="DXC955" t="s">
        <v>657</v>
      </c>
      <c r="DXD955" t="s">
        <v>658</v>
      </c>
      <c r="DXE955" t="s">
        <v>659</v>
      </c>
      <c r="DXF955" t="s">
        <v>660</v>
      </c>
      <c r="DXG955" t="s">
        <v>661</v>
      </c>
      <c r="EGX955" t="s">
        <v>1019</v>
      </c>
      <c r="EGY955" t="s">
        <v>657</v>
      </c>
      <c r="EGZ955" t="s">
        <v>658</v>
      </c>
      <c r="EHA955" t="s">
        <v>659</v>
      </c>
      <c r="EHB955" t="s">
        <v>660</v>
      </c>
      <c r="EHC955" t="s">
        <v>661</v>
      </c>
      <c r="EQT955" t="s">
        <v>1019</v>
      </c>
      <c r="EQU955" t="s">
        <v>657</v>
      </c>
      <c r="EQV955" t="s">
        <v>658</v>
      </c>
      <c r="EQW955" t="s">
        <v>659</v>
      </c>
      <c r="EQX955" t="s">
        <v>660</v>
      </c>
      <c r="EQY955" t="s">
        <v>661</v>
      </c>
      <c r="FAP955" t="s">
        <v>1019</v>
      </c>
      <c r="FAQ955" t="s">
        <v>657</v>
      </c>
      <c r="FAR955" t="s">
        <v>658</v>
      </c>
      <c r="FAS955" t="s">
        <v>659</v>
      </c>
      <c r="FAT955" t="s">
        <v>660</v>
      </c>
      <c r="FAU955" t="s">
        <v>661</v>
      </c>
      <c r="FKL955" t="s">
        <v>1019</v>
      </c>
      <c r="FKM955" t="s">
        <v>657</v>
      </c>
      <c r="FKN955" t="s">
        <v>658</v>
      </c>
      <c r="FKO955" t="s">
        <v>659</v>
      </c>
      <c r="FKP955" t="s">
        <v>660</v>
      </c>
      <c r="FKQ955" t="s">
        <v>661</v>
      </c>
      <c r="FUH955" t="s">
        <v>1019</v>
      </c>
      <c r="FUI955" t="s">
        <v>657</v>
      </c>
      <c r="FUJ955" t="s">
        <v>658</v>
      </c>
      <c r="FUK955" t="s">
        <v>659</v>
      </c>
      <c r="FUL955" t="s">
        <v>660</v>
      </c>
      <c r="FUM955" t="s">
        <v>661</v>
      </c>
      <c r="GED955" t="s">
        <v>1019</v>
      </c>
      <c r="GEE955" t="s">
        <v>657</v>
      </c>
      <c r="GEF955" t="s">
        <v>658</v>
      </c>
      <c r="GEG955" t="s">
        <v>659</v>
      </c>
      <c r="GEH955" t="s">
        <v>660</v>
      </c>
      <c r="GEI955" t="s">
        <v>661</v>
      </c>
      <c r="GNZ955" t="s">
        <v>1019</v>
      </c>
      <c r="GOA955" t="s">
        <v>657</v>
      </c>
      <c r="GOB955" t="s">
        <v>658</v>
      </c>
      <c r="GOC955" t="s">
        <v>659</v>
      </c>
      <c r="GOD955" t="s">
        <v>660</v>
      </c>
      <c r="GOE955" t="s">
        <v>661</v>
      </c>
      <c r="GXV955" t="s">
        <v>1019</v>
      </c>
      <c r="GXW955" t="s">
        <v>657</v>
      </c>
      <c r="GXX955" t="s">
        <v>658</v>
      </c>
      <c r="GXY955" t="s">
        <v>659</v>
      </c>
      <c r="GXZ955" t="s">
        <v>660</v>
      </c>
      <c r="GYA955" t="s">
        <v>661</v>
      </c>
      <c r="HHR955" t="s">
        <v>1019</v>
      </c>
      <c r="HHS955" t="s">
        <v>657</v>
      </c>
      <c r="HHT955" t="s">
        <v>658</v>
      </c>
      <c r="HHU955" t="s">
        <v>659</v>
      </c>
      <c r="HHV955" t="s">
        <v>660</v>
      </c>
      <c r="HHW955" t="s">
        <v>661</v>
      </c>
      <c r="HRN955" t="s">
        <v>1019</v>
      </c>
      <c r="HRO955" t="s">
        <v>657</v>
      </c>
      <c r="HRP955" t="s">
        <v>658</v>
      </c>
      <c r="HRQ955" t="s">
        <v>659</v>
      </c>
      <c r="HRR955" t="s">
        <v>660</v>
      </c>
      <c r="HRS955" t="s">
        <v>661</v>
      </c>
      <c r="IBJ955" t="s">
        <v>1019</v>
      </c>
      <c r="IBK955" t="s">
        <v>657</v>
      </c>
      <c r="IBL955" t="s">
        <v>658</v>
      </c>
      <c r="IBM955" t="s">
        <v>659</v>
      </c>
      <c r="IBN955" t="s">
        <v>660</v>
      </c>
      <c r="IBO955" t="s">
        <v>661</v>
      </c>
      <c r="ILF955" t="s">
        <v>1019</v>
      </c>
      <c r="ILG955" t="s">
        <v>657</v>
      </c>
      <c r="ILH955" t="s">
        <v>658</v>
      </c>
      <c r="ILI955" t="s">
        <v>659</v>
      </c>
      <c r="ILJ955" t="s">
        <v>660</v>
      </c>
      <c r="ILK955" t="s">
        <v>661</v>
      </c>
      <c r="IVB955" t="s">
        <v>1019</v>
      </c>
      <c r="IVC955" t="s">
        <v>657</v>
      </c>
      <c r="IVD955" t="s">
        <v>658</v>
      </c>
      <c r="IVE955" t="s">
        <v>659</v>
      </c>
      <c r="IVF955" t="s">
        <v>660</v>
      </c>
      <c r="IVG955" t="s">
        <v>661</v>
      </c>
      <c r="JEX955" t="s">
        <v>1019</v>
      </c>
      <c r="JEY955" t="s">
        <v>657</v>
      </c>
      <c r="JEZ955" t="s">
        <v>658</v>
      </c>
      <c r="JFA955" t="s">
        <v>659</v>
      </c>
      <c r="JFB955" t="s">
        <v>660</v>
      </c>
      <c r="JFC955" t="s">
        <v>661</v>
      </c>
      <c r="JOT955" t="s">
        <v>1019</v>
      </c>
      <c r="JOU955" t="s">
        <v>657</v>
      </c>
      <c r="JOV955" t="s">
        <v>658</v>
      </c>
      <c r="JOW955" t="s">
        <v>659</v>
      </c>
      <c r="JOX955" t="s">
        <v>660</v>
      </c>
      <c r="JOY955" t="s">
        <v>661</v>
      </c>
      <c r="JYP955" t="s">
        <v>1019</v>
      </c>
      <c r="JYQ955" t="s">
        <v>657</v>
      </c>
      <c r="JYR955" t="s">
        <v>658</v>
      </c>
      <c r="JYS955" t="s">
        <v>659</v>
      </c>
      <c r="JYT955" t="s">
        <v>660</v>
      </c>
      <c r="JYU955" t="s">
        <v>661</v>
      </c>
      <c r="KIL955" t="s">
        <v>1019</v>
      </c>
      <c r="KIM955" t="s">
        <v>657</v>
      </c>
      <c r="KIN955" t="s">
        <v>658</v>
      </c>
      <c r="KIO955" t="s">
        <v>659</v>
      </c>
      <c r="KIP955" t="s">
        <v>660</v>
      </c>
      <c r="KIQ955" t="s">
        <v>661</v>
      </c>
      <c r="KSH955" t="s">
        <v>1019</v>
      </c>
      <c r="KSI955" t="s">
        <v>657</v>
      </c>
      <c r="KSJ955" t="s">
        <v>658</v>
      </c>
      <c r="KSK955" t="s">
        <v>659</v>
      </c>
      <c r="KSL955" t="s">
        <v>660</v>
      </c>
      <c r="KSM955" t="s">
        <v>661</v>
      </c>
      <c r="LCD955" t="s">
        <v>1019</v>
      </c>
      <c r="LCE955" t="s">
        <v>657</v>
      </c>
      <c r="LCF955" t="s">
        <v>658</v>
      </c>
      <c r="LCG955" t="s">
        <v>659</v>
      </c>
      <c r="LCH955" t="s">
        <v>660</v>
      </c>
      <c r="LCI955" t="s">
        <v>661</v>
      </c>
      <c r="LLZ955" t="s">
        <v>1019</v>
      </c>
      <c r="LMA955" t="s">
        <v>657</v>
      </c>
      <c r="LMB955" t="s">
        <v>658</v>
      </c>
      <c r="LMC955" t="s">
        <v>659</v>
      </c>
      <c r="LMD955" t="s">
        <v>660</v>
      </c>
      <c r="LME955" t="s">
        <v>661</v>
      </c>
      <c r="LVV955" t="s">
        <v>1019</v>
      </c>
      <c r="LVW955" t="s">
        <v>657</v>
      </c>
      <c r="LVX955" t="s">
        <v>658</v>
      </c>
      <c r="LVY955" t="s">
        <v>659</v>
      </c>
      <c r="LVZ955" t="s">
        <v>660</v>
      </c>
      <c r="LWA955" t="s">
        <v>661</v>
      </c>
      <c r="MFR955" t="s">
        <v>1019</v>
      </c>
      <c r="MFS955" t="s">
        <v>657</v>
      </c>
      <c r="MFT955" t="s">
        <v>658</v>
      </c>
      <c r="MFU955" t="s">
        <v>659</v>
      </c>
      <c r="MFV955" t="s">
        <v>660</v>
      </c>
      <c r="MFW955" t="s">
        <v>661</v>
      </c>
      <c r="MPN955" t="s">
        <v>1019</v>
      </c>
      <c r="MPO955" t="s">
        <v>657</v>
      </c>
      <c r="MPP955" t="s">
        <v>658</v>
      </c>
      <c r="MPQ955" t="s">
        <v>659</v>
      </c>
      <c r="MPR955" t="s">
        <v>660</v>
      </c>
      <c r="MPS955" t="s">
        <v>661</v>
      </c>
      <c r="MZJ955" t="s">
        <v>1019</v>
      </c>
      <c r="MZK955" t="s">
        <v>657</v>
      </c>
      <c r="MZL955" t="s">
        <v>658</v>
      </c>
      <c r="MZM955" t="s">
        <v>659</v>
      </c>
      <c r="MZN955" t="s">
        <v>660</v>
      </c>
      <c r="MZO955" t="s">
        <v>661</v>
      </c>
      <c r="NJF955" t="s">
        <v>1019</v>
      </c>
      <c r="NJG955" t="s">
        <v>657</v>
      </c>
      <c r="NJH955" t="s">
        <v>658</v>
      </c>
      <c r="NJI955" t="s">
        <v>659</v>
      </c>
      <c r="NJJ955" t="s">
        <v>660</v>
      </c>
      <c r="NJK955" t="s">
        <v>661</v>
      </c>
      <c r="NTB955" t="s">
        <v>1019</v>
      </c>
      <c r="NTC955" t="s">
        <v>657</v>
      </c>
      <c r="NTD955" t="s">
        <v>658</v>
      </c>
      <c r="NTE955" t="s">
        <v>659</v>
      </c>
      <c r="NTF955" t="s">
        <v>660</v>
      </c>
      <c r="NTG955" t="s">
        <v>661</v>
      </c>
      <c r="OCX955" t="s">
        <v>1019</v>
      </c>
      <c r="OCY955" t="s">
        <v>657</v>
      </c>
      <c r="OCZ955" t="s">
        <v>658</v>
      </c>
      <c r="ODA955" t="s">
        <v>659</v>
      </c>
      <c r="ODB955" t="s">
        <v>660</v>
      </c>
      <c r="ODC955" t="s">
        <v>661</v>
      </c>
      <c r="OMT955" t="s">
        <v>1019</v>
      </c>
      <c r="OMU955" t="s">
        <v>657</v>
      </c>
      <c r="OMV955" t="s">
        <v>658</v>
      </c>
      <c r="OMW955" t="s">
        <v>659</v>
      </c>
      <c r="OMX955" t="s">
        <v>660</v>
      </c>
      <c r="OMY955" t="s">
        <v>661</v>
      </c>
      <c r="OWP955" t="s">
        <v>1019</v>
      </c>
      <c r="OWQ955" t="s">
        <v>657</v>
      </c>
      <c r="OWR955" t="s">
        <v>658</v>
      </c>
      <c r="OWS955" t="s">
        <v>659</v>
      </c>
      <c r="OWT955" t="s">
        <v>660</v>
      </c>
      <c r="OWU955" t="s">
        <v>661</v>
      </c>
      <c r="PGL955" t="s">
        <v>1019</v>
      </c>
      <c r="PGM955" t="s">
        <v>657</v>
      </c>
      <c r="PGN955" t="s">
        <v>658</v>
      </c>
      <c r="PGO955" t="s">
        <v>659</v>
      </c>
      <c r="PGP955" t="s">
        <v>660</v>
      </c>
      <c r="PGQ955" t="s">
        <v>661</v>
      </c>
      <c r="PQH955" t="s">
        <v>1019</v>
      </c>
      <c r="PQI955" t="s">
        <v>657</v>
      </c>
      <c r="PQJ955" t="s">
        <v>658</v>
      </c>
      <c r="PQK955" t="s">
        <v>659</v>
      </c>
      <c r="PQL955" t="s">
        <v>660</v>
      </c>
      <c r="PQM955" t="s">
        <v>661</v>
      </c>
      <c r="QAD955" t="s">
        <v>1019</v>
      </c>
      <c r="QAE955" t="s">
        <v>657</v>
      </c>
      <c r="QAF955" t="s">
        <v>658</v>
      </c>
      <c r="QAG955" t="s">
        <v>659</v>
      </c>
      <c r="QAH955" t="s">
        <v>660</v>
      </c>
      <c r="QAI955" t="s">
        <v>661</v>
      </c>
      <c r="QJZ955" t="s">
        <v>1019</v>
      </c>
      <c r="QKA955" t="s">
        <v>657</v>
      </c>
      <c r="QKB955" t="s">
        <v>658</v>
      </c>
      <c r="QKC955" t="s">
        <v>659</v>
      </c>
      <c r="QKD955" t="s">
        <v>660</v>
      </c>
      <c r="QKE955" t="s">
        <v>661</v>
      </c>
      <c r="QTV955" t="s">
        <v>1019</v>
      </c>
      <c r="QTW955" t="s">
        <v>657</v>
      </c>
      <c r="QTX955" t="s">
        <v>658</v>
      </c>
      <c r="QTY955" t="s">
        <v>659</v>
      </c>
      <c r="QTZ955" t="s">
        <v>660</v>
      </c>
      <c r="QUA955" t="s">
        <v>661</v>
      </c>
      <c r="RDR955" t="s">
        <v>1019</v>
      </c>
      <c r="RDS955" t="s">
        <v>657</v>
      </c>
      <c r="RDT955" t="s">
        <v>658</v>
      </c>
      <c r="RDU955" t="s">
        <v>659</v>
      </c>
      <c r="RDV955" t="s">
        <v>660</v>
      </c>
      <c r="RDW955" t="s">
        <v>661</v>
      </c>
      <c r="RNN955" t="s">
        <v>1019</v>
      </c>
      <c r="RNO955" t="s">
        <v>657</v>
      </c>
      <c r="RNP955" t="s">
        <v>658</v>
      </c>
      <c r="RNQ955" t="s">
        <v>659</v>
      </c>
      <c r="RNR955" t="s">
        <v>660</v>
      </c>
      <c r="RNS955" t="s">
        <v>661</v>
      </c>
      <c r="RXJ955" t="s">
        <v>1019</v>
      </c>
      <c r="RXK955" t="s">
        <v>657</v>
      </c>
      <c r="RXL955" t="s">
        <v>658</v>
      </c>
      <c r="RXM955" t="s">
        <v>659</v>
      </c>
      <c r="RXN955" t="s">
        <v>660</v>
      </c>
      <c r="RXO955" t="s">
        <v>661</v>
      </c>
      <c r="SHF955" t="s">
        <v>1019</v>
      </c>
      <c r="SHG955" t="s">
        <v>657</v>
      </c>
      <c r="SHH955" t="s">
        <v>658</v>
      </c>
      <c r="SHI955" t="s">
        <v>659</v>
      </c>
      <c r="SHJ955" t="s">
        <v>660</v>
      </c>
      <c r="SHK955" t="s">
        <v>661</v>
      </c>
      <c r="SRB955" t="s">
        <v>1019</v>
      </c>
      <c r="SRC955" t="s">
        <v>657</v>
      </c>
      <c r="SRD955" t="s">
        <v>658</v>
      </c>
      <c r="SRE955" t="s">
        <v>659</v>
      </c>
      <c r="SRF955" t="s">
        <v>660</v>
      </c>
      <c r="SRG955" t="s">
        <v>661</v>
      </c>
      <c r="TAX955" t="s">
        <v>1019</v>
      </c>
      <c r="TAY955" t="s">
        <v>657</v>
      </c>
      <c r="TAZ955" t="s">
        <v>658</v>
      </c>
      <c r="TBA955" t="s">
        <v>659</v>
      </c>
      <c r="TBB955" t="s">
        <v>660</v>
      </c>
      <c r="TBC955" t="s">
        <v>661</v>
      </c>
      <c r="TKT955" t="s">
        <v>1019</v>
      </c>
      <c r="TKU955" t="s">
        <v>657</v>
      </c>
      <c r="TKV955" t="s">
        <v>658</v>
      </c>
      <c r="TKW955" t="s">
        <v>659</v>
      </c>
      <c r="TKX955" t="s">
        <v>660</v>
      </c>
      <c r="TKY955" t="s">
        <v>661</v>
      </c>
      <c r="TUP955" t="s">
        <v>1019</v>
      </c>
      <c r="TUQ955" t="s">
        <v>657</v>
      </c>
      <c r="TUR955" t="s">
        <v>658</v>
      </c>
      <c r="TUS955" t="s">
        <v>659</v>
      </c>
      <c r="TUT955" t="s">
        <v>660</v>
      </c>
      <c r="TUU955" t="s">
        <v>661</v>
      </c>
      <c r="UEL955" t="s">
        <v>1019</v>
      </c>
      <c r="UEM955" t="s">
        <v>657</v>
      </c>
      <c r="UEN955" t="s">
        <v>658</v>
      </c>
      <c r="UEO955" t="s">
        <v>659</v>
      </c>
      <c r="UEP955" t="s">
        <v>660</v>
      </c>
      <c r="UEQ955" t="s">
        <v>661</v>
      </c>
      <c r="UOH955" t="s">
        <v>1019</v>
      </c>
      <c r="UOI955" t="s">
        <v>657</v>
      </c>
      <c r="UOJ955" t="s">
        <v>658</v>
      </c>
      <c r="UOK955" t="s">
        <v>659</v>
      </c>
      <c r="UOL955" t="s">
        <v>660</v>
      </c>
      <c r="UOM955" t="s">
        <v>661</v>
      </c>
      <c r="UYD955" t="s">
        <v>1019</v>
      </c>
      <c r="UYE955" t="s">
        <v>657</v>
      </c>
      <c r="UYF955" t="s">
        <v>658</v>
      </c>
      <c r="UYG955" t="s">
        <v>659</v>
      </c>
      <c r="UYH955" t="s">
        <v>660</v>
      </c>
      <c r="UYI955" t="s">
        <v>661</v>
      </c>
      <c r="VHZ955" t="s">
        <v>1019</v>
      </c>
      <c r="VIA955" t="s">
        <v>657</v>
      </c>
      <c r="VIB955" t="s">
        <v>658</v>
      </c>
      <c r="VIC955" t="s">
        <v>659</v>
      </c>
      <c r="VID955" t="s">
        <v>660</v>
      </c>
      <c r="VIE955" t="s">
        <v>661</v>
      </c>
      <c r="VRV955" t="s">
        <v>1019</v>
      </c>
      <c r="VRW955" t="s">
        <v>657</v>
      </c>
      <c r="VRX955" t="s">
        <v>658</v>
      </c>
      <c r="VRY955" t="s">
        <v>659</v>
      </c>
      <c r="VRZ955" t="s">
        <v>660</v>
      </c>
      <c r="VSA955" t="s">
        <v>661</v>
      </c>
      <c r="WBR955" t="s">
        <v>1019</v>
      </c>
      <c r="WBS955" t="s">
        <v>657</v>
      </c>
      <c r="WBT955" t="s">
        <v>658</v>
      </c>
      <c r="WBU955" t="s">
        <v>659</v>
      </c>
      <c r="WBV955" t="s">
        <v>660</v>
      </c>
      <c r="WBW955" t="s">
        <v>661</v>
      </c>
      <c r="WLN955" t="s">
        <v>1019</v>
      </c>
      <c r="WLO955" t="s">
        <v>657</v>
      </c>
      <c r="WLP955" t="s">
        <v>658</v>
      </c>
      <c r="WLQ955" t="s">
        <v>659</v>
      </c>
      <c r="WLR955" t="s">
        <v>660</v>
      </c>
      <c r="WLS955" t="s">
        <v>661</v>
      </c>
      <c r="WVJ955" t="s">
        <v>1019</v>
      </c>
      <c r="WVK955" t="s">
        <v>657</v>
      </c>
      <c r="WVL955" t="s">
        <v>658</v>
      </c>
      <c r="WVM955" t="s">
        <v>659</v>
      </c>
      <c r="WVN955" t="s">
        <v>660</v>
      </c>
      <c r="WVO955" t="s">
        <v>661</v>
      </c>
    </row>
    <row r="956" spans="1:775 1026:1799 2050:2823 3074:3847 4098:4871 5122:5895 6146:6919 7170:7943 8194:8967 9218:9991 10242:11015 11266:12039 12290:13063 13314:14087 14338:15111 15362:16135">
      <c r="A956" s="96" t="s">
        <v>662</v>
      </c>
      <c r="C956" s="97">
        <v>43465</v>
      </c>
      <c r="D956" s="97">
        <v>43830</v>
      </c>
      <c r="E956" s="97">
        <v>44196</v>
      </c>
      <c r="F956" s="97">
        <v>44561</v>
      </c>
      <c r="G956" s="97">
        <v>44926</v>
      </c>
      <c r="H956" s="97"/>
      <c r="IX956" t="s">
        <v>662</v>
      </c>
      <c r="IY956">
        <v>43465</v>
      </c>
      <c r="IZ956">
        <v>43830</v>
      </c>
      <c r="JA956">
        <v>44196</v>
      </c>
      <c r="JB956">
        <v>44561</v>
      </c>
      <c r="JC956">
        <v>44926</v>
      </c>
      <c r="ST956" t="s">
        <v>662</v>
      </c>
      <c r="SU956">
        <v>43465</v>
      </c>
      <c r="SV956">
        <v>43830</v>
      </c>
      <c r="SW956">
        <v>44196</v>
      </c>
      <c r="SX956">
        <v>44561</v>
      </c>
      <c r="SY956">
        <v>44926</v>
      </c>
      <c r="ACP956" t="s">
        <v>662</v>
      </c>
      <c r="ACQ956">
        <v>43465</v>
      </c>
      <c r="ACR956">
        <v>43830</v>
      </c>
      <c r="ACS956">
        <v>44196</v>
      </c>
      <c r="ACT956">
        <v>44561</v>
      </c>
      <c r="ACU956">
        <v>44926</v>
      </c>
      <c r="AML956" t="s">
        <v>662</v>
      </c>
      <c r="AMM956">
        <v>43465</v>
      </c>
      <c r="AMN956">
        <v>43830</v>
      </c>
      <c r="AMO956">
        <v>44196</v>
      </c>
      <c r="AMP956">
        <v>44561</v>
      </c>
      <c r="AMQ956">
        <v>44926</v>
      </c>
      <c r="AWH956" t="s">
        <v>662</v>
      </c>
      <c r="AWI956">
        <v>43465</v>
      </c>
      <c r="AWJ956">
        <v>43830</v>
      </c>
      <c r="AWK956">
        <v>44196</v>
      </c>
      <c r="AWL956">
        <v>44561</v>
      </c>
      <c r="AWM956">
        <v>44926</v>
      </c>
      <c r="BGD956" t="s">
        <v>662</v>
      </c>
      <c r="BGE956">
        <v>43465</v>
      </c>
      <c r="BGF956">
        <v>43830</v>
      </c>
      <c r="BGG956">
        <v>44196</v>
      </c>
      <c r="BGH956">
        <v>44561</v>
      </c>
      <c r="BGI956">
        <v>44926</v>
      </c>
      <c r="BPZ956" t="s">
        <v>662</v>
      </c>
      <c r="BQA956">
        <v>43465</v>
      </c>
      <c r="BQB956">
        <v>43830</v>
      </c>
      <c r="BQC956">
        <v>44196</v>
      </c>
      <c r="BQD956">
        <v>44561</v>
      </c>
      <c r="BQE956">
        <v>44926</v>
      </c>
      <c r="BZV956" t="s">
        <v>662</v>
      </c>
      <c r="BZW956">
        <v>43465</v>
      </c>
      <c r="BZX956">
        <v>43830</v>
      </c>
      <c r="BZY956">
        <v>44196</v>
      </c>
      <c r="BZZ956">
        <v>44561</v>
      </c>
      <c r="CAA956">
        <v>44926</v>
      </c>
      <c r="CJR956" t="s">
        <v>662</v>
      </c>
      <c r="CJS956">
        <v>43465</v>
      </c>
      <c r="CJT956">
        <v>43830</v>
      </c>
      <c r="CJU956">
        <v>44196</v>
      </c>
      <c r="CJV956">
        <v>44561</v>
      </c>
      <c r="CJW956">
        <v>44926</v>
      </c>
      <c r="CTN956" t="s">
        <v>662</v>
      </c>
      <c r="CTO956">
        <v>43465</v>
      </c>
      <c r="CTP956">
        <v>43830</v>
      </c>
      <c r="CTQ956">
        <v>44196</v>
      </c>
      <c r="CTR956">
        <v>44561</v>
      </c>
      <c r="CTS956">
        <v>44926</v>
      </c>
      <c r="DDJ956" t="s">
        <v>662</v>
      </c>
      <c r="DDK956">
        <v>43465</v>
      </c>
      <c r="DDL956">
        <v>43830</v>
      </c>
      <c r="DDM956">
        <v>44196</v>
      </c>
      <c r="DDN956">
        <v>44561</v>
      </c>
      <c r="DDO956">
        <v>44926</v>
      </c>
      <c r="DNF956" t="s">
        <v>662</v>
      </c>
      <c r="DNG956">
        <v>43465</v>
      </c>
      <c r="DNH956">
        <v>43830</v>
      </c>
      <c r="DNI956">
        <v>44196</v>
      </c>
      <c r="DNJ956">
        <v>44561</v>
      </c>
      <c r="DNK956">
        <v>44926</v>
      </c>
      <c r="DXB956" t="s">
        <v>662</v>
      </c>
      <c r="DXC956">
        <v>43465</v>
      </c>
      <c r="DXD956">
        <v>43830</v>
      </c>
      <c r="DXE956">
        <v>44196</v>
      </c>
      <c r="DXF956">
        <v>44561</v>
      </c>
      <c r="DXG956">
        <v>44926</v>
      </c>
      <c r="EGX956" t="s">
        <v>662</v>
      </c>
      <c r="EGY956">
        <v>43465</v>
      </c>
      <c r="EGZ956">
        <v>43830</v>
      </c>
      <c r="EHA956">
        <v>44196</v>
      </c>
      <c r="EHB956">
        <v>44561</v>
      </c>
      <c r="EHC956">
        <v>44926</v>
      </c>
      <c r="EQT956" t="s">
        <v>662</v>
      </c>
      <c r="EQU956">
        <v>43465</v>
      </c>
      <c r="EQV956">
        <v>43830</v>
      </c>
      <c r="EQW956">
        <v>44196</v>
      </c>
      <c r="EQX956">
        <v>44561</v>
      </c>
      <c r="EQY956">
        <v>44926</v>
      </c>
      <c r="FAP956" t="s">
        <v>662</v>
      </c>
      <c r="FAQ956">
        <v>43465</v>
      </c>
      <c r="FAR956">
        <v>43830</v>
      </c>
      <c r="FAS956">
        <v>44196</v>
      </c>
      <c r="FAT956">
        <v>44561</v>
      </c>
      <c r="FAU956">
        <v>44926</v>
      </c>
      <c r="FKL956" t="s">
        <v>662</v>
      </c>
      <c r="FKM956">
        <v>43465</v>
      </c>
      <c r="FKN956">
        <v>43830</v>
      </c>
      <c r="FKO956">
        <v>44196</v>
      </c>
      <c r="FKP956">
        <v>44561</v>
      </c>
      <c r="FKQ956">
        <v>44926</v>
      </c>
      <c r="FUH956" t="s">
        <v>662</v>
      </c>
      <c r="FUI956">
        <v>43465</v>
      </c>
      <c r="FUJ956">
        <v>43830</v>
      </c>
      <c r="FUK956">
        <v>44196</v>
      </c>
      <c r="FUL956">
        <v>44561</v>
      </c>
      <c r="FUM956">
        <v>44926</v>
      </c>
      <c r="GED956" t="s">
        <v>662</v>
      </c>
      <c r="GEE956">
        <v>43465</v>
      </c>
      <c r="GEF956">
        <v>43830</v>
      </c>
      <c r="GEG956">
        <v>44196</v>
      </c>
      <c r="GEH956">
        <v>44561</v>
      </c>
      <c r="GEI956">
        <v>44926</v>
      </c>
      <c r="GNZ956" t="s">
        <v>662</v>
      </c>
      <c r="GOA956">
        <v>43465</v>
      </c>
      <c r="GOB956">
        <v>43830</v>
      </c>
      <c r="GOC956">
        <v>44196</v>
      </c>
      <c r="GOD956">
        <v>44561</v>
      </c>
      <c r="GOE956">
        <v>44926</v>
      </c>
      <c r="GXV956" t="s">
        <v>662</v>
      </c>
      <c r="GXW956">
        <v>43465</v>
      </c>
      <c r="GXX956">
        <v>43830</v>
      </c>
      <c r="GXY956">
        <v>44196</v>
      </c>
      <c r="GXZ956">
        <v>44561</v>
      </c>
      <c r="GYA956">
        <v>44926</v>
      </c>
      <c r="HHR956" t="s">
        <v>662</v>
      </c>
      <c r="HHS956">
        <v>43465</v>
      </c>
      <c r="HHT956">
        <v>43830</v>
      </c>
      <c r="HHU956">
        <v>44196</v>
      </c>
      <c r="HHV956">
        <v>44561</v>
      </c>
      <c r="HHW956">
        <v>44926</v>
      </c>
      <c r="HRN956" t="s">
        <v>662</v>
      </c>
      <c r="HRO956">
        <v>43465</v>
      </c>
      <c r="HRP956">
        <v>43830</v>
      </c>
      <c r="HRQ956">
        <v>44196</v>
      </c>
      <c r="HRR956">
        <v>44561</v>
      </c>
      <c r="HRS956">
        <v>44926</v>
      </c>
      <c r="IBJ956" t="s">
        <v>662</v>
      </c>
      <c r="IBK956">
        <v>43465</v>
      </c>
      <c r="IBL956">
        <v>43830</v>
      </c>
      <c r="IBM956">
        <v>44196</v>
      </c>
      <c r="IBN956">
        <v>44561</v>
      </c>
      <c r="IBO956">
        <v>44926</v>
      </c>
      <c r="ILF956" t="s">
        <v>662</v>
      </c>
      <c r="ILG956">
        <v>43465</v>
      </c>
      <c r="ILH956">
        <v>43830</v>
      </c>
      <c r="ILI956">
        <v>44196</v>
      </c>
      <c r="ILJ956">
        <v>44561</v>
      </c>
      <c r="ILK956">
        <v>44926</v>
      </c>
      <c r="IVB956" t="s">
        <v>662</v>
      </c>
      <c r="IVC956">
        <v>43465</v>
      </c>
      <c r="IVD956">
        <v>43830</v>
      </c>
      <c r="IVE956">
        <v>44196</v>
      </c>
      <c r="IVF956">
        <v>44561</v>
      </c>
      <c r="IVG956">
        <v>44926</v>
      </c>
      <c r="JEX956" t="s">
        <v>662</v>
      </c>
      <c r="JEY956">
        <v>43465</v>
      </c>
      <c r="JEZ956">
        <v>43830</v>
      </c>
      <c r="JFA956">
        <v>44196</v>
      </c>
      <c r="JFB956">
        <v>44561</v>
      </c>
      <c r="JFC956">
        <v>44926</v>
      </c>
      <c r="JOT956" t="s">
        <v>662</v>
      </c>
      <c r="JOU956">
        <v>43465</v>
      </c>
      <c r="JOV956">
        <v>43830</v>
      </c>
      <c r="JOW956">
        <v>44196</v>
      </c>
      <c r="JOX956">
        <v>44561</v>
      </c>
      <c r="JOY956">
        <v>44926</v>
      </c>
      <c r="JYP956" t="s">
        <v>662</v>
      </c>
      <c r="JYQ956">
        <v>43465</v>
      </c>
      <c r="JYR956">
        <v>43830</v>
      </c>
      <c r="JYS956">
        <v>44196</v>
      </c>
      <c r="JYT956">
        <v>44561</v>
      </c>
      <c r="JYU956">
        <v>44926</v>
      </c>
      <c r="KIL956" t="s">
        <v>662</v>
      </c>
      <c r="KIM956">
        <v>43465</v>
      </c>
      <c r="KIN956">
        <v>43830</v>
      </c>
      <c r="KIO956">
        <v>44196</v>
      </c>
      <c r="KIP956">
        <v>44561</v>
      </c>
      <c r="KIQ956">
        <v>44926</v>
      </c>
      <c r="KSH956" t="s">
        <v>662</v>
      </c>
      <c r="KSI956">
        <v>43465</v>
      </c>
      <c r="KSJ956">
        <v>43830</v>
      </c>
      <c r="KSK956">
        <v>44196</v>
      </c>
      <c r="KSL956">
        <v>44561</v>
      </c>
      <c r="KSM956">
        <v>44926</v>
      </c>
      <c r="LCD956" t="s">
        <v>662</v>
      </c>
      <c r="LCE956">
        <v>43465</v>
      </c>
      <c r="LCF956">
        <v>43830</v>
      </c>
      <c r="LCG956">
        <v>44196</v>
      </c>
      <c r="LCH956">
        <v>44561</v>
      </c>
      <c r="LCI956">
        <v>44926</v>
      </c>
      <c r="LLZ956" t="s">
        <v>662</v>
      </c>
      <c r="LMA956">
        <v>43465</v>
      </c>
      <c r="LMB956">
        <v>43830</v>
      </c>
      <c r="LMC956">
        <v>44196</v>
      </c>
      <c r="LMD956">
        <v>44561</v>
      </c>
      <c r="LME956">
        <v>44926</v>
      </c>
      <c r="LVV956" t="s">
        <v>662</v>
      </c>
      <c r="LVW956">
        <v>43465</v>
      </c>
      <c r="LVX956">
        <v>43830</v>
      </c>
      <c r="LVY956">
        <v>44196</v>
      </c>
      <c r="LVZ956">
        <v>44561</v>
      </c>
      <c r="LWA956">
        <v>44926</v>
      </c>
      <c r="MFR956" t="s">
        <v>662</v>
      </c>
      <c r="MFS956">
        <v>43465</v>
      </c>
      <c r="MFT956">
        <v>43830</v>
      </c>
      <c r="MFU956">
        <v>44196</v>
      </c>
      <c r="MFV956">
        <v>44561</v>
      </c>
      <c r="MFW956">
        <v>44926</v>
      </c>
      <c r="MPN956" t="s">
        <v>662</v>
      </c>
      <c r="MPO956">
        <v>43465</v>
      </c>
      <c r="MPP956">
        <v>43830</v>
      </c>
      <c r="MPQ956">
        <v>44196</v>
      </c>
      <c r="MPR956">
        <v>44561</v>
      </c>
      <c r="MPS956">
        <v>44926</v>
      </c>
      <c r="MZJ956" t="s">
        <v>662</v>
      </c>
      <c r="MZK956">
        <v>43465</v>
      </c>
      <c r="MZL956">
        <v>43830</v>
      </c>
      <c r="MZM956">
        <v>44196</v>
      </c>
      <c r="MZN956">
        <v>44561</v>
      </c>
      <c r="MZO956">
        <v>44926</v>
      </c>
      <c r="NJF956" t="s">
        <v>662</v>
      </c>
      <c r="NJG956">
        <v>43465</v>
      </c>
      <c r="NJH956">
        <v>43830</v>
      </c>
      <c r="NJI956">
        <v>44196</v>
      </c>
      <c r="NJJ956">
        <v>44561</v>
      </c>
      <c r="NJK956">
        <v>44926</v>
      </c>
      <c r="NTB956" t="s">
        <v>662</v>
      </c>
      <c r="NTC956">
        <v>43465</v>
      </c>
      <c r="NTD956">
        <v>43830</v>
      </c>
      <c r="NTE956">
        <v>44196</v>
      </c>
      <c r="NTF956">
        <v>44561</v>
      </c>
      <c r="NTG956">
        <v>44926</v>
      </c>
      <c r="OCX956" t="s">
        <v>662</v>
      </c>
      <c r="OCY956">
        <v>43465</v>
      </c>
      <c r="OCZ956">
        <v>43830</v>
      </c>
      <c r="ODA956">
        <v>44196</v>
      </c>
      <c r="ODB956">
        <v>44561</v>
      </c>
      <c r="ODC956">
        <v>44926</v>
      </c>
      <c r="OMT956" t="s">
        <v>662</v>
      </c>
      <c r="OMU956">
        <v>43465</v>
      </c>
      <c r="OMV956">
        <v>43830</v>
      </c>
      <c r="OMW956">
        <v>44196</v>
      </c>
      <c r="OMX956">
        <v>44561</v>
      </c>
      <c r="OMY956">
        <v>44926</v>
      </c>
      <c r="OWP956" t="s">
        <v>662</v>
      </c>
      <c r="OWQ956">
        <v>43465</v>
      </c>
      <c r="OWR956">
        <v>43830</v>
      </c>
      <c r="OWS956">
        <v>44196</v>
      </c>
      <c r="OWT956">
        <v>44561</v>
      </c>
      <c r="OWU956">
        <v>44926</v>
      </c>
      <c r="PGL956" t="s">
        <v>662</v>
      </c>
      <c r="PGM956">
        <v>43465</v>
      </c>
      <c r="PGN956">
        <v>43830</v>
      </c>
      <c r="PGO956">
        <v>44196</v>
      </c>
      <c r="PGP956">
        <v>44561</v>
      </c>
      <c r="PGQ956">
        <v>44926</v>
      </c>
      <c r="PQH956" t="s">
        <v>662</v>
      </c>
      <c r="PQI956">
        <v>43465</v>
      </c>
      <c r="PQJ956">
        <v>43830</v>
      </c>
      <c r="PQK956">
        <v>44196</v>
      </c>
      <c r="PQL956">
        <v>44561</v>
      </c>
      <c r="PQM956">
        <v>44926</v>
      </c>
      <c r="QAD956" t="s">
        <v>662</v>
      </c>
      <c r="QAE956">
        <v>43465</v>
      </c>
      <c r="QAF956">
        <v>43830</v>
      </c>
      <c r="QAG956">
        <v>44196</v>
      </c>
      <c r="QAH956">
        <v>44561</v>
      </c>
      <c r="QAI956">
        <v>44926</v>
      </c>
      <c r="QJZ956" t="s">
        <v>662</v>
      </c>
      <c r="QKA956">
        <v>43465</v>
      </c>
      <c r="QKB956">
        <v>43830</v>
      </c>
      <c r="QKC956">
        <v>44196</v>
      </c>
      <c r="QKD956">
        <v>44561</v>
      </c>
      <c r="QKE956">
        <v>44926</v>
      </c>
      <c r="QTV956" t="s">
        <v>662</v>
      </c>
      <c r="QTW956">
        <v>43465</v>
      </c>
      <c r="QTX956">
        <v>43830</v>
      </c>
      <c r="QTY956">
        <v>44196</v>
      </c>
      <c r="QTZ956">
        <v>44561</v>
      </c>
      <c r="QUA956">
        <v>44926</v>
      </c>
      <c r="RDR956" t="s">
        <v>662</v>
      </c>
      <c r="RDS956">
        <v>43465</v>
      </c>
      <c r="RDT956">
        <v>43830</v>
      </c>
      <c r="RDU956">
        <v>44196</v>
      </c>
      <c r="RDV956">
        <v>44561</v>
      </c>
      <c r="RDW956">
        <v>44926</v>
      </c>
      <c r="RNN956" t="s">
        <v>662</v>
      </c>
      <c r="RNO956">
        <v>43465</v>
      </c>
      <c r="RNP956">
        <v>43830</v>
      </c>
      <c r="RNQ956">
        <v>44196</v>
      </c>
      <c r="RNR956">
        <v>44561</v>
      </c>
      <c r="RNS956">
        <v>44926</v>
      </c>
      <c r="RXJ956" t="s">
        <v>662</v>
      </c>
      <c r="RXK956">
        <v>43465</v>
      </c>
      <c r="RXL956">
        <v>43830</v>
      </c>
      <c r="RXM956">
        <v>44196</v>
      </c>
      <c r="RXN956">
        <v>44561</v>
      </c>
      <c r="RXO956">
        <v>44926</v>
      </c>
      <c r="SHF956" t="s">
        <v>662</v>
      </c>
      <c r="SHG956">
        <v>43465</v>
      </c>
      <c r="SHH956">
        <v>43830</v>
      </c>
      <c r="SHI956">
        <v>44196</v>
      </c>
      <c r="SHJ956">
        <v>44561</v>
      </c>
      <c r="SHK956">
        <v>44926</v>
      </c>
      <c r="SRB956" t="s">
        <v>662</v>
      </c>
      <c r="SRC956">
        <v>43465</v>
      </c>
      <c r="SRD956">
        <v>43830</v>
      </c>
      <c r="SRE956">
        <v>44196</v>
      </c>
      <c r="SRF956">
        <v>44561</v>
      </c>
      <c r="SRG956">
        <v>44926</v>
      </c>
      <c r="TAX956" t="s">
        <v>662</v>
      </c>
      <c r="TAY956">
        <v>43465</v>
      </c>
      <c r="TAZ956">
        <v>43830</v>
      </c>
      <c r="TBA956">
        <v>44196</v>
      </c>
      <c r="TBB956">
        <v>44561</v>
      </c>
      <c r="TBC956">
        <v>44926</v>
      </c>
      <c r="TKT956" t="s">
        <v>662</v>
      </c>
      <c r="TKU956">
        <v>43465</v>
      </c>
      <c r="TKV956">
        <v>43830</v>
      </c>
      <c r="TKW956">
        <v>44196</v>
      </c>
      <c r="TKX956">
        <v>44561</v>
      </c>
      <c r="TKY956">
        <v>44926</v>
      </c>
      <c r="TUP956" t="s">
        <v>662</v>
      </c>
      <c r="TUQ956">
        <v>43465</v>
      </c>
      <c r="TUR956">
        <v>43830</v>
      </c>
      <c r="TUS956">
        <v>44196</v>
      </c>
      <c r="TUT956">
        <v>44561</v>
      </c>
      <c r="TUU956">
        <v>44926</v>
      </c>
      <c r="UEL956" t="s">
        <v>662</v>
      </c>
      <c r="UEM956">
        <v>43465</v>
      </c>
      <c r="UEN956">
        <v>43830</v>
      </c>
      <c r="UEO956">
        <v>44196</v>
      </c>
      <c r="UEP956">
        <v>44561</v>
      </c>
      <c r="UEQ956">
        <v>44926</v>
      </c>
      <c r="UOH956" t="s">
        <v>662</v>
      </c>
      <c r="UOI956">
        <v>43465</v>
      </c>
      <c r="UOJ956">
        <v>43830</v>
      </c>
      <c r="UOK956">
        <v>44196</v>
      </c>
      <c r="UOL956">
        <v>44561</v>
      </c>
      <c r="UOM956">
        <v>44926</v>
      </c>
      <c r="UYD956" t="s">
        <v>662</v>
      </c>
      <c r="UYE956">
        <v>43465</v>
      </c>
      <c r="UYF956">
        <v>43830</v>
      </c>
      <c r="UYG956">
        <v>44196</v>
      </c>
      <c r="UYH956">
        <v>44561</v>
      </c>
      <c r="UYI956">
        <v>44926</v>
      </c>
      <c r="VHZ956" t="s">
        <v>662</v>
      </c>
      <c r="VIA956">
        <v>43465</v>
      </c>
      <c r="VIB956">
        <v>43830</v>
      </c>
      <c r="VIC956">
        <v>44196</v>
      </c>
      <c r="VID956">
        <v>44561</v>
      </c>
      <c r="VIE956">
        <v>44926</v>
      </c>
      <c r="VRV956" t="s">
        <v>662</v>
      </c>
      <c r="VRW956">
        <v>43465</v>
      </c>
      <c r="VRX956">
        <v>43830</v>
      </c>
      <c r="VRY956">
        <v>44196</v>
      </c>
      <c r="VRZ956">
        <v>44561</v>
      </c>
      <c r="VSA956">
        <v>44926</v>
      </c>
      <c r="WBR956" t="s">
        <v>662</v>
      </c>
      <c r="WBS956">
        <v>43465</v>
      </c>
      <c r="WBT956">
        <v>43830</v>
      </c>
      <c r="WBU956">
        <v>44196</v>
      </c>
      <c r="WBV956">
        <v>44561</v>
      </c>
      <c r="WBW956">
        <v>44926</v>
      </c>
      <c r="WLN956" t="s">
        <v>662</v>
      </c>
      <c r="WLO956">
        <v>43465</v>
      </c>
      <c r="WLP956">
        <v>43830</v>
      </c>
      <c r="WLQ956">
        <v>44196</v>
      </c>
      <c r="WLR956">
        <v>44561</v>
      </c>
      <c r="WLS956">
        <v>44926</v>
      </c>
      <c r="WVJ956" t="s">
        <v>662</v>
      </c>
      <c r="WVK956">
        <v>43465</v>
      </c>
      <c r="WVL956">
        <v>43830</v>
      </c>
      <c r="WVM956">
        <v>44196</v>
      </c>
      <c r="WVN956">
        <v>44561</v>
      </c>
      <c r="WVO956">
        <v>44926</v>
      </c>
    </row>
    <row r="957" spans="1:775 1026:1799 2050:2823 3074:3847 4098:4871 5122:5895 6146:6919 7170:7943 8194:8967 9218:9991 10242:11015 11266:12039 12290:13063 13314:14087 14338:15111 15362:16135">
      <c r="A957" s="96" t="s">
        <v>663</v>
      </c>
      <c r="C957" s="98" t="s">
        <v>189</v>
      </c>
      <c r="D957" s="98" t="s">
        <v>189</v>
      </c>
      <c r="E957" s="98" t="s">
        <v>189</v>
      </c>
      <c r="F957" s="98" t="s">
        <v>189</v>
      </c>
      <c r="G957" s="98" t="s">
        <v>189</v>
      </c>
      <c r="H957" s="98"/>
      <c r="IX957" t="s">
        <v>663</v>
      </c>
      <c r="IY957" t="s">
        <v>189</v>
      </c>
      <c r="IZ957" t="s">
        <v>189</v>
      </c>
      <c r="JA957" t="s">
        <v>189</v>
      </c>
      <c r="JB957" t="s">
        <v>189</v>
      </c>
      <c r="JC957" t="s">
        <v>189</v>
      </c>
      <c r="ST957" t="s">
        <v>663</v>
      </c>
      <c r="SU957" t="s">
        <v>189</v>
      </c>
      <c r="SV957" t="s">
        <v>189</v>
      </c>
      <c r="SW957" t="s">
        <v>189</v>
      </c>
      <c r="SX957" t="s">
        <v>189</v>
      </c>
      <c r="SY957" t="s">
        <v>189</v>
      </c>
      <c r="ACP957" t="s">
        <v>663</v>
      </c>
      <c r="ACQ957" t="s">
        <v>189</v>
      </c>
      <c r="ACR957" t="s">
        <v>189</v>
      </c>
      <c r="ACS957" t="s">
        <v>189</v>
      </c>
      <c r="ACT957" t="s">
        <v>189</v>
      </c>
      <c r="ACU957" t="s">
        <v>189</v>
      </c>
      <c r="AML957" t="s">
        <v>663</v>
      </c>
      <c r="AMM957" t="s">
        <v>189</v>
      </c>
      <c r="AMN957" t="s">
        <v>189</v>
      </c>
      <c r="AMO957" t="s">
        <v>189</v>
      </c>
      <c r="AMP957" t="s">
        <v>189</v>
      </c>
      <c r="AMQ957" t="s">
        <v>189</v>
      </c>
      <c r="AWH957" t="s">
        <v>663</v>
      </c>
      <c r="AWI957" t="s">
        <v>189</v>
      </c>
      <c r="AWJ957" t="s">
        <v>189</v>
      </c>
      <c r="AWK957" t="s">
        <v>189</v>
      </c>
      <c r="AWL957" t="s">
        <v>189</v>
      </c>
      <c r="AWM957" t="s">
        <v>189</v>
      </c>
      <c r="BGD957" t="s">
        <v>663</v>
      </c>
      <c r="BGE957" t="s">
        <v>189</v>
      </c>
      <c r="BGF957" t="s">
        <v>189</v>
      </c>
      <c r="BGG957" t="s">
        <v>189</v>
      </c>
      <c r="BGH957" t="s">
        <v>189</v>
      </c>
      <c r="BGI957" t="s">
        <v>189</v>
      </c>
      <c r="BPZ957" t="s">
        <v>663</v>
      </c>
      <c r="BQA957" t="s">
        <v>189</v>
      </c>
      <c r="BQB957" t="s">
        <v>189</v>
      </c>
      <c r="BQC957" t="s">
        <v>189</v>
      </c>
      <c r="BQD957" t="s">
        <v>189</v>
      </c>
      <c r="BQE957" t="s">
        <v>189</v>
      </c>
      <c r="BZV957" t="s">
        <v>663</v>
      </c>
      <c r="BZW957" t="s">
        <v>189</v>
      </c>
      <c r="BZX957" t="s">
        <v>189</v>
      </c>
      <c r="BZY957" t="s">
        <v>189</v>
      </c>
      <c r="BZZ957" t="s">
        <v>189</v>
      </c>
      <c r="CAA957" t="s">
        <v>189</v>
      </c>
      <c r="CJR957" t="s">
        <v>663</v>
      </c>
      <c r="CJS957" t="s">
        <v>189</v>
      </c>
      <c r="CJT957" t="s">
        <v>189</v>
      </c>
      <c r="CJU957" t="s">
        <v>189</v>
      </c>
      <c r="CJV957" t="s">
        <v>189</v>
      </c>
      <c r="CJW957" t="s">
        <v>189</v>
      </c>
      <c r="CTN957" t="s">
        <v>663</v>
      </c>
      <c r="CTO957" t="s">
        <v>189</v>
      </c>
      <c r="CTP957" t="s">
        <v>189</v>
      </c>
      <c r="CTQ957" t="s">
        <v>189</v>
      </c>
      <c r="CTR957" t="s">
        <v>189</v>
      </c>
      <c r="CTS957" t="s">
        <v>189</v>
      </c>
      <c r="DDJ957" t="s">
        <v>663</v>
      </c>
      <c r="DDK957" t="s">
        <v>189</v>
      </c>
      <c r="DDL957" t="s">
        <v>189</v>
      </c>
      <c r="DDM957" t="s">
        <v>189</v>
      </c>
      <c r="DDN957" t="s">
        <v>189</v>
      </c>
      <c r="DDO957" t="s">
        <v>189</v>
      </c>
      <c r="DNF957" t="s">
        <v>663</v>
      </c>
      <c r="DNG957" t="s">
        <v>189</v>
      </c>
      <c r="DNH957" t="s">
        <v>189</v>
      </c>
      <c r="DNI957" t="s">
        <v>189</v>
      </c>
      <c r="DNJ957" t="s">
        <v>189</v>
      </c>
      <c r="DNK957" t="s">
        <v>189</v>
      </c>
      <c r="DXB957" t="s">
        <v>663</v>
      </c>
      <c r="DXC957" t="s">
        <v>189</v>
      </c>
      <c r="DXD957" t="s">
        <v>189</v>
      </c>
      <c r="DXE957" t="s">
        <v>189</v>
      </c>
      <c r="DXF957" t="s">
        <v>189</v>
      </c>
      <c r="DXG957" t="s">
        <v>189</v>
      </c>
      <c r="EGX957" t="s">
        <v>663</v>
      </c>
      <c r="EGY957" t="s">
        <v>189</v>
      </c>
      <c r="EGZ957" t="s">
        <v>189</v>
      </c>
      <c r="EHA957" t="s">
        <v>189</v>
      </c>
      <c r="EHB957" t="s">
        <v>189</v>
      </c>
      <c r="EHC957" t="s">
        <v>189</v>
      </c>
      <c r="EQT957" t="s">
        <v>663</v>
      </c>
      <c r="EQU957" t="s">
        <v>189</v>
      </c>
      <c r="EQV957" t="s">
        <v>189</v>
      </c>
      <c r="EQW957" t="s">
        <v>189</v>
      </c>
      <c r="EQX957" t="s">
        <v>189</v>
      </c>
      <c r="EQY957" t="s">
        <v>189</v>
      </c>
      <c r="FAP957" t="s">
        <v>663</v>
      </c>
      <c r="FAQ957" t="s">
        <v>189</v>
      </c>
      <c r="FAR957" t="s">
        <v>189</v>
      </c>
      <c r="FAS957" t="s">
        <v>189</v>
      </c>
      <c r="FAT957" t="s">
        <v>189</v>
      </c>
      <c r="FAU957" t="s">
        <v>189</v>
      </c>
      <c r="FKL957" t="s">
        <v>663</v>
      </c>
      <c r="FKM957" t="s">
        <v>189</v>
      </c>
      <c r="FKN957" t="s">
        <v>189</v>
      </c>
      <c r="FKO957" t="s">
        <v>189</v>
      </c>
      <c r="FKP957" t="s">
        <v>189</v>
      </c>
      <c r="FKQ957" t="s">
        <v>189</v>
      </c>
      <c r="FUH957" t="s">
        <v>663</v>
      </c>
      <c r="FUI957" t="s">
        <v>189</v>
      </c>
      <c r="FUJ957" t="s">
        <v>189</v>
      </c>
      <c r="FUK957" t="s">
        <v>189</v>
      </c>
      <c r="FUL957" t="s">
        <v>189</v>
      </c>
      <c r="FUM957" t="s">
        <v>189</v>
      </c>
      <c r="GED957" t="s">
        <v>663</v>
      </c>
      <c r="GEE957" t="s">
        <v>189</v>
      </c>
      <c r="GEF957" t="s">
        <v>189</v>
      </c>
      <c r="GEG957" t="s">
        <v>189</v>
      </c>
      <c r="GEH957" t="s">
        <v>189</v>
      </c>
      <c r="GEI957" t="s">
        <v>189</v>
      </c>
      <c r="GNZ957" t="s">
        <v>663</v>
      </c>
      <c r="GOA957" t="s">
        <v>189</v>
      </c>
      <c r="GOB957" t="s">
        <v>189</v>
      </c>
      <c r="GOC957" t="s">
        <v>189</v>
      </c>
      <c r="GOD957" t="s">
        <v>189</v>
      </c>
      <c r="GOE957" t="s">
        <v>189</v>
      </c>
      <c r="GXV957" t="s">
        <v>663</v>
      </c>
      <c r="GXW957" t="s">
        <v>189</v>
      </c>
      <c r="GXX957" t="s">
        <v>189</v>
      </c>
      <c r="GXY957" t="s">
        <v>189</v>
      </c>
      <c r="GXZ957" t="s">
        <v>189</v>
      </c>
      <c r="GYA957" t="s">
        <v>189</v>
      </c>
      <c r="HHR957" t="s">
        <v>663</v>
      </c>
      <c r="HHS957" t="s">
        <v>189</v>
      </c>
      <c r="HHT957" t="s">
        <v>189</v>
      </c>
      <c r="HHU957" t="s">
        <v>189</v>
      </c>
      <c r="HHV957" t="s">
        <v>189</v>
      </c>
      <c r="HHW957" t="s">
        <v>189</v>
      </c>
      <c r="HRN957" t="s">
        <v>663</v>
      </c>
      <c r="HRO957" t="s">
        <v>189</v>
      </c>
      <c r="HRP957" t="s">
        <v>189</v>
      </c>
      <c r="HRQ957" t="s">
        <v>189</v>
      </c>
      <c r="HRR957" t="s">
        <v>189</v>
      </c>
      <c r="HRS957" t="s">
        <v>189</v>
      </c>
      <c r="IBJ957" t="s">
        <v>663</v>
      </c>
      <c r="IBK957" t="s">
        <v>189</v>
      </c>
      <c r="IBL957" t="s">
        <v>189</v>
      </c>
      <c r="IBM957" t="s">
        <v>189</v>
      </c>
      <c r="IBN957" t="s">
        <v>189</v>
      </c>
      <c r="IBO957" t="s">
        <v>189</v>
      </c>
      <c r="ILF957" t="s">
        <v>663</v>
      </c>
      <c r="ILG957" t="s">
        <v>189</v>
      </c>
      <c r="ILH957" t="s">
        <v>189</v>
      </c>
      <c r="ILI957" t="s">
        <v>189</v>
      </c>
      <c r="ILJ957" t="s">
        <v>189</v>
      </c>
      <c r="ILK957" t="s">
        <v>189</v>
      </c>
      <c r="IVB957" t="s">
        <v>663</v>
      </c>
      <c r="IVC957" t="s">
        <v>189</v>
      </c>
      <c r="IVD957" t="s">
        <v>189</v>
      </c>
      <c r="IVE957" t="s">
        <v>189</v>
      </c>
      <c r="IVF957" t="s">
        <v>189</v>
      </c>
      <c r="IVG957" t="s">
        <v>189</v>
      </c>
      <c r="JEX957" t="s">
        <v>663</v>
      </c>
      <c r="JEY957" t="s">
        <v>189</v>
      </c>
      <c r="JEZ957" t="s">
        <v>189</v>
      </c>
      <c r="JFA957" t="s">
        <v>189</v>
      </c>
      <c r="JFB957" t="s">
        <v>189</v>
      </c>
      <c r="JFC957" t="s">
        <v>189</v>
      </c>
      <c r="JOT957" t="s">
        <v>663</v>
      </c>
      <c r="JOU957" t="s">
        <v>189</v>
      </c>
      <c r="JOV957" t="s">
        <v>189</v>
      </c>
      <c r="JOW957" t="s">
        <v>189</v>
      </c>
      <c r="JOX957" t="s">
        <v>189</v>
      </c>
      <c r="JOY957" t="s">
        <v>189</v>
      </c>
      <c r="JYP957" t="s">
        <v>663</v>
      </c>
      <c r="JYQ957" t="s">
        <v>189</v>
      </c>
      <c r="JYR957" t="s">
        <v>189</v>
      </c>
      <c r="JYS957" t="s">
        <v>189</v>
      </c>
      <c r="JYT957" t="s">
        <v>189</v>
      </c>
      <c r="JYU957" t="s">
        <v>189</v>
      </c>
      <c r="KIL957" t="s">
        <v>663</v>
      </c>
      <c r="KIM957" t="s">
        <v>189</v>
      </c>
      <c r="KIN957" t="s">
        <v>189</v>
      </c>
      <c r="KIO957" t="s">
        <v>189</v>
      </c>
      <c r="KIP957" t="s">
        <v>189</v>
      </c>
      <c r="KIQ957" t="s">
        <v>189</v>
      </c>
      <c r="KSH957" t="s">
        <v>663</v>
      </c>
      <c r="KSI957" t="s">
        <v>189</v>
      </c>
      <c r="KSJ957" t="s">
        <v>189</v>
      </c>
      <c r="KSK957" t="s">
        <v>189</v>
      </c>
      <c r="KSL957" t="s">
        <v>189</v>
      </c>
      <c r="KSM957" t="s">
        <v>189</v>
      </c>
      <c r="LCD957" t="s">
        <v>663</v>
      </c>
      <c r="LCE957" t="s">
        <v>189</v>
      </c>
      <c r="LCF957" t="s">
        <v>189</v>
      </c>
      <c r="LCG957" t="s">
        <v>189</v>
      </c>
      <c r="LCH957" t="s">
        <v>189</v>
      </c>
      <c r="LCI957" t="s">
        <v>189</v>
      </c>
      <c r="LLZ957" t="s">
        <v>663</v>
      </c>
      <c r="LMA957" t="s">
        <v>189</v>
      </c>
      <c r="LMB957" t="s">
        <v>189</v>
      </c>
      <c r="LMC957" t="s">
        <v>189</v>
      </c>
      <c r="LMD957" t="s">
        <v>189</v>
      </c>
      <c r="LME957" t="s">
        <v>189</v>
      </c>
      <c r="LVV957" t="s">
        <v>663</v>
      </c>
      <c r="LVW957" t="s">
        <v>189</v>
      </c>
      <c r="LVX957" t="s">
        <v>189</v>
      </c>
      <c r="LVY957" t="s">
        <v>189</v>
      </c>
      <c r="LVZ957" t="s">
        <v>189</v>
      </c>
      <c r="LWA957" t="s">
        <v>189</v>
      </c>
      <c r="MFR957" t="s">
        <v>663</v>
      </c>
      <c r="MFS957" t="s">
        <v>189</v>
      </c>
      <c r="MFT957" t="s">
        <v>189</v>
      </c>
      <c r="MFU957" t="s">
        <v>189</v>
      </c>
      <c r="MFV957" t="s">
        <v>189</v>
      </c>
      <c r="MFW957" t="s">
        <v>189</v>
      </c>
      <c r="MPN957" t="s">
        <v>663</v>
      </c>
      <c r="MPO957" t="s">
        <v>189</v>
      </c>
      <c r="MPP957" t="s">
        <v>189</v>
      </c>
      <c r="MPQ957" t="s">
        <v>189</v>
      </c>
      <c r="MPR957" t="s">
        <v>189</v>
      </c>
      <c r="MPS957" t="s">
        <v>189</v>
      </c>
      <c r="MZJ957" t="s">
        <v>663</v>
      </c>
      <c r="MZK957" t="s">
        <v>189</v>
      </c>
      <c r="MZL957" t="s">
        <v>189</v>
      </c>
      <c r="MZM957" t="s">
        <v>189</v>
      </c>
      <c r="MZN957" t="s">
        <v>189</v>
      </c>
      <c r="MZO957" t="s">
        <v>189</v>
      </c>
      <c r="NJF957" t="s">
        <v>663</v>
      </c>
      <c r="NJG957" t="s">
        <v>189</v>
      </c>
      <c r="NJH957" t="s">
        <v>189</v>
      </c>
      <c r="NJI957" t="s">
        <v>189</v>
      </c>
      <c r="NJJ957" t="s">
        <v>189</v>
      </c>
      <c r="NJK957" t="s">
        <v>189</v>
      </c>
      <c r="NTB957" t="s">
        <v>663</v>
      </c>
      <c r="NTC957" t="s">
        <v>189</v>
      </c>
      <c r="NTD957" t="s">
        <v>189</v>
      </c>
      <c r="NTE957" t="s">
        <v>189</v>
      </c>
      <c r="NTF957" t="s">
        <v>189</v>
      </c>
      <c r="NTG957" t="s">
        <v>189</v>
      </c>
      <c r="OCX957" t="s">
        <v>663</v>
      </c>
      <c r="OCY957" t="s">
        <v>189</v>
      </c>
      <c r="OCZ957" t="s">
        <v>189</v>
      </c>
      <c r="ODA957" t="s">
        <v>189</v>
      </c>
      <c r="ODB957" t="s">
        <v>189</v>
      </c>
      <c r="ODC957" t="s">
        <v>189</v>
      </c>
      <c r="OMT957" t="s">
        <v>663</v>
      </c>
      <c r="OMU957" t="s">
        <v>189</v>
      </c>
      <c r="OMV957" t="s">
        <v>189</v>
      </c>
      <c r="OMW957" t="s">
        <v>189</v>
      </c>
      <c r="OMX957" t="s">
        <v>189</v>
      </c>
      <c r="OMY957" t="s">
        <v>189</v>
      </c>
      <c r="OWP957" t="s">
        <v>663</v>
      </c>
      <c r="OWQ957" t="s">
        <v>189</v>
      </c>
      <c r="OWR957" t="s">
        <v>189</v>
      </c>
      <c r="OWS957" t="s">
        <v>189</v>
      </c>
      <c r="OWT957" t="s">
        <v>189</v>
      </c>
      <c r="OWU957" t="s">
        <v>189</v>
      </c>
      <c r="PGL957" t="s">
        <v>663</v>
      </c>
      <c r="PGM957" t="s">
        <v>189</v>
      </c>
      <c r="PGN957" t="s">
        <v>189</v>
      </c>
      <c r="PGO957" t="s">
        <v>189</v>
      </c>
      <c r="PGP957" t="s">
        <v>189</v>
      </c>
      <c r="PGQ957" t="s">
        <v>189</v>
      </c>
      <c r="PQH957" t="s">
        <v>663</v>
      </c>
      <c r="PQI957" t="s">
        <v>189</v>
      </c>
      <c r="PQJ957" t="s">
        <v>189</v>
      </c>
      <c r="PQK957" t="s">
        <v>189</v>
      </c>
      <c r="PQL957" t="s">
        <v>189</v>
      </c>
      <c r="PQM957" t="s">
        <v>189</v>
      </c>
      <c r="QAD957" t="s">
        <v>663</v>
      </c>
      <c r="QAE957" t="s">
        <v>189</v>
      </c>
      <c r="QAF957" t="s">
        <v>189</v>
      </c>
      <c r="QAG957" t="s">
        <v>189</v>
      </c>
      <c r="QAH957" t="s">
        <v>189</v>
      </c>
      <c r="QAI957" t="s">
        <v>189</v>
      </c>
      <c r="QJZ957" t="s">
        <v>663</v>
      </c>
      <c r="QKA957" t="s">
        <v>189</v>
      </c>
      <c r="QKB957" t="s">
        <v>189</v>
      </c>
      <c r="QKC957" t="s">
        <v>189</v>
      </c>
      <c r="QKD957" t="s">
        <v>189</v>
      </c>
      <c r="QKE957" t="s">
        <v>189</v>
      </c>
      <c r="QTV957" t="s">
        <v>663</v>
      </c>
      <c r="QTW957" t="s">
        <v>189</v>
      </c>
      <c r="QTX957" t="s">
        <v>189</v>
      </c>
      <c r="QTY957" t="s">
        <v>189</v>
      </c>
      <c r="QTZ957" t="s">
        <v>189</v>
      </c>
      <c r="QUA957" t="s">
        <v>189</v>
      </c>
      <c r="RDR957" t="s">
        <v>663</v>
      </c>
      <c r="RDS957" t="s">
        <v>189</v>
      </c>
      <c r="RDT957" t="s">
        <v>189</v>
      </c>
      <c r="RDU957" t="s">
        <v>189</v>
      </c>
      <c r="RDV957" t="s">
        <v>189</v>
      </c>
      <c r="RDW957" t="s">
        <v>189</v>
      </c>
      <c r="RNN957" t="s">
        <v>663</v>
      </c>
      <c r="RNO957" t="s">
        <v>189</v>
      </c>
      <c r="RNP957" t="s">
        <v>189</v>
      </c>
      <c r="RNQ957" t="s">
        <v>189</v>
      </c>
      <c r="RNR957" t="s">
        <v>189</v>
      </c>
      <c r="RNS957" t="s">
        <v>189</v>
      </c>
      <c r="RXJ957" t="s">
        <v>663</v>
      </c>
      <c r="RXK957" t="s">
        <v>189</v>
      </c>
      <c r="RXL957" t="s">
        <v>189</v>
      </c>
      <c r="RXM957" t="s">
        <v>189</v>
      </c>
      <c r="RXN957" t="s">
        <v>189</v>
      </c>
      <c r="RXO957" t="s">
        <v>189</v>
      </c>
      <c r="SHF957" t="s">
        <v>663</v>
      </c>
      <c r="SHG957" t="s">
        <v>189</v>
      </c>
      <c r="SHH957" t="s">
        <v>189</v>
      </c>
      <c r="SHI957" t="s">
        <v>189</v>
      </c>
      <c r="SHJ957" t="s">
        <v>189</v>
      </c>
      <c r="SHK957" t="s">
        <v>189</v>
      </c>
      <c r="SRB957" t="s">
        <v>663</v>
      </c>
      <c r="SRC957" t="s">
        <v>189</v>
      </c>
      <c r="SRD957" t="s">
        <v>189</v>
      </c>
      <c r="SRE957" t="s">
        <v>189</v>
      </c>
      <c r="SRF957" t="s">
        <v>189</v>
      </c>
      <c r="SRG957" t="s">
        <v>189</v>
      </c>
      <c r="TAX957" t="s">
        <v>663</v>
      </c>
      <c r="TAY957" t="s">
        <v>189</v>
      </c>
      <c r="TAZ957" t="s">
        <v>189</v>
      </c>
      <c r="TBA957" t="s">
        <v>189</v>
      </c>
      <c r="TBB957" t="s">
        <v>189</v>
      </c>
      <c r="TBC957" t="s">
        <v>189</v>
      </c>
      <c r="TKT957" t="s">
        <v>663</v>
      </c>
      <c r="TKU957" t="s">
        <v>189</v>
      </c>
      <c r="TKV957" t="s">
        <v>189</v>
      </c>
      <c r="TKW957" t="s">
        <v>189</v>
      </c>
      <c r="TKX957" t="s">
        <v>189</v>
      </c>
      <c r="TKY957" t="s">
        <v>189</v>
      </c>
      <c r="TUP957" t="s">
        <v>663</v>
      </c>
      <c r="TUQ957" t="s">
        <v>189</v>
      </c>
      <c r="TUR957" t="s">
        <v>189</v>
      </c>
      <c r="TUS957" t="s">
        <v>189</v>
      </c>
      <c r="TUT957" t="s">
        <v>189</v>
      </c>
      <c r="TUU957" t="s">
        <v>189</v>
      </c>
      <c r="UEL957" t="s">
        <v>663</v>
      </c>
      <c r="UEM957" t="s">
        <v>189</v>
      </c>
      <c r="UEN957" t="s">
        <v>189</v>
      </c>
      <c r="UEO957" t="s">
        <v>189</v>
      </c>
      <c r="UEP957" t="s">
        <v>189</v>
      </c>
      <c r="UEQ957" t="s">
        <v>189</v>
      </c>
      <c r="UOH957" t="s">
        <v>663</v>
      </c>
      <c r="UOI957" t="s">
        <v>189</v>
      </c>
      <c r="UOJ957" t="s">
        <v>189</v>
      </c>
      <c r="UOK957" t="s">
        <v>189</v>
      </c>
      <c r="UOL957" t="s">
        <v>189</v>
      </c>
      <c r="UOM957" t="s">
        <v>189</v>
      </c>
      <c r="UYD957" t="s">
        <v>663</v>
      </c>
      <c r="UYE957" t="s">
        <v>189</v>
      </c>
      <c r="UYF957" t="s">
        <v>189</v>
      </c>
      <c r="UYG957" t="s">
        <v>189</v>
      </c>
      <c r="UYH957" t="s">
        <v>189</v>
      </c>
      <c r="UYI957" t="s">
        <v>189</v>
      </c>
      <c r="VHZ957" t="s">
        <v>663</v>
      </c>
      <c r="VIA957" t="s">
        <v>189</v>
      </c>
      <c r="VIB957" t="s">
        <v>189</v>
      </c>
      <c r="VIC957" t="s">
        <v>189</v>
      </c>
      <c r="VID957" t="s">
        <v>189</v>
      </c>
      <c r="VIE957" t="s">
        <v>189</v>
      </c>
      <c r="VRV957" t="s">
        <v>663</v>
      </c>
      <c r="VRW957" t="s">
        <v>189</v>
      </c>
      <c r="VRX957" t="s">
        <v>189</v>
      </c>
      <c r="VRY957" t="s">
        <v>189</v>
      </c>
      <c r="VRZ957" t="s">
        <v>189</v>
      </c>
      <c r="VSA957" t="s">
        <v>189</v>
      </c>
      <c r="WBR957" t="s">
        <v>663</v>
      </c>
      <c r="WBS957" t="s">
        <v>189</v>
      </c>
      <c r="WBT957" t="s">
        <v>189</v>
      </c>
      <c r="WBU957" t="s">
        <v>189</v>
      </c>
      <c r="WBV957" t="s">
        <v>189</v>
      </c>
      <c r="WBW957" t="s">
        <v>189</v>
      </c>
      <c r="WLN957" t="s">
        <v>663</v>
      </c>
      <c r="WLO957" t="s">
        <v>189</v>
      </c>
      <c r="WLP957" t="s">
        <v>189</v>
      </c>
      <c r="WLQ957" t="s">
        <v>189</v>
      </c>
      <c r="WLR957" t="s">
        <v>189</v>
      </c>
      <c r="WLS957" t="s">
        <v>189</v>
      </c>
      <c r="WVJ957" t="s">
        <v>663</v>
      </c>
      <c r="WVK957" t="s">
        <v>189</v>
      </c>
      <c r="WVL957" t="s">
        <v>189</v>
      </c>
      <c r="WVM957" t="s">
        <v>189</v>
      </c>
      <c r="WVN957" t="s">
        <v>189</v>
      </c>
      <c r="WVO957" t="s">
        <v>189</v>
      </c>
    </row>
    <row r="958" spans="1:775 1026:1799 2050:2823 3074:3847 4098:4871 5122:5895 6146:6919 7170:7943 8194:8967 9218:9991 10242:11015 11266:12039 12290:13063 13314:14087 14338:15111 15362:16135">
      <c r="A958" s="96" t="s">
        <v>665</v>
      </c>
      <c r="C958" s="98" t="s">
        <v>666</v>
      </c>
      <c r="D958" s="98" t="s">
        <v>666</v>
      </c>
      <c r="E958" s="98" t="s">
        <v>666</v>
      </c>
      <c r="F958" s="98" t="s">
        <v>666</v>
      </c>
      <c r="G958" s="98" t="s">
        <v>666</v>
      </c>
      <c r="H958" s="98"/>
      <c r="IX958" t="s">
        <v>665</v>
      </c>
      <c r="IY958" t="s">
        <v>666</v>
      </c>
      <c r="IZ958" t="s">
        <v>666</v>
      </c>
      <c r="JA958" t="s">
        <v>666</v>
      </c>
      <c r="JB958" t="s">
        <v>666</v>
      </c>
      <c r="JC958" t="s">
        <v>666</v>
      </c>
      <c r="ST958" t="s">
        <v>665</v>
      </c>
      <c r="SU958" t="s">
        <v>666</v>
      </c>
      <c r="SV958" t="s">
        <v>666</v>
      </c>
      <c r="SW958" t="s">
        <v>666</v>
      </c>
      <c r="SX958" t="s">
        <v>666</v>
      </c>
      <c r="SY958" t="s">
        <v>666</v>
      </c>
      <c r="ACP958" t="s">
        <v>665</v>
      </c>
      <c r="ACQ958" t="s">
        <v>666</v>
      </c>
      <c r="ACR958" t="s">
        <v>666</v>
      </c>
      <c r="ACS958" t="s">
        <v>666</v>
      </c>
      <c r="ACT958" t="s">
        <v>666</v>
      </c>
      <c r="ACU958" t="s">
        <v>666</v>
      </c>
      <c r="AML958" t="s">
        <v>665</v>
      </c>
      <c r="AMM958" t="s">
        <v>666</v>
      </c>
      <c r="AMN958" t="s">
        <v>666</v>
      </c>
      <c r="AMO958" t="s">
        <v>666</v>
      </c>
      <c r="AMP958" t="s">
        <v>666</v>
      </c>
      <c r="AMQ958" t="s">
        <v>666</v>
      </c>
      <c r="AWH958" t="s">
        <v>665</v>
      </c>
      <c r="AWI958" t="s">
        <v>666</v>
      </c>
      <c r="AWJ958" t="s">
        <v>666</v>
      </c>
      <c r="AWK958" t="s">
        <v>666</v>
      </c>
      <c r="AWL958" t="s">
        <v>666</v>
      </c>
      <c r="AWM958" t="s">
        <v>666</v>
      </c>
      <c r="BGD958" t="s">
        <v>665</v>
      </c>
      <c r="BGE958" t="s">
        <v>666</v>
      </c>
      <c r="BGF958" t="s">
        <v>666</v>
      </c>
      <c r="BGG958" t="s">
        <v>666</v>
      </c>
      <c r="BGH958" t="s">
        <v>666</v>
      </c>
      <c r="BGI958" t="s">
        <v>666</v>
      </c>
      <c r="BPZ958" t="s">
        <v>665</v>
      </c>
      <c r="BQA958" t="s">
        <v>666</v>
      </c>
      <c r="BQB958" t="s">
        <v>666</v>
      </c>
      <c r="BQC958" t="s">
        <v>666</v>
      </c>
      <c r="BQD958" t="s">
        <v>666</v>
      </c>
      <c r="BQE958" t="s">
        <v>666</v>
      </c>
      <c r="BZV958" t="s">
        <v>665</v>
      </c>
      <c r="BZW958" t="s">
        <v>666</v>
      </c>
      <c r="BZX958" t="s">
        <v>666</v>
      </c>
      <c r="BZY958" t="s">
        <v>666</v>
      </c>
      <c r="BZZ958" t="s">
        <v>666</v>
      </c>
      <c r="CAA958" t="s">
        <v>666</v>
      </c>
      <c r="CJR958" t="s">
        <v>665</v>
      </c>
      <c r="CJS958" t="s">
        <v>666</v>
      </c>
      <c r="CJT958" t="s">
        <v>666</v>
      </c>
      <c r="CJU958" t="s">
        <v>666</v>
      </c>
      <c r="CJV958" t="s">
        <v>666</v>
      </c>
      <c r="CJW958" t="s">
        <v>666</v>
      </c>
      <c r="CTN958" t="s">
        <v>665</v>
      </c>
      <c r="CTO958" t="s">
        <v>666</v>
      </c>
      <c r="CTP958" t="s">
        <v>666</v>
      </c>
      <c r="CTQ958" t="s">
        <v>666</v>
      </c>
      <c r="CTR958" t="s">
        <v>666</v>
      </c>
      <c r="CTS958" t="s">
        <v>666</v>
      </c>
      <c r="DDJ958" t="s">
        <v>665</v>
      </c>
      <c r="DDK958" t="s">
        <v>666</v>
      </c>
      <c r="DDL958" t="s">
        <v>666</v>
      </c>
      <c r="DDM958" t="s">
        <v>666</v>
      </c>
      <c r="DDN958" t="s">
        <v>666</v>
      </c>
      <c r="DDO958" t="s">
        <v>666</v>
      </c>
      <c r="DNF958" t="s">
        <v>665</v>
      </c>
      <c r="DNG958" t="s">
        <v>666</v>
      </c>
      <c r="DNH958" t="s">
        <v>666</v>
      </c>
      <c r="DNI958" t="s">
        <v>666</v>
      </c>
      <c r="DNJ958" t="s">
        <v>666</v>
      </c>
      <c r="DNK958" t="s">
        <v>666</v>
      </c>
      <c r="DXB958" t="s">
        <v>665</v>
      </c>
      <c r="DXC958" t="s">
        <v>666</v>
      </c>
      <c r="DXD958" t="s">
        <v>666</v>
      </c>
      <c r="DXE958" t="s">
        <v>666</v>
      </c>
      <c r="DXF958" t="s">
        <v>666</v>
      </c>
      <c r="DXG958" t="s">
        <v>666</v>
      </c>
      <c r="EGX958" t="s">
        <v>665</v>
      </c>
      <c r="EGY958" t="s">
        <v>666</v>
      </c>
      <c r="EGZ958" t="s">
        <v>666</v>
      </c>
      <c r="EHA958" t="s">
        <v>666</v>
      </c>
      <c r="EHB958" t="s">
        <v>666</v>
      </c>
      <c r="EHC958" t="s">
        <v>666</v>
      </c>
      <c r="EQT958" t="s">
        <v>665</v>
      </c>
      <c r="EQU958" t="s">
        <v>666</v>
      </c>
      <c r="EQV958" t="s">
        <v>666</v>
      </c>
      <c r="EQW958" t="s">
        <v>666</v>
      </c>
      <c r="EQX958" t="s">
        <v>666</v>
      </c>
      <c r="EQY958" t="s">
        <v>666</v>
      </c>
      <c r="FAP958" t="s">
        <v>665</v>
      </c>
      <c r="FAQ958" t="s">
        <v>666</v>
      </c>
      <c r="FAR958" t="s">
        <v>666</v>
      </c>
      <c r="FAS958" t="s">
        <v>666</v>
      </c>
      <c r="FAT958" t="s">
        <v>666</v>
      </c>
      <c r="FAU958" t="s">
        <v>666</v>
      </c>
      <c r="FKL958" t="s">
        <v>665</v>
      </c>
      <c r="FKM958" t="s">
        <v>666</v>
      </c>
      <c r="FKN958" t="s">
        <v>666</v>
      </c>
      <c r="FKO958" t="s">
        <v>666</v>
      </c>
      <c r="FKP958" t="s">
        <v>666</v>
      </c>
      <c r="FKQ958" t="s">
        <v>666</v>
      </c>
      <c r="FUH958" t="s">
        <v>665</v>
      </c>
      <c r="FUI958" t="s">
        <v>666</v>
      </c>
      <c r="FUJ958" t="s">
        <v>666</v>
      </c>
      <c r="FUK958" t="s">
        <v>666</v>
      </c>
      <c r="FUL958" t="s">
        <v>666</v>
      </c>
      <c r="FUM958" t="s">
        <v>666</v>
      </c>
      <c r="GED958" t="s">
        <v>665</v>
      </c>
      <c r="GEE958" t="s">
        <v>666</v>
      </c>
      <c r="GEF958" t="s">
        <v>666</v>
      </c>
      <c r="GEG958" t="s">
        <v>666</v>
      </c>
      <c r="GEH958" t="s">
        <v>666</v>
      </c>
      <c r="GEI958" t="s">
        <v>666</v>
      </c>
      <c r="GNZ958" t="s">
        <v>665</v>
      </c>
      <c r="GOA958" t="s">
        <v>666</v>
      </c>
      <c r="GOB958" t="s">
        <v>666</v>
      </c>
      <c r="GOC958" t="s">
        <v>666</v>
      </c>
      <c r="GOD958" t="s">
        <v>666</v>
      </c>
      <c r="GOE958" t="s">
        <v>666</v>
      </c>
      <c r="GXV958" t="s">
        <v>665</v>
      </c>
      <c r="GXW958" t="s">
        <v>666</v>
      </c>
      <c r="GXX958" t="s">
        <v>666</v>
      </c>
      <c r="GXY958" t="s">
        <v>666</v>
      </c>
      <c r="GXZ958" t="s">
        <v>666</v>
      </c>
      <c r="GYA958" t="s">
        <v>666</v>
      </c>
      <c r="HHR958" t="s">
        <v>665</v>
      </c>
      <c r="HHS958" t="s">
        <v>666</v>
      </c>
      <c r="HHT958" t="s">
        <v>666</v>
      </c>
      <c r="HHU958" t="s">
        <v>666</v>
      </c>
      <c r="HHV958" t="s">
        <v>666</v>
      </c>
      <c r="HHW958" t="s">
        <v>666</v>
      </c>
      <c r="HRN958" t="s">
        <v>665</v>
      </c>
      <c r="HRO958" t="s">
        <v>666</v>
      </c>
      <c r="HRP958" t="s">
        <v>666</v>
      </c>
      <c r="HRQ958" t="s">
        <v>666</v>
      </c>
      <c r="HRR958" t="s">
        <v>666</v>
      </c>
      <c r="HRS958" t="s">
        <v>666</v>
      </c>
      <c r="IBJ958" t="s">
        <v>665</v>
      </c>
      <c r="IBK958" t="s">
        <v>666</v>
      </c>
      <c r="IBL958" t="s">
        <v>666</v>
      </c>
      <c r="IBM958" t="s">
        <v>666</v>
      </c>
      <c r="IBN958" t="s">
        <v>666</v>
      </c>
      <c r="IBO958" t="s">
        <v>666</v>
      </c>
      <c r="ILF958" t="s">
        <v>665</v>
      </c>
      <c r="ILG958" t="s">
        <v>666</v>
      </c>
      <c r="ILH958" t="s">
        <v>666</v>
      </c>
      <c r="ILI958" t="s">
        <v>666</v>
      </c>
      <c r="ILJ958" t="s">
        <v>666</v>
      </c>
      <c r="ILK958" t="s">
        <v>666</v>
      </c>
      <c r="IVB958" t="s">
        <v>665</v>
      </c>
      <c r="IVC958" t="s">
        <v>666</v>
      </c>
      <c r="IVD958" t="s">
        <v>666</v>
      </c>
      <c r="IVE958" t="s">
        <v>666</v>
      </c>
      <c r="IVF958" t="s">
        <v>666</v>
      </c>
      <c r="IVG958" t="s">
        <v>666</v>
      </c>
      <c r="JEX958" t="s">
        <v>665</v>
      </c>
      <c r="JEY958" t="s">
        <v>666</v>
      </c>
      <c r="JEZ958" t="s">
        <v>666</v>
      </c>
      <c r="JFA958" t="s">
        <v>666</v>
      </c>
      <c r="JFB958" t="s">
        <v>666</v>
      </c>
      <c r="JFC958" t="s">
        <v>666</v>
      </c>
      <c r="JOT958" t="s">
        <v>665</v>
      </c>
      <c r="JOU958" t="s">
        <v>666</v>
      </c>
      <c r="JOV958" t="s">
        <v>666</v>
      </c>
      <c r="JOW958" t="s">
        <v>666</v>
      </c>
      <c r="JOX958" t="s">
        <v>666</v>
      </c>
      <c r="JOY958" t="s">
        <v>666</v>
      </c>
      <c r="JYP958" t="s">
        <v>665</v>
      </c>
      <c r="JYQ958" t="s">
        <v>666</v>
      </c>
      <c r="JYR958" t="s">
        <v>666</v>
      </c>
      <c r="JYS958" t="s">
        <v>666</v>
      </c>
      <c r="JYT958" t="s">
        <v>666</v>
      </c>
      <c r="JYU958" t="s">
        <v>666</v>
      </c>
      <c r="KIL958" t="s">
        <v>665</v>
      </c>
      <c r="KIM958" t="s">
        <v>666</v>
      </c>
      <c r="KIN958" t="s">
        <v>666</v>
      </c>
      <c r="KIO958" t="s">
        <v>666</v>
      </c>
      <c r="KIP958" t="s">
        <v>666</v>
      </c>
      <c r="KIQ958" t="s">
        <v>666</v>
      </c>
      <c r="KSH958" t="s">
        <v>665</v>
      </c>
      <c r="KSI958" t="s">
        <v>666</v>
      </c>
      <c r="KSJ958" t="s">
        <v>666</v>
      </c>
      <c r="KSK958" t="s">
        <v>666</v>
      </c>
      <c r="KSL958" t="s">
        <v>666</v>
      </c>
      <c r="KSM958" t="s">
        <v>666</v>
      </c>
      <c r="LCD958" t="s">
        <v>665</v>
      </c>
      <c r="LCE958" t="s">
        <v>666</v>
      </c>
      <c r="LCF958" t="s">
        <v>666</v>
      </c>
      <c r="LCG958" t="s">
        <v>666</v>
      </c>
      <c r="LCH958" t="s">
        <v>666</v>
      </c>
      <c r="LCI958" t="s">
        <v>666</v>
      </c>
      <c r="LLZ958" t="s">
        <v>665</v>
      </c>
      <c r="LMA958" t="s">
        <v>666</v>
      </c>
      <c r="LMB958" t="s">
        <v>666</v>
      </c>
      <c r="LMC958" t="s">
        <v>666</v>
      </c>
      <c r="LMD958" t="s">
        <v>666</v>
      </c>
      <c r="LME958" t="s">
        <v>666</v>
      </c>
      <c r="LVV958" t="s">
        <v>665</v>
      </c>
      <c r="LVW958" t="s">
        <v>666</v>
      </c>
      <c r="LVX958" t="s">
        <v>666</v>
      </c>
      <c r="LVY958" t="s">
        <v>666</v>
      </c>
      <c r="LVZ958" t="s">
        <v>666</v>
      </c>
      <c r="LWA958" t="s">
        <v>666</v>
      </c>
      <c r="MFR958" t="s">
        <v>665</v>
      </c>
      <c r="MFS958" t="s">
        <v>666</v>
      </c>
      <c r="MFT958" t="s">
        <v>666</v>
      </c>
      <c r="MFU958" t="s">
        <v>666</v>
      </c>
      <c r="MFV958" t="s">
        <v>666</v>
      </c>
      <c r="MFW958" t="s">
        <v>666</v>
      </c>
      <c r="MPN958" t="s">
        <v>665</v>
      </c>
      <c r="MPO958" t="s">
        <v>666</v>
      </c>
      <c r="MPP958" t="s">
        <v>666</v>
      </c>
      <c r="MPQ958" t="s">
        <v>666</v>
      </c>
      <c r="MPR958" t="s">
        <v>666</v>
      </c>
      <c r="MPS958" t="s">
        <v>666</v>
      </c>
      <c r="MZJ958" t="s">
        <v>665</v>
      </c>
      <c r="MZK958" t="s">
        <v>666</v>
      </c>
      <c r="MZL958" t="s">
        <v>666</v>
      </c>
      <c r="MZM958" t="s">
        <v>666</v>
      </c>
      <c r="MZN958" t="s">
        <v>666</v>
      </c>
      <c r="MZO958" t="s">
        <v>666</v>
      </c>
      <c r="NJF958" t="s">
        <v>665</v>
      </c>
      <c r="NJG958" t="s">
        <v>666</v>
      </c>
      <c r="NJH958" t="s">
        <v>666</v>
      </c>
      <c r="NJI958" t="s">
        <v>666</v>
      </c>
      <c r="NJJ958" t="s">
        <v>666</v>
      </c>
      <c r="NJK958" t="s">
        <v>666</v>
      </c>
      <c r="NTB958" t="s">
        <v>665</v>
      </c>
      <c r="NTC958" t="s">
        <v>666</v>
      </c>
      <c r="NTD958" t="s">
        <v>666</v>
      </c>
      <c r="NTE958" t="s">
        <v>666</v>
      </c>
      <c r="NTF958" t="s">
        <v>666</v>
      </c>
      <c r="NTG958" t="s">
        <v>666</v>
      </c>
      <c r="OCX958" t="s">
        <v>665</v>
      </c>
      <c r="OCY958" t="s">
        <v>666</v>
      </c>
      <c r="OCZ958" t="s">
        <v>666</v>
      </c>
      <c r="ODA958" t="s">
        <v>666</v>
      </c>
      <c r="ODB958" t="s">
        <v>666</v>
      </c>
      <c r="ODC958" t="s">
        <v>666</v>
      </c>
      <c r="OMT958" t="s">
        <v>665</v>
      </c>
      <c r="OMU958" t="s">
        <v>666</v>
      </c>
      <c r="OMV958" t="s">
        <v>666</v>
      </c>
      <c r="OMW958" t="s">
        <v>666</v>
      </c>
      <c r="OMX958" t="s">
        <v>666</v>
      </c>
      <c r="OMY958" t="s">
        <v>666</v>
      </c>
      <c r="OWP958" t="s">
        <v>665</v>
      </c>
      <c r="OWQ958" t="s">
        <v>666</v>
      </c>
      <c r="OWR958" t="s">
        <v>666</v>
      </c>
      <c r="OWS958" t="s">
        <v>666</v>
      </c>
      <c r="OWT958" t="s">
        <v>666</v>
      </c>
      <c r="OWU958" t="s">
        <v>666</v>
      </c>
      <c r="PGL958" t="s">
        <v>665</v>
      </c>
      <c r="PGM958" t="s">
        <v>666</v>
      </c>
      <c r="PGN958" t="s">
        <v>666</v>
      </c>
      <c r="PGO958" t="s">
        <v>666</v>
      </c>
      <c r="PGP958" t="s">
        <v>666</v>
      </c>
      <c r="PGQ958" t="s">
        <v>666</v>
      </c>
      <c r="PQH958" t="s">
        <v>665</v>
      </c>
      <c r="PQI958" t="s">
        <v>666</v>
      </c>
      <c r="PQJ958" t="s">
        <v>666</v>
      </c>
      <c r="PQK958" t="s">
        <v>666</v>
      </c>
      <c r="PQL958" t="s">
        <v>666</v>
      </c>
      <c r="PQM958" t="s">
        <v>666</v>
      </c>
      <c r="QAD958" t="s">
        <v>665</v>
      </c>
      <c r="QAE958" t="s">
        <v>666</v>
      </c>
      <c r="QAF958" t="s">
        <v>666</v>
      </c>
      <c r="QAG958" t="s">
        <v>666</v>
      </c>
      <c r="QAH958" t="s">
        <v>666</v>
      </c>
      <c r="QAI958" t="s">
        <v>666</v>
      </c>
      <c r="QJZ958" t="s">
        <v>665</v>
      </c>
      <c r="QKA958" t="s">
        <v>666</v>
      </c>
      <c r="QKB958" t="s">
        <v>666</v>
      </c>
      <c r="QKC958" t="s">
        <v>666</v>
      </c>
      <c r="QKD958" t="s">
        <v>666</v>
      </c>
      <c r="QKE958" t="s">
        <v>666</v>
      </c>
      <c r="QTV958" t="s">
        <v>665</v>
      </c>
      <c r="QTW958" t="s">
        <v>666</v>
      </c>
      <c r="QTX958" t="s">
        <v>666</v>
      </c>
      <c r="QTY958" t="s">
        <v>666</v>
      </c>
      <c r="QTZ958" t="s">
        <v>666</v>
      </c>
      <c r="QUA958" t="s">
        <v>666</v>
      </c>
      <c r="RDR958" t="s">
        <v>665</v>
      </c>
      <c r="RDS958" t="s">
        <v>666</v>
      </c>
      <c r="RDT958" t="s">
        <v>666</v>
      </c>
      <c r="RDU958" t="s">
        <v>666</v>
      </c>
      <c r="RDV958" t="s">
        <v>666</v>
      </c>
      <c r="RDW958" t="s">
        <v>666</v>
      </c>
      <c r="RNN958" t="s">
        <v>665</v>
      </c>
      <c r="RNO958" t="s">
        <v>666</v>
      </c>
      <c r="RNP958" t="s">
        <v>666</v>
      </c>
      <c r="RNQ958" t="s">
        <v>666</v>
      </c>
      <c r="RNR958" t="s">
        <v>666</v>
      </c>
      <c r="RNS958" t="s">
        <v>666</v>
      </c>
      <c r="RXJ958" t="s">
        <v>665</v>
      </c>
      <c r="RXK958" t="s">
        <v>666</v>
      </c>
      <c r="RXL958" t="s">
        <v>666</v>
      </c>
      <c r="RXM958" t="s">
        <v>666</v>
      </c>
      <c r="RXN958" t="s">
        <v>666</v>
      </c>
      <c r="RXO958" t="s">
        <v>666</v>
      </c>
      <c r="SHF958" t="s">
        <v>665</v>
      </c>
      <c r="SHG958" t="s">
        <v>666</v>
      </c>
      <c r="SHH958" t="s">
        <v>666</v>
      </c>
      <c r="SHI958" t="s">
        <v>666</v>
      </c>
      <c r="SHJ958" t="s">
        <v>666</v>
      </c>
      <c r="SHK958" t="s">
        <v>666</v>
      </c>
      <c r="SRB958" t="s">
        <v>665</v>
      </c>
      <c r="SRC958" t="s">
        <v>666</v>
      </c>
      <c r="SRD958" t="s">
        <v>666</v>
      </c>
      <c r="SRE958" t="s">
        <v>666</v>
      </c>
      <c r="SRF958" t="s">
        <v>666</v>
      </c>
      <c r="SRG958" t="s">
        <v>666</v>
      </c>
      <c r="TAX958" t="s">
        <v>665</v>
      </c>
      <c r="TAY958" t="s">
        <v>666</v>
      </c>
      <c r="TAZ958" t="s">
        <v>666</v>
      </c>
      <c r="TBA958" t="s">
        <v>666</v>
      </c>
      <c r="TBB958" t="s">
        <v>666</v>
      </c>
      <c r="TBC958" t="s">
        <v>666</v>
      </c>
      <c r="TKT958" t="s">
        <v>665</v>
      </c>
      <c r="TKU958" t="s">
        <v>666</v>
      </c>
      <c r="TKV958" t="s">
        <v>666</v>
      </c>
      <c r="TKW958" t="s">
        <v>666</v>
      </c>
      <c r="TKX958" t="s">
        <v>666</v>
      </c>
      <c r="TKY958" t="s">
        <v>666</v>
      </c>
      <c r="TUP958" t="s">
        <v>665</v>
      </c>
      <c r="TUQ958" t="s">
        <v>666</v>
      </c>
      <c r="TUR958" t="s">
        <v>666</v>
      </c>
      <c r="TUS958" t="s">
        <v>666</v>
      </c>
      <c r="TUT958" t="s">
        <v>666</v>
      </c>
      <c r="TUU958" t="s">
        <v>666</v>
      </c>
      <c r="UEL958" t="s">
        <v>665</v>
      </c>
      <c r="UEM958" t="s">
        <v>666</v>
      </c>
      <c r="UEN958" t="s">
        <v>666</v>
      </c>
      <c r="UEO958" t="s">
        <v>666</v>
      </c>
      <c r="UEP958" t="s">
        <v>666</v>
      </c>
      <c r="UEQ958" t="s">
        <v>666</v>
      </c>
      <c r="UOH958" t="s">
        <v>665</v>
      </c>
      <c r="UOI958" t="s">
        <v>666</v>
      </c>
      <c r="UOJ958" t="s">
        <v>666</v>
      </c>
      <c r="UOK958" t="s">
        <v>666</v>
      </c>
      <c r="UOL958" t="s">
        <v>666</v>
      </c>
      <c r="UOM958" t="s">
        <v>666</v>
      </c>
      <c r="UYD958" t="s">
        <v>665</v>
      </c>
      <c r="UYE958" t="s">
        <v>666</v>
      </c>
      <c r="UYF958" t="s">
        <v>666</v>
      </c>
      <c r="UYG958" t="s">
        <v>666</v>
      </c>
      <c r="UYH958" t="s">
        <v>666</v>
      </c>
      <c r="UYI958" t="s">
        <v>666</v>
      </c>
      <c r="VHZ958" t="s">
        <v>665</v>
      </c>
      <c r="VIA958" t="s">
        <v>666</v>
      </c>
      <c r="VIB958" t="s">
        <v>666</v>
      </c>
      <c r="VIC958" t="s">
        <v>666</v>
      </c>
      <c r="VID958" t="s">
        <v>666</v>
      </c>
      <c r="VIE958" t="s">
        <v>666</v>
      </c>
      <c r="VRV958" t="s">
        <v>665</v>
      </c>
      <c r="VRW958" t="s">
        <v>666</v>
      </c>
      <c r="VRX958" t="s">
        <v>666</v>
      </c>
      <c r="VRY958" t="s">
        <v>666</v>
      </c>
      <c r="VRZ958" t="s">
        <v>666</v>
      </c>
      <c r="VSA958" t="s">
        <v>666</v>
      </c>
      <c r="WBR958" t="s">
        <v>665</v>
      </c>
      <c r="WBS958" t="s">
        <v>666</v>
      </c>
      <c r="WBT958" t="s">
        <v>666</v>
      </c>
      <c r="WBU958" t="s">
        <v>666</v>
      </c>
      <c r="WBV958" t="s">
        <v>666</v>
      </c>
      <c r="WBW958" t="s">
        <v>666</v>
      </c>
      <c r="WLN958" t="s">
        <v>665</v>
      </c>
      <c r="WLO958" t="s">
        <v>666</v>
      </c>
      <c r="WLP958" t="s">
        <v>666</v>
      </c>
      <c r="WLQ958" t="s">
        <v>666</v>
      </c>
      <c r="WLR958" t="s">
        <v>666</v>
      </c>
      <c r="WLS958" t="s">
        <v>666</v>
      </c>
      <c r="WVJ958" t="s">
        <v>665</v>
      </c>
      <c r="WVK958" t="s">
        <v>666</v>
      </c>
      <c r="WVL958" t="s">
        <v>666</v>
      </c>
      <c r="WVM958" t="s">
        <v>666</v>
      </c>
      <c r="WVN958" t="s">
        <v>666</v>
      </c>
      <c r="WVO958" t="s">
        <v>666</v>
      </c>
    </row>
    <row r="959" spans="1:775 1026:1799 2050:2823 3074:3847 4098:4871 5122:5895 6146:6919 7170:7943 8194:8967 9218:9991 10242:11015 11266:12039 12290:13063 13314:14087 14338:15111 15362:16135" s="1337" customFormat="1" ht="14.5" thickBot="1">
      <c r="A959" s="1433" t="s">
        <v>768</v>
      </c>
      <c r="C959" s="1430"/>
      <c r="D959" s="1430"/>
      <c r="E959" s="1430"/>
      <c r="F959" s="1430"/>
      <c r="G959" s="1430"/>
      <c r="H959" s="1430"/>
      <c r="IX959" s="1337" t="s">
        <v>768</v>
      </c>
      <c r="ST959" s="1337" t="s">
        <v>768</v>
      </c>
      <c r="ACP959" s="1337" t="s">
        <v>768</v>
      </c>
      <c r="AML959" s="1337" t="s">
        <v>768</v>
      </c>
      <c r="AWH959" s="1337" t="s">
        <v>768</v>
      </c>
      <c r="BGD959" s="1337" t="s">
        <v>768</v>
      </c>
      <c r="BPZ959" s="1337" t="s">
        <v>768</v>
      </c>
      <c r="BZV959" s="1337" t="s">
        <v>768</v>
      </c>
      <c r="CJR959" s="1337" t="s">
        <v>768</v>
      </c>
      <c r="CTN959" s="1337" t="s">
        <v>768</v>
      </c>
      <c r="DDJ959" s="1337" t="s">
        <v>768</v>
      </c>
      <c r="DNF959" s="1337" t="s">
        <v>768</v>
      </c>
      <c r="DXB959" s="1337" t="s">
        <v>768</v>
      </c>
      <c r="EGX959" s="1337" t="s">
        <v>768</v>
      </c>
      <c r="EQT959" s="1337" t="s">
        <v>768</v>
      </c>
      <c r="FAP959" s="1337" t="s">
        <v>768</v>
      </c>
      <c r="FKL959" s="1337" t="s">
        <v>768</v>
      </c>
      <c r="FUH959" s="1337" t="s">
        <v>768</v>
      </c>
      <c r="GED959" s="1337" t="s">
        <v>768</v>
      </c>
      <c r="GNZ959" s="1337" t="s">
        <v>768</v>
      </c>
      <c r="GXV959" s="1337" t="s">
        <v>768</v>
      </c>
      <c r="HHR959" s="1337" t="s">
        <v>768</v>
      </c>
      <c r="HRN959" s="1337" t="s">
        <v>768</v>
      </c>
      <c r="IBJ959" s="1337" t="s">
        <v>768</v>
      </c>
      <c r="ILF959" s="1337" t="s">
        <v>768</v>
      </c>
      <c r="IVB959" s="1337" t="s">
        <v>768</v>
      </c>
      <c r="JEX959" s="1337" t="s">
        <v>768</v>
      </c>
      <c r="JOT959" s="1337" t="s">
        <v>768</v>
      </c>
      <c r="JYP959" s="1337" t="s">
        <v>768</v>
      </c>
      <c r="KIL959" s="1337" t="s">
        <v>768</v>
      </c>
      <c r="KSH959" s="1337" t="s">
        <v>768</v>
      </c>
      <c r="LCD959" s="1337" t="s">
        <v>768</v>
      </c>
      <c r="LLZ959" s="1337" t="s">
        <v>768</v>
      </c>
      <c r="LVV959" s="1337" t="s">
        <v>768</v>
      </c>
      <c r="MFR959" s="1337" t="s">
        <v>768</v>
      </c>
      <c r="MPN959" s="1337" t="s">
        <v>768</v>
      </c>
      <c r="MZJ959" s="1337" t="s">
        <v>768</v>
      </c>
      <c r="NJF959" s="1337" t="s">
        <v>768</v>
      </c>
      <c r="NTB959" s="1337" t="s">
        <v>768</v>
      </c>
      <c r="OCX959" s="1337" t="s">
        <v>768</v>
      </c>
      <c r="OMT959" s="1337" t="s">
        <v>768</v>
      </c>
      <c r="OWP959" s="1337" t="s">
        <v>768</v>
      </c>
      <c r="PGL959" s="1337" t="s">
        <v>768</v>
      </c>
      <c r="PQH959" s="1337" t="s">
        <v>768</v>
      </c>
      <c r="QAD959" s="1337" t="s">
        <v>768</v>
      </c>
      <c r="QJZ959" s="1337" t="s">
        <v>768</v>
      </c>
      <c r="QTV959" s="1337" t="s">
        <v>768</v>
      </c>
      <c r="RDR959" s="1337" t="s">
        <v>768</v>
      </c>
      <c r="RNN959" s="1337" t="s">
        <v>768</v>
      </c>
      <c r="RXJ959" s="1337" t="s">
        <v>768</v>
      </c>
      <c r="SHF959" s="1337" t="s">
        <v>768</v>
      </c>
      <c r="SRB959" s="1337" t="s">
        <v>768</v>
      </c>
      <c r="TAX959" s="1337" t="s">
        <v>768</v>
      </c>
      <c r="TKT959" s="1337" t="s">
        <v>768</v>
      </c>
      <c r="TUP959" s="1337" t="s">
        <v>768</v>
      </c>
      <c r="UEL959" s="1337" t="s">
        <v>768</v>
      </c>
      <c r="UOH959" s="1337" t="s">
        <v>768</v>
      </c>
      <c r="UYD959" s="1337" t="s">
        <v>768</v>
      </c>
      <c r="VHZ959" s="1337" t="s">
        <v>768</v>
      </c>
      <c r="VRV959" s="1337" t="s">
        <v>768</v>
      </c>
      <c r="WBR959" s="1337" t="s">
        <v>768</v>
      </c>
      <c r="WLN959" s="1337" t="s">
        <v>768</v>
      </c>
      <c r="WVJ959" s="1337" t="s">
        <v>768</v>
      </c>
    </row>
    <row r="960" spans="1:775 1026:1799 2050:2823 3074:3847 4098:4871 5122:5895 6146:6919 7170:7943 8194:8967 9218:9991 10242:11015 11266:12039 12290:13063 13314:14087 14338:15111 15362:16135">
      <c r="A960" s="96" t="s">
        <v>1346</v>
      </c>
      <c r="B960" s="1265" t="s">
        <v>543</v>
      </c>
      <c r="C960" s="100">
        <v>-9638979</v>
      </c>
      <c r="D960" s="100">
        <v>-11295652</v>
      </c>
      <c r="E960" s="100">
        <v>-5304082</v>
      </c>
      <c r="F960" s="100">
        <v>-4016949</v>
      </c>
      <c r="G960" s="100">
        <v>-14437104</v>
      </c>
      <c r="H960" s="100"/>
      <c r="IX960" t="s">
        <v>1346</v>
      </c>
      <c r="IY960">
        <v>-9638979</v>
      </c>
      <c r="IZ960">
        <v>-11295652</v>
      </c>
      <c r="JA960">
        <v>-5304082</v>
      </c>
      <c r="JB960">
        <v>-4016949</v>
      </c>
      <c r="JC960">
        <v>-14437104</v>
      </c>
      <c r="ST960" t="s">
        <v>1346</v>
      </c>
      <c r="SU960">
        <v>-9638979</v>
      </c>
      <c r="SV960">
        <v>-11295652</v>
      </c>
      <c r="SW960">
        <v>-5304082</v>
      </c>
      <c r="SX960">
        <v>-4016949</v>
      </c>
      <c r="SY960">
        <v>-14437104</v>
      </c>
      <c r="ACP960" t="s">
        <v>1346</v>
      </c>
      <c r="ACQ960">
        <v>-9638979</v>
      </c>
      <c r="ACR960">
        <v>-11295652</v>
      </c>
      <c r="ACS960">
        <v>-5304082</v>
      </c>
      <c r="ACT960">
        <v>-4016949</v>
      </c>
      <c r="ACU960">
        <v>-14437104</v>
      </c>
      <c r="AML960" t="s">
        <v>1346</v>
      </c>
      <c r="AMM960">
        <v>-9638979</v>
      </c>
      <c r="AMN960">
        <v>-11295652</v>
      </c>
      <c r="AMO960">
        <v>-5304082</v>
      </c>
      <c r="AMP960">
        <v>-4016949</v>
      </c>
      <c r="AMQ960">
        <v>-14437104</v>
      </c>
      <c r="AWH960" t="s">
        <v>1346</v>
      </c>
      <c r="AWI960">
        <v>-9638979</v>
      </c>
      <c r="AWJ960">
        <v>-11295652</v>
      </c>
      <c r="AWK960">
        <v>-5304082</v>
      </c>
      <c r="AWL960">
        <v>-4016949</v>
      </c>
      <c r="AWM960">
        <v>-14437104</v>
      </c>
      <c r="BGD960" t="s">
        <v>1346</v>
      </c>
      <c r="BGE960">
        <v>-9638979</v>
      </c>
      <c r="BGF960">
        <v>-11295652</v>
      </c>
      <c r="BGG960">
        <v>-5304082</v>
      </c>
      <c r="BGH960">
        <v>-4016949</v>
      </c>
      <c r="BGI960">
        <v>-14437104</v>
      </c>
      <c r="BPZ960" t="s">
        <v>1346</v>
      </c>
      <c r="BQA960">
        <v>-9638979</v>
      </c>
      <c r="BQB960">
        <v>-11295652</v>
      </c>
      <c r="BQC960">
        <v>-5304082</v>
      </c>
      <c r="BQD960">
        <v>-4016949</v>
      </c>
      <c r="BQE960">
        <v>-14437104</v>
      </c>
      <c r="BZV960" t="s">
        <v>1346</v>
      </c>
      <c r="BZW960">
        <v>-9638979</v>
      </c>
      <c r="BZX960">
        <v>-11295652</v>
      </c>
      <c r="BZY960">
        <v>-5304082</v>
      </c>
      <c r="BZZ960">
        <v>-4016949</v>
      </c>
      <c r="CAA960">
        <v>-14437104</v>
      </c>
      <c r="CJR960" t="s">
        <v>1346</v>
      </c>
      <c r="CJS960">
        <v>-9638979</v>
      </c>
      <c r="CJT960">
        <v>-11295652</v>
      </c>
      <c r="CJU960">
        <v>-5304082</v>
      </c>
      <c r="CJV960">
        <v>-4016949</v>
      </c>
      <c r="CJW960">
        <v>-14437104</v>
      </c>
      <c r="CTN960" t="s">
        <v>1346</v>
      </c>
      <c r="CTO960">
        <v>-9638979</v>
      </c>
      <c r="CTP960">
        <v>-11295652</v>
      </c>
      <c r="CTQ960">
        <v>-5304082</v>
      </c>
      <c r="CTR960">
        <v>-4016949</v>
      </c>
      <c r="CTS960">
        <v>-14437104</v>
      </c>
      <c r="DDJ960" t="s">
        <v>1346</v>
      </c>
      <c r="DDK960">
        <v>-9638979</v>
      </c>
      <c r="DDL960">
        <v>-11295652</v>
      </c>
      <c r="DDM960">
        <v>-5304082</v>
      </c>
      <c r="DDN960">
        <v>-4016949</v>
      </c>
      <c r="DDO960">
        <v>-14437104</v>
      </c>
      <c r="DNF960" t="s">
        <v>1346</v>
      </c>
      <c r="DNG960">
        <v>-9638979</v>
      </c>
      <c r="DNH960">
        <v>-11295652</v>
      </c>
      <c r="DNI960">
        <v>-5304082</v>
      </c>
      <c r="DNJ960">
        <v>-4016949</v>
      </c>
      <c r="DNK960">
        <v>-14437104</v>
      </c>
      <c r="DXB960" t="s">
        <v>1346</v>
      </c>
      <c r="DXC960">
        <v>-9638979</v>
      </c>
      <c r="DXD960">
        <v>-11295652</v>
      </c>
      <c r="DXE960">
        <v>-5304082</v>
      </c>
      <c r="DXF960">
        <v>-4016949</v>
      </c>
      <c r="DXG960">
        <v>-14437104</v>
      </c>
      <c r="EGX960" t="s">
        <v>1346</v>
      </c>
      <c r="EGY960">
        <v>-9638979</v>
      </c>
      <c r="EGZ960">
        <v>-11295652</v>
      </c>
      <c r="EHA960">
        <v>-5304082</v>
      </c>
      <c r="EHB960">
        <v>-4016949</v>
      </c>
      <c r="EHC960">
        <v>-14437104</v>
      </c>
      <c r="EQT960" t="s">
        <v>1346</v>
      </c>
      <c r="EQU960">
        <v>-9638979</v>
      </c>
      <c r="EQV960">
        <v>-11295652</v>
      </c>
      <c r="EQW960">
        <v>-5304082</v>
      </c>
      <c r="EQX960">
        <v>-4016949</v>
      </c>
      <c r="EQY960">
        <v>-14437104</v>
      </c>
      <c r="FAP960" t="s">
        <v>1346</v>
      </c>
      <c r="FAQ960">
        <v>-9638979</v>
      </c>
      <c r="FAR960">
        <v>-11295652</v>
      </c>
      <c r="FAS960">
        <v>-5304082</v>
      </c>
      <c r="FAT960">
        <v>-4016949</v>
      </c>
      <c r="FAU960">
        <v>-14437104</v>
      </c>
      <c r="FKL960" t="s">
        <v>1346</v>
      </c>
      <c r="FKM960">
        <v>-9638979</v>
      </c>
      <c r="FKN960">
        <v>-11295652</v>
      </c>
      <c r="FKO960">
        <v>-5304082</v>
      </c>
      <c r="FKP960">
        <v>-4016949</v>
      </c>
      <c r="FKQ960">
        <v>-14437104</v>
      </c>
      <c r="FUH960" t="s">
        <v>1346</v>
      </c>
      <c r="FUI960">
        <v>-9638979</v>
      </c>
      <c r="FUJ960">
        <v>-11295652</v>
      </c>
      <c r="FUK960">
        <v>-5304082</v>
      </c>
      <c r="FUL960">
        <v>-4016949</v>
      </c>
      <c r="FUM960">
        <v>-14437104</v>
      </c>
      <c r="GED960" t="s">
        <v>1346</v>
      </c>
      <c r="GEE960">
        <v>-9638979</v>
      </c>
      <c r="GEF960">
        <v>-11295652</v>
      </c>
      <c r="GEG960">
        <v>-5304082</v>
      </c>
      <c r="GEH960">
        <v>-4016949</v>
      </c>
      <c r="GEI960">
        <v>-14437104</v>
      </c>
      <c r="GNZ960" t="s">
        <v>1346</v>
      </c>
      <c r="GOA960">
        <v>-9638979</v>
      </c>
      <c r="GOB960">
        <v>-11295652</v>
      </c>
      <c r="GOC960">
        <v>-5304082</v>
      </c>
      <c r="GOD960">
        <v>-4016949</v>
      </c>
      <c r="GOE960">
        <v>-14437104</v>
      </c>
      <c r="GXV960" t="s">
        <v>1346</v>
      </c>
      <c r="GXW960">
        <v>-9638979</v>
      </c>
      <c r="GXX960">
        <v>-11295652</v>
      </c>
      <c r="GXY960">
        <v>-5304082</v>
      </c>
      <c r="GXZ960">
        <v>-4016949</v>
      </c>
      <c r="GYA960">
        <v>-14437104</v>
      </c>
      <c r="HHR960" t="s">
        <v>1346</v>
      </c>
      <c r="HHS960">
        <v>-9638979</v>
      </c>
      <c r="HHT960">
        <v>-11295652</v>
      </c>
      <c r="HHU960">
        <v>-5304082</v>
      </c>
      <c r="HHV960">
        <v>-4016949</v>
      </c>
      <c r="HHW960">
        <v>-14437104</v>
      </c>
      <c r="HRN960" t="s">
        <v>1346</v>
      </c>
      <c r="HRO960">
        <v>-9638979</v>
      </c>
      <c r="HRP960">
        <v>-11295652</v>
      </c>
      <c r="HRQ960">
        <v>-5304082</v>
      </c>
      <c r="HRR960">
        <v>-4016949</v>
      </c>
      <c r="HRS960">
        <v>-14437104</v>
      </c>
      <c r="IBJ960" t="s">
        <v>1346</v>
      </c>
      <c r="IBK960">
        <v>-9638979</v>
      </c>
      <c r="IBL960">
        <v>-11295652</v>
      </c>
      <c r="IBM960">
        <v>-5304082</v>
      </c>
      <c r="IBN960">
        <v>-4016949</v>
      </c>
      <c r="IBO960">
        <v>-14437104</v>
      </c>
      <c r="ILF960" t="s">
        <v>1346</v>
      </c>
      <c r="ILG960">
        <v>-9638979</v>
      </c>
      <c r="ILH960">
        <v>-11295652</v>
      </c>
      <c r="ILI960">
        <v>-5304082</v>
      </c>
      <c r="ILJ960">
        <v>-4016949</v>
      </c>
      <c r="ILK960">
        <v>-14437104</v>
      </c>
      <c r="IVB960" t="s">
        <v>1346</v>
      </c>
      <c r="IVC960">
        <v>-9638979</v>
      </c>
      <c r="IVD960">
        <v>-11295652</v>
      </c>
      <c r="IVE960">
        <v>-5304082</v>
      </c>
      <c r="IVF960">
        <v>-4016949</v>
      </c>
      <c r="IVG960">
        <v>-14437104</v>
      </c>
      <c r="JEX960" t="s">
        <v>1346</v>
      </c>
      <c r="JEY960">
        <v>-9638979</v>
      </c>
      <c r="JEZ960">
        <v>-11295652</v>
      </c>
      <c r="JFA960">
        <v>-5304082</v>
      </c>
      <c r="JFB960">
        <v>-4016949</v>
      </c>
      <c r="JFC960">
        <v>-14437104</v>
      </c>
      <c r="JOT960" t="s">
        <v>1346</v>
      </c>
      <c r="JOU960">
        <v>-9638979</v>
      </c>
      <c r="JOV960">
        <v>-11295652</v>
      </c>
      <c r="JOW960">
        <v>-5304082</v>
      </c>
      <c r="JOX960">
        <v>-4016949</v>
      </c>
      <c r="JOY960">
        <v>-14437104</v>
      </c>
      <c r="JYP960" t="s">
        <v>1346</v>
      </c>
      <c r="JYQ960">
        <v>-9638979</v>
      </c>
      <c r="JYR960">
        <v>-11295652</v>
      </c>
      <c r="JYS960">
        <v>-5304082</v>
      </c>
      <c r="JYT960">
        <v>-4016949</v>
      </c>
      <c r="JYU960">
        <v>-14437104</v>
      </c>
      <c r="KIL960" t="s">
        <v>1346</v>
      </c>
      <c r="KIM960">
        <v>-9638979</v>
      </c>
      <c r="KIN960">
        <v>-11295652</v>
      </c>
      <c r="KIO960">
        <v>-5304082</v>
      </c>
      <c r="KIP960">
        <v>-4016949</v>
      </c>
      <c r="KIQ960">
        <v>-14437104</v>
      </c>
      <c r="KSH960" t="s">
        <v>1346</v>
      </c>
      <c r="KSI960">
        <v>-9638979</v>
      </c>
      <c r="KSJ960">
        <v>-11295652</v>
      </c>
      <c r="KSK960">
        <v>-5304082</v>
      </c>
      <c r="KSL960">
        <v>-4016949</v>
      </c>
      <c r="KSM960">
        <v>-14437104</v>
      </c>
      <c r="LCD960" t="s">
        <v>1346</v>
      </c>
      <c r="LCE960">
        <v>-9638979</v>
      </c>
      <c r="LCF960">
        <v>-11295652</v>
      </c>
      <c r="LCG960">
        <v>-5304082</v>
      </c>
      <c r="LCH960">
        <v>-4016949</v>
      </c>
      <c r="LCI960">
        <v>-14437104</v>
      </c>
      <c r="LLZ960" t="s">
        <v>1346</v>
      </c>
      <c r="LMA960">
        <v>-9638979</v>
      </c>
      <c r="LMB960">
        <v>-11295652</v>
      </c>
      <c r="LMC960">
        <v>-5304082</v>
      </c>
      <c r="LMD960">
        <v>-4016949</v>
      </c>
      <c r="LME960">
        <v>-14437104</v>
      </c>
      <c r="LVV960" t="s">
        <v>1346</v>
      </c>
      <c r="LVW960">
        <v>-9638979</v>
      </c>
      <c r="LVX960">
        <v>-11295652</v>
      </c>
      <c r="LVY960">
        <v>-5304082</v>
      </c>
      <c r="LVZ960">
        <v>-4016949</v>
      </c>
      <c r="LWA960">
        <v>-14437104</v>
      </c>
      <c r="MFR960" t="s">
        <v>1346</v>
      </c>
      <c r="MFS960">
        <v>-9638979</v>
      </c>
      <c r="MFT960">
        <v>-11295652</v>
      </c>
      <c r="MFU960">
        <v>-5304082</v>
      </c>
      <c r="MFV960">
        <v>-4016949</v>
      </c>
      <c r="MFW960">
        <v>-14437104</v>
      </c>
      <c r="MPN960" t="s">
        <v>1346</v>
      </c>
      <c r="MPO960">
        <v>-9638979</v>
      </c>
      <c r="MPP960">
        <v>-11295652</v>
      </c>
      <c r="MPQ960">
        <v>-5304082</v>
      </c>
      <c r="MPR960">
        <v>-4016949</v>
      </c>
      <c r="MPS960">
        <v>-14437104</v>
      </c>
      <c r="MZJ960" t="s">
        <v>1346</v>
      </c>
      <c r="MZK960">
        <v>-9638979</v>
      </c>
      <c r="MZL960">
        <v>-11295652</v>
      </c>
      <c r="MZM960">
        <v>-5304082</v>
      </c>
      <c r="MZN960">
        <v>-4016949</v>
      </c>
      <c r="MZO960">
        <v>-14437104</v>
      </c>
      <c r="NJF960" t="s">
        <v>1346</v>
      </c>
      <c r="NJG960">
        <v>-9638979</v>
      </c>
      <c r="NJH960">
        <v>-11295652</v>
      </c>
      <c r="NJI960">
        <v>-5304082</v>
      </c>
      <c r="NJJ960">
        <v>-4016949</v>
      </c>
      <c r="NJK960">
        <v>-14437104</v>
      </c>
      <c r="NTB960" t="s">
        <v>1346</v>
      </c>
      <c r="NTC960">
        <v>-9638979</v>
      </c>
      <c r="NTD960">
        <v>-11295652</v>
      </c>
      <c r="NTE960">
        <v>-5304082</v>
      </c>
      <c r="NTF960">
        <v>-4016949</v>
      </c>
      <c r="NTG960">
        <v>-14437104</v>
      </c>
      <c r="OCX960" t="s">
        <v>1346</v>
      </c>
      <c r="OCY960">
        <v>-9638979</v>
      </c>
      <c r="OCZ960">
        <v>-11295652</v>
      </c>
      <c r="ODA960">
        <v>-5304082</v>
      </c>
      <c r="ODB960">
        <v>-4016949</v>
      </c>
      <c r="ODC960">
        <v>-14437104</v>
      </c>
      <c r="OMT960" t="s">
        <v>1346</v>
      </c>
      <c r="OMU960">
        <v>-9638979</v>
      </c>
      <c r="OMV960">
        <v>-11295652</v>
      </c>
      <c r="OMW960">
        <v>-5304082</v>
      </c>
      <c r="OMX960">
        <v>-4016949</v>
      </c>
      <c r="OMY960">
        <v>-14437104</v>
      </c>
      <c r="OWP960" t="s">
        <v>1346</v>
      </c>
      <c r="OWQ960">
        <v>-9638979</v>
      </c>
      <c r="OWR960">
        <v>-11295652</v>
      </c>
      <c r="OWS960">
        <v>-5304082</v>
      </c>
      <c r="OWT960">
        <v>-4016949</v>
      </c>
      <c r="OWU960">
        <v>-14437104</v>
      </c>
      <c r="PGL960" t="s">
        <v>1346</v>
      </c>
      <c r="PGM960">
        <v>-9638979</v>
      </c>
      <c r="PGN960">
        <v>-11295652</v>
      </c>
      <c r="PGO960">
        <v>-5304082</v>
      </c>
      <c r="PGP960">
        <v>-4016949</v>
      </c>
      <c r="PGQ960">
        <v>-14437104</v>
      </c>
      <c r="PQH960" t="s">
        <v>1346</v>
      </c>
      <c r="PQI960">
        <v>-9638979</v>
      </c>
      <c r="PQJ960">
        <v>-11295652</v>
      </c>
      <c r="PQK960">
        <v>-5304082</v>
      </c>
      <c r="PQL960">
        <v>-4016949</v>
      </c>
      <c r="PQM960">
        <v>-14437104</v>
      </c>
      <c r="QAD960" t="s">
        <v>1346</v>
      </c>
      <c r="QAE960">
        <v>-9638979</v>
      </c>
      <c r="QAF960">
        <v>-11295652</v>
      </c>
      <c r="QAG960">
        <v>-5304082</v>
      </c>
      <c r="QAH960">
        <v>-4016949</v>
      </c>
      <c r="QAI960">
        <v>-14437104</v>
      </c>
      <c r="QJZ960" t="s">
        <v>1346</v>
      </c>
      <c r="QKA960">
        <v>-9638979</v>
      </c>
      <c r="QKB960">
        <v>-11295652</v>
      </c>
      <c r="QKC960">
        <v>-5304082</v>
      </c>
      <c r="QKD960">
        <v>-4016949</v>
      </c>
      <c r="QKE960">
        <v>-14437104</v>
      </c>
      <c r="QTV960" t="s">
        <v>1346</v>
      </c>
      <c r="QTW960">
        <v>-9638979</v>
      </c>
      <c r="QTX960">
        <v>-11295652</v>
      </c>
      <c r="QTY960">
        <v>-5304082</v>
      </c>
      <c r="QTZ960">
        <v>-4016949</v>
      </c>
      <c r="QUA960">
        <v>-14437104</v>
      </c>
      <c r="RDR960" t="s">
        <v>1346</v>
      </c>
      <c r="RDS960">
        <v>-9638979</v>
      </c>
      <c r="RDT960">
        <v>-11295652</v>
      </c>
      <c r="RDU960">
        <v>-5304082</v>
      </c>
      <c r="RDV960">
        <v>-4016949</v>
      </c>
      <c r="RDW960">
        <v>-14437104</v>
      </c>
      <c r="RNN960" t="s">
        <v>1346</v>
      </c>
      <c r="RNO960">
        <v>-9638979</v>
      </c>
      <c r="RNP960">
        <v>-11295652</v>
      </c>
      <c r="RNQ960">
        <v>-5304082</v>
      </c>
      <c r="RNR960">
        <v>-4016949</v>
      </c>
      <c r="RNS960">
        <v>-14437104</v>
      </c>
      <c r="RXJ960" t="s">
        <v>1346</v>
      </c>
      <c r="RXK960">
        <v>-9638979</v>
      </c>
      <c r="RXL960">
        <v>-11295652</v>
      </c>
      <c r="RXM960">
        <v>-5304082</v>
      </c>
      <c r="RXN960">
        <v>-4016949</v>
      </c>
      <c r="RXO960">
        <v>-14437104</v>
      </c>
      <c r="SHF960" t="s">
        <v>1346</v>
      </c>
      <c r="SHG960">
        <v>-9638979</v>
      </c>
      <c r="SHH960">
        <v>-11295652</v>
      </c>
      <c r="SHI960">
        <v>-5304082</v>
      </c>
      <c r="SHJ960">
        <v>-4016949</v>
      </c>
      <c r="SHK960">
        <v>-14437104</v>
      </c>
      <c r="SRB960" t="s">
        <v>1346</v>
      </c>
      <c r="SRC960">
        <v>-9638979</v>
      </c>
      <c r="SRD960">
        <v>-11295652</v>
      </c>
      <c r="SRE960">
        <v>-5304082</v>
      </c>
      <c r="SRF960">
        <v>-4016949</v>
      </c>
      <c r="SRG960">
        <v>-14437104</v>
      </c>
      <c r="TAX960" t="s">
        <v>1346</v>
      </c>
      <c r="TAY960">
        <v>-9638979</v>
      </c>
      <c r="TAZ960">
        <v>-11295652</v>
      </c>
      <c r="TBA960">
        <v>-5304082</v>
      </c>
      <c r="TBB960">
        <v>-4016949</v>
      </c>
      <c r="TBC960">
        <v>-14437104</v>
      </c>
      <c r="TKT960" t="s">
        <v>1346</v>
      </c>
      <c r="TKU960">
        <v>-9638979</v>
      </c>
      <c r="TKV960">
        <v>-11295652</v>
      </c>
      <c r="TKW960">
        <v>-5304082</v>
      </c>
      <c r="TKX960">
        <v>-4016949</v>
      </c>
      <c r="TKY960">
        <v>-14437104</v>
      </c>
      <c r="TUP960" t="s">
        <v>1346</v>
      </c>
      <c r="TUQ960">
        <v>-9638979</v>
      </c>
      <c r="TUR960">
        <v>-11295652</v>
      </c>
      <c r="TUS960">
        <v>-5304082</v>
      </c>
      <c r="TUT960">
        <v>-4016949</v>
      </c>
      <c r="TUU960">
        <v>-14437104</v>
      </c>
      <c r="UEL960" t="s">
        <v>1346</v>
      </c>
      <c r="UEM960">
        <v>-9638979</v>
      </c>
      <c r="UEN960">
        <v>-11295652</v>
      </c>
      <c r="UEO960">
        <v>-5304082</v>
      </c>
      <c r="UEP960">
        <v>-4016949</v>
      </c>
      <c r="UEQ960">
        <v>-14437104</v>
      </c>
      <c r="UOH960" t="s">
        <v>1346</v>
      </c>
      <c r="UOI960">
        <v>-9638979</v>
      </c>
      <c r="UOJ960">
        <v>-11295652</v>
      </c>
      <c r="UOK960">
        <v>-5304082</v>
      </c>
      <c r="UOL960">
        <v>-4016949</v>
      </c>
      <c r="UOM960">
        <v>-14437104</v>
      </c>
      <c r="UYD960" t="s">
        <v>1346</v>
      </c>
      <c r="UYE960">
        <v>-9638979</v>
      </c>
      <c r="UYF960">
        <v>-11295652</v>
      </c>
      <c r="UYG960">
        <v>-5304082</v>
      </c>
      <c r="UYH960">
        <v>-4016949</v>
      </c>
      <c r="UYI960">
        <v>-14437104</v>
      </c>
      <c r="VHZ960" t="s">
        <v>1346</v>
      </c>
      <c r="VIA960">
        <v>-9638979</v>
      </c>
      <c r="VIB960">
        <v>-11295652</v>
      </c>
      <c r="VIC960">
        <v>-5304082</v>
      </c>
      <c r="VID960">
        <v>-4016949</v>
      </c>
      <c r="VIE960">
        <v>-14437104</v>
      </c>
      <c r="VRV960" t="s">
        <v>1346</v>
      </c>
      <c r="VRW960">
        <v>-9638979</v>
      </c>
      <c r="VRX960">
        <v>-11295652</v>
      </c>
      <c r="VRY960">
        <v>-5304082</v>
      </c>
      <c r="VRZ960">
        <v>-4016949</v>
      </c>
      <c r="VSA960">
        <v>-14437104</v>
      </c>
      <c r="WBR960" t="s">
        <v>1346</v>
      </c>
      <c r="WBS960">
        <v>-9638979</v>
      </c>
      <c r="WBT960">
        <v>-11295652</v>
      </c>
      <c r="WBU960">
        <v>-5304082</v>
      </c>
      <c r="WBV960">
        <v>-4016949</v>
      </c>
      <c r="WBW960">
        <v>-14437104</v>
      </c>
      <c r="WLN960" t="s">
        <v>1346</v>
      </c>
      <c r="WLO960">
        <v>-9638979</v>
      </c>
      <c r="WLP960">
        <v>-11295652</v>
      </c>
      <c r="WLQ960">
        <v>-5304082</v>
      </c>
      <c r="WLR960">
        <v>-4016949</v>
      </c>
      <c r="WLS960">
        <v>-14437104</v>
      </c>
      <c r="WVJ960" t="s">
        <v>1346</v>
      </c>
      <c r="WVK960">
        <v>-9638979</v>
      </c>
      <c r="WVL960">
        <v>-11295652</v>
      </c>
      <c r="WVM960">
        <v>-5304082</v>
      </c>
      <c r="WVN960">
        <v>-4016949</v>
      </c>
      <c r="WVO960">
        <v>-14437104</v>
      </c>
    </row>
    <row r="961" spans="1:775 1026:1799 2050:2823 3074:3847 4098:4871 5122:5895 6146:6919 7170:7943 8194:8967 9218:9991 10242:11015 11266:12039 12290:13063 13314:14087 14338:15111 15362:16135">
      <c r="A961" s="1973" t="s">
        <v>945</v>
      </c>
      <c r="B961" s="1265" t="s">
        <v>1347</v>
      </c>
      <c r="C961" s="255">
        <f>J962</f>
        <v>456401</v>
      </c>
      <c r="D961" s="255">
        <f>K962</f>
        <v>871148</v>
      </c>
      <c r="E961" s="255">
        <f>L962</f>
        <v>921051</v>
      </c>
      <c r="F961" s="255">
        <f>F963</f>
        <v>1708019</v>
      </c>
      <c r="G961" s="255">
        <f>G963</f>
        <v>2852315</v>
      </c>
      <c r="H961" s="1442" t="s">
        <v>224</v>
      </c>
      <c r="I961" s="1449">
        <v>-221428</v>
      </c>
      <c r="J961" s="1449">
        <v>-677829</v>
      </c>
      <c r="K961" s="1449">
        <v>-1548977</v>
      </c>
      <c r="L961" s="1449">
        <v>-2470028</v>
      </c>
      <c r="M961" s="1641">
        <f>L961-F961</f>
        <v>-4178047</v>
      </c>
      <c r="N961" s="1641">
        <f>M961-G961</f>
        <v>-7030362</v>
      </c>
      <c r="IX961" t="s">
        <v>945</v>
      </c>
      <c r="IY961">
        <v>474223</v>
      </c>
      <c r="IZ961">
        <v>998938</v>
      </c>
      <c r="JA961">
        <v>1046496</v>
      </c>
      <c r="JB961">
        <v>1708019</v>
      </c>
      <c r="JC961">
        <v>2852315</v>
      </c>
      <c r="ST961" t="s">
        <v>945</v>
      </c>
      <c r="SU961">
        <v>474223</v>
      </c>
      <c r="SV961">
        <v>998938</v>
      </c>
      <c r="SW961">
        <v>1046496</v>
      </c>
      <c r="SX961">
        <v>1708019</v>
      </c>
      <c r="SY961">
        <v>2852315</v>
      </c>
      <c r="ACP961" t="s">
        <v>945</v>
      </c>
      <c r="ACQ961">
        <v>474223</v>
      </c>
      <c r="ACR961">
        <v>998938</v>
      </c>
      <c r="ACS961">
        <v>1046496</v>
      </c>
      <c r="ACT961">
        <v>1708019</v>
      </c>
      <c r="ACU961">
        <v>2852315</v>
      </c>
      <c r="AML961" t="s">
        <v>945</v>
      </c>
      <c r="AMM961">
        <v>474223</v>
      </c>
      <c r="AMN961">
        <v>998938</v>
      </c>
      <c r="AMO961">
        <v>1046496</v>
      </c>
      <c r="AMP961">
        <v>1708019</v>
      </c>
      <c r="AMQ961">
        <v>2852315</v>
      </c>
      <c r="AWH961" t="s">
        <v>945</v>
      </c>
      <c r="AWI961">
        <v>474223</v>
      </c>
      <c r="AWJ961">
        <v>998938</v>
      </c>
      <c r="AWK961">
        <v>1046496</v>
      </c>
      <c r="AWL961">
        <v>1708019</v>
      </c>
      <c r="AWM961">
        <v>2852315</v>
      </c>
      <c r="BGD961" t="s">
        <v>945</v>
      </c>
      <c r="BGE961">
        <v>474223</v>
      </c>
      <c r="BGF961">
        <v>998938</v>
      </c>
      <c r="BGG961">
        <v>1046496</v>
      </c>
      <c r="BGH961">
        <v>1708019</v>
      </c>
      <c r="BGI961">
        <v>2852315</v>
      </c>
      <c r="BPZ961" t="s">
        <v>945</v>
      </c>
      <c r="BQA961">
        <v>474223</v>
      </c>
      <c r="BQB961">
        <v>998938</v>
      </c>
      <c r="BQC961">
        <v>1046496</v>
      </c>
      <c r="BQD961">
        <v>1708019</v>
      </c>
      <c r="BQE961">
        <v>2852315</v>
      </c>
      <c r="BZV961" t="s">
        <v>945</v>
      </c>
      <c r="BZW961">
        <v>474223</v>
      </c>
      <c r="BZX961">
        <v>998938</v>
      </c>
      <c r="BZY961">
        <v>1046496</v>
      </c>
      <c r="BZZ961">
        <v>1708019</v>
      </c>
      <c r="CAA961">
        <v>2852315</v>
      </c>
      <c r="CJR961" t="s">
        <v>945</v>
      </c>
      <c r="CJS961">
        <v>474223</v>
      </c>
      <c r="CJT961">
        <v>998938</v>
      </c>
      <c r="CJU961">
        <v>1046496</v>
      </c>
      <c r="CJV961">
        <v>1708019</v>
      </c>
      <c r="CJW961">
        <v>2852315</v>
      </c>
      <c r="CTN961" t="s">
        <v>945</v>
      </c>
      <c r="CTO961">
        <v>474223</v>
      </c>
      <c r="CTP961">
        <v>998938</v>
      </c>
      <c r="CTQ961">
        <v>1046496</v>
      </c>
      <c r="CTR961">
        <v>1708019</v>
      </c>
      <c r="CTS961">
        <v>2852315</v>
      </c>
      <c r="DDJ961" t="s">
        <v>945</v>
      </c>
      <c r="DDK961">
        <v>474223</v>
      </c>
      <c r="DDL961">
        <v>998938</v>
      </c>
      <c r="DDM961">
        <v>1046496</v>
      </c>
      <c r="DDN961">
        <v>1708019</v>
      </c>
      <c r="DDO961">
        <v>2852315</v>
      </c>
      <c r="DNF961" t="s">
        <v>945</v>
      </c>
      <c r="DNG961">
        <v>474223</v>
      </c>
      <c r="DNH961">
        <v>998938</v>
      </c>
      <c r="DNI961">
        <v>1046496</v>
      </c>
      <c r="DNJ961">
        <v>1708019</v>
      </c>
      <c r="DNK961">
        <v>2852315</v>
      </c>
      <c r="DXB961" t="s">
        <v>945</v>
      </c>
      <c r="DXC961">
        <v>474223</v>
      </c>
      <c r="DXD961">
        <v>998938</v>
      </c>
      <c r="DXE961">
        <v>1046496</v>
      </c>
      <c r="DXF961">
        <v>1708019</v>
      </c>
      <c r="DXG961">
        <v>2852315</v>
      </c>
      <c r="EGX961" t="s">
        <v>945</v>
      </c>
      <c r="EGY961">
        <v>474223</v>
      </c>
      <c r="EGZ961">
        <v>998938</v>
      </c>
      <c r="EHA961">
        <v>1046496</v>
      </c>
      <c r="EHB961">
        <v>1708019</v>
      </c>
      <c r="EHC961">
        <v>2852315</v>
      </c>
      <c r="EQT961" t="s">
        <v>945</v>
      </c>
      <c r="EQU961">
        <v>474223</v>
      </c>
      <c r="EQV961">
        <v>998938</v>
      </c>
      <c r="EQW961">
        <v>1046496</v>
      </c>
      <c r="EQX961">
        <v>1708019</v>
      </c>
      <c r="EQY961">
        <v>2852315</v>
      </c>
      <c r="FAP961" t="s">
        <v>945</v>
      </c>
      <c r="FAQ961">
        <v>474223</v>
      </c>
      <c r="FAR961">
        <v>998938</v>
      </c>
      <c r="FAS961">
        <v>1046496</v>
      </c>
      <c r="FAT961">
        <v>1708019</v>
      </c>
      <c r="FAU961">
        <v>2852315</v>
      </c>
      <c r="FKL961" t="s">
        <v>945</v>
      </c>
      <c r="FKM961">
        <v>474223</v>
      </c>
      <c r="FKN961">
        <v>998938</v>
      </c>
      <c r="FKO961">
        <v>1046496</v>
      </c>
      <c r="FKP961">
        <v>1708019</v>
      </c>
      <c r="FKQ961">
        <v>2852315</v>
      </c>
      <c r="FUH961" t="s">
        <v>945</v>
      </c>
      <c r="FUI961">
        <v>474223</v>
      </c>
      <c r="FUJ961">
        <v>998938</v>
      </c>
      <c r="FUK961">
        <v>1046496</v>
      </c>
      <c r="FUL961">
        <v>1708019</v>
      </c>
      <c r="FUM961">
        <v>2852315</v>
      </c>
      <c r="GED961" t="s">
        <v>945</v>
      </c>
      <c r="GEE961">
        <v>474223</v>
      </c>
      <c r="GEF961">
        <v>998938</v>
      </c>
      <c r="GEG961">
        <v>1046496</v>
      </c>
      <c r="GEH961">
        <v>1708019</v>
      </c>
      <c r="GEI961">
        <v>2852315</v>
      </c>
      <c r="GNZ961" t="s">
        <v>945</v>
      </c>
      <c r="GOA961">
        <v>474223</v>
      </c>
      <c r="GOB961">
        <v>998938</v>
      </c>
      <c r="GOC961">
        <v>1046496</v>
      </c>
      <c r="GOD961">
        <v>1708019</v>
      </c>
      <c r="GOE961">
        <v>2852315</v>
      </c>
      <c r="GXV961" t="s">
        <v>945</v>
      </c>
      <c r="GXW961">
        <v>474223</v>
      </c>
      <c r="GXX961">
        <v>998938</v>
      </c>
      <c r="GXY961">
        <v>1046496</v>
      </c>
      <c r="GXZ961">
        <v>1708019</v>
      </c>
      <c r="GYA961">
        <v>2852315</v>
      </c>
      <c r="HHR961" t="s">
        <v>945</v>
      </c>
      <c r="HHS961">
        <v>474223</v>
      </c>
      <c r="HHT961">
        <v>998938</v>
      </c>
      <c r="HHU961">
        <v>1046496</v>
      </c>
      <c r="HHV961">
        <v>1708019</v>
      </c>
      <c r="HHW961">
        <v>2852315</v>
      </c>
      <c r="HRN961" t="s">
        <v>945</v>
      </c>
      <c r="HRO961">
        <v>474223</v>
      </c>
      <c r="HRP961">
        <v>998938</v>
      </c>
      <c r="HRQ961">
        <v>1046496</v>
      </c>
      <c r="HRR961">
        <v>1708019</v>
      </c>
      <c r="HRS961">
        <v>2852315</v>
      </c>
      <c r="IBJ961" t="s">
        <v>945</v>
      </c>
      <c r="IBK961">
        <v>474223</v>
      </c>
      <c r="IBL961">
        <v>998938</v>
      </c>
      <c r="IBM961">
        <v>1046496</v>
      </c>
      <c r="IBN961">
        <v>1708019</v>
      </c>
      <c r="IBO961">
        <v>2852315</v>
      </c>
      <c r="ILF961" t="s">
        <v>945</v>
      </c>
      <c r="ILG961">
        <v>474223</v>
      </c>
      <c r="ILH961">
        <v>998938</v>
      </c>
      <c r="ILI961">
        <v>1046496</v>
      </c>
      <c r="ILJ961">
        <v>1708019</v>
      </c>
      <c r="ILK961">
        <v>2852315</v>
      </c>
      <c r="IVB961" t="s">
        <v>945</v>
      </c>
      <c r="IVC961">
        <v>474223</v>
      </c>
      <c r="IVD961">
        <v>998938</v>
      </c>
      <c r="IVE961">
        <v>1046496</v>
      </c>
      <c r="IVF961">
        <v>1708019</v>
      </c>
      <c r="IVG961">
        <v>2852315</v>
      </c>
      <c r="JEX961" t="s">
        <v>945</v>
      </c>
      <c r="JEY961">
        <v>474223</v>
      </c>
      <c r="JEZ961">
        <v>998938</v>
      </c>
      <c r="JFA961">
        <v>1046496</v>
      </c>
      <c r="JFB961">
        <v>1708019</v>
      </c>
      <c r="JFC961">
        <v>2852315</v>
      </c>
      <c r="JOT961" t="s">
        <v>945</v>
      </c>
      <c r="JOU961">
        <v>474223</v>
      </c>
      <c r="JOV961">
        <v>998938</v>
      </c>
      <c r="JOW961">
        <v>1046496</v>
      </c>
      <c r="JOX961">
        <v>1708019</v>
      </c>
      <c r="JOY961">
        <v>2852315</v>
      </c>
      <c r="JYP961" t="s">
        <v>945</v>
      </c>
      <c r="JYQ961">
        <v>474223</v>
      </c>
      <c r="JYR961">
        <v>998938</v>
      </c>
      <c r="JYS961">
        <v>1046496</v>
      </c>
      <c r="JYT961">
        <v>1708019</v>
      </c>
      <c r="JYU961">
        <v>2852315</v>
      </c>
      <c r="KIL961" t="s">
        <v>945</v>
      </c>
      <c r="KIM961">
        <v>474223</v>
      </c>
      <c r="KIN961">
        <v>998938</v>
      </c>
      <c r="KIO961">
        <v>1046496</v>
      </c>
      <c r="KIP961">
        <v>1708019</v>
      </c>
      <c r="KIQ961">
        <v>2852315</v>
      </c>
      <c r="KSH961" t="s">
        <v>945</v>
      </c>
      <c r="KSI961">
        <v>474223</v>
      </c>
      <c r="KSJ961">
        <v>998938</v>
      </c>
      <c r="KSK961">
        <v>1046496</v>
      </c>
      <c r="KSL961">
        <v>1708019</v>
      </c>
      <c r="KSM961">
        <v>2852315</v>
      </c>
      <c r="LCD961" t="s">
        <v>945</v>
      </c>
      <c r="LCE961">
        <v>474223</v>
      </c>
      <c r="LCF961">
        <v>998938</v>
      </c>
      <c r="LCG961">
        <v>1046496</v>
      </c>
      <c r="LCH961">
        <v>1708019</v>
      </c>
      <c r="LCI961">
        <v>2852315</v>
      </c>
      <c r="LLZ961" t="s">
        <v>945</v>
      </c>
      <c r="LMA961">
        <v>474223</v>
      </c>
      <c r="LMB961">
        <v>998938</v>
      </c>
      <c r="LMC961">
        <v>1046496</v>
      </c>
      <c r="LMD961">
        <v>1708019</v>
      </c>
      <c r="LME961">
        <v>2852315</v>
      </c>
      <c r="LVV961" t="s">
        <v>945</v>
      </c>
      <c r="LVW961">
        <v>474223</v>
      </c>
      <c r="LVX961">
        <v>998938</v>
      </c>
      <c r="LVY961">
        <v>1046496</v>
      </c>
      <c r="LVZ961">
        <v>1708019</v>
      </c>
      <c r="LWA961">
        <v>2852315</v>
      </c>
      <c r="MFR961" t="s">
        <v>945</v>
      </c>
      <c r="MFS961">
        <v>474223</v>
      </c>
      <c r="MFT961">
        <v>998938</v>
      </c>
      <c r="MFU961">
        <v>1046496</v>
      </c>
      <c r="MFV961">
        <v>1708019</v>
      </c>
      <c r="MFW961">
        <v>2852315</v>
      </c>
      <c r="MPN961" t="s">
        <v>945</v>
      </c>
      <c r="MPO961">
        <v>474223</v>
      </c>
      <c r="MPP961">
        <v>998938</v>
      </c>
      <c r="MPQ961">
        <v>1046496</v>
      </c>
      <c r="MPR961">
        <v>1708019</v>
      </c>
      <c r="MPS961">
        <v>2852315</v>
      </c>
      <c r="MZJ961" t="s">
        <v>945</v>
      </c>
      <c r="MZK961">
        <v>474223</v>
      </c>
      <c r="MZL961">
        <v>998938</v>
      </c>
      <c r="MZM961">
        <v>1046496</v>
      </c>
      <c r="MZN961">
        <v>1708019</v>
      </c>
      <c r="MZO961">
        <v>2852315</v>
      </c>
      <c r="NJF961" t="s">
        <v>945</v>
      </c>
      <c r="NJG961">
        <v>474223</v>
      </c>
      <c r="NJH961">
        <v>998938</v>
      </c>
      <c r="NJI961">
        <v>1046496</v>
      </c>
      <c r="NJJ961">
        <v>1708019</v>
      </c>
      <c r="NJK961">
        <v>2852315</v>
      </c>
      <c r="NTB961" t="s">
        <v>945</v>
      </c>
      <c r="NTC961">
        <v>474223</v>
      </c>
      <c r="NTD961">
        <v>998938</v>
      </c>
      <c r="NTE961">
        <v>1046496</v>
      </c>
      <c r="NTF961">
        <v>1708019</v>
      </c>
      <c r="NTG961">
        <v>2852315</v>
      </c>
      <c r="OCX961" t="s">
        <v>945</v>
      </c>
      <c r="OCY961">
        <v>474223</v>
      </c>
      <c r="OCZ961">
        <v>998938</v>
      </c>
      <c r="ODA961">
        <v>1046496</v>
      </c>
      <c r="ODB961">
        <v>1708019</v>
      </c>
      <c r="ODC961">
        <v>2852315</v>
      </c>
      <c r="OMT961" t="s">
        <v>945</v>
      </c>
      <c r="OMU961">
        <v>474223</v>
      </c>
      <c r="OMV961">
        <v>998938</v>
      </c>
      <c r="OMW961">
        <v>1046496</v>
      </c>
      <c r="OMX961">
        <v>1708019</v>
      </c>
      <c r="OMY961">
        <v>2852315</v>
      </c>
      <c r="OWP961" t="s">
        <v>945</v>
      </c>
      <c r="OWQ961">
        <v>474223</v>
      </c>
      <c r="OWR961">
        <v>998938</v>
      </c>
      <c r="OWS961">
        <v>1046496</v>
      </c>
      <c r="OWT961">
        <v>1708019</v>
      </c>
      <c r="OWU961">
        <v>2852315</v>
      </c>
      <c r="PGL961" t="s">
        <v>945</v>
      </c>
      <c r="PGM961">
        <v>474223</v>
      </c>
      <c r="PGN961">
        <v>998938</v>
      </c>
      <c r="PGO961">
        <v>1046496</v>
      </c>
      <c r="PGP961">
        <v>1708019</v>
      </c>
      <c r="PGQ961">
        <v>2852315</v>
      </c>
      <c r="PQH961" t="s">
        <v>945</v>
      </c>
      <c r="PQI961">
        <v>474223</v>
      </c>
      <c r="PQJ961">
        <v>998938</v>
      </c>
      <c r="PQK961">
        <v>1046496</v>
      </c>
      <c r="PQL961">
        <v>1708019</v>
      </c>
      <c r="PQM961">
        <v>2852315</v>
      </c>
      <c r="QAD961" t="s">
        <v>945</v>
      </c>
      <c r="QAE961">
        <v>474223</v>
      </c>
      <c r="QAF961">
        <v>998938</v>
      </c>
      <c r="QAG961">
        <v>1046496</v>
      </c>
      <c r="QAH961">
        <v>1708019</v>
      </c>
      <c r="QAI961">
        <v>2852315</v>
      </c>
      <c r="QJZ961" t="s">
        <v>945</v>
      </c>
      <c r="QKA961">
        <v>474223</v>
      </c>
      <c r="QKB961">
        <v>998938</v>
      </c>
      <c r="QKC961">
        <v>1046496</v>
      </c>
      <c r="QKD961">
        <v>1708019</v>
      </c>
      <c r="QKE961">
        <v>2852315</v>
      </c>
      <c r="QTV961" t="s">
        <v>945</v>
      </c>
      <c r="QTW961">
        <v>474223</v>
      </c>
      <c r="QTX961">
        <v>998938</v>
      </c>
      <c r="QTY961">
        <v>1046496</v>
      </c>
      <c r="QTZ961">
        <v>1708019</v>
      </c>
      <c r="QUA961">
        <v>2852315</v>
      </c>
      <c r="RDR961" t="s">
        <v>945</v>
      </c>
      <c r="RDS961">
        <v>474223</v>
      </c>
      <c r="RDT961">
        <v>998938</v>
      </c>
      <c r="RDU961">
        <v>1046496</v>
      </c>
      <c r="RDV961">
        <v>1708019</v>
      </c>
      <c r="RDW961">
        <v>2852315</v>
      </c>
      <c r="RNN961" t="s">
        <v>945</v>
      </c>
      <c r="RNO961">
        <v>474223</v>
      </c>
      <c r="RNP961">
        <v>998938</v>
      </c>
      <c r="RNQ961">
        <v>1046496</v>
      </c>
      <c r="RNR961">
        <v>1708019</v>
      </c>
      <c r="RNS961">
        <v>2852315</v>
      </c>
      <c r="RXJ961" t="s">
        <v>945</v>
      </c>
      <c r="RXK961">
        <v>474223</v>
      </c>
      <c r="RXL961">
        <v>998938</v>
      </c>
      <c r="RXM961">
        <v>1046496</v>
      </c>
      <c r="RXN961">
        <v>1708019</v>
      </c>
      <c r="RXO961">
        <v>2852315</v>
      </c>
      <c r="SHF961" t="s">
        <v>945</v>
      </c>
      <c r="SHG961">
        <v>474223</v>
      </c>
      <c r="SHH961">
        <v>998938</v>
      </c>
      <c r="SHI961">
        <v>1046496</v>
      </c>
      <c r="SHJ961">
        <v>1708019</v>
      </c>
      <c r="SHK961">
        <v>2852315</v>
      </c>
      <c r="SRB961" t="s">
        <v>945</v>
      </c>
      <c r="SRC961">
        <v>474223</v>
      </c>
      <c r="SRD961">
        <v>998938</v>
      </c>
      <c r="SRE961">
        <v>1046496</v>
      </c>
      <c r="SRF961">
        <v>1708019</v>
      </c>
      <c r="SRG961">
        <v>2852315</v>
      </c>
      <c r="TAX961" t="s">
        <v>945</v>
      </c>
      <c r="TAY961">
        <v>474223</v>
      </c>
      <c r="TAZ961">
        <v>998938</v>
      </c>
      <c r="TBA961">
        <v>1046496</v>
      </c>
      <c r="TBB961">
        <v>1708019</v>
      </c>
      <c r="TBC961">
        <v>2852315</v>
      </c>
      <c r="TKT961" t="s">
        <v>945</v>
      </c>
      <c r="TKU961">
        <v>474223</v>
      </c>
      <c r="TKV961">
        <v>998938</v>
      </c>
      <c r="TKW961">
        <v>1046496</v>
      </c>
      <c r="TKX961">
        <v>1708019</v>
      </c>
      <c r="TKY961">
        <v>2852315</v>
      </c>
      <c r="TUP961" t="s">
        <v>945</v>
      </c>
      <c r="TUQ961">
        <v>474223</v>
      </c>
      <c r="TUR961">
        <v>998938</v>
      </c>
      <c r="TUS961">
        <v>1046496</v>
      </c>
      <c r="TUT961">
        <v>1708019</v>
      </c>
      <c r="TUU961">
        <v>2852315</v>
      </c>
      <c r="UEL961" t="s">
        <v>945</v>
      </c>
      <c r="UEM961">
        <v>474223</v>
      </c>
      <c r="UEN961">
        <v>998938</v>
      </c>
      <c r="UEO961">
        <v>1046496</v>
      </c>
      <c r="UEP961">
        <v>1708019</v>
      </c>
      <c r="UEQ961">
        <v>2852315</v>
      </c>
      <c r="UOH961" t="s">
        <v>945</v>
      </c>
      <c r="UOI961">
        <v>474223</v>
      </c>
      <c r="UOJ961">
        <v>998938</v>
      </c>
      <c r="UOK961">
        <v>1046496</v>
      </c>
      <c r="UOL961">
        <v>1708019</v>
      </c>
      <c r="UOM961">
        <v>2852315</v>
      </c>
      <c r="UYD961" t="s">
        <v>945</v>
      </c>
      <c r="UYE961">
        <v>474223</v>
      </c>
      <c r="UYF961">
        <v>998938</v>
      </c>
      <c r="UYG961">
        <v>1046496</v>
      </c>
      <c r="UYH961">
        <v>1708019</v>
      </c>
      <c r="UYI961">
        <v>2852315</v>
      </c>
      <c r="VHZ961" t="s">
        <v>945</v>
      </c>
      <c r="VIA961">
        <v>474223</v>
      </c>
      <c r="VIB961">
        <v>998938</v>
      </c>
      <c r="VIC961">
        <v>1046496</v>
      </c>
      <c r="VID961">
        <v>1708019</v>
      </c>
      <c r="VIE961">
        <v>2852315</v>
      </c>
      <c r="VRV961" t="s">
        <v>945</v>
      </c>
      <c r="VRW961">
        <v>474223</v>
      </c>
      <c r="VRX961">
        <v>998938</v>
      </c>
      <c r="VRY961">
        <v>1046496</v>
      </c>
      <c r="VRZ961">
        <v>1708019</v>
      </c>
      <c r="VSA961">
        <v>2852315</v>
      </c>
      <c r="WBR961" t="s">
        <v>945</v>
      </c>
      <c r="WBS961">
        <v>474223</v>
      </c>
      <c r="WBT961">
        <v>998938</v>
      </c>
      <c r="WBU961">
        <v>1046496</v>
      </c>
      <c r="WBV961">
        <v>1708019</v>
      </c>
      <c r="WBW961">
        <v>2852315</v>
      </c>
      <c r="WLN961" t="s">
        <v>945</v>
      </c>
      <c r="WLO961">
        <v>474223</v>
      </c>
      <c r="WLP961">
        <v>998938</v>
      </c>
      <c r="WLQ961">
        <v>1046496</v>
      </c>
      <c r="WLR961">
        <v>1708019</v>
      </c>
      <c r="WLS961">
        <v>2852315</v>
      </c>
      <c r="WVJ961" t="s">
        <v>945</v>
      </c>
      <c r="WVK961">
        <v>474223</v>
      </c>
      <c r="WVL961">
        <v>998938</v>
      </c>
      <c r="WVM961">
        <v>1046496</v>
      </c>
      <c r="WVN961">
        <v>1708019</v>
      </c>
      <c r="WVO961">
        <v>2852315</v>
      </c>
    </row>
    <row r="962" spans="1:775 1026:1799 2050:2823 3074:3847 4098:4871 5122:5895 6146:6919 7170:7943 8194:8967 9218:9991 10242:11015 11266:12039 12290:13063 13314:14087 14338:15111 15362:16135">
      <c r="A962" s="1973"/>
      <c r="B962" s="1265" t="s">
        <v>1348</v>
      </c>
      <c r="C962" s="1447">
        <f>C963-C961</f>
        <v>17822</v>
      </c>
      <c r="D962" s="1447">
        <f>D963-D961</f>
        <v>127790</v>
      </c>
      <c r="E962" s="1447">
        <f>E963-E961</f>
        <v>125445</v>
      </c>
      <c r="F962" s="1447"/>
      <c r="G962" s="1447"/>
      <c r="H962" s="1443" t="s">
        <v>1349</v>
      </c>
      <c r="J962" s="32">
        <f>-(J961-I961)</f>
        <v>456401</v>
      </c>
      <c r="K962" s="32">
        <f>-(K961-J961)</f>
        <v>871148</v>
      </c>
      <c r="L962" s="32">
        <f>-(L961-K961)</f>
        <v>921051</v>
      </c>
      <c r="M962" s="255">
        <f>F961</f>
        <v>1708019</v>
      </c>
      <c r="N962" s="255">
        <f>G961</f>
        <v>2852315</v>
      </c>
    </row>
    <row r="963" spans="1:775 1026:1799 2050:2823 3074:3847 4098:4871 5122:5895 6146:6919 7170:7943 8194:8967 9218:9991 10242:11015 11266:12039 12290:13063 13314:14087 14338:15111 15362:16135">
      <c r="A963" s="1970" t="s">
        <v>945</v>
      </c>
      <c r="B963" s="1970"/>
      <c r="C963" s="100">
        <v>474223</v>
      </c>
      <c r="D963" s="100">
        <v>998938</v>
      </c>
      <c r="E963" s="100">
        <v>1046496</v>
      </c>
      <c r="F963" s="100">
        <v>1708019</v>
      </c>
      <c r="G963" s="100">
        <v>2852315</v>
      </c>
      <c r="H963" s="100"/>
      <c r="M963" s="32"/>
    </row>
    <row r="964" spans="1:775 1026:1799 2050:2823 3074:3847 4098:4871 5122:5895 6146:6919 7170:7943 8194:8967 9218:9991 10242:11015 11266:12039 12290:13063 13314:14087 14338:15111 15362:16135">
      <c r="A964" s="96" t="s">
        <v>1350</v>
      </c>
      <c r="B964" s="1265" t="s">
        <v>1351</v>
      </c>
      <c r="C964" s="98">
        <v>0</v>
      </c>
      <c r="D964" s="100">
        <v>522035</v>
      </c>
      <c r="E964" s="100">
        <v>499225</v>
      </c>
      <c r="F964" s="100">
        <v>643895</v>
      </c>
      <c r="G964" s="100">
        <v>1141740</v>
      </c>
      <c r="H964" s="100"/>
      <c r="IX964" t="s">
        <v>1350</v>
      </c>
      <c r="IY964" t="s">
        <v>619</v>
      </c>
      <c r="IZ964">
        <v>522035</v>
      </c>
      <c r="JA964">
        <v>499225</v>
      </c>
      <c r="JB964">
        <v>643895</v>
      </c>
      <c r="JC964">
        <v>1141740</v>
      </c>
      <c r="ST964" t="s">
        <v>1350</v>
      </c>
      <c r="SU964" t="s">
        <v>619</v>
      </c>
      <c r="SV964">
        <v>522035</v>
      </c>
      <c r="SW964">
        <v>499225</v>
      </c>
      <c r="SX964">
        <v>643895</v>
      </c>
      <c r="SY964">
        <v>1141740</v>
      </c>
      <c r="ACP964" t="s">
        <v>1350</v>
      </c>
      <c r="ACQ964" t="s">
        <v>619</v>
      </c>
      <c r="ACR964">
        <v>522035</v>
      </c>
      <c r="ACS964">
        <v>499225</v>
      </c>
      <c r="ACT964">
        <v>643895</v>
      </c>
      <c r="ACU964">
        <v>1141740</v>
      </c>
      <c r="AML964" t="s">
        <v>1350</v>
      </c>
      <c r="AMM964" t="s">
        <v>619</v>
      </c>
      <c r="AMN964">
        <v>522035</v>
      </c>
      <c r="AMO964">
        <v>499225</v>
      </c>
      <c r="AMP964">
        <v>643895</v>
      </c>
      <c r="AMQ964">
        <v>1141740</v>
      </c>
      <c r="AWH964" t="s">
        <v>1350</v>
      </c>
      <c r="AWI964" t="s">
        <v>619</v>
      </c>
      <c r="AWJ964">
        <v>522035</v>
      </c>
      <c r="AWK964">
        <v>499225</v>
      </c>
      <c r="AWL964">
        <v>643895</v>
      </c>
      <c r="AWM964">
        <v>1141740</v>
      </c>
      <c r="BGD964" t="s">
        <v>1350</v>
      </c>
      <c r="BGE964" t="s">
        <v>619</v>
      </c>
      <c r="BGF964">
        <v>522035</v>
      </c>
      <c r="BGG964">
        <v>499225</v>
      </c>
      <c r="BGH964">
        <v>643895</v>
      </c>
      <c r="BGI964">
        <v>1141740</v>
      </c>
      <c r="BPZ964" t="s">
        <v>1350</v>
      </c>
      <c r="BQA964" t="s">
        <v>619</v>
      </c>
      <c r="BQB964">
        <v>522035</v>
      </c>
      <c r="BQC964">
        <v>499225</v>
      </c>
      <c r="BQD964">
        <v>643895</v>
      </c>
      <c r="BQE964">
        <v>1141740</v>
      </c>
      <c r="BZV964" t="s">
        <v>1350</v>
      </c>
      <c r="BZW964" t="s">
        <v>619</v>
      </c>
      <c r="BZX964">
        <v>522035</v>
      </c>
      <c r="BZY964">
        <v>499225</v>
      </c>
      <c r="BZZ964">
        <v>643895</v>
      </c>
      <c r="CAA964">
        <v>1141740</v>
      </c>
      <c r="CJR964" t="s">
        <v>1350</v>
      </c>
      <c r="CJS964" t="s">
        <v>619</v>
      </c>
      <c r="CJT964">
        <v>522035</v>
      </c>
      <c r="CJU964">
        <v>499225</v>
      </c>
      <c r="CJV964">
        <v>643895</v>
      </c>
      <c r="CJW964">
        <v>1141740</v>
      </c>
      <c r="CTN964" t="s">
        <v>1350</v>
      </c>
      <c r="CTO964" t="s">
        <v>619</v>
      </c>
      <c r="CTP964">
        <v>522035</v>
      </c>
      <c r="CTQ964">
        <v>499225</v>
      </c>
      <c r="CTR964">
        <v>643895</v>
      </c>
      <c r="CTS964">
        <v>1141740</v>
      </c>
      <c r="DDJ964" t="s">
        <v>1350</v>
      </c>
      <c r="DDK964" t="s">
        <v>619</v>
      </c>
      <c r="DDL964">
        <v>522035</v>
      </c>
      <c r="DDM964">
        <v>499225</v>
      </c>
      <c r="DDN964">
        <v>643895</v>
      </c>
      <c r="DDO964">
        <v>1141740</v>
      </c>
      <c r="DNF964" t="s">
        <v>1350</v>
      </c>
      <c r="DNG964" t="s">
        <v>619</v>
      </c>
      <c r="DNH964">
        <v>522035</v>
      </c>
      <c r="DNI964">
        <v>499225</v>
      </c>
      <c r="DNJ964">
        <v>643895</v>
      </c>
      <c r="DNK964">
        <v>1141740</v>
      </c>
      <c r="DXB964" t="s">
        <v>1350</v>
      </c>
      <c r="DXC964" t="s">
        <v>619</v>
      </c>
      <c r="DXD964">
        <v>522035</v>
      </c>
      <c r="DXE964">
        <v>499225</v>
      </c>
      <c r="DXF964">
        <v>643895</v>
      </c>
      <c r="DXG964">
        <v>1141740</v>
      </c>
      <c r="EGX964" t="s">
        <v>1350</v>
      </c>
      <c r="EGY964" t="s">
        <v>619</v>
      </c>
      <c r="EGZ964">
        <v>522035</v>
      </c>
      <c r="EHA964">
        <v>499225</v>
      </c>
      <c r="EHB964">
        <v>643895</v>
      </c>
      <c r="EHC964">
        <v>1141740</v>
      </c>
      <c r="EQT964" t="s">
        <v>1350</v>
      </c>
      <c r="EQU964" t="s">
        <v>619</v>
      </c>
      <c r="EQV964">
        <v>522035</v>
      </c>
      <c r="EQW964">
        <v>499225</v>
      </c>
      <c r="EQX964">
        <v>643895</v>
      </c>
      <c r="EQY964">
        <v>1141740</v>
      </c>
      <c r="FAP964" t="s">
        <v>1350</v>
      </c>
      <c r="FAQ964" t="s">
        <v>619</v>
      </c>
      <c r="FAR964">
        <v>522035</v>
      </c>
      <c r="FAS964">
        <v>499225</v>
      </c>
      <c r="FAT964">
        <v>643895</v>
      </c>
      <c r="FAU964">
        <v>1141740</v>
      </c>
      <c r="FKL964" t="s">
        <v>1350</v>
      </c>
      <c r="FKM964" t="s">
        <v>619</v>
      </c>
      <c r="FKN964">
        <v>522035</v>
      </c>
      <c r="FKO964">
        <v>499225</v>
      </c>
      <c r="FKP964">
        <v>643895</v>
      </c>
      <c r="FKQ964">
        <v>1141740</v>
      </c>
      <c r="FUH964" t="s">
        <v>1350</v>
      </c>
      <c r="FUI964" t="s">
        <v>619</v>
      </c>
      <c r="FUJ964">
        <v>522035</v>
      </c>
      <c r="FUK964">
        <v>499225</v>
      </c>
      <c r="FUL964">
        <v>643895</v>
      </c>
      <c r="FUM964">
        <v>1141740</v>
      </c>
      <c r="GED964" t="s">
        <v>1350</v>
      </c>
      <c r="GEE964" t="s">
        <v>619</v>
      </c>
      <c r="GEF964">
        <v>522035</v>
      </c>
      <c r="GEG964">
        <v>499225</v>
      </c>
      <c r="GEH964">
        <v>643895</v>
      </c>
      <c r="GEI964">
        <v>1141740</v>
      </c>
      <c r="GNZ964" t="s">
        <v>1350</v>
      </c>
      <c r="GOA964" t="s">
        <v>619</v>
      </c>
      <c r="GOB964">
        <v>522035</v>
      </c>
      <c r="GOC964">
        <v>499225</v>
      </c>
      <c r="GOD964">
        <v>643895</v>
      </c>
      <c r="GOE964">
        <v>1141740</v>
      </c>
      <c r="GXV964" t="s">
        <v>1350</v>
      </c>
      <c r="GXW964" t="s">
        <v>619</v>
      </c>
      <c r="GXX964">
        <v>522035</v>
      </c>
      <c r="GXY964">
        <v>499225</v>
      </c>
      <c r="GXZ964">
        <v>643895</v>
      </c>
      <c r="GYA964">
        <v>1141740</v>
      </c>
      <c r="HHR964" t="s">
        <v>1350</v>
      </c>
      <c r="HHS964" t="s">
        <v>619</v>
      </c>
      <c r="HHT964">
        <v>522035</v>
      </c>
      <c r="HHU964">
        <v>499225</v>
      </c>
      <c r="HHV964">
        <v>643895</v>
      </c>
      <c r="HHW964">
        <v>1141740</v>
      </c>
      <c r="HRN964" t="s">
        <v>1350</v>
      </c>
      <c r="HRO964" t="s">
        <v>619</v>
      </c>
      <c r="HRP964">
        <v>522035</v>
      </c>
      <c r="HRQ964">
        <v>499225</v>
      </c>
      <c r="HRR964">
        <v>643895</v>
      </c>
      <c r="HRS964">
        <v>1141740</v>
      </c>
      <c r="IBJ964" t="s">
        <v>1350</v>
      </c>
      <c r="IBK964" t="s">
        <v>619</v>
      </c>
      <c r="IBL964">
        <v>522035</v>
      </c>
      <c r="IBM964">
        <v>499225</v>
      </c>
      <c r="IBN964">
        <v>643895</v>
      </c>
      <c r="IBO964">
        <v>1141740</v>
      </c>
      <c r="ILF964" t="s">
        <v>1350</v>
      </c>
      <c r="ILG964" t="s">
        <v>619</v>
      </c>
      <c r="ILH964">
        <v>522035</v>
      </c>
      <c r="ILI964">
        <v>499225</v>
      </c>
      <c r="ILJ964">
        <v>643895</v>
      </c>
      <c r="ILK964">
        <v>1141740</v>
      </c>
      <c r="IVB964" t="s">
        <v>1350</v>
      </c>
      <c r="IVC964" t="s">
        <v>619</v>
      </c>
      <c r="IVD964">
        <v>522035</v>
      </c>
      <c r="IVE964">
        <v>499225</v>
      </c>
      <c r="IVF964">
        <v>643895</v>
      </c>
      <c r="IVG964">
        <v>1141740</v>
      </c>
      <c r="JEX964" t="s">
        <v>1350</v>
      </c>
      <c r="JEY964" t="s">
        <v>619</v>
      </c>
      <c r="JEZ964">
        <v>522035</v>
      </c>
      <c r="JFA964">
        <v>499225</v>
      </c>
      <c r="JFB964">
        <v>643895</v>
      </c>
      <c r="JFC964">
        <v>1141740</v>
      </c>
      <c r="JOT964" t="s">
        <v>1350</v>
      </c>
      <c r="JOU964" t="s">
        <v>619</v>
      </c>
      <c r="JOV964">
        <v>522035</v>
      </c>
      <c r="JOW964">
        <v>499225</v>
      </c>
      <c r="JOX964">
        <v>643895</v>
      </c>
      <c r="JOY964">
        <v>1141740</v>
      </c>
      <c r="JYP964" t="s">
        <v>1350</v>
      </c>
      <c r="JYQ964" t="s">
        <v>619</v>
      </c>
      <c r="JYR964">
        <v>522035</v>
      </c>
      <c r="JYS964">
        <v>499225</v>
      </c>
      <c r="JYT964">
        <v>643895</v>
      </c>
      <c r="JYU964">
        <v>1141740</v>
      </c>
      <c r="KIL964" t="s">
        <v>1350</v>
      </c>
      <c r="KIM964" t="s">
        <v>619</v>
      </c>
      <c r="KIN964">
        <v>522035</v>
      </c>
      <c r="KIO964">
        <v>499225</v>
      </c>
      <c r="KIP964">
        <v>643895</v>
      </c>
      <c r="KIQ964">
        <v>1141740</v>
      </c>
      <c r="KSH964" t="s">
        <v>1350</v>
      </c>
      <c r="KSI964" t="s">
        <v>619</v>
      </c>
      <c r="KSJ964">
        <v>522035</v>
      </c>
      <c r="KSK964">
        <v>499225</v>
      </c>
      <c r="KSL964">
        <v>643895</v>
      </c>
      <c r="KSM964">
        <v>1141740</v>
      </c>
      <c r="LCD964" t="s">
        <v>1350</v>
      </c>
      <c r="LCE964" t="s">
        <v>619</v>
      </c>
      <c r="LCF964">
        <v>522035</v>
      </c>
      <c r="LCG964">
        <v>499225</v>
      </c>
      <c r="LCH964">
        <v>643895</v>
      </c>
      <c r="LCI964">
        <v>1141740</v>
      </c>
      <c r="LLZ964" t="s">
        <v>1350</v>
      </c>
      <c r="LMA964" t="s">
        <v>619</v>
      </c>
      <c r="LMB964">
        <v>522035</v>
      </c>
      <c r="LMC964">
        <v>499225</v>
      </c>
      <c r="LMD964">
        <v>643895</v>
      </c>
      <c r="LME964">
        <v>1141740</v>
      </c>
      <c r="LVV964" t="s">
        <v>1350</v>
      </c>
      <c r="LVW964" t="s">
        <v>619</v>
      </c>
      <c r="LVX964">
        <v>522035</v>
      </c>
      <c r="LVY964">
        <v>499225</v>
      </c>
      <c r="LVZ964">
        <v>643895</v>
      </c>
      <c r="LWA964">
        <v>1141740</v>
      </c>
      <c r="MFR964" t="s">
        <v>1350</v>
      </c>
      <c r="MFS964" t="s">
        <v>619</v>
      </c>
      <c r="MFT964">
        <v>522035</v>
      </c>
      <c r="MFU964">
        <v>499225</v>
      </c>
      <c r="MFV964">
        <v>643895</v>
      </c>
      <c r="MFW964">
        <v>1141740</v>
      </c>
      <c r="MPN964" t="s">
        <v>1350</v>
      </c>
      <c r="MPO964" t="s">
        <v>619</v>
      </c>
      <c r="MPP964">
        <v>522035</v>
      </c>
      <c r="MPQ964">
        <v>499225</v>
      </c>
      <c r="MPR964">
        <v>643895</v>
      </c>
      <c r="MPS964">
        <v>1141740</v>
      </c>
      <c r="MZJ964" t="s">
        <v>1350</v>
      </c>
      <c r="MZK964" t="s">
        <v>619</v>
      </c>
      <c r="MZL964">
        <v>522035</v>
      </c>
      <c r="MZM964">
        <v>499225</v>
      </c>
      <c r="MZN964">
        <v>643895</v>
      </c>
      <c r="MZO964">
        <v>1141740</v>
      </c>
      <c r="NJF964" t="s">
        <v>1350</v>
      </c>
      <c r="NJG964" t="s">
        <v>619</v>
      </c>
      <c r="NJH964">
        <v>522035</v>
      </c>
      <c r="NJI964">
        <v>499225</v>
      </c>
      <c r="NJJ964">
        <v>643895</v>
      </c>
      <c r="NJK964">
        <v>1141740</v>
      </c>
      <c r="NTB964" t="s">
        <v>1350</v>
      </c>
      <c r="NTC964" t="s">
        <v>619</v>
      </c>
      <c r="NTD964">
        <v>522035</v>
      </c>
      <c r="NTE964">
        <v>499225</v>
      </c>
      <c r="NTF964">
        <v>643895</v>
      </c>
      <c r="NTG964">
        <v>1141740</v>
      </c>
      <c r="OCX964" t="s">
        <v>1350</v>
      </c>
      <c r="OCY964" t="s">
        <v>619</v>
      </c>
      <c r="OCZ964">
        <v>522035</v>
      </c>
      <c r="ODA964">
        <v>499225</v>
      </c>
      <c r="ODB964">
        <v>643895</v>
      </c>
      <c r="ODC964">
        <v>1141740</v>
      </c>
      <c r="OMT964" t="s">
        <v>1350</v>
      </c>
      <c r="OMU964" t="s">
        <v>619</v>
      </c>
      <c r="OMV964">
        <v>522035</v>
      </c>
      <c r="OMW964">
        <v>499225</v>
      </c>
      <c r="OMX964">
        <v>643895</v>
      </c>
      <c r="OMY964">
        <v>1141740</v>
      </c>
      <c r="OWP964" t="s">
        <v>1350</v>
      </c>
      <c r="OWQ964" t="s">
        <v>619</v>
      </c>
      <c r="OWR964">
        <v>522035</v>
      </c>
      <c r="OWS964">
        <v>499225</v>
      </c>
      <c r="OWT964">
        <v>643895</v>
      </c>
      <c r="OWU964">
        <v>1141740</v>
      </c>
      <c r="PGL964" t="s">
        <v>1350</v>
      </c>
      <c r="PGM964" t="s">
        <v>619</v>
      </c>
      <c r="PGN964">
        <v>522035</v>
      </c>
      <c r="PGO964">
        <v>499225</v>
      </c>
      <c r="PGP964">
        <v>643895</v>
      </c>
      <c r="PGQ964">
        <v>1141740</v>
      </c>
      <c r="PQH964" t="s">
        <v>1350</v>
      </c>
      <c r="PQI964" t="s">
        <v>619</v>
      </c>
      <c r="PQJ964">
        <v>522035</v>
      </c>
      <c r="PQK964">
        <v>499225</v>
      </c>
      <c r="PQL964">
        <v>643895</v>
      </c>
      <c r="PQM964">
        <v>1141740</v>
      </c>
      <c r="QAD964" t="s">
        <v>1350</v>
      </c>
      <c r="QAE964" t="s">
        <v>619</v>
      </c>
      <c r="QAF964">
        <v>522035</v>
      </c>
      <c r="QAG964">
        <v>499225</v>
      </c>
      <c r="QAH964">
        <v>643895</v>
      </c>
      <c r="QAI964">
        <v>1141740</v>
      </c>
      <c r="QJZ964" t="s">
        <v>1350</v>
      </c>
      <c r="QKA964" t="s">
        <v>619</v>
      </c>
      <c r="QKB964">
        <v>522035</v>
      </c>
      <c r="QKC964">
        <v>499225</v>
      </c>
      <c r="QKD964">
        <v>643895</v>
      </c>
      <c r="QKE964">
        <v>1141740</v>
      </c>
      <c r="QTV964" t="s">
        <v>1350</v>
      </c>
      <c r="QTW964" t="s">
        <v>619</v>
      </c>
      <c r="QTX964">
        <v>522035</v>
      </c>
      <c r="QTY964">
        <v>499225</v>
      </c>
      <c r="QTZ964">
        <v>643895</v>
      </c>
      <c r="QUA964">
        <v>1141740</v>
      </c>
      <c r="RDR964" t="s">
        <v>1350</v>
      </c>
      <c r="RDS964" t="s">
        <v>619</v>
      </c>
      <c r="RDT964">
        <v>522035</v>
      </c>
      <c r="RDU964">
        <v>499225</v>
      </c>
      <c r="RDV964">
        <v>643895</v>
      </c>
      <c r="RDW964">
        <v>1141740</v>
      </c>
      <c r="RNN964" t="s">
        <v>1350</v>
      </c>
      <c r="RNO964" t="s">
        <v>619</v>
      </c>
      <c r="RNP964">
        <v>522035</v>
      </c>
      <c r="RNQ964">
        <v>499225</v>
      </c>
      <c r="RNR964">
        <v>643895</v>
      </c>
      <c r="RNS964">
        <v>1141740</v>
      </c>
      <c r="RXJ964" t="s">
        <v>1350</v>
      </c>
      <c r="RXK964" t="s">
        <v>619</v>
      </c>
      <c r="RXL964">
        <v>522035</v>
      </c>
      <c r="RXM964">
        <v>499225</v>
      </c>
      <c r="RXN964">
        <v>643895</v>
      </c>
      <c r="RXO964">
        <v>1141740</v>
      </c>
      <c r="SHF964" t="s">
        <v>1350</v>
      </c>
      <c r="SHG964" t="s">
        <v>619</v>
      </c>
      <c r="SHH964">
        <v>522035</v>
      </c>
      <c r="SHI964">
        <v>499225</v>
      </c>
      <c r="SHJ964">
        <v>643895</v>
      </c>
      <c r="SHK964">
        <v>1141740</v>
      </c>
      <c r="SRB964" t="s">
        <v>1350</v>
      </c>
      <c r="SRC964" t="s">
        <v>619</v>
      </c>
      <c r="SRD964">
        <v>522035</v>
      </c>
      <c r="SRE964">
        <v>499225</v>
      </c>
      <c r="SRF964">
        <v>643895</v>
      </c>
      <c r="SRG964">
        <v>1141740</v>
      </c>
      <c r="TAX964" t="s">
        <v>1350</v>
      </c>
      <c r="TAY964" t="s">
        <v>619</v>
      </c>
      <c r="TAZ964">
        <v>522035</v>
      </c>
      <c r="TBA964">
        <v>499225</v>
      </c>
      <c r="TBB964">
        <v>643895</v>
      </c>
      <c r="TBC964">
        <v>1141740</v>
      </c>
      <c r="TKT964" t="s">
        <v>1350</v>
      </c>
      <c r="TKU964" t="s">
        <v>619</v>
      </c>
      <c r="TKV964">
        <v>522035</v>
      </c>
      <c r="TKW964">
        <v>499225</v>
      </c>
      <c r="TKX964">
        <v>643895</v>
      </c>
      <c r="TKY964">
        <v>1141740</v>
      </c>
      <c r="TUP964" t="s">
        <v>1350</v>
      </c>
      <c r="TUQ964" t="s">
        <v>619</v>
      </c>
      <c r="TUR964">
        <v>522035</v>
      </c>
      <c r="TUS964">
        <v>499225</v>
      </c>
      <c r="TUT964">
        <v>643895</v>
      </c>
      <c r="TUU964">
        <v>1141740</v>
      </c>
      <c r="UEL964" t="s">
        <v>1350</v>
      </c>
      <c r="UEM964" t="s">
        <v>619</v>
      </c>
      <c r="UEN964">
        <v>522035</v>
      </c>
      <c r="UEO964">
        <v>499225</v>
      </c>
      <c r="UEP964">
        <v>643895</v>
      </c>
      <c r="UEQ964">
        <v>1141740</v>
      </c>
      <c r="UOH964" t="s">
        <v>1350</v>
      </c>
      <c r="UOI964" t="s">
        <v>619</v>
      </c>
      <c r="UOJ964">
        <v>522035</v>
      </c>
      <c r="UOK964">
        <v>499225</v>
      </c>
      <c r="UOL964">
        <v>643895</v>
      </c>
      <c r="UOM964">
        <v>1141740</v>
      </c>
      <c r="UYD964" t="s">
        <v>1350</v>
      </c>
      <c r="UYE964" t="s">
        <v>619</v>
      </c>
      <c r="UYF964">
        <v>522035</v>
      </c>
      <c r="UYG964">
        <v>499225</v>
      </c>
      <c r="UYH964">
        <v>643895</v>
      </c>
      <c r="UYI964">
        <v>1141740</v>
      </c>
      <c r="VHZ964" t="s">
        <v>1350</v>
      </c>
      <c r="VIA964" t="s">
        <v>619</v>
      </c>
      <c r="VIB964">
        <v>522035</v>
      </c>
      <c r="VIC964">
        <v>499225</v>
      </c>
      <c r="VID964">
        <v>643895</v>
      </c>
      <c r="VIE964">
        <v>1141740</v>
      </c>
      <c r="VRV964" t="s">
        <v>1350</v>
      </c>
      <c r="VRW964" t="s">
        <v>619</v>
      </c>
      <c r="VRX964">
        <v>522035</v>
      </c>
      <c r="VRY964">
        <v>499225</v>
      </c>
      <c r="VRZ964">
        <v>643895</v>
      </c>
      <c r="VSA964">
        <v>1141740</v>
      </c>
      <c r="WBR964" t="s">
        <v>1350</v>
      </c>
      <c r="WBS964" t="s">
        <v>619</v>
      </c>
      <c r="WBT964">
        <v>522035</v>
      </c>
      <c r="WBU964">
        <v>499225</v>
      </c>
      <c r="WBV964">
        <v>643895</v>
      </c>
      <c r="WBW964">
        <v>1141740</v>
      </c>
      <c r="WLN964" t="s">
        <v>1350</v>
      </c>
      <c r="WLO964" t="s">
        <v>619</v>
      </c>
      <c r="WLP964">
        <v>522035</v>
      </c>
      <c r="WLQ964">
        <v>499225</v>
      </c>
      <c r="WLR964">
        <v>643895</v>
      </c>
      <c r="WLS964">
        <v>1141740</v>
      </c>
      <c r="WVJ964" t="s">
        <v>1350</v>
      </c>
      <c r="WVK964" t="s">
        <v>619</v>
      </c>
      <c r="WVL964">
        <v>522035</v>
      </c>
      <c r="WVM964">
        <v>499225</v>
      </c>
      <c r="WVN964">
        <v>643895</v>
      </c>
      <c r="WVO964">
        <v>1141740</v>
      </c>
    </row>
    <row r="965" spans="1:775 1026:1799 2050:2823 3074:3847 4098:4871 5122:5895 6146:6919 7170:7943 8194:8967 9218:9991 10242:11015 11266:12039 12290:13063 13314:14087 14338:15111 15362:16135">
      <c r="A965" s="96" t="s">
        <v>1352</v>
      </c>
      <c r="B965" s="1265" t="s">
        <v>773</v>
      </c>
      <c r="C965" s="100">
        <v>21547</v>
      </c>
      <c r="D965" s="100">
        <v>50845</v>
      </c>
      <c r="E965" s="100">
        <v>127662</v>
      </c>
      <c r="F965" s="100">
        <v>31107</v>
      </c>
      <c r="G965" s="100">
        <v>12807</v>
      </c>
      <c r="H965" s="100"/>
      <c r="IX965" t="s">
        <v>1352</v>
      </c>
      <c r="IY965">
        <v>21547</v>
      </c>
      <c r="IZ965">
        <v>50845</v>
      </c>
      <c r="JA965">
        <v>127662</v>
      </c>
      <c r="JB965">
        <v>31107</v>
      </c>
      <c r="JC965">
        <v>12807</v>
      </c>
      <c r="ST965" t="s">
        <v>1352</v>
      </c>
      <c r="SU965">
        <v>21547</v>
      </c>
      <c r="SV965">
        <v>50845</v>
      </c>
      <c r="SW965">
        <v>127662</v>
      </c>
      <c r="SX965">
        <v>31107</v>
      </c>
      <c r="SY965">
        <v>12807</v>
      </c>
      <c r="ACP965" t="s">
        <v>1352</v>
      </c>
      <c r="ACQ965">
        <v>21547</v>
      </c>
      <c r="ACR965">
        <v>50845</v>
      </c>
      <c r="ACS965">
        <v>127662</v>
      </c>
      <c r="ACT965">
        <v>31107</v>
      </c>
      <c r="ACU965">
        <v>12807</v>
      </c>
      <c r="AML965" t="s">
        <v>1352</v>
      </c>
      <c r="AMM965">
        <v>21547</v>
      </c>
      <c r="AMN965">
        <v>50845</v>
      </c>
      <c r="AMO965">
        <v>127662</v>
      </c>
      <c r="AMP965">
        <v>31107</v>
      </c>
      <c r="AMQ965">
        <v>12807</v>
      </c>
      <c r="AWH965" t="s">
        <v>1352</v>
      </c>
      <c r="AWI965">
        <v>21547</v>
      </c>
      <c r="AWJ965">
        <v>50845</v>
      </c>
      <c r="AWK965">
        <v>127662</v>
      </c>
      <c r="AWL965">
        <v>31107</v>
      </c>
      <c r="AWM965">
        <v>12807</v>
      </c>
      <c r="BGD965" t="s">
        <v>1352</v>
      </c>
      <c r="BGE965">
        <v>21547</v>
      </c>
      <c r="BGF965">
        <v>50845</v>
      </c>
      <c r="BGG965">
        <v>127662</v>
      </c>
      <c r="BGH965">
        <v>31107</v>
      </c>
      <c r="BGI965">
        <v>12807</v>
      </c>
      <c r="BPZ965" t="s">
        <v>1352</v>
      </c>
      <c r="BQA965">
        <v>21547</v>
      </c>
      <c r="BQB965">
        <v>50845</v>
      </c>
      <c r="BQC965">
        <v>127662</v>
      </c>
      <c r="BQD965">
        <v>31107</v>
      </c>
      <c r="BQE965">
        <v>12807</v>
      </c>
      <c r="BZV965" t="s">
        <v>1352</v>
      </c>
      <c r="BZW965">
        <v>21547</v>
      </c>
      <c r="BZX965">
        <v>50845</v>
      </c>
      <c r="BZY965">
        <v>127662</v>
      </c>
      <c r="BZZ965">
        <v>31107</v>
      </c>
      <c r="CAA965">
        <v>12807</v>
      </c>
      <c r="CJR965" t="s">
        <v>1352</v>
      </c>
      <c r="CJS965">
        <v>21547</v>
      </c>
      <c r="CJT965">
        <v>50845</v>
      </c>
      <c r="CJU965">
        <v>127662</v>
      </c>
      <c r="CJV965">
        <v>31107</v>
      </c>
      <c r="CJW965">
        <v>12807</v>
      </c>
      <c r="CTN965" t="s">
        <v>1352</v>
      </c>
      <c r="CTO965">
        <v>21547</v>
      </c>
      <c r="CTP965">
        <v>50845</v>
      </c>
      <c r="CTQ965">
        <v>127662</v>
      </c>
      <c r="CTR965">
        <v>31107</v>
      </c>
      <c r="CTS965">
        <v>12807</v>
      </c>
      <c r="DDJ965" t="s">
        <v>1352</v>
      </c>
      <c r="DDK965">
        <v>21547</v>
      </c>
      <c r="DDL965">
        <v>50845</v>
      </c>
      <c r="DDM965">
        <v>127662</v>
      </c>
      <c r="DDN965">
        <v>31107</v>
      </c>
      <c r="DDO965">
        <v>12807</v>
      </c>
      <c r="DNF965" t="s">
        <v>1352</v>
      </c>
      <c r="DNG965">
        <v>21547</v>
      </c>
      <c r="DNH965">
        <v>50845</v>
      </c>
      <c r="DNI965">
        <v>127662</v>
      </c>
      <c r="DNJ965">
        <v>31107</v>
      </c>
      <c r="DNK965">
        <v>12807</v>
      </c>
      <c r="DXB965" t="s">
        <v>1352</v>
      </c>
      <c r="DXC965">
        <v>21547</v>
      </c>
      <c r="DXD965">
        <v>50845</v>
      </c>
      <c r="DXE965">
        <v>127662</v>
      </c>
      <c r="DXF965">
        <v>31107</v>
      </c>
      <c r="DXG965">
        <v>12807</v>
      </c>
      <c r="EGX965" t="s">
        <v>1352</v>
      </c>
      <c r="EGY965">
        <v>21547</v>
      </c>
      <c r="EGZ965">
        <v>50845</v>
      </c>
      <c r="EHA965">
        <v>127662</v>
      </c>
      <c r="EHB965">
        <v>31107</v>
      </c>
      <c r="EHC965">
        <v>12807</v>
      </c>
      <c r="EQT965" t="s">
        <v>1352</v>
      </c>
      <c r="EQU965">
        <v>21547</v>
      </c>
      <c r="EQV965">
        <v>50845</v>
      </c>
      <c r="EQW965">
        <v>127662</v>
      </c>
      <c r="EQX965">
        <v>31107</v>
      </c>
      <c r="EQY965">
        <v>12807</v>
      </c>
      <c r="FAP965" t="s">
        <v>1352</v>
      </c>
      <c r="FAQ965">
        <v>21547</v>
      </c>
      <c r="FAR965">
        <v>50845</v>
      </c>
      <c r="FAS965">
        <v>127662</v>
      </c>
      <c r="FAT965">
        <v>31107</v>
      </c>
      <c r="FAU965">
        <v>12807</v>
      </c>
      <c r="FKL965" t="s">
        <v>1352</v>
      </c>
      <c r="FKM965">
        <v>21547</v>
      </c>
      <c r="FKN965">
        <v>50845</v>
      </c>
      <c r="FKO965">
        <v>127662</v>
      </c>
      <c r="FKP965">
        <v>31107</v>
      </c>
      <c r="FKQ965">
        <v>12807</v>
      </c>
      <c r="FUH965" t="s">
        <v>1352</v>
      </c>
      <c r="FUI965">
        <v>21547</v>
      </c>
      <c r="FUJ965">
        <v>50845</v>
      </c>
      <c r="FUK965">
        <v>127662</v>
      </c>
      <c r="FUL965">
        <v>31107</v>
      </c>
      <c r="FUM965">
        <v>12807</v>
      </c>
      <c r="GED965" t="s">
        <v>1352</v>
      </c>
      <c r="GEE965">
        <v>21547</v>
      </c>
      <c r="GEF965">
        <v>50845</v>
      </c>
      <c r="GEG965">
        <v>127662</v>
      </c>
      <c r="GEH965">
        <v>31107</v>
      </c>
      <c r="GEI965">
        <v>12807</v>
      </c>
      <c r="GNZ965" t="s">
        <v>1352</v>
      </c>
      <c r="GOA965">
        <v>21547</v>
      </c>
      <c r="GOB965">
        <v>50845</v>
      </c>
      <c r="GOC965">
        <v>127662</v>
      </c>
      <c r="GOD965">
        <v>31107</v>
      </c>
      <c r="GOE965">
        <v>12807</v>
      </c>
      <c r="GXV965" t="s">
        <v>1352</v>
      </c>
      <c r="GXW965">
        <v>21547</v>
      </c>
      <c r="GXX965">
        <v>50845</v>
      </c>
      <c r="GXY965">
        <v>127662</v>
      </c>
      <c r="GXZ965">
        <v>31107</v>
      </c>
      <c r="GYA965">
        <v>12807</v>
      </c>
      <c r="HHR965" t="s">
        <v>1352</v>
      </c>
      <c r="HHS965">
        <v>21547</v>
      </c>
      <c r="HHT965">
        <v>50845</v>
      </c>
      <c r="HHU965">
        <v>127662</v>
      </c>
      <c r="HHV965">
        <v>31107</v>
      </c>
      <c r="HHW965">
        <v>12807</v>
      </c>
      <c r="HRN965" t="s">
        <v>1352</v>
      </c>
      <c r="HRO965">
        <v>21547</v>
      </c>
      <c r="HRP965">
        <v>50845</v>
      </c>
      <c r="HRQ965">
        <v>127662</v>
      </c>
      <c r="HRR965">
        <v>31107</v>
      </c>
      <c r="HRS965">
        <v>12807</v>
      </c>
      <c r="IBJ965" t="s">
        <v>1352</v>
      </c>
      <c r="IBK965">
        <v>21547</v>
      </c>
      <c r="IBL965">
        <v>50845</v>
      </c>
      <c r="IBM965">
        <v>127662</v>
      </c>
      <c r="IBN965">
        <v>31107</v>
      </c>
      <c r="IBO965">
        <v>12807</v>
      </c>
      <c r="ILF965" t="s">
        <v>1352</v>
      </c>
      <c r="ILG965">
        <v>21547</v>
      </c>
      <c r="ILH965">
        <v>50845</v>
      </c>
      <c r="ILI965">
        <v>127662</v>
      </c>
      <c r="ILJ965">
        <v>31107</v>
      </c>
      <c r="ILK965">
        <v>12807</v>
      </c>
      <c r="IVB965" t="s">
        <v>1352</v>
      </c>
      <c r="IVC965">
        <v>21547</v>
      </c>
      <c r="IVD965">
        <v>50845</v>
      </c>
      <c r="IVE965">
        <v>127662</v>
      </c>
      <c r="IVF965">
        <v>31107</v>
      </c>
      <c r="IVG965">
        <v>12807</v>
      </c>
      <c r="JEX965" t="s">
        <v>1352</v>
      </c>
      <c r="JEY965">
        <v>21547</v>
      </c>
      <c r="JEZ965">
        <v>50845</v>
      </c>
      <c r="JFA965">
        <v>127662</v>
      </c>
      <c r="JFB965">
        <v>31107</v>
      </c>
      <c r="JFC965">
        <v>12807</v>
      </c>
      <c r="JOT965" t="s">
        <v>1352</v>
      </c>
      <c r="JOU965">
        <v>21547</v>
      </c>
      <c r="JOV965">
        <v>50845</v>
      </c>
      <c r="JOW965">
        <v>127662</v>
      </c>
      <c r="JOX965">
        <v>31107</v>
      </c>
      <c r="JOY965">
        <v>12807</v>
      </c>
      <c r="JYP965" t="s">
        <v>1352</v>
      </c>
      <c r="JYQ965">
        <v>21547</v>
      </c>
      <c r="JYR965">
        <v>50845</v>
      </c>
      <c r="JYS965">
        <v>127662</v>
      </c>
      <c r="JYT965">
        <v>31107</v>
      </c>
      <c r="JYU965">
        <v>12807</v>
      </c>
      <c r="KIL965" t="s">
        <v>1352</v>
      </c>
      <c r="KIM965">
        <v>21547</v>
      </c>
      <c r="KIN965">
        <v>50845</v>
      </c>
      <c r="KIO965">
        <v>127662</v>
      </c>
      <c r="KIP965">
        <v>31107</v>
      </c>
      <c r="KIQ965">
        <v>12807</v>
      </c>
      <c r="KSH965" t="s">
        <v>1352</v>
      </c>
      <c r="KSI965">
        <v>21547</v>
      </c>
      <c r="KSJ965">
        <v>50845</v>
      </c>
      <c r="KSK965">
        <v>127662</v>
      </c>
      <c r="KSL965">
        <v>31107</v>
      </c>
      <c r="KSM965">
        <v>12807</v>
      </c>
      <c r="LCD965" t="s">
        <v>1352</v>
      </c>
      <c r="LCE965">
        <v>21547</v>
      </c>
      <c r="LCF965">
        <v>50845</v>
      </c>
      <c r="LCG965">
        <v>127662</v>
      </c>
      <c r="LCH965">
        <v>31107</v>
      </c>
      <c r="LCI965">
        <v>12807</v>
      </c>
      <c r="LLZ965" t="s">
        <v>1352</v>
      </c>
      <c r="LMA965">
        <v>21547</v>
      </c>
      <c r="LMB965">
        <v>50845</v>
      </c>
      <c r="LMC965">
        <v>127662</v>
      </c>
      <c r="LMD965">
        <v>31107</v>
      </c>
      <c r="LME965">
        <v>12807</v>
      </c>
      <c r="LVV965" t="s">
        <v>1352</v>
      </c>
      <c r="LVW965">
        <v>21547</v>
      </c>
      <c r="LVX965">
        <v>50845</v>
      </c>
      <c r="LVY965">
        <v>127662</v>
      </c>
      <c r="LVZ965">
        <v>31107</v>
      </c>
      <c r="LWA965">
        <v>12807</v>
      </c>
      <c r="MFR965" t="s">
        <v>1352</v>
      </c>
      <c r="MFS965">
        <v>21547</v>
      </c>
      <c r="MFT965">
        <v>50845</v>
      </c>
      <c r="MFU965">
        <v>127662</v>
      </c>
      <c r="MFV965">
        <v>31107</v>
      </c>
      <c r="MFW965">
        <v>12807</v>
      </c>
      <c r="MPN965" t="s">
        <v>1352</v>
      </c>
      <c r="MPO965">
        <v>21547</v>
      </c>
      <c r="MPP965">
        <v>50845</v>
      </c>
      <c r="MPQ965">
        <v>127662</v>
      </c>
      <c r="MPR965">
        <v>31107</v>
      </c>
      <c r="MPS965">
        <v>12807</v>
      </c>
      <c r="MZJ965" t="s">
        <v>1352</v>
      </c>
      <c r="MZK965">
        <v>21547</v>
      </c>
      <c r="MZL965">
        <v>50845</v>
      </c>
      <c r="MZM965">
        <v>127662</v>
      </c>
      <c r="MZN965">
        <v>31107</v>
      </c>
      <c r="MZO965">
        <v>12807</v>
      </c>
      <c r="NJF965" t="s">
        <v>1352</v>
      </c>
      <c r="NJG965">
        <v>21547</v>
      </c>
      <c r="NJH965">
        <v>50845</v>
      </c>
      <c r="NJI965">
        <v>127662</v>
      </c>
      <c r="NJJ965">
        <v>31107</v>
      </c>
      <c r="NJK965">
        <v>12807</v>
      </c>
      <c r="NTB965" t="s">
        <v>1352</v>
      </c>
      <c r="NTC965">
        <v>21547</v>
      </c>
      <c r="NTD965">
        <v>50845</v>
      </c>
      <c r="NTE965">
        <v>127662</v>
      </c>
      <c r="NTF965">
        <v>31107</v>
      </c>
      <c r="NTG965">
        <v>12807</v>
      </c>
      <c r="OCX965" t="s">
        <v>1352</v>
      </c>
      <c r="OCY965">
        <v>21547</v>
      </c>
      <c r="OCZ965">
        <v>50845</v>
      </c>
      <c r="ODA965">
        <v>127662</v>
      </c>
      <c r="ODB965">
        <v>31107</v>
      </c>
      <c r="ODC965">
        <v>12807</v>
      </c>
      <c r="OMT965" t="s">
        <v>1352</v>
      </c>
      <c r="OMU965">
        <v>21547</v>
      </c>
      <c r="OMV965">
        <v>50845</v>
      </c>
      <c r="OMW965">
        <v>127662</v>
      </c>
      <c r="OMX965">
        <v>31107</v>
      </c>
      <c r="OMY965">
        <v>12807</v>
      </c>
      <c r="OWP965" t="s">
        <v>1352</v>
      </c>
      <c r="OWQ965">
        <v>21547</v>
      </c>
      <c r="OWR965">
        <v>50845</v>
      </c>
      <c r="OWS965">
        <v>127662</v>
      </c>
      <c r="OWT965">
        <v>31107</v>
      </c>
      <c r="OWU965">
        <v>12807</v>
      </c>
      <c r="PGL965" t="s">
        <v>1352</v>
      </c>
      <c r="PGM965">
        <v>21547</v>
      </c>
      <c r="PGN965">
        <v>50845</v>
      </c>
      <c r="PGO965">
        <v>127662</v>
      </c>
      <c r="PGP965">
        <v>31107</v>
      </c>
      <c r="PGQ965">
        <v>12807</v>
      </c>
      <c r="PQH965" t="s">
        <v>1352</v>
      </c>
      <c r="PQI965">
        <v>21547</v>
      </c>
      <c r="PQJ965">
        <v>50845</v>
      </c>
      <c r="PQK965">
        <v>127662</v>
      </c>
      <c r="PQL965">
        <v>31107</v>
      </c>
      <c r="PQM965">
        <v>12807</v>
      </c>
      <c r="QAD965" t="s">
        <v>1352</v>
      </c>
      <c r="QAE965">
        <v>21547</v>
      </c>
      <c r="QAF965">
        <v>50845</v>
      </c>
      <c r="QAG965">
        <v>127662</v>
      </c>
      <c r="QAH965">
        <v>31107</v>
      </c>
      <c r="QAI965">
        <v>12807</v>
      </c>
      <c r="QJZ965" t="s">
        <v>1352</v>
      </c>
      <c r="QKA965">
        <v>21547</v>
      </c>
      <c r="QKB965">
        <v>50845</v>
      </c>
      <c r="QKC965">
        <v>127662</v>
      </c>
      <c r="QKD965">
        <v>31107</v>
      </c>
      <c r="QKE965">
        <v>12807</v>
      </c>
      <c r="QTV965" t="s">
        <v>1352</v>
      </c>
      <c r="QTW965">
        <v>21547</v>
      </c>
      <c r="QTX965">
        <v>50845</v>
      </c>
      <c r="QTY965">
        <v>127662</v>
      </c>
      <c r="QTZ965">
        <v>31107</v>
      </c>
      <c r="QUA965">
        <v>12807</v>
      </c>
      <c r="RDR965" t="s">
        <v>1352</v>
      </c>
      <c r="RDS965">
        <v>21547</v>
      </c>
      <c r="RDT965">
        <v>50845</v>
      </c>
      <c r="RDU965">
        <v>127662</v>
      </c>
      <c r="RDV965">
        <v>31107</v>
      </c>
      <c r="RDW965">
        <v>12807</v>
      </c>
      <c r="RNN965" t="s">
        <v>1352</v>
      </c>
      <c r="RNO965">
        <v>21547</v>
      </c>
      <c r="RNP965">
        <v>50845</v>
      </c>
      <c r="RNQ965">
        <v>127662</v>
      </c>
      <c r="RNR965">
        <v>31107</v>
      </c>
      <c r="RNS965">
        <v>12807</v>
      </c>
      <c r="RXJ965" t="s">
        <v>1352</v>
      </c>
      <c r="RXK965">
        <v>21547</v>
      </c>
      <c r="RXL965">
        <v>50845</v>
      </c>
      <c r="RXM965">
        <v>127662</v>
      </c>
      <c r="RXN965">
        <v>31107</v>
      </c>
      <c r="RXO965">
        <v>12807</v>
      </c>
      <c r="SHF965" t="s">
        <v>1352</v>
      </c>
      <c r="SHG965">
        <v>21547</v>
      </c>
      <c r="SHH965">
        <v>50845</v>
      </c>
      <c r="SHI965">
        <v>127662</v>
      </c>
      <c r="SHJ965">
        <v>31107</v>
      </c>
      <c r="SHK965">
        <v>12807</v>
      </c>
      <c r="SRB965" t="s">
        <v>1352</v>
      </c>
      <c r="SRC965">
        <v>21547</v>
      </c>
      <c r="SRD965">
        <v>50845</v>
      </c>
      <c r="SRE965">
        <v>127662</v>
      </c>
      <c r="SRF965">
        <v>31107</v>
      </c>
      <c r="SRG965">
        <v>12807</v>
      </c>
      <c r="TAX965" t="s">
        <v>1352</v>
      </c>
      <c r="TAY965">
        <v>21547</v>
      </c>
      <c r="TAZ965">
        <v>50845</v>
      </c>
      <c r="TBA965">
        <v>127662</v>
      </c>
      <c r="TBB965">
        <v>31107</v>
      </c>
      <c r="TBC965">
        <v>12807</v>
      </c>
      <c r="TKT965" t="s">
        <v>1352</v>
      </c>
      <c r="TKU965">
        <v>21547</v>
      </c>
      <c r="TKV965">
        <v>50845</v>
      </c>
      <c r="TKW965">
        <v>127662</v>
      </c>
      <c r="TKX965">
        <v>31107</v>
      </c>
      <c r="TKY965">
        <v>12807</v>
      </c>
      <c r="TUP965" t="s">
        <v>1352</v>
      </c>
      <c r="TUQ965">
        <v>21547</v>
      </c>
      <c r="TUR965">
        <v>50845</v>
      </c>
      <c r="TUS965">
        <v>127662</v>
      </c>
      <c r="TUT965">
        <v>31107</v>
      </c>
      <c r="TUU965">
        <v>12807</v>
      </c>
      <c r="UEL965" t="s">
        <v>1352</v>
      </c>
      <c r="UEM965">
        <v>21547</v>
      </c>
      <c r="UEN965">
        <v>50845</v>
      </c>
      <c r="UEO965">
        <v>127662</v>
      </c>
      <c r="UEP965">
        <v>31107</v>
      </c>
      <c r="UEQ965">
        <v>12807</v>
      </c>
      <c r="UOH965" t="s">
        <v>1352</v>
      </c>
      <c r="UOI965">
        <v>21547</v>
      </c>
      <c r="UOJ965">
        <v>50845</v>
      </c>
      <c r="UOK965">
        <v>127662</v>
      </c>
      <c r="UOL965">
        <v>31107</v>
      </c>
      <c r="UOM965">
        <v>12807</v>
      </c>
      <c r="UYD965" t="s">
        <v>1352</v>
      </c>
      <c r="UYE965">
        <v>21547</v>
      </c>
      <c r="UYF965">
        <v>50845</v>
      </c>
      <c r="UYG965">
        <v>127662</v>
      </c>
      <c r="UYH965">
        <v>31107</v>
      </c>
      <c r="UYI965">
        <v>12807</v>
      </c>
      <c r="VHZ965" t="s">
        <v>1352</v>
      </c>
      <c r="VIA965">
        <v>21547</v>
      </c>
      <c r="VIB965">
        <v>50845</v>
      </c>
      <c r="VIC965">
        <v>127662</v>
      </c>
      <c r="VID965">
        <v>31107</v>
      </c>
      <c r="VIE965">
        <v>12807</v>
      </c>
      <c r="VRV965" t="s">
        <v>1352</v>
      </c>
      <c r="VRW965">
        <v>21547</v>
      </c>
      <c r="VRX965">
        <v>50845</v>
      </c>
      <c r="VRY965">
        <v>127662</v>
      </c>
      <c r="VRZ965">
        <v>31107</v>
      </c>
      <c r="VSA965">
        <v>12807</v>
      </c>
      <c r="WBR965" t="s">
        <v>1352</v>
      </c>
      <c r="WBS965">
        <v>21547</v>
      </c>
      <c r="WBT965">
        <v>50845</v>
      </c>
      <c r="WBU965">
        <v>127662</v>
      </c>
      <c r="WBV965">
        <v>31107</v>
      </c>
      <c r="WBW965">
        <v>12807</v>
      </c>
      <c r="WLN965" t="s">
        <v>1352</v>
      </c>
      <c r="WLO965">
        <v>21547</v>
      </c>
      <c r="WLP965">
        <v>50845</v>
      </c>
      <c r="WLQ965">
        <v>127662</v>
      </c>
      <c r="WLR965">
        <v>31107</v>
      </c>
      <c r="WLS965">
        <v>12807</v>
      </c>
      <c r="WVJ965" t="s">
        <v>1352</v>
      </c>
      <c r="WVK965">
        <v>21547</v>
      </c>
      <c r="WVL965">
        <v>50845</v>
      </c>
      <c r="WVM965">
        <v>127662</v>
      </c>
      <c r="WVN965">
        <v>31107</v>
      </c>
      <c r="WVO965">
        <v>12807</v>
      </c>
    </row>
    <row r="966" spans="1:775 1026:1799 2050:2823 3074:3847 4098:4871 5122:5895 6146:6919 7170:7943 8194:8967 9218:9991 10242:11015 11266:12039 12290:13063 13314:14087 14338:15111 15362:16135">
      <c r="A966" s="96" t="s">
        <v>1353</v>
      </c>
      <c r="B966" s="1265" t="s">
        <v>773</v>
      </c>
      <c r="C966" s="98">
        <v>0</v>
      </c>
      <c r="D966" s="100">
        <v>-40722</v>
      </c>
      <c r="E966" s="98">
        <v>0</v>
      </c>
      <c r="F966" s="98">
        <v>0</v>
      </c>
      <c r="G966" s="98">
        <v>0</v>
      </c>
      <c r="H966" s="98"/>
      <c r="IX966" t="s">
        <v>1353</v>
      </c>
      <c r="IY966" t="s">
        <v>619</v>
      </c>
      <c r="IZ966">
        <v>-40722</v>
      </c>
      <c r="JA966" t="s">
        <v>619</v>
      </c>
      <c r="JB966" t="s">
        <v>619</v>
      </c>
      <c r="JC966" t="s">
        <v>619</v>
      </c>
      <c r="ST966" t="s">
        <v>1353</v>
      </c>
      <c r="SU966" t="s">
        <v>619</v>
      </c>
      <c r="SV966">
        <v>-40722</v>
      </c>
      <c r="SW966" t="s">
        <v>619</v>
      </c>
      <c r="SX966" t="s">
        <v>619</v>
      </c>
      <c r="SY966" t="s">
        <v>619</v>
      </c>
      <c r="ACP966" t="s">
        <v>1353</v>
      </c>
      <c r="ACQ966" t="s">
        <v>619</v>
      </c>
      <c r="ACR966">
        <v>-40722</v>
      </c>
      <c r="ACS966" t="s">
        <v>619</v>
      </c>
      <c r="ACT966" t="s">
        <v>619</v>
      </c>
      <c r="ACU966" t="s">
        <v>619</v>
      </c>
      <c r="AML966" t="s">
        <v>1353</v>
      </c>
      <c r="AMM966" t="s">
        <v>619</v>
      </c>
      <c r="AMN966">
        <v>-40722</v>
      </c>
      <c r="AMO966" t="s">
        <v>619</v>
      </c>
      <c r="AMP966" t="s">
        <v>619</v>
      </c>
      <c r="AMQ966" t="s">
        <v>619</v>
      </c>
      <c r="AWH966" t="s">
        <v>1353</v>
      </c>
      <c r="AWI966" t="s">
        <v>619</v>
      </c>
      <c r="AWJ966">
        <v>-40722</v>
      </c>
      <c r="AWK966" t="s">
        <v>619</v>
      </c>
      <c r="AWL966" t="s">
        <v>619</v>
      </c>
      <c r="AWM966" t="s">
        <v>619</v>
      </c>
      <c r="BGD966" t="s">
        <v>1353</v>
      </c>
      <c r="BGE966" t="s">
        <v>619</v>
      </c>
      <c r="BGF966">
        <v>-40722</v>
      </c>
      <c r="BGG966" t="s">
        <v>619</v>
      </c>
      <c r="BGH966" t="s">
        <v>619</v>
      </c>
      <c r="BGI966" t="s">
        <v>619</v>
      </c>
      <c r="BPZ966" t="s">
        <v>1353</v>
      </c>
      <c r="BQA966" t="s">
        <v>619</v>
      </c>
      <c r="BQB966">
        <v>-40722</v>
      </c>
      <c r="BQC966" t="s">
        <v>619</v>
      </c>
      <c r="BQD966" t="s">
        <v>619</v>
      </c>
      <c r="BQE966" t="s">
        <v>619</v>
      </c>
      <c r="BZV966" t="s">
        <v>1353</v>
      </c>
      <c r="BZW966" t="s">
        <v>619</v>
      </c>
      <c r="BZX966">
        <v>-40722</v>
      </c>
      <c r="BZY966" t="s">
        <v>619</v>
      </c>
      <c r="BZZ966" t="s">
        <v>619</v>
      </c>
      <c r="CAA966" t="s">
        <v>619</v>
      </c>
      <c r="CJR966" t="s">
        <v>1353</v>
      </c>
      <c r="CJS966" t="s">
        <v>619</v>
      </c>
      <c r="CJT966">
        <v>-40722</v>
      </c>
      <c r="CJU966" t="s">
        <v>619</v>
      </c>
      <c r="CJV966" t="s">
        <v>619</v>
      </c>
      <c r="CJW966" t="s">
        <v>619</v>
      </c>
      <c r="CTN966" t="s">
        <v>1353</v>
      </c>
      <c r="CTO966" t="s">
        <v>619</v>
      </c>
      <c r="CTP966">
        <v>-40722</v>
      </c>
      <c r="CTQ966" t="s">
        <v>619</v>
      </c>
      <c r="CTR966" t="s">
        <v>619</v>
      </c>
      <c r="CTS966" t="s">
        <v>619</v>
      </c>
      <c r="DDJ966" t="s">
        <v>1353</v>
      </c>
      <c r="DDK966" t="s">
        <v>619</v>
      </c>
      <c r="DDL966">
        <v>-40722</v>
      </c>
      <c r="DDM966" t="s">
        <v>619</v>
      </c>
      <c r="DDN966" t="s">
        <v>619</v>
      </c>
      <c r="DDO966" t="s">
        <v>619</v>
      </c>
      <c r="DNF966" t="s">
        <v>1353</v>
      </c>
      <c r="DNG966" t="s">
        <v>619</v>
      </c>
      <c r="DNH966">
        <v>-40722</v>
      </c>
      <c r="DNI966" t="s">
        <v>619</v>
      </c>
      <c r="DNJ966" t="s">
        <v>619</v>
      </c>
      <c r="DNK966" t="s">
        <v>619</v>
      </c>
      <c r="DXB966" t="s">
        <v>1353</v>
      </c>
      <c r="DXC966" t="s">
        <v>619</v>
      </c>
      <c r="DXD966">
        <v>-40722</v>
      </c>
      <c r="DXE966" t="s">
        <v>619</v>
      </c>
      <c r="DXF966" t="s">
        <v>619</v>
      </c>
      <c r="DXG966" t="s">
        <v>619</v>
      </c>
      <c r="EGX966" t="s">
        <v>1353</v>
      </c>
      <c r="EGY966" t="s">
        <v>619</v>
      </c>
      <c r="EGZ966">
        <v>-40722</v>
      </c>
      <c r="EHA966" t="s">
        <v>619</v>
      </c>
      <c r="EHB966" t="s">
        <v>619</v>
      </c>
      <c r="EHC966" t="s">
        <v>619</v>
      </c>
      <c r="EQT966" t="s">
        <v>1353</v>
      </c>
      <c r="EQU966" t="s">
        <v>619</v>
      </c>
      <c r="EQV966">
        <v>-40722</v>
      </c>
      <c r="EQW966" t="s">
        <v>619</v>
      </c>
      <c r="EQX966" t="s">
        <v>619</v>
      </c>
      <c r="EQY966" t="s">
        <v>619</v>
      </c>
      <c r="FAP966" t="s">
        <v>1353</v>
      </c>
      <c r="FAQ966" t="s">
        <v>619</v>
      </c>
      <c r="FAR966">
        <v>-40722</v>
      </c>
      <c r="FAS966" t="s">
        <v>619</v>
      </c>
      <c r="FAT966" t="s">
        <v>619</v>
      </c>
      <c r="FAU966" t="s">
        <v>619</v>
      </c>
      <c r="FKL966" t="s">
        <v>1353</v>
      </c>
      <c r="FKM966" t="s">
        <v>619</v>
      </c>
      <c r="FKN966">
        <v>-40722</v>
      </c>
      <c r="FKO966" t="s">
        <v>619</v>
      </c>
      <c r="FKP966" t="s">
        <v>619</v>
      </c>
      <c r="FKQ966" t="s">
        <v>619</v>
      </c>
      <c r="FUH966" t="s">
        <v>1353</v>
      </c>
      <c r="FUI966" t="s">
        <v>619</v>
      </c>
      <c r="FUJ966">
        <v>-40722</v>
      </c>
      <c r="FUK966" t="s">
        <v>619</v>
      </c>
      <c r="FUL966" t="s">
        <v>619</v>
      </c>
      <c r="FUM966" t="s">
        <v>619</v>
      </c>
      <c r="GED966" t="s">
        <v>1353</v>
      </c>
      <c r="GEE966" t="s">
        <v>619</v>
      </c>
      <c r="GEF966">
        <v>-40722</v>
      </c>
      <c r="GEG966" t="s">
        <v>619</v>
      </c>
      <c r="GEH966" t="s">
        <v>619</v>
      </c>
      <c r="GEI966" t="s">
        <v>619</v>
      </c>
      <c r="GNZ966" t="s">
        <v>1353</v>
      </c>
      <c r="GOA966" t="s">
        <v>619</v>
      </c>
      <c r="GOB966">
        <v>-40722</v>
      </c>
      <c r="GOC966" t="s">
        <v>619</v>
      </c>
      <c r="GOD966" t="s">
        <v>619</v>
      </c>
      <c r="GOE966" t="s">
        <v>619</v>
      </c>
      <c r="GXV966" t="s">
        <v>1353</v>
      </c>
      <c r="GXW966" t="s">
        <v>619</v>
      </c>
      <c r="GXX966">
        <v>-40722</v>
      </c>
      <c r="GXY966" t="s">
        <v>619</v>
      </c>
      <c r="GXZ966" t="s">
        <v>619</v>
      </c>
      <c r="GYA966" t="s">
        <v>619</v>
      </c>
      <c r="HHR966" t="s">
        <v>1353</v>
      </c>
      <c r="HHS966" t="s">
        <v>619</v>
      </c>
      <c r="HHT966">
        <v>-40722</v>
      </c>
      <c r="HHU966" t="s">
        <v>619</v>
      </c>
      <c r="HHV966" t="s">
        <v>619</v>
      </c>
      <c r="HHW966" t="s">
        <v>619</v>
      </c>
      <c r="HRN966" t="s">
        <v>1353</v>
      </c>
      <c r="HRO966" t="s">
        <v>619</v>
      </c>
      <c r="HRP966">
        <v>-40722</v>
      </c>
      <c r="HRQ966" t="s">
        <v>619</v>
      </c>
      <c r="HRR966" t="s">
        <v>619</v>
      </c>
      <c r="HRS966" t="s">
        <v>619</v>
      </c>
      <c r="IBJ966" t="s">
        <v>1353</v>
      </c>
      <c r="IBK966" t="s">
        <v>619</v>
      </c>
      <c r="IBL966">
        <v>-40722</v>
      </c>
      <c r="IBM966" t="s">
        <v>619</v>
      </c>
      <c r="IBN966" t="s">
        <v>619</v>
      </c>
      <c r="IBO966" t="s">
        <v>619</v>
      </c>
      <c r="ILF966" t="s">
        <v>1353</v>
      </c>
      <c r="ILG966" t="s">
        <v>619</v>
      </c>
      <c r="ILH966">
        <v>-40722</v>
      </c>
      <c r="ILI966" t="s">
        <v>619</v>
      </c>
      <c r="ILJ966" t="s">
        <v>619</v>
      </c>
      <c r="ILK966" t="s">
        <v>619</v>
      </c>
      <c r="IVB966" t="s">
        <v>1353</v>
      </c>
      <c r="IVC966" t="s">
        <v>619</v>
      </c>
      <c r="IVD966">
        <v>-40722</v>
      </c>
      <c r="IVE966" t="s">
        <v>619</v>
      </c>
      <c r="IVF966" t="s">
        <v>619</v>
      </c>
      <c r="IVG966" t="s">
        <v>619</v>
      </c>
      <c r="JEX966" t="s">
        <v>1353</v>
      </c>
      <c r="JEY966" t="s">
        <v>619</v>
      </c>
      <c r="JEZ966">
        <v>-40722</v>
      </c>
      <c r="JFA966" t="s">
        <v>619</v>
      </c>
      <c r="JFB966" t="s">
        <v>619</v>
      </c>
      <c r="JFC966" t="s">
        <v>619</v>
      </c>
      <c r="JOT966" t="s">
        <v>1353</v>
      </c>
      <c r="JOU966" t="s">
        <v>619</v>
      </c>
      <c r="JOV966">
        <v>-40722</v>
      </c>
      <c r="JOW966" t="s">
        <v>619</v>
      </c>
      <c r="JOX966" t="s">
        <v>619</v>
      </c>
      <c r="JOY966" t="s">
        <v>619</v>
      </c>
      <c r="JYP966" t="s">
        <v>1353</v>
      </c>
      <c r="JYQ966" t="s">
        <v>619</v>
      </c>
      <c r="JYR966">
        <v>-40722</v>
      </c>
      <c r="JYS966" t="s">
        <v>619</v>
      </c>
      <c r="JYT966" t="s">
        <v>619</v>
      </c>
      <c r="JYU966" t="s">
        <v>619</v>
      </c>
      <c r="KIL966" t="s">
        <v>1353</v>
      </c>
      <c r="KIM966" t="s">
        <v>619</v>
      </c>
      <c r="KIN966">
        <v>-40722</v>
      </c>
      <c r="KIO966" t="s">
        <v>619</v>
      </c>
      <c r="KIP966" t="s">
        <v>619</v>
      </c>
      <c r="KIQ966" t="s">
        <v>619</v>
      </c>
      <c r="KSH966" t="s">
        <v>1353</v>
      </c>
      <c r="KSI966" t="s">
        <v>619</v>
      </c>
      <c r="KSJ966">
        <v>-40722</v>
      </c>
      <c r="KSK966" t="s">
        <v>619</v>
      </c>
      <c r="KSL966" t="s">
        <v>619</v>
      </c>
      <c r="KSM966" t="s">
        <v>619</v>
      </c>
      <c r="LCD966" t="s">
        <v>1353</v>
      </c>
      <c r="LCE966" t="s">
        <v>619</v>
      </c>
      <c r="LCF966">
        <v>-40722</v>
      </c>
      <c r="LCG966" t="s">
        <v>619</v>
      </c>
      <c r="LCH966" t="s">
        <v>619</v>
      </c>
      <c r="LCI966" t="s">
        <v>619</v>
      </c>
      <c r="LLZ966" t="s">
        <v>1353</v>
      </c>
      <c r="LMA966" t="s">
        <v>619</v>
      </c>
      <c r="LMB966">
        <v>-40722</v>
      </c>
      <c r="LMC966" t="s">
        <v>619</v>
      </c>
      <c r="LMD966" t="s">
        <v>619</v>
      </c>
      <c r="LME966" t="s">
        <v>619</v>
      </c>
      <c r="LVV966" t="s">
        <v>1353</v>
      </c>
      <c r="LVW966" t="s">
        <v>619</v>
      </c>
      <c r="LVX966">
        <v>-40722</v>
      </c>
      <c r="LVY966" t="s">
        <v>619</v>
      </c>
      <c r="LVZ966" t="s">
        <v>619</v>
      </c>
      <c r="LWA966" t="s">
        <v>619</v>
      </c>
      <c r="MFR966" t="s">
        <v>1353</v>
      </c>
      <c r="MFS966" t="s">
        <v>619</v>
      </c>
      <c r="MFT966">
        <v>-40722</v>
      </c>
      <c r="MFU966" t="s">
        <v>619</v>
      </c>
      <c r="MFV966" t="s">
        <v>619</v>
      </c>
      <c r="MFW966" t="s">
        <v>619</v>
      </c>
      <c r="MPN966" t="s">
        <v>1353</v>
      </c>
      <c r="MPO966" t="s">
        <v>619</v>
      </c>
      <c r="MPP966">
        <v>-40722</v>
      </c>
      <c r="MPQ966" t="s">
        <v>619</v>
      </c>
      <c r="MPR966" t="s">
        <v>619</v>
      </c>
      <c r="MPS966" t="s">
        <v>619</v>
      </c>
      <c r="MZJ966" t="s">
        <v>1353</v>
      </c>
      <c r="MZK966" t="s">
        <v>619</v>
      </c>
      <c r="MZL966">
        <v>-40722</v>
      </c>
      <c r="MZM966" t="s">
        <v>619</v>
      </c>
      <c r="MZN966" t="s">
        <v>619</v>
      </c>
      <c r="MZO966" t="s">
        <v>619</v>
      </c>
      <c r="NJF966" t="s">
        <v>1353</v>
      </c>
      <c r="NJG966" t="s">
        <v>619</v>
      </c>
      <c r="NJH966">
        <v>-40722</v>
      </c>
      <c r="NJI966" t="s">
        <v>619</v>
      </c>
      <c r="NJJ966" t="s">
        <v>619</v>
      </c>
      <c r="NJK966" t="s">
        <v>619</v>
      </c>
      <c r="NTB966" t="s">
        <v>1353</v>
      </c>
      <c r="NTC966" t="s">
        <v>619</v>
      </c>
      <c r="NTD966">
        <v>-40722</v>
      </c>
      <c r="NTE966" t="s">
        <v>619</v>
      </c>
      <c r="NTF966" t="s">
        <v>619</v>
      </c>
      <c r="NTG966" t="s">
        <v>619</v>
      </c>
      <c r="OCX966" t="s">
        <v>1353</v>
      </c>
      <c r="OCY966" t="s">
        <v>619</v>
      </c>
      <c r="OCZ966">
        <v>-40722</v>
      </c>
      <c r="ODA966" t="s">
        <v>619</v>
      </c>
      <c r="ODB966" t="s">
        <v>619</v>
      </c>
      <c r="ODC966" t="s">
        <v>619</v>
      </c>
      <c r="OMT966" t="s">
        <v>1353</v>
      </c>
      <c r="OMU966" t="s">
        <v>619</v>
      </c>
      <c r="OMV966">
        <v>-40722</v>
      </c>
      <c r="OMW966" t="s">
        <v>619</v>
      </c>
      <c r="OMX966" t="s">
        <v>619</v>
      </c>
      <c r="OMY966" t="s">
        <v>619</v>
      </c>
      <c r="OWP966" t="s">
        <v>1353</v>
      </c>
      <c r="OWQ966" t="s">
        <v>619</v>
      </c>
      <c r="OWR966">
        <v>-40722</v>
      </c>
      <c r="OWS966" t="s">
        <v>619</v>
      </c>
      <c r="OWT966" t="s">
        <v>619</v>
      </c>
      <c r="OWU966" t="s">
        <v>619</v>
      </c>
      <c r="PGL966" t="s">
        <v>1353</v>
      </c>
      <c r="PGM966" t="s">
        <v>619</v>
      </c>
      <c r="PGN966">
        <v>-40722</v>
      </c>
      <c r="PGO966" t="s">
        <v>619</v>
      </c>
      <c r="PGP966" t="s">
        <v>619</v>
      </c>
      <c r="PGQ966" t="s">
        <v>619</v>
      </c>
      <c r="PQH966" t="s">
        <v>1353</v>
      </c>
      <c r="PQI966" t="s">
        <v>619</v>
      </c>
      <c r="PQJ966">
        <v>-40722</v>
      </c>
      <c r="PQK966" t="s">
        <v>619</v>
      </c>
      <c r="PQL966" t="s">
        <v>619</v>
      </c>
      <c r="PQM966" t="s">
        <v>619</v>
      </c>
      <c r="QAD966" t="s">
        <v>1353</v>
      </c>
      <c r="QAE966" t="s">
        <v>619</v>
      </c>
      <c r="QAF966">
        <v>-40722</v>
      </c>
      <c r="QAG966" t="s">
        <v>619</v>
      </c>
      <c r="QAH966" t="s">
        <v>619</v>
      </c>
      <c r="QAI966" t="s">
        <v>619</v>
      </c>
      <c r="QJZ966" t="s">
        <v>1353</v>
      </c>
      <c r="QKA966" t="s">
        <v>619</v>
      </c>
      <c r="QKB966">
        <v>-40722</v>
      </c>
      <c r="QKC966" t="s">
        <v>619</v>
      </c>
      <c r="QKD966" t="s">
        <v>619</v>
      </c>
      <c r="QKE966" t="s">
        <v>619</v>
      </c>
      <c r="QTV966" t="s">
        <v>1353</v>
      </c>
      <c r="QTW966" t="s">
        <v>619</v>
      </c>
      <c r="QTX966">
        <v>-40722</v>
      </c>
      <c r="QTY966" t="s">
        <v>619</v>
      </c>
      <c r="QTZ966" t="s">
        <v>619</v>
      </c>
      <c r="QUA966" t="s">
        <v>619</v>
      </c>
      <c r="RDR966" t="s">
        <v>1353</v>
      </c>
      <c r="RDS966" t="s">
        <v>619</v>
      </c>
      <c r="RDT966">
        <v>-40722</v>
      </c>
      <c r="RDU966" t="s">
        <v>619</v>
      </c>
      <c r="RDV966" t="s">
        <v>619</v>
      </c>
      <c r="RDW966" t="s">
        <v>619</v>
      </c>
      <c r="RNN966" t="s">
        <v>1353</v>
      </c>
      <c r="RNO966" t="s">
        <v>619</v>
      </c>
      <c r="RNP966">
        <v>-40722</v>
      </c>
      <c r="RNQ966" t="s">
        <v>619</v>
      </c>
      <c r="RNR966" t="s">
        <v>619</v>
      </c>
      <c r="RNS966" t="s">
        <v>619</v>
      </c>
      <c r="RXJ966" t="s">
        <v>1353</v>
      </c>
      <c r="RXK966" t="s">
        <v>619</v>
      </c>
      <c r="RXL966">
        <v>-40722</v>
      </c>
      <c r="RXM966" t="s">
        <v>619</v>
      </c>
      <c r="RXN966" t="s">
        <v>619</v>
      </c>
      <c r="RXO966" t="s">
        <v>619</v>
      </c>
      <c r="SHF966" t="s">
        <v>1353</v>
      </c>
      <c r="SHG966" t="s">
        <v>619</v>
      </c>
      <c r="SHH966">
        <v>-40722</v>
      </c>
      <c r="SHI966" t="s">
        <v>619</v>
      </c>
      <c r="SHJ966" t="s">
        <v>619</v>
      </c>
      <c r="SHK966" t="s">
        <v>619</v>
      </c>
      <c r="SRB966" t="s">
        <v>1353</v>
      </c>
      <c r="SRC966" t="s">
        <v>619</v>
      </c>
      <c r="SRD966">
        <v>-40722</v>
      </c>
      <c r="SRE966" t="s">
        <v>619</v>
      </c>
      <c r="SRF966" t="s">
        <v>619</v>
      </c>
      <c r="SRG966" t="s">
        <v>619</v>
      </c>
      <c r="TAX966" t="s">
        <v>1353</v>
      </c>
      <c r="TAY966" t="s">
        <v>619</v>
      </c>
      <c r="TAZ966">
        <v>-40722</v>
      </c>
      <c r="TBA966" t="s">
        <v>619</v>
      </c>
      <c r="TBB966" t="s">
        <v>619</v>
      </c>
      <c r="TBC966" t="s">
        <v>619</v>
      </c>
      <c r="TKT966" t="s">
        <v>1353</v>
      </c>
      <c r="TKU966" t="s">
        <v>619</v>
      </c>
      <c r="TKV966">
        <v>-40722</v>
      </c>
      <c r="TKW966" t="s">
        <v>619</v>
      </c>
      <c r="TKX966" t="s">
        <v>619</v>
      </c>
      <c r="TKY966" t="s">
        <v>619</v>
      </c>
      <c r="TUP966" t="s">
        <v>1353</v>
      </c>
      <c r="TUQ966" t="s">
        <v>619</v>
      </c>
      <c r="TUR966">
        <v>-40722</v>
      </c>
      <c r="TUS966" t="s">
        <v>619</v>
      </c>
      <c r="TUT966" t="s">
        <v>619</v>
      </c>
      <c r="TUU966" t="s">
        <v>619</v>
      </c>
      <c r="UEL966" t="s">
        <v>1353</v>
      </c>
      <c r="UEM966" t="s">
        <v>619</v>
      </c>
      <c r="UEN966">
        <v>-40722</v>
      </c>
      <c r="UEO966" t="s">
        <v>619</v>
      </c>
      <c r="UEP966" t="s">
        <v>619</v>
      </c>
      <c r="UEQ966" t="s">
        <v>619</v>
      </c>
      <c r="UOH966" t="s">
        <v>1353</v>
      </c>
      <c r="UOI966" t="s">
        <v>619</v>
      </c>
      <c r="UOJ966">
        <v>-40722</v>
      </c>
      <c r="UOK966" t="s">
        <v>619</v>
      </c>
      <c r="UOL966" t="s">
        <v>619</v>
      </c>
      <c r="UOM966" t="s">
        <v>619</v>
      </c>
      <c r="UYD966" t="s">
        <v>1353</v>
      </c>
      <c r="UYE966" t="s">
        <v>619</v>
      </c>
      <c r="UYF966">
        <v>-40722</v>
      </c>
      <c r="UYG966" t="s">
        <v>619</v>
      </c>
      <c r="UYH966" t="s">
        <v>619</v>
      </c>
      <c r="UYI966" t="s">
        <v>619</v>
      </c>
      <c r="VHZ966" t="s">
        <v>1353</v>
      </c>
      <c r="VIA966" t="s">
        <v>619</v>
      </c>
      <c r="VIB966">
        <v>-40722</v>
      </c>
      <c r="VIC966" t="s">
        <v>619</v>
      </c>
      <c r="VID966" t="s">
        <v>619</v>
      </c>
      <c r="VIE966" t="s">
        <v>619</v>
      </c>
      <c r="VRV966" t="s">
        <v>1353</v>
      </c>
      <c r="VRW966" t="s">
        <v>619</v>
      </c>
      <c r="VRX966">
        <v>-40722</v>
      </c>
      <c r="VRY966" t="s">
        <v>619</v>
      </c>
      <c r="VRZ966" t="s">
        <v>619</v>
      </c>
      <c r="VSA966" t="s">
        <v>619</v>
      </c>
      <c r="WBR966" t="s">
        <v>1353</v>
      </c>
      <c r="WBS966" t="s">
        <v>619</v>
      </c>
      <c r="WBT966">
        <v>-40722</v>
      </c>
      <c r="WBU966" t="s">
        <v>619</v>
      </c>
      <c r="WBV966" t="s">
        <v>619</v>
      </c>
      <c r="WBW966" t="s">
        <v>619</v>
      </c>
      <c r="WLN966" t="s">
        <v>1353</v>
      </c>
      <c r="WLO966" t="s">
        <v>619</v>
      </c>
      <c r="WLP966">
        <v>-40722</v>
      </c>
      <c r="WLQ966" t="s">
        <v>619</v>
      </c>
      <c r="WLR966" t="s">
        <v>619</v>
      </c>
      <c r="WLS966" t="s">
        <v>619</v>
      </c>
      <c r="WVJ966" t="s">
        <v>1353</v>
      </c>
      <c r="WVK966" t="s">
        <v>619</v>
      </c>
      <c r="WVL966">
        <v>-40722</v>
      </c>
      <c r="WVM966" t="s">
        <v>619</v>
      </c>
      <c r="WVN966" t="s">
        <v>619</v>
      </c>
      <c r="WVO966" t="s">
        <v>619</v>
      </c>
    </row>
    <row r="967" spans="1:775 1026:1799 2050:2823 3074:3847 4098:4871 5122:5895 6146:6919 7170:7943 8194:8967 9218:9991 10242:11015 11266:12039 12290:13063 13314:14087 14338:15111 15362:16135">
      <c r="A967" s="96" t="s">
        <v>618</v>
      </c>
      <c r="B967" s="1265" t="s">
        <v>775</v>
      </c>
      <c r="C967" s="98">
        <v>0</v>
      </c>
      <c r="D967" s="98">
        <v>0</v>
      </c>
      <c r="E967" s="98">
        <v>0</v>
      </c>
      <c r="F967" s="100">
        <v>-105608</v>
      </c>
      <c r="G967" s="100">
        <v>-174854</v>
      </c>
      <c r="H967" s="100"/>
      <c r="IX967" t="s">
        <v>618</v>
      </c>
      <c r="IY967" t="s">
        <v>619</v>
      </c>
      <c r="IZ967" t="s">
        <v>619</v>
      </c>
      <c r="JA967" t="s">
        <v>619</v>
      </c>
      <c r="JB967">
        <v>-105608</v>
      </c>
      <c r="JC967">
        <v>-174854</v>
      </c>
      <c r="ST967" t="s">
        <v>618</v>
      </c>
      <c r="SU967" t="s">
        <v>619</v>
      </c>
      <c r="SV967" t="s">
        <v>619</v>
      </c>
      <c r="SW967" t="s">
        <v>619</v>
      </c>
      <c r="SX967">
        <v>-105608</v>
      </c>
      <c r="SY967">
        <v>-174854</v>
      </c>
      <c r="ACP967" t="s">
        <v>618</v>
      </c>
      <c r="ACQ967" t="s">
        <v>619</v>
      </c>
      <c r="ACR967" t="s">
        <v>619</v>
      </c>
      <c r="ACS967" t="s">
        <v>619</v>
      </c>
      <c r="ACT967">
        <v>-105608</v>
      </c>
      <c r="ACU967">
        <v>-174854</v>
      </c>
      <c r="AML967" t="s">
        <v>618</v>
      </c>
      <c r="AMM967" t="s">
        <v>619</v>
      </c>
      <c r="AMN967" t="s">
        <v>619</v>
      </c>
      <c r="AMO967" t="s">
        <v>619</v>
      </c>
      <c r="AMP967">
        <v>-105608</v>
      </c>
      <c r="AMQ967">
        <v>-174854</v>
      </c>
      <c r="AWH967" t="s">
        <v>618</v>
      </c>
      <c r="AWI967" t="s">
        <v>619</v>
      </c>
      <c r="AWJ967" t="s">
        <v>619</v>
      </c>
      <c r="AWK967" t="s">
        <v>619</v>
      </c>
      <c r="AWL967">
        <v>-105608</v>
      </c>
      <c r="AWM967">
        <v>-174854</v>
      </c>
      <c r="BGD967" t="s">
        <v>618</v>
      </c>
      <c r="BGE967" t="s">
        <v>619</v>
      </c>
      <c r="BGF967" t="s">
        <v>619</v>
      </c>
      <c r="BGG967" t="s">
        <v>619</v>
      </c>
      <c r="BGH967">
        <v>-105608</v>
      </c>
      <c r="BGI967">
        <v>-174854</v>
      </c>
      <c r="BPZ967" t="s">
        <v>618</v>
      </c>
      <c r="BQA967" t="s">
        <v>619</v>
      </c>
      <c r="BQB967" t="s">
        <v>619</v>
      </c>
      <c r="BQC967" t="s">
        <v>619</v>
      </c>
      <c r="BQD967">
        <v>-105608</v>
      </c>
      <c r="BQE967">
        <v>-174854</v>
      </c>
      <c r="BZV967" t="s">
        <v>618</v>
      </c>
      <c r="BZW967" t="s">
        <v>619</v>
      </c>
      <c r="BZX967" t="s">
        <v>619</v>
      </c>
      <c r="BZY967" t="s">
        <v>619</v>
      </c>
      <c r="BZZ967">
        <v>-105608</v>
      </c>
      <c r="CAA967">
        <v>-174854</v>
      </c>
      <c r="CJR967" t="s">
        <v>618</v>
      </c>
      <c r="CJS967" t="s">
        <v>619</v>
      </c>
      <c r="CJT967" t="s">
        <v>619</v>
      </c>
      <c r="CJU967" t="s">
        <v>619</v>
      </c>
      <c r="CJV967">
        <v>-105608</v>
      </c>
      <c r="CJW967">
        <v>-174854</v>
      </c>
      <c r="CTN967" t="s">
        <v>618</v>
      </c>
      <c r="CTO967" t="s">
        <v>619</v>
      </c>
      <c r="CTP967" t="s">
        <v>619</v>
      </c>
      <c r="CTQ967" t="s">
        <v>619</v>
      </c>
      <c r="CTR967">
        <v>-105608</v>
      </c>
      <c r="CTS967">
        <v>-174854</v>
      </c>
      <c r="DDJ967" t="s">
        <v>618</v>
      </c>
      <c r="DDK967" t="s">
        <v>619</v>
      </c>
      <c r="DDL967" t="s">
        <v>619</v>
      </c>
      <c r="DDM967" t="s">
        <v>619</v>
      </c>
      <c r="DDN967">
        <v>-105608</v>
      </c>
      <c r="DDO967">
        <v>-174854</v>
      </c>
      <c r="DNF967" t="s">
        <v>618</v>
      </c>
      <c r="DNG967" t="s">
        <v>619</v>
      </c>
      <c r="DNH967" t="s">
        <v>619</v>
      </c>
      <c r="DNI967" t="s">
        <v>619</v>
      </c>
      <c r="DNJ967">
        <v>-105608</v>
      </c>
      <c r="DNK967">
        <v>-174854</v>
      </c>
      <c r="DXB967" t="s">
        <v>618</v>
      </c>
      <c r="DXC967" t="s">
        <v>619</v>
      </c>
      <c r="DXD967" t="s">
        <v>619</v>
      </c>
      <c r="DXE967" t="s">
        <v>619</v>
      </c>
      <c r="DXF967">
        <v>-105608</v>
      </c>
      <c r="DXG967">
        <v>-174854</v>
      </c>
      <c r="EGX967" t="s">
        <v>618</v>
      </c>
      <c r="EGY967" t="s">
        <v>619</v>
      </c>
      <c r="EGZ967" t="s">
        <v>619</v>
      </c>
      <c r="EHA967" t="s">
        <v>619</v>
      </c>
      <c r="EHB967">
        <v>-105608</v>
      </c>
      <c r="EHC967">
        <v>-174854</v>
      </c>
      <c r="EQT967" t="s">
        <v>618</v>
      </c>
      <c r="EQU967" t="s">
        <v>619</v>
      </c>
      <c r="EQV967" t="s">
        <v>619</v>
      </c>
      <c r="EQW967" t="s">
        <v>619</v>
      </c>
      <c r="EQX967">
        <v>-105608</v>
      </c>
      <c r="EQY967">
        <v>-174854</v>
      </c>
      <c r="FAP967" t="s">
        <v>618</v>
      </c>
      <c r="FAQ967" t="s">
        <v>619</v>
      </c>
      <c r="FAR967" t="s">
        <v>619</v>
      </c>
      <c r="FAS967" t="s">
        <v>619</v>
      </c>
      <c r="FAT967">
        <v>-105608</v>
      </c>
      <c r="FAU967">
        <v>-174854</v>
      </c>
      <c r="FKL967" t="s">
        <v>618</v>
      </c>
      <c r="FKM967" t="s">
        <v>619</v>
      </c>
      <c r="FKN967" t="s">
        <v>619</v>
      </c>
      <c r="FKO967" t="s">
        <v>619</v>
      </c>
      <c r="FKP967">
        <v>-105608</v>
      </c>
      <c r="FKQ967">
        <v>-174854</v>
      </c>
      <c r="FUH967" t="s">
        <v>618</v>
      </c>
      <c r="FUI967" t="s">
        <v>619</v>
      </c>
      <c r="FUJ967" t="s">
        <v>619</v>
      </c>
      <c r="FUK967" t="s">
        <v>619</v>
      </c>
      <c r="FUL967">
        <v>-105608</v>
      </c>
      <c r="FUM967">
        <v>-174854</v>
      </c>
      <c r="GED967" t="s">
        <v>618</v>
      </c>
      <c r="GEE967" t="s">
        <v>619</v>
      </c>
      <c r="GEF967" t="s">
        <v>619</v>
      </c>
      <c r="GEG967" t="s">
        <v>619</v>
      </c>
      <c r="GEH967">
        <v>-105608</v>
      </c>
      <c r="GEI967">
        <v>-174854</v>
      </c>
      <c r="GNZ967" t="s">
        <v>618</v>
      </c>
      <c r="GOA967" t="s">
        <v>619</v>
      </c>
      <c r="GOB967" t="s">
        <v>619</v>
      </c>
      <c r="GOC967" t="s">
        <v>619</v>
      </c>
      <c r="GOD967">
        <v>-105608</v>
      </c>
      <c r="GOE967">
        <v>-174854</v>
      </c>
      <c r="GXV967" t="s">
        <v>618</v>
      </c>
      <c r="GXW967" t="s">
        <v>619</v>
      </c>
      <c r="GXX967" t="s">
        <v>619</v>
      </c>
      <c r="GXY967" t="s">
        <v>619</v>
      </c>
      <c r="GXZ967">
        <v>-105608</v>
      </c>
      <c r="GYA967">
        <v>-174854</v>
      </c>
      <c r="HHR967" t="s">
        <v>618</v>
      </c>
      <c r="HHS967" t="s">
        <v>619</v>
      </c>
      <c r="HHT967" t="s">
        <v>619</v>
      </c>
      <c r="HHU967" t="s">
        <v>619</v>
      </c>
      <c r="HHV967">
        <v>-105608</v>
      </c>
      <c r="HHW967">
        <v>-174854</v>
      </c>
      <c r="HRN967" t="s">
        <v>618</v>
      </c>
      <c r="HRO967" t="s">
        <v>619</v>
      </c>
      <c r="HRP967" t="s">
        <v>619</v>
      </c>
      <c r="HRQ967" t="s">
        <v>619</v>
      </c>
      <c r="HRR967">
        <v>-105608</v>
      </c>
      <c r="HRS967">
        <v>-174854</v>
      </c>
      <c r="IBJ967" t="s">
        <v>618</v>
      </c>
      <c r="IBK967" t="s">
        <v>619</v>
      </c>
      <c r="IBL967" t="s">
        <v>619</v>
      </c>
      <c r="IBM967" t="s">
        <v>619</v>
      </c>
      <c r="IBN967">
        <v>-105608</v>
      </c>
      <c r="IBO967">
        <v>-174854</v>
      </c>
      <c r="ILF967" t="s">
        <v>618</v>
      </c>
      <c r="ILG967" t="s">
        <v>619</v>
      </c>
      <c r="ILH967" t="s">
        <v>619</v>
      </c>
      <c r="ILI967" t="s">
        <v>619</v>
      </c>
      <c r="ILJ967">
        <v>-105608</v>
      </c>
      <c r="ILK967">
        <v>-174854</v>
      </c>
      <c r="IVB967" t="s">
        <v>618</v>
      </c>
      <c r="IVC967" t="s">
        <v>619</v>
      </c>
      <c r="IVD967" t="s">
        <v>619</v>
      </c>
      <c r="IVE967" t="s">
        <v>619</v>
      </c>
      <c r="IVF967">
        <v>-105608</v>
      </c>
      <c r="IVG967">
        <v>-174854</v>
      </c>
      <c r="JEX967" t="s">
        <v>618</v>
      </c>
      <c r="JEY967" t="s">
        <v>619</v>
      </c>
      <c r="JEZ967" t="s">
        <v>619</v>
      </c>
      <c r="JFA967" t="s">
        <v>619</v>
      </c>
      <c r="JFB967">
        <v>-105608</v>
      </c>
      <c r="JFC967">
        <v>-174854</v>
      </c>
      <c r="JOT967" t="s">
        <v>618</v>
      </c>
      <c r="JOU967" t="s">
        <v>619</v>
      </c>
      <c r="JOV967" t="s">
        <v>619</v>
      </c>
      <c r="JOW967" t="s">
        <v>619</v>
      </c>
      <c r="JOX967">
        <v>-105608</v>
      </c>
      <c r="JOY967">
        <v>-174854</v>
      </c>
      <c r="JYP967" t="s">
        <v>618</v>
      </c>
      <c r="JYQ967" t="s">
        <v>619</v>
      </c>
      <c r="JYR967" t="s">
        <v>619</v>
      </c>
      <c r="JYS967" t="s">
        <v>619</v>
      </c>
      <c r="JYT967">
        <v>-105608</v>
      </c>
      <c r="JYU967">
        <v>-174854</v>
      </c>
      <c r="KIL967" t="s">
        <v>618</v>
      </c>
      <c r="KIM967" t="s">
        <v>619</v>
      </c>
      <c r="KIN967" t="s">
        <v>619</v>
      </c>
      <c r="KIO967" t="s">
        <v>619</v>
      </c>
      <c r="KIP967">
        <v>-105608</v>
      </c>
      <c r="KIQ967">
        <v>-174854</v>
      </c>
      <c r="KSH967" t="s">
        <v>618</v>
      </c>
      <c r="KSI967" t="s">
        <v>619</v>
      </c>
      <c r="KSJ967" t="s">
        <v>619</v>
      </c>
      <c r="KSK967" t="s">
        <v>619</v>
      </c>
      <c r="KSL967">
        <v>-105608</v>
      </c>
      <c r="KSM967">
        <v>-174854</v>
      </c>
      <c r="LCD967" t="s">
        <v>618</v>
      </c>
      <c r="LCE967" t="s">
        <v>619</v>
      </c>
      <c r="LCF967" t="s">
        <v>619</v>
      </c>
      <c r="LCG967" t="s">
        <v>619</v>
      </c>
      <c r="LCH967">
        <v>-105608</v>
      </c>
      <c r="LCI967">
        <v>-174854</v>
      </c>
      <c r="LLZ967" t="s">
        <v>618</v>
      </c>
      <c r="LMA967" t="s">
        <v>619</v>
      </c>
      <c r="LMB967" t="s">
        <v>619</v>
      </c>
      <c r="LMC967" t="s">
        <v>619</v>
      </c>
      <c r="LMD967">
        <v>-105608</v>
      </c>
      <c r="LME967">
        <v>-174854</v>
      </c>
      <c r="LVV967" t="s">
        <v>618</v>
      </c>
      <c r="LVW967" t="s">
        <v>619</v>
      </c>
      <c r="LVX967" t="s">
        <v>619</v>
      </c>
      <c r="LVY967" t="s">
        <v>619</v>
      </c>
      <c r="LVZ967">
        <v>-105608</v>
      </c>
      <c r="LWA967">
        <v>-174854</v>
      </c>
      <c r="MFR967" t="s">
        <v>618</v>
      </c>
      <c r="MFS967" t="s">
        <v>619</v>
      </c>
      <c r="MFT967" t="s">
        <v>619</v>
      </c>
      <c r="MFU967" t="s">
        <v>619</v>
      </c>
      <c r="MFV967">
        <v>-105608</v>
      </c>
      <c r="MFW967">
        <v>-174854</v>
      </c>
      <c r="MPN967" t="s">
        <v>618</v>
      </c>
      <c r="MPO967" t="s">
        <v>619</v>
      </c>
      <c r="MPP967" t="s">
        <v>619</v>
      </c>
      <c r="MPQ967" t="s">
        <v>619</v>
      </c>
      <c r="MPR967">
        <v>-105608</v>
      </c>
      <c r="MPS967">
        <v>-174854</v>
      </c>
      <c r="MZJ967" t="s">
        <v>618</v>
      </c>
      <c r="MZK967" t="s">
        <v>619</v>
      </c>
      <c r="MZL967" t="s">
        <v>619</v>
      </c>
      <c r="MZM967" t="s">
        <v>619</v>
      </c>
      <c r="MZN967">
        <v>-105608</v>
      </c>
      <c r="MZO967">
        <v>-174854</v>
      </c>
      <c r="NJF967" t="s">
        <v>618</v>
      </c>
      <c r="NJG967" t="s">
        <v>619</v>
      </c>
      <c r="NJH967" t="s">
        <v>619</v>
      </c>
      <c r="NJI967" t="s">
        <v>619</v>
      </c>
      <c r="NJJ967">
        <v>-105608</v>
      </c>
      <c r="NJK967">
        <v>-174854</v>
      </c>
      <c r="NTB967" t="s">
        <v>618</v>
      </c>
      <c r="NTC967" t="s">
        <v>619</v>
      </c>
      <c r="NTD967" t="s">
        <v>619</v>
      </c>
      <c r="NTE967" t="s">
        <v>619</v>
      </c>
      <c r="NTF967">
        <v>-105608</v>
      </c>
      <c r="NTG967">
        <v>-174854</v>
      </c>
      <c r="OCX967" t="s">
        <v>618</v>
      </c>
      <c r="OCY967" t="s">
        <v>619</v>
      </c>
      <c r="OCZ967" t="s">
        <v>619</v>
      </c>
      <c r="ODA967" t="s">
        <v>619</v>
      </c>
      <c r="ODB967">
        <v>-105608</v>
      </c>
      <c r="ODC967">
        <v>-174854</v>
      </c>
      <c r="OMT967" t="s">
        <v>618</v>
      </c>
      <c r="OMU967" t="s">
        <v>619</v>
      </c>
      <c r="OMV967" t="s">
        <v>619</v>
      </c>
      <c r="OMW967" t="s">
        <v>619</v>
      </c>
      <c r="OMX967">
        <v>-105608</v>
      </c>
      <c r="OMY967">
        <v>-174854</v>
      </c>
      <c r="OWP967" t="s">
        <v>618</v>
      </c>
      <c r="OWQ967" t="s">
        <v>619</v>
      </c>
      <c r="OWR967" t="s">
        <v>619</v>
      </c>
      <c r="OWS967" t="s">
        <v>619</v>
      </c>
      <c r="OWT967">
        <v>-105608</v>
      </c>
      <c r="OWU967">
        <v>-174854</v>
      </c>
      <c r="PGL967" t="s">
        <v>618</v>
      </c>
      <c r="PGM967" t="s">
        <v>619</v>
      </c>
      <c r="PGN967" t="s">
        <v>619</v>
      </c>
      <c r="PGO967" t="s">
        <v>619</v>
      </c>
      <c r="PGP967">
        <v>-105608</v>
      </c>
      <c r="PGQ967">
        <v>-174854</v>
      </c>
      <c r="PQH967" t="s">
        <v>618</v>
      </c>
      <c r="PQI967" t="s">
        <v>619</v>
      </c>
      <c r="PQJ967" t="s">
        <v>619</v>
      </c>
      <c r="PQK967" t="s">
        <v>619</v>
      </c>
      <c r="PQL967">
        <v>-105608</v>
      </c>
      <c r="PQM967">
        <v>-174854</v>
      </c>
      <c r="QAD967" t="s">
        <v>618</v>
      </c>
      <c r="QAE967" t="s">
        <v>619</v>
      </c>
      <c r="QAF967" t="s">
        <v>619</v>
      </c>
      <c r="QAG967" t="s">
        <v>619</v>
      </c>
      <c r="QAH967">
        <v>-105608</v>
      </c>
      <c r="QAI967">
        <v>-174854</v>
      </c>
      <c r="QJZ967" t="s">
        <v>618</v>
      </c>
      <c r="QKA967" t="s">
        <v>619</v>
      </c>
      <c r="QKB967" t="s">
        <v>619</v>
      </c>
      <c r="QKC967" t="s">
        <v>619</v>
      </c>
      <c r="QKD967">
        <v>-105608</v>
      </c>
      <c r="QKE967">
        <v>-174854</v>
      </c>
      <c r="QTV967" t="s">
        <v>618</v>
      </c>
      <c r="QTW967" t="s">
        <v>619</v>
      </c>
      <c r="QTX967" t="s">
        <v>619</v>
      </c>
      <c r="QTY967" t="s">
        <v>619</v>
      </c>
      <c r="QTZ967">
        <v>-105608</v>
      </c>
      <c r="QUA967">
        <v>-174854</v>
      </c>
      <c r="RDR967" t="s">
        <v>618</v>
      </c>
      <c r="RDS967" t="s">
        <v>619</v>
      </c>
      <c r="RDT967" t="s">
        <v>619</v>
      </c>
      <c r="RDU967" t="s">
        <v>619</v>
      </c>
      <c r="RDV967">
        <v>-105608</v>
      </c>
      <c r="RDW967">
        <v>-174854</v>
      </c>
      <c r="RNN967" t="s">
        <v>618</v>
      </c>
      <c r="RNO967" t="s">
        <v>619</v>
      </c>
      <c r="RNP967" t="s">
        <v>619</v>
      </c>
      <c r="RNQ967" t="s">
        <v>619</v>
      </c>
      <c r="RNR967">
        <v>-105608</v>
      </c>
      <c r="RNS967">
        <v>-174854</v>
      </c>
      <c r="RXJ967" t="s">
        <v>618</v>
      </c>
      <c r="RXK967" t="s">
        <v>619</v>
      </c>
      <c r="RXL967" t="s">
        <v>619</v>
      </c>
      <c r="RXM967" t="s">
        <v>619</v>
      </c>
      <c r="RXN967">
        <v>-105608</v>
      </c>
      <c r="RXO967">
        <v>-174854</v>
      </c>
      <c r="SHF967" t="s">
        <v>618</v>
      </c>
      <c r="SHG967" t="s">
        <v>619</v>
      </c>
      <c r="SHH967" t="s">
        <v>619</v>
      </c>
      <c r="SHI967" t="s">
        <v>619</v>
      </c>
      <c r="SHJ967">
        <v>-105608</v>
      </c>
      <c r="SHK967">
        <v>-174854</v>
      </c>
      <c r="SRB967" t="s">
        <v>618</v>
      </c>
      <c r="SRC967" t="s">
        <v>619</v>
      </c>
      <c r="SRD967" t="s">
        <v>619</v>
      </c>
      <c r="SRE967" t="s">
        <v>619</v>
      </c>
      <c r="SRF967">
        <v>-105608</v>
      </c>
      <c r="SRG967">
        <v>-174854</v>
      </c>
      <c r="TAX967" t="s">
        <v>618</v>
      </c>
      <c r="TAY967" t="s">
        <v>619</v>
      </c>
      <c r="TAZ967" t="s">
        <v>619</v>
      </c>
      <c r="TBA967" t="s">
        <v>619</v>
      </c>
      <c r="TBB967">
        <v>-105608</v>
      </c>
      <c r="TBC967">
        <v>-174854</v>
      </c>
      <c r="TKT967" t="s">
        <v>618</v>
      </c>
      <c r="TKU967" t="s">
        <v>619</v>
      </c>
      <c r="TKV967" t="s">
        <v>619</v>
      </c>
      <c r="TKW967" t="s">
        <v>619</v>
      </c>
      <c r="TKX967">
        <v>-105608</v>
      </c>
      <c r="TKY967">
        <v>-174854</v>
      </c>
      <c r="TUP967" t="s">
        <v>618</v>
      </c>
      <c r="TUQ967" t="s">
        <v>619</v>
      </c>
      <c r="TUR967" t="s">
        <v>619</v>
      </c>
      <c r="TUS967" t="s">
        <v>619</v>
      </c>
      <c r="TUT967">
        <v>-105608</v>
      </c>
      <c r="TUU967">
        <v>-174854</v>
      </c>
      <c r="UEL967" t="s">
        <v>618</v>
      </c>
      <c r="UEM967" t="s">
        <v>619</v>
      </c>
      <c r="UEN967" t="s">
        <v>619</v>
      </c>
      <c r="UEO967" t="s">
        <v>619</v>
      </c>
      <c r="UEP967">
        <v>-105608</v>
      </c>
      <c r="UEQ967">
        <v>-174854</v>
      </c>
      <c r="UOH967" t="s">
        <v>618</v>
      </c>
      <c r="UOI967" t="s">
        <v>619</v>
      </c>
      <c r="UOJ967" t="s">
        <v>619</v>
      </c>
      <c r="UOK967" t="s">
        <v>619</v>
      </c>
      <c r="UOL967">
        <v>-105608</v>
      </c>
      <c r="UOM967">
        <v>-174854</v>
      </c>
      <c r="UYD967" t="s">
        <v>618</v>
      </c>
      <c r="UYE967" t="s">
        <v>619</v>
      </c>
      <c r="UYF967" t="s">
        <v>619</v>
      </c>
      <c r="UYG967" t="s">
        <v>619</v>
      </c>
      <c r="UYH967">
        <v>-105608</v>
      </c>
      <c r="UYI967">
        <v>-174854</v>
      </c>
      <c r="VHZ967" t="s">
        <v>618</v>
      </c>
      <c r="VIA967" t="s">
        <v>619</v>
      </c>
      <c r="VIB967" t="s">
        <v>619</v>
      </c>
      <c r="VIC967" t="s">
        <v>619</v>
      </c>
      <c r="VID967">
        <v>-105608</v>
      </c>
      <c r="VIE967">
        <v>-174854</v>
      </c>
      <c r="VRV967" t="s">
        <v>618</v>
      </c>
      <c r="VRW967" t="s">
        <v>619</v>
      </c>
      <c r="VRX967" t="s">
        <v>619</v>
      </c>
      <c r="VRY967" t="s">
        <v>619</v>
      </c>
      <c r="VRZ967">
        <v>-105608</v>
      </c>
      <c r="VSA967">
        <v>-174854</v>
      </c>
      <c r="WBR967" t="s">
        <v>618</v>
      </c>
      <c r="WBS967" t="s">
        <v>619</v>
      </c>
      <c r="WBT967" t="s">
        <v>619</v>
      </c>
      <c r="WBU967" t="s">
        <v>619</v>
      </c>
      <c r="WBV967">
        <v>-105608</v>
      </c>
      <c r="WBW967">
        <v>-174854</v>
      </c>
      <c r="WLN967" t="s">
        <v>618</v>
      </c>
      <c r="WLO967" t="s">
        <v>619</v>
      </c>
      <c r="WLP967" t="s">
        <v>619</v>
      </c>
      <c r="WLQ967" t="s">
        <v>619</v>
      </c>
      <c r="WLR967">
        <v>-105608</v>
      </c>
      <c r="WLS967">
        <v>-174854</v>
      </c>
      <c r="WVJ967" t="s">
        <v>618</v>
      </c>
      <c r="WVK967" t="s">
        <v>619</v>
      </c>
      <c r="WVL967" t="s">
        <v>619</v>
      </c>
      <c r="WVM967" t="s">
        <v>619</v>
      </c>
      <c r="WVN967">
        <v>-105608</v>
      </c>
      <c r="WVO967">
        <v>-174854</v>
      </c>
    </row>
    <row r="968" spans="1:775 1026:1799 2050:2823 3074:3847 4098:4871 5122:5895 6146:6919 7170:7943 8194:8967 9218:9991 10242:11015 11266:12039 12290:13063 13314:14087 14338:15111 15362:16135">
      <c r="A968" s="96" t="s">
        <v>1354</v>
      </c>
      <c r="B968" s="1265" t="s">
        <v>775</v>
      </c>
      <c r="C968" s="100">
        <v>9722</v>
      </c>
      <c r="D968" s="98">
        <v>0</v>
      </c>
      <c r="E968" s="98">
        <v>0</v>
      </c>
      <c r="F968" s="98">
        <v>0</v>
      </c>
      <c r="G968" s="98">
        <v>0</v>
      </c>
      <c r="H968" s="98"/>
      <c r="IX968" t="s">
        <v>1354</v>
      </c>
      <c r="IY968">
        <v>9722</v>
      </c>
      <c r="IZ968" t="s">
        <v>619</v>
      </c>
      <c r="JA968" t="s">
        <v>619</v>
      </c>
      <c r="JB968" t="s">
        <v>619</v>
      </c>
      <c r="JC968" t="s">
        <v>619</v>
      </c>
      <c r="ST968" t="s">
        <v>1354</v>
      </c>
      <c r="SU968">
        <v>9722</v>
      </c>
      <c r="SV968" t="s">
        <v>619</v>
      </c>
      <c r="SW968" t="s">
        <v>619</v>
      </c>
      <c r="SX968" t="s">
        <v>619</v>
      </c>
      <c r="SY968" t="s">
        <v>619</v>
      </c>
      <c r="ACP968" t="s">
        <v>1354</v>
      </c>
      <c r="ACQ968">
        <v>9722</v>
      </c>
      <c r="ACR968" t="s">
        <v>619</v>
      </c>
      <c r="ACS968" t="s">
        <v>619</v>
      </c>
      <c r="ACT968" t="s">
        <v>619</v>
      </c>
      <c r="ACU968" t="s">
        <v>619</v>
      </c>
      <c r="AML968" t="s">
        <v>1354</v>
      </c>
      <c r="AMM968">
        <v>9722</v>
      </c>
      <c r="AMN968" t="s">
        <v>619</v>
      </c>
      <c r="AMO968" t="s">
        <v>619</v>
      </c>
      <c r="AMP968" t="s">
        <v>619</v>
      </c>
      <c r="AMQ968" t="s">
        <v>619</v>
      </c>
      <c r="AWH968" t="s">
        <v>1354</v>
      </c>
      <c r="AWI968">
        <v>9722</v>
      </c>
      <c r="AWJ968" t="s">
        <v>619</v>
      </c>
      <c r="AWK968" t="s">
        <v>619</v>
      </c>
      <c r="AWL968" t="s">
        <v>619</v>
      </c>
      <c r="AWM968" t="s">
        <v>619</v>
      </c>
      <c r="BGD968" t="s">
        <v>1354</v>
      </c>
      <c r="BGE968">
        <v>9722</v>
      </c>
      <c r="BGF968" t="s">
        <v>619</v>
      </c>
      <c r="BGG968" t="s">
        <v>619</v>
      </c>
      <c r="BGH968" t="s">
        <v>619</v>
      </c>
      <c r="BGI968" t="s">
        <v>619</v>
      </c>
      <c r="BPZ968" t="s">
        <v>1354</v>
      </c>
      <c r="BQA968">
        <v>9722</v>
      </c>
      <c r="BQB968" t="s">
        <v>619</v>
      </c>
      <c r="BQC968" t="s">
        <v>619</v>
      </c>
      <c r="BQD968" t="s">
        <v>619</v>
      </c>
      <c r="BQE968" t="s">
        <v>619</v>
      </c>
      <c r="BZV968" t="s">
        <v>1354</v>
      </c>
      <c r="BZW968">
        <v>9722</v>
      </c>
      <c r="BZX968" t="s">
        <v>619</v>
      </c>
      <c r="BZY968" t="s">
        <v>619</v>
      </c>
      <c r="BZZ968" t="s">
        <v>619</v>
      </c>
      <c r="CAA968" t="s">
        <v>619</v>
      </c>
      <c r="CJR968" t="s">
        <v>1354</v>
      </c>
      <c r="CJS968">
        <v>9722</v>
      </c>
      <c r="CJT968" t="s">
        <v>619</v>
      </c>
      <c r="CJU968" t="s">
        <v>619</v>
      </c>
      <c r="CJV968" t="s">
        <v>619</v>
      </c>
      <c r="CJW968" t="s">
        <v>619</v>
      </c>
      <c r="CTN968" t="s">
        <v>1354</v>
      </c>
      <c r="CTO968">
        <v>9722</v>
      </c>
      <c r="CTP968" t="s">
        <v>619</v>
      </c>
      <c r="CTQ968" t="s">
        <v>619</v>
      </c>
      <c r="CTR968" t="s">
        <v>619</v>
      </c>
      <c r="CTS968" t="s">
        <v>619</v>
      </c>
      <c r="DDJ968" t="s">
        <v>1354</v>
      </c>
      <c r="DDK968">
        <v>9722</v>
      </c>
      <c r="DDL968" t="s">
        <v>619</v>
      </c>
      <c r="DDM968" t="s">
        <v>619</v>
      </c>
      <c r="DDN968" t="s">
        <v>619</v>
      </c>
      <c r="DDO968" t="s">
        <v>619</v>
      </c>
      <c r="DNF968" t="s">
        <v>1354</v>
      </c>
      <c r="DNG968">
        <v>9722</v>
      </c>
      <c r="DNH968" t="s">
        <v>619</v>
      </c>
      <c r="DNI968" t="s">
        <v>619</v>
      </c>
      <c r="DNJ968" t="s">
        <v>619</v>
      </c>
      <c r="DNK968" t="s">
        <v>619</v>
      </c>
      <c r="DXB968" t="s">
        <v>1354</v>
      </c>
      <c r="DXC968">
        <v>9722</v>
      </c>
      <c r="DXD968" t="s">
        <v>619</v>
      </c>
      <c r="DXE968" t="s">
        <v>619</v>
      </c>
      <c r="DXF968" t="s">
        <v>619</v>
      </c>
      <c r="DXG968" t="s">
        <v>619</v>
      </c>
      <c r="EGX968" t="s">
        <v>1354</v>
      </c>
      <c r="EGY968">
        <v>9722</v>
      </c>
      <c r="EGZ968" t="s">
        <v>619</v>
      </c>
      <c r="EHA968" t="s">
        <v>619</v>
      </c>
      <c r="EHB968" t="s">
        <v>619</v>
      </c>
      <c r="EHC968" t="s">
        <v>619</v>
      </c>
      <c r="EQT968" t="s">
        <v>1354</v>
      </c>
      <c r="EQU968">
        <v>9722</v>
      </c>
      <c r="EQV968" t="s">
        <v>619</v>
      </c>
      <c r="EQW968" t="s">
        <v>619</v>
      </c>
      <c r="EQX968" t="s">
        <v>619</v>
      </c>
      <c r="EQY968" t="s">
        <v>619</v>
      </c>
      <c r="FAP968" t="s">
        <v>1354</v>
      </c>
      <c r="FAQ968">
        <v>9722</v>
      </c>
      <c r="FAR968" t="s">
        <v>619</v>
      </c>
      <c r="FAS968" t="s">
        <v>619</v>
      </c>
      <c r="FAT968" t="s">
        <v>619</v>
      </c>
      <c r="FAU968" t="s">
        <v>619</v>
      </c>
      <c r="FKL968" t="s">
        <v>1354</v>
      </c>
      <c r="FKM968">
        <v>9722</v>
      </c>
      <c r="FKN968" t="s">
        <v>619</v>
      </c>
      <c r="FKO968" t="s">
        <v>619</v>
      </c>
      <c r="FKP968" t="s">
        <v>619</v>
      </c>
      <c r="FKQ968" t="s">
        <v>619</v>
      </c>
      <c r="FUH968" t="s">
        <v>1354</v>
      </c>
      <c r="FUI968">
        <v>9722</v>
      </c>
      <c r="FUJ968" t="s">
        <v>619</v>
      </c>
      <c r="FUK968" t="s">
        <v>619</v>
      </c>
      <c r="FUL968" t="s">
        <v>619</v>
      </c>
      <c r="FUM968" t="s">
        <v>619</v>
      </c>
      <c r="GED968" t="s">
        <v>1354</v>
      </c>
      <c r="GEE968">
        <v>9722</v>
      </c>
      <c r="GEF968" t="s">
        <v>619</v>
      </c>
      <c r="GEG968" t="s">
        <v>619</v>
      </c>
      <c r="GEH968" t="s">
        <v>619</v>
      </c>
      <c r="GEI968" t="s">
        <v>619</v>
      </c>
      <c r="GNZ968" t="s">
        <v>1354</v>
      </c>
      <c r="GOA968">
        <v>9722</v>
      </c>
      <c r="GOB968" t="s">
        <v>619</v>
      </c>
      <c r="GOC968" t="s">
        <v>619</v>
      </c>
      <c r="GOD968" t="s">
        <v>619</v>
      </c>
      <c r="GOE968" t="s">
        <v>619</v>
      </c>
      <c r="GXV968" t="s">
        <v>1354</v>
      </c>
      <c r="GXW968">
        <v>9722</v>
      </c>
      <c r="GXX968" t="s">
        <v>619</v>
      </c>
      <c r="GXY968" t="s">
        <v>619</v>
      </c>
      <c r="GXZ968" t="s">
        <v>619</v>
      </c>
      <c r="GYA968" t="s">
        <v>619</v>
      </c>
      <c r="HHR968" t="s">
        <v>1354</v>
      </c>
      <c r="HHS968">
        <v>9722</v>
      </c>
      <c r="HHT968" t="s">
        <v>619</v>
      </c>
      <c r="HHU968" t="s">
        <v>619</v>
      </c>
      <c r="HHV968" t="s">
        <v>619</v>
      </c>
      <c r="HHW968" t="s">
        <v>619</v>
      </c>
      <c r="HRN968" t="s">
        <v>1354</v>
      </c>
      <c r="HRO968">
        <v>9722</v>
      </c>
      <c r="HRP968" t="s">
        <v>619</v>
      </c>
      <c r="HRQ968" t="s">
        <v>619</v>
      </c>
      <c r="HRR968" t="s">
        <v>619</v>
      </c>
      <c r="HRS968" t="s">
        <v>619</v>
      </c>
      <c r="IBJ968" t="s">
        <v>1354</v>
      </c>
      <c r="IBK968">
        <v>9722</v>
      </c>
      <c r="IBL968" t="s">
        <v>619</v>
      </c>
      <c r="IBM968" t="s">
        <v>619</v>
      </c>
      <c r="IBN968" t="s">
        <v>619</v>
      </c>
      <c r="IBO968" t="s">
        <v>619</v>
      </c>
      <c r="ILF968" t="s">
        <v>1354</v>
      </c>
      <c r="ILG968">
        <v>9722</v>
      </c>
      <c r="ILH968" t="s">
        <v>619</v>
      </c>
      <c r="ILI968" t="s">
        <v>619</v>
      </c>
      <c r="ILJ968" t="s">
        <v>619</v>
      </c>
      <c r="ILK968" t="s">
        <v>619</v>
      </c>
      <c r="IVB968" t="s">
        <v>1354</v>
      </c>
      <c r="IVC968">
        <v>9722</v>
      </c>
      <c r="IVD968" t="s">
        <v>619</v>
      </c>
      <c r="IVE968" t="s">
        <v>619</v>
      </c>
      <c r="IVF968" t="s">
        <v>619</v>
      </c>
      <c r="IVG968" t="s">
        <v>619</v>
      </c>
      <c r="JEX968" t="s">
        <v>1354</v>
      </c>
      <c r="JEY968">
        <v>9722</v>
      </c>
      <c r="JEZ968" t="s">
        <v>619</v>
      </c>
      <c r="JFA968" t="s">
        <v>619</v>
      </c>
      <c r="JFB968" t="s">
        <v>619</v>
      </c>
      <c r="JFC968" t="s">
        <v>619</v>
      </c>
      <c r="JOT968" t="s">
        <v>1354</v>
      </c>
      <c r="JOU968">
        <v>9722</v>
      </c>
      <c r="JOV968" t="s">
        <v>619</v>
      </c>
      <c r="JOW968" t="s">
        <v>619</v>
      </c>
      <c r="JOX968" t="s">
        <v>619</v>
      </c>
      <c r="JOY968" t="s">
        <v>619</v>
      </c>
      <c r="JYP968" t="s">
        <v>1354</v>
      </c>
      <c r="JYQ968">
        <v>9722</v>
      </c>
      <c r="JYR968" t="s">
        <v>619</v>
      </c>
      <c r="JYS968" t="s">
        <v>619</v>
      </c>
      <c r="JYT968" t="s">
        <v>619</v>
      </c>
      <c r="JYU968" t="s">
        <v>619</v>
      </c>
      <c r="KIL968" t="s">
        <v>1354</v>
      </c>
      <c r="KIM968">
        <v>9722</v>
      </c>
      <c r="KIN968" t="s">
        <v>619</v>
      </c>
      <c r="KIO968" t="s">
        <v>619</v>
      </c>
      <c r="KIP968" t="s">
        <v>619</v>
      </c>
      <c r="KIQ968" t="s">
        <v>619</v>
      </c>
      <c r="KSH968" t="s">
        <v>1354</v>
      </c>
      <c r="KSI968">
        <v>9722</v>
      </c>
      <c r="KSJ968" t="s">
        <v>619</v>
      </c>
      <c r="KSK968" t="s">
        <v>619</v>
      </c>
      <c r="KSL968" t="s">
        <v>619</v>
      </c>
      <c r="KSM968" t="s">
        <v>619</v>
      </c>
      <c r="LCD968" t="s">
        <v>1354</v>
      </c>
      <c r="LCE968">
        <v>9722</v>
      </c>
      <c r="LCF968" t="s">
        <v>619</v>
      </c>
      <c r="LCG968" t="s">
        <v>619</v>
      </c>
      <c r="LCH968" t="s">
        <v>619</v>
      </c>
      <c r="LCI968" t="s">
        <v>619</v>
      </c>
      <c r="LLZ968" t="s">
        <v>1354</v>
      </c>
      <c r="LMA968">
        <v>9722</v>
      </c>
      <c r="LMB968" t="s">
        <v>619</v>
      </c>
      <c r="LMC968" t="s">
        <v>619</v>
      </c>
      <c r="LMD968" t="s">
        <v>619</v>
      </c>
      <c r="LME968" t="s">
        <v>619</v>
      </c>
      <c r="LVV968" t="s">
        <v>1354</v>
      </c>
      <c r="LVW968">
        <v>9722</v>
      </c>
      <c r="LVX968" t="s">
        <v>619</v>
      </c>
      <c r="LVY968" t="s">
        <v>619</v>
      </c>
      <c r="LVZ968" t="s">
        <v>619</v>
      </c>
      <c r="LWA968" t="s">
        <v>619</v>
      </c>
      <c r="MFR968" t="s">
        <v>1354</v>
      </c>
      <c r="MFS968">
        <v>9722</v>
      </c>
      <c r="MFT968" t="s">
        <v>619</v>
      </c>
      <c r="MFU968" t="s">
        <v>619</v>
      </c>
      <c r="MFV968" t="s">
        <v>619</v>
      </c>
      <c r="MFW968" t="s">
        <v>619</v>
      </c>
      <c r="MPN968" t="s">
        <v>1354</v>
      </c>
      <c r="MPO968">
        <v>9722</v>
      </c>
      <c r="MPP968" t="s">
        <v>619</v>
      </c>
      <c r="MPQ968" t="s">
        <v>619</v>
      </c>
      <c r="MPR968" t="s">
        <v>619</v>
      </c>
      <c r="MPS968" t="s">
        <v>619</v>
      </c>
      <c r="MZJ968" t="s">
        <v>1354</v>
      </c>
      <c r="MZK968">
        <v>9722</v>
      </c>
      <c r="MZL968" t="s">
        <v>619</v>
      </c>
      <c r="MZM968" t="s">
        <v>619</v>
      </c>
      <c r="MZN968" t="s">
        <v>619</v>
      </c>
      <c r="MZO968" t="s">
        <v>619</v>
      </c>
      <c r="NJF968" t="s">
        <v>1354</v>
      </c>
      <c r="NJG968">
        <v>9722</v>
      </c>
      <c r="NJH968" t="s">
        <v>619</v>
      </c>
      <c r="NJI968" t="s">
        <v>619</v>
      </c>
      <c r="NJJ968" t="s">
        <v>619</v>
      </c>
      <c r="NJK968" t="s">
        <v>619</v>
      </c>
      <c r="NTB968" t="s">
        <v>1354</v>
      </c>
      <c r="NTC968">
        <v>9722</v>
      </c>
      <c r="NTD968" t="s">
        <v>619</v>
      </c>
      <c r="NTE968" t="s">
        <v>619</v>
      </c>
      <c r="NTF968" t="s">
        <v>619</v>
      </c>
      <c r="NTG968" t="s">
        <v>619</v>
      </c>
      <c r="OCX968" t="s">
        <v>1354</v>
      </c>
      <c r="OCY968">
        <v>9722</v>
      </c>
      <c r="OCZ968" t="s">
        <v>619</v>
      </c>
      <c r="ODA968" t="s">
        <v>619</v>
      </c>
      <c r="ODB968" t="s">
        <v>619</v>
      </c>
      <c r="ODC968" t="s">
        <v>619</v>
      </c>
      <c r="OMT968" t="s">
        <v>1354</v>
      </c>
      <c r="OMU968">
        <v>9722</v>
      </c>
      <c r="OMV968" t="s">
        <v>619</v>
      </c>
      <c r="OMW968" t="s">
        <v>619</v>
      </c>
      <c r="OMX968" t="s">
        <v>619</v>
      </c>
      <c r="OMY968" t="s">
        <v>619</v>
      </c>
      <c r="OWP968" t="s">
        <v>1354</v>
      </c>
      <c r="OWQ968">
        <v>9722</v>
      </c>
      <c r="OWR968" t="s">
        <v>619</v>
      </c>
      <c r="OWS968" t="s">
        <v>619</v>
      </c>
      <c r="OWT968" t="s">
        <v>619</v>
      </c>
      <c r="OWU968" t="s">
        <v>619</v>
      </c>
      <c r="PGL968" t="s">
        <v>1354</v>
      </c>
      <c r="PGM968">
        <v>9722</v>
      </c>
      <c r="PGN968" t="s">
        <v>619</v>
      </c>
      <c r="PGO968" t="s">
        <v>619</v>
      </c>
      <c r="PGP968" t="s">
        <v>619</v>
      </c>
      <c r="PGQ968" t="s">
        <v>619</v>
      </c>
      <c r="PQH968" t="s">
        <v>1354</v>
      </c>
      <c r="PQI968">
        <v>9722</v>
      </c>
      <c r="PQJ968" t="s">
        <v>619</v>
      </c>
      <c r="PQK968" t="s">
        <v>619</v>
      </c>
      <c r="PQL968" t="s">
        <v>619</v>
      </c>
      <c r="PQM968" t="s">
        <v>619</v>
      </c>
      <c r="QAD968" t="s">
        <v>1354</v>
      </c>
      <c r="QAE968">
        <v>9722</v>
      </c>
      <c r="QAF968" t="s">
        <v>619</v>
      </c>
      <c r="QAG968" t="s">
        <v>619</v>
      </c>
      <c r="QAH968" t="s">
        <v>619</v>
      </c>
      <c r="QAI968" t="s">
        <v>619</v>
      </c>
      <c r="QJZ968" t="s">
        <v>1354</v>
      </c>
      <c r="QKA968">
        <v>9722</v>
      </c>
      <c r="QKB968" t="s">
        <v>619</v>
      </c>
      <c r="QKC968" t="s">
        <v>619</v>
      </c>
      <c r="QKD968" t="s">
        <v>619</v>
      </c>
      <c r="QKE968" t="s">
        <v>619</v>
      </c>
      <c r="QTV968" t="s">
        <v>1354</v>
      </c>
      <c r="QTW968">
        <v>9722</v>
      </c>
      <c r="QTX968" t="s">
        <v>619</v>
      </c>
      <c r="QTY968" t="s">
        <v>619</v>
      </c>
      <c r="QTZ968" t="s">
        <v>619</v>
      </c>
      <c r="QUA968" t="s">
        <v>619</v>
      </c>
      <c r="RDR968" t="s">
        <v>1354</v>
      </c>
      <c r="RDS968">
        <v>9722</v>
      </c>
      <c r="RDT968" t="s">
        <v>619</v>
      </c>
      <c r="RDU968" t="s">
        <v>619</v>
      </c>
      <c r="RDV968" t="s">
        <v>619</v>
      </c>
      <c r="RDW968" t="s">
        <v>619</v>
      </c>
      <c r="RNN968" t="s">
        <v>1354</v>
      </c>
      <c r="RNO968">
        <v>9722</v>
      </c>
      <c r="RNP968" t="s">
        <v>619</v>
      </c>
      <c r="RNQ968" t="s">
        <v>619</v>
      </c>
      <c r="RNR968" t="s">
        <v>619</v>
      </c>
      <c r="RNS968" t="s">
        <v>619</v>
      </c>
      <c r="RXJ968" t="s">
        <v>1354</v>
      </c>
      <c r="RXK968">
        <v>9722</v>
      </c>
      <c r="RXL968" t="s">
        <v>619</v>
      </c>
      <c r="RXM968" t="s">
        <v>619</v>
      </c>
      <c r="RXN968" t="s">
        <v>619</v>
      </c>
      <c r="RXO968" t="s">
        <v>619</v>
      </c>
      <c r="SHF968" t="s">
        <v>1354</v>
      </c>
      <c r="SHG968">
        <v>9722</v>
      </c>
      <c r="SHH968" t="s">
        <v>619</v>
      </c>
      <c r="SHI968" t="s">
        <v>619</v>
      </c>
      <c r="SHJ968" t="s">
        <v>619</v>
      </c>
      <c r="SHK968" t="s">
        <v>619</v>
      </c>
      <c r="SRB968" t="s">
        <v>1354</v>
      </c>
      <c r="SRC968">
        <v>9722</v>
      </c>
      <c r="SRD968" t="s">
        <v>619</v>
      </c>
      <c r="SRE968" t="s">
        <v>619</v>
      </c>
      <c r="SRF968" t="s">
        <v>619</v>
      </c>
      <c r="SRG968" t="s">
        <v>619</v>
      </c>
      <c r="TAX968" t="s">
        <v>1354</v>
      </c>
      <c r="TAY968">
        <v>9722</v>
      </c>
      <c r="TAZ968" t="s">
        <v>619</v>
      </c>
      <c r="TBA968" t="s">
        <v>619</v>
      </c>
      <c r="TBB968" t="s">
        <v>619</v>
      </c>
      <c r="TBC968" t="s">
        <v>619</v>
      </c>
      <c r="TKT968" t="s">
        <v>1354</v>
      </c>
      <c r="TKU968">
        <v>9722</v>
      </c>
      <c r="TKV968" t="s">
        <v>619</v>
      </c>
      <c r="TKW968" t="s">
        <v>619</v>
      </c>
      <c r="TKX968" t="s">
        <v>619</v>
      </c>
      <c r="TKY968" t="s">
        <v>619</v>
      </c>
      <c r="TUP968" t="s">
        <v>1354</v>
      </c>
      <c r="TUQ968">
        <v>9722</v>
      </c>
      <c r="TUR968" t="s">
        <v>619</v>
      </c>
      <c r="TUS968" t="s">
        <v>619</v>
      </c>
      <c r="TUT968" t="s">
        <v>619</v>
      </c>
      <c r="TUU968" t="s">
        <v>619</v>
      </c>
      <c r="UEL968" t="s">
        <v>1354</v>
      </c>
      <c r="UEM968">
        <v>9722</v>
      </c>
      <c r="UEN968" t="s">
        <v>619</v>
      </c>
      <c r="UEO968" t="s">
        <v>619</v>
      </c>
      <c r="UEP968" t="s">
        <v>619</v>
      </c>
      <c r="UEQ968" t="s">
        <v>619</v>
      </c>
      <c r="UOH968" t="s">
        <v>1354</v>
      </c>
      <c r="UOI968">
        <v>9722</v>
      </c>
      <c r="UOJ968" t="s">
        <v>619</v>
      </c>
      <c r="UOK968" t="s">
        <v>619</v>
      </c>
      <c r="UOL968" t="s">
        <v>619</v>
      </c>
      <c r="UOM968" t="s">
        <v>619</v>
      </c>
      <c r="UYD968" t="s">
        <v>1354</v>
      </c>
      <c r="UYE968">
        <v>9722</v>
      </c>
      <c r="UYF968" t="s">
        <v>619</v>
      </c>
      <c r="UYG968" t="s">
        <v>619</v>
      </c>
      <c r="UYH968" t="s">
        <v>619</v>
      </c>
      <c r="UYI968" t="s">
        <v>619</v>
      </c>
      <c r="VHZ968" t="s">
        <v>1354</v>
      </c>
      <c r="VIA968">
        <v>9722</v>
      </c>
      <c r="VIB968" t="s">
        <v>619</v>
      </c>
      <c r="VIC968" t="s">
        <v>619</v>
      </c>
      <c r="VID968" t="s">
        <v>619</v>
      </c>
      <c r="VIE968" t="s">
        <v>619</v>
      </c>
      <c r="VRV968" t="s">
        <v>1354</v>
      </c>
      <c r="VRW968">
        <v>9722</v>
      </c>
      <c r="VRX968" t="s">
        <v>619</v>
      </c>
      <c r="VRY968" t="s">
        <v>619</v>
      </c>
      <c r="VRZ968" t="s">
        <v>619</v>
      </c>
      <c r="VSA968" t="s">
        <v>619</v>
      </c>
      <c r="WBR968" t="s">
        <v>1354</v>
      </c>
      <c r="WBS968">
        <v>9722</v>
      </c>
      <c r="WBT968" t="s">
        <v>619</v>
      </c>
      <c r="WBU968" t="s">
        <v>619</v>
      </c>
      <c r="WBV968" t="s">
        <v>619</v>
      </c>
      <c r="WBW968" t="s">
        <v>619</v>
      </c>
      <c r="WLN968" t="s">
        <v>1354</v>
      </c>
      <c r="WLO968">
        <v>9722</v>
      </c>
      <c r="WLP968" t="s">
        <v>619</v>
      </c>
      <c r="WLQ968" t="s">
        <v>619</v>
      </c>
      <c r="WLR968" t="s">
        <v>619</v>
      </c>
      <c r="WLS968" t="s">
        <v>619</v>
      </c>
      <c r="WVJ968" t="s">
        <v>1354</v>
      </c>
      <c r="WVK968">
        <v>9722</v>
      </c>
      <c r="WVL968" t="s">
        <v>619</v>
      </c>
      <c r="WVM968" t="s">
        <v>619</v>
      </c>
      <c r="WVN968" t="s">
        <v>619</v>
      </c>
      <c r="WVO968" t="s">
        <v>619</v>
      </c>
    </row>
    <row r="969" spans="1:775 1026:1799 2050:2823 3074:3847 4098:4871 5122:5895 6146:6919 7170:7943 8194:8967 9218:9991 10242:11015 11266:12039 12290:13063 13314:14087 14338:15111 15362:16135">
      <c r="A969" s="96" t="s">
        <v>1355</v>
      </c>
      <c r="B969" s="1265" t="s">
        <v>775</v>
      </c>
      <c r="C969" s="98">
        <v>0</v>
      </c>
      <c r="D969" s="100">
        <v>64478</v>
      </c>
      <c r="E969" s="98">
        <v>0</v>
      </c>
      <c r="F969" s="98">
        <v>0</v>
      </c>
      <c r="G969" s="98">
        <v>0</v>
      </c>
      <c r="H969" s="98"/>
      <c r="IX969" t="s">
        <v>1355</v>
      </c>
      <c r="IY969" t="s">
        <v>619</v>
      </c>
      <c r="IZ969">
        <v>64478</v>
      </c>
      <c r="JA969" t="s">
        <v>619</v>
      </c>
      <c r="JB969" t="s">
        <v>619</v>
      </c>
      <c r="JC969" t="s">
        <v>619</v>
      </c>
      <c r="ST969" t="s">
        <v>1355</v>
      </c>
      <c r="SU969" t="s">
        <v>619</v>
      </c>
      <c r="SV969">
        <v>64478</v>
      </c>
      <c r="SW969" t="s">
        <v>619</v>
      </c>
      <c r="SX969" t="s">
        <v>619</v>
      </c>
      <c r="SY969" t="s">
        <v>619</v>
      </c>
      <c r="ACP969" t="s">
        <v>1355</v>
      </c>
      <c r="ACQ969" t="s">
        <v>619</v>
      </c>
      <c r="ACR969">
        <v>64478</v>
      </c>
      <c r="ACS969" t="s">
        <v>619</v>
      </c>
      <c r="ACT969" t="s">
        <v>619</v>
      </c>
      <c r="ACU969" t="s">
        <v>619</v>
      </c>
      <c r="AML969" t="s">
        <v>1355</v>
      </c>
      <c r="AMM969" t="s">
        <v>619</v>
      </c>
      <c r="AMN969">
        <v>64478</v>
      </c>
      <c r="AMO969" t="s">
        <v>619</v>
      </c>
      <c r="AMP969" t="s">
        <v>619</v>
      </c>
      <c r="AMQ969" t="s">
        <v>619</v>
      </c>
      <c r="AWH969" t="s">
        <v>1355</v>
      </c>
      <c r="AWI969" t="s">
        <v>619</v>
      </c>
      <c r="AWJ969">
        <v>64478</v>
      </c>
      <c r="AWK969" t="s">
        <v>619</v>
      </c>
      <c r="AWL969" t="s">
        <v>619</v>
      </c>
      <c r="AWM969" t="s">
        <v>619</v>
      </c>
      <c r="BGD969" t="s">
        <v>1355</v>
      </c>
      <c r="BGE969" t="s">
        <v>619</v>
      </c>
      <c r="BGF969">
        <v>64478</v>
      </c>
      <c r="BGG969" t="s">
        <v>619</v>
      </c>
      <c r="BGH969" t="s">
        <v>619</v>
      </c>
      <c r="BGI969" t="s">
        <v>619</v>
      </c>
      <c r="BPZ969" t="s">
        <v>1355</v>
      </c>
      <c r="BQA969" t="s">
        <v>619</v>
      </c>
      <c r="BQB969">
        <v>64478</v>
      </c>
      <c r="BQC969" t="s">
        <v>619</v>
      </c>
      <c r="BQD969" t="s">
        <v>619</v>
      </c>
      <c r="BQE969" t="s">
        <v>619</v>
      </c>
      <c r="BZV969" t="s">
        <v>1355</v>
      </c>
      <c r="BZW969" t="s">
        <v>619</v>
      </c>
      <c r="BZX969">
        <v>64478</v>
      </c>
      <c r="BZY969" t="s">
        <v>619</v>
      </c>
      <c r="BZZ969" t="s">
        <v>619</v>
      </c>
      <c r="CAA969" t="s">
        <v>619</v>
      </c>
      <c r="CJR969" t="s">
        <v>1355</v>
      </c>
      <c r="CJS969" t="s">
        <v>619</v>
      </c>
      <c r="CJT969">
        <v>64478</v>
      </c>
      <c r="CJU969" t="s">
        <v>619</v>
      </c>
      <c r="CJV969" t="s">
        <v>619</v>
      </c>
      <c r="CJW969" t="s">
        <v>619</v>
      </c>
      <c r="CTN969" t="s">
        <v>1355</v>
      </c>
      <c r="CTO969" t="s">
        <v>619</v>
      </c>
      <c r="CTP969">
        <v>64478</v>
      </c>
      <c r="CTQ969" t="s">
        <v>619</v>
      </c>
      <c r="CTR969" t="s">
        <v>619</v>
      </c>
      <c r="CTS969" t="s">
        <v>619</v>
      </c>
      <c r="DDJ969" t="s">
        <v>1355</v>
      </c>
      <c r="DDK969" t="s">
        <v>619</v>
      </c>
      <c r="DDL969">
        <v>64478</v>
      </c>
      <c r="DDM969" t="s">
        <v>619</v>
      </c>
      <c r="DDN969" t="s">
        <v>619</v>
      </c>
      <c r="DDO969" t="s">
        <v>619</v>
      </c>
      <c r="DNF969" t="s">
        <v>1355</v>
      </c>
      <c r="DNG969" t="s">
        <v>619</v>
      </c>
      <c r="DNH969">
        <v>64478</v>
      </c>
      <c r="DNI969" t="s">
        <v>619</v>
      </c>
      <c r="DNJ969" t="s">
        <v>619</v>
      </c>
      <c r="DNK969" t="s">
        <v>619</v>
      </c>
      <c r="DXB969" t="s">
        <v>1355</v>
      </c>
      <c r="DXC969" t="s">
        <v>619</v>
      </c>
      <c r="DXD969">
        <v>64478</v>
      </c>
      <c r="DXE969" t="s">
        <v>619</v>
      </c>
      <c r="DXF969" t="s">
        <v>619</v>
      </c>
      <c r="DXG969" t="s">
        <v>619</v>
      </c>
      <c r="EGX969" t="s">
        <v>1355</v>
      </c>
      <c r="EGY969" t="s">
        <v>619</v>
      </c>
      <c r="EGZ969">
        <v>64478</v>
      </c>
      <c r="EHA969" t="s">
        <v>619</v>
      </c>
      <c r="EHB969" t="s">
        <v>619</v>
      </c>
      <c r="EHC969" t="s">
        <v>619</v>
      </c>
      <c r="EQT969" t="s">
        <v>1355</v>
      </c>
      <c r="EQU969" t="s">
        <v>619</v>
      </c>
      <c r="EQV969">
        <v>64478</v>
      </c>
      <c r="EQW969" t="s">
        <v>619</v>
      </c>
      <c r="EQX969" t="s">
        <v>619</v>
      </c>
      <c r="EQY969" t="s">
        <v>619</v>
      </c>
      <c r="FAP969" t="s">
        <v>1355</v>
      </c>
      <c r="FAQ969" t="s">
        <v>619</v>
      </c>
      <c r="FAR969">
        <v>64478</v>
      </c>
      <c r="FAS969" t="s">
        <v>619</v>
      </c>
      <c r="FAT969" t="s">
        <v>619</v>
      </c>
      <c r="FAU969" t="s">
        <v>619</v>
      </c>
      <c r="FKL969" t="s">
        <v>1355</v>
      </c>
      <c r="FKM969" t="s">
        <v>619</v>
      </c>
      <c r="FKN969">
        <v>64478</v>
      </c>
      <c r="FKO969" t="s">
        <v>619</v>
      </c>
      <c r="FKP969" t="s">
        <v>619</v>
      </c>
      <c r="FKQ969" t="s">
        <v>619</v>
      </c>
      <c r="FUH969" t="s">
        <v>1355</v>
      </c>
      <c r="FUI969" t="s">
        <v>619</v>
      </c>
      <c r="FUJ969">
        <v>64478</v>
      </c>
      <c r="FUK969" t="s">
        <v>619</v>
      </c>
      <c r="FUL969" t="s">
        <v>619</v>
      </c>
      <c r="FUM969" t="s">
        <v>619</v>
      </c>
      <c r="GED969" t="s">
        <v>1355</v>
      </c>
      <c r="GEE969" t="s">
        <v>619</v>
      </c>
      <c r="GEF969">
        <v>64478</v>
      </c>
      <c r="GEG969" t="s">
        <v>619</v>
      </c>
      <c r="GEH969" t="s">
        <v>619</v>
      </c>
      <c r="GEI969" t="s">
        <v>619</v>
      </c>
      <c r="GNZ969" t="s">
        <v>1355</v>
      </c>
      <c r="GOA969" t="s">
        <v>619</v>
      </c>
      <c r="GOB969">
        <v>64478</v>
      </c>
      <c r="GOC969" t="s">
        <v>619</v>
      </c>
      <c r="GOD969" t="s">
        <v>619</v>
      </c>
      <c r="GOE969" t="s">
        <v>619</v>
      </c>
      <c r="GXV969" t="s">
        <v>1355</v>
      </c>
      <c r="GXW969" t="s">
        <v>619</v>
      </c>
      <c r="GXX969">
        <v>64478</v>
      </c>
      <c r="GXY969" t="s">
        <v>619</v>
      </c>
      <c r="GXZ969" t="s">
        <v>619</v>
      </c>
      <c r="GYA969" t="s">
        <v>619</v>
      </c>
      <c r="HHR969" t="s">
        <v>1355</v>
      </c>
      <c r="HHS969" t="s">
        <v>619</v>
      </c>
      <c r="HHT969">
        <v>64478</v>
      </c>
      <c r="HHU969" t="s">
        <v>619</v>
      </c>
      <c r="HHV969" t="s">
        <v>619</v>
      </c>
      <c r="HHW969" t="s">
        <v>619</v>
      </c>
      <c r="HRN969" t="s">
        <v>1355</v>
      </c>
      <c r="HRO969" t="s">
        <v>619</v>
      </c>
      <c r="HRP969">
        <v>64478</v>
      </c>
      <c r="HRQ969" t="s">
        <v>619</v>
      </c>
      <c r="HRR969" t="s">
        <v>619</v>
      </c>
      <c r="HRS969" t="s">
        <v>619</v>
      </c>
      <c r="IBJ969" t="s">
        <v>1355</v>
      </c>
      <c r="IBK969" t="s">
        <v>619</v>
      </c>
      <c r="IBL969">
        <v>64478</v>
      </c>
      <c r="IBM969" t="s">
        <v>619</v>
      </c>
      <c r="IBN969" t="s">
        <v>619</v>
      </c>
      <c r="IBO969" t="s">
        <v>619</v>
      </c>
      <c r="ILF969" t="s">
        <v>1355</v>
      </c>
      <c r="ILG969" t="s">
        <v>619</v>
      </c>
      <c r="ILH969">
        <v>64478</v>
      </c>
      <c r="ILI969" t="s">
        <v>619</v>
      </c>
      <c r="ILJ969" t="s">
        <v>619</v>
      </c>
      <c r="ILK969" t="s">
        <v>619</v>
      </c>
      <c r="IVB969" t="s">
        <v>1355</v>
      </c>
      <c r="IVC969" t="s">
        <v>619</v>
      </c>
      <c r="IVD969">
        <v>64478</v>
      </c>
      <c r="IVE969" t="s">
        <v>619</v>
      </c>
      <c r="IVF969" t="s">
        <v>619</v>
      </c>
      <c r="IVG969" t="s">
        <v>619</v>
      </c>
      <c r="JEX969" t="s">
        <v>1355</v>
      </c>
      <c r="JEY969" t="s">
        <v>619</v>
      </c>
      <c r="JEZ969">
        <v>64478</v>
      </c>
      <c r="JFA969" t="s">
        <v>619</v>
      </c>
      <c r="JFB969" t="s">
        <v>619</v>
      </c>
      <c r="JFC969" t="s">
        <v>619</v>
      </c>
      <c r="JOT969" t="s">
        <v>1355</v>
      </c>
      <c r="JOU969" t="s">
        <v>619</v>
      </c>
      <c r="JOV969">
        <v>64478</v>
      </c>
      <c r="JOW969" t="s">
        <v>619</v>
      </c>
      <c r="JOX969" t="s">
        <v>619</v>
      </c>
      <c r="JOY969" t="s">
        <v>619</v>
      </c>
      <c r="JYP969" t="s">
        <v>1355</v>
      </c>
      <c r="JYQ969" t="s">
        <v>619</v>
      </c>
      <c r="JYR969">
        <v>64478</v>
      </c>
      <c r="JYS969" t="s">
        <v>619</v>
      </c>
      <c r="JYT969" t="s">
        <v>619</v>
      </c>
      <c r="JYU969" t="s">
        <v>619</v>
      </c>
      <c r="KIL969" t="s">
        <v>1355</v>
      </c>
      <c r="KIM969" t="s">
        <v>619</v>
      </c>
      <c r="KIN969">
        <v>64478</v>
      </c>
      <c r="KIO969" t="s">
        <v>619</v>
      </c>
      <c r="KIP969" t="s">
        <v>619</v>
      </c>
      <c r="KIQ969" t="s">
        <v>619</v>
      </c>
      <c r="KSH969" t="s">
        <v>1355</v>
      </c>
      <c r="KSI969" t="s">
        <v>619</v>
      </c>
      <c r="KSJ969">
        <v>64478</v>
      </c>
      <c r="KSK969" t="s">
        <v>619</v>
      </c>
      <c r="KSL969" t="s">
        <v>619</v>
      </c>
      <c r="KSM969" t="s">
        <v>619</v>
      </c>
      <c r="LCD969" t="s">
        <v>1355</v>
      </c>
      <c r="LCE969" t="s">
        <v>619</v>
      </c>
      <c r="LCF969">
        <v>64478</v>
      </c>
      <c r="LCG969" t="s">
        <v>619</v>
      </c>
      <c r="LCH969" t="s">
        <v>619</v>
      </c>
      <c r="LCI969" t="s">
        <v>619</v>
      </c>
      <c r="LLZ969" t="s">
        <v>1355</v>
      </c>
      <c r="LMA969" t="s">
        <v>619</v>
      </c>
      <c r="LMB969">
        <v>64478</v>
      </c>
      <c r="LMC969" t="s">
        <v>619</v>
      </c>
      <c r="LMD969" t="s">
        <v>619</v>
      </c>
      <c r="LME969" t="s">
        <v>619</v>
      </c>
      <c r="LVV969" t="s">
        <v>1355</v>
      </c>
      <c r="LVW969" t="s">
        <v>619</v>
      </c>
      <c r="LVX969">
        <v>64478</v>
      </c>
      <c r="LVY969" t="s">
        <v>619</v>
      </c>
      <c r="LVZ969" t="s">
        <v>619</v>
      </c>
      <c r="LWA969" t="s">
        <v>619</v>
      </c>
      <c r="MFR969" t="s">
        <v>1355</v>
      </c>
      <c r="MFS969" t="s">
        <v>619</v>
      </c>
      <c r="MFT969">
        <v>64478</v>
      </c>
      <c r="MFU969" t="s">
        <v>619</v>
      </c>
      <c r="MFV969" t="s">
        <v>619</v>
      </c>
      <c r="MFW969" t="s">
        <v>619</v>
      </c>
      <c r="MPN969" t="s">
        <v>1355</v>
      </c>
      <c r="MPO969" t="s">
        <v>619</v>
      </c>
      <c r="MPP969">
        <v>64478</v>
      </c>
      <c r="MPQ969" t="s">
        <v>619</v>
      </c>
      <c r="MPR969" t="s">
        <v>619</v>
      </c>
      <c r="MPS969" t="s">
        <v>619</v>
      </c>
      <c r="MZJ969" t="s">
        <v>1355</v>
      </c>
      <c r="MZK969" t="s">
        <v>619</v>
      </c>
      <c r="MZL969">
        <v>64478</v>
      </c>
      <c r="MZM969" t="s">
        <v>619</v>
      </c>
      <c r="MZN969" t="s">
        <v>619</v>
      </c>
      <c r="MZO969" t="s">
        <v>619</v>
      </c>
      <c r="NJF969" t="s">
        <v>1355</v>
      </c>
      <c r="NJG969" t="s">
        <v>619</v>
      </c>
      <c r="NJH969">
        <v>64478</v>
      </c>
      <c r="NJI969" t="s">
        <v>619</v>
      </c>
      <c r="NJJ969" t="s">
        <v>619</v>
      </c>
      <c r="NJK969" t="s">
        <v>619</v>
      </c>
      <c r="NTB969" t="s">
        <v>1355</v>
      </c>
      <c r="NTC969" t="s">
        <v>619</v>
      </c>
      <c r="NTD969">
        <v>64478</v>
      </c>
      <c r="NTE969" t="s">
        <v>619</v>
      </c>
      <c r="NTF969" t="s">
        <v>619</v>
      </c>
      <c r="NTG969" t="s">
        <v>619</v>
      </c>
      <c r="OCX969" t="s">
        <v>1355</v>
      </c>
      <c r="OCY969" t="s">
        <v>619</v>
      </c>
      <c r="OCZ969">
        <v>64478</v>
      </c>
      <c r="ODA969" t="s">
        <v>619</v>
      </c>
      <c r="ODB969" t="s">
        <v>619</v>
      </c>
      <c r="ODC969" t="s">
        <v>619</v>
      </c>
      <c r="OMT969" t="s">
        <v>1355</v>
      </c>
      <c r="OMU969" t="s">
        <v>619</v>
      </c>
      <c r="OMV969">
        <v>64478</v>
      </c>
      <c r="OMW969" t="s">
        <v>619</v>
      </c>
      <c r="OMX969" t="s">
        <v>619</v>
      </c>
      <c r="OMY969" t="s">
        <v>619</v>
      </c>
      <c r="OWP969" t="s">
        <v>1355</v>
      </c>
      <c r="OWQ969" t="s">
        <v>619</v>
      </c>
      <c r="OWR969">
        <v>64478</v>
      </c>
      <c r="OWS969" t="s">
        <v>619</v>
      </c>
      <c r="OWT969" t="s">
        <v>619</v>
      </c>
      <c r="OWU969" t="s">
        <v>619</v>
      </c>
      <c r="PGL969" t="s">
        <v>1355</v>
      </c>
      <c r="PGM969" t="s">
        <v>619</v>
      </c>
      <c r="PGN969">
        <v>64478</v>
      </c>
      <c r="PGO969" t="s">
        <v>619</v>
      </c>
      <c r="PGP969" t="s">
        <v>619</v>
      </c>
      <c r="PGQ969" t="s">
        <v>619</v>
      </c>
      <c r="PQH969" t="s">
        <v>1355</v>
      </c>
      <c r="PQI969" t="s">
        <v>619</v>
      </c>
      <c r="PQJ969">
        <v>64478</v>
      </c>
      <c r="PQK969" t="s">
        <v>619</v>
      </c>
      <c r="PQL969" t="s">
        <v>619</v>
      </c>
      <c r="PQM969" t="s">
        <v>619</v>
      </c>
      <c r="QAD969" t="s">
        <v>1355</v>
      </c>
      <c r="QAE969" t="s">
        <v>619</v>
      </c>
      <c r="QAF969">
        <v>64478</v>
      </c>
      <c r="QAG969" t="s">
        <v>619</v>
      </c>
      <c r="QAH969" t="s">
        <v>619</v>
      </c>
      <c r="QAI969" t="s">
        <v>619</v>
      </c>
      <c r="QJZ969" t="s">
        <v>1355</v>
      </c>
      <c r="QKA969" t="s">
        <v>619</v>
      </c>
      <c r="QKB969">
        <v>64478</v>
      </c>
      <c r="QKC969" t="s">
        <v>619</v>
      </c>
      <c r="QKD969" t="s">
        <v>619</v>
      </c>
      <c r="QKE969" t="s">
        <v>619</v>
      </c>
      <c r="QTV969" t="s">
        <v>1355</v>
      </c>
      <c r="QTW969" t="s">
        <v>619</v>
      </c>
      <c r="QTX969">
        <v>64478</v>
      </c>
      <c r="QTY969" t="s">
        <v>619</v>
      </c>
      <c r="QTZ969" t="s">
        <v>619</v>
      </c>
      <c r="QUA969" t="s">
        <v>619</v>
      </c>
      <c r="RDR969" t="s">
        <v>1355</v>
      </c>
      <c r="RDS969" t="s">
        <v>619</v>
      </c>
      <c r="RDT969">
        <v>64478</v>
      </c>
      <c r="RDU969" t="s">
        <v>619</v>
      </c>
      <c r="RDV969" t="s">
        <v>619</v>
      </c>
      <c r="RDW969" t="s">
        <v>619</v>
      </c>
      <c r="RNN969" t="s">
        <v>1355</v>
      </c>
      <c r="RNO969" t="s">
        <v>619</v>
      </c>
      <c r="RNP969">
        <v>64478</v>
      </c>
      <c r="RNQ969" t="s">
        <v>619</v>
      </c>
      <c r="RNR969" t="s">
        <v>619</v>
      </c>
      <c r="RNS969" t="s">
        <v>619</v>
      </c>
      <c r="RXJ969" t="s">
        <v>1355</v>
      </c>
      <c r="RXK969" t="s">
        <v>619</v>
      </c>
      <c r="RXL969">
        <v>64478</v>
      </c>
      <c r="RXM969" t="s">
        <v>619</v>
      </c>
      <c r="RXN969" t="s">
        <v>619</v>
      </c>
      <c r="RXO969" t="s">
        <v>619</v>
      </c>
      <c r="SHF969" t="s">
        <v>1355</v>
      </c>
      <c r="SHG969" t="s">
        <v>619</v>
      </c>
      <c r="SHH969">
        <v>64478</v>
      </c>
      <c r="SHI969" t="s">
        <v>619</v>
      </c>
      <c r="SHJ969" t="s">
        <v>619</v>
      </c>
      <c r="SHK969" t="s">
        <v>619</v>
      </c>
      <c r="SRB969" t="s">
        <v>1355</v>
      </c>
      <c r="SRC969" t="s">
        <v>619</v>
      </c>
      <c r="SRD969">
        <v>64478</v>
      </c>
      <c r="SRE969" t="s">
        <v>619</v>
      </c>
      <c r="SRF969" t="s">
        <v>619</v>
      </c>
      <c r="SRG969" t="s">
        <v>619</v>
      </c>
      <c r="TAX969" t="s">
        <v>1355</v>
      </c>
      <c r="TAY969" t="s">
        <v>619</v>
      </c>
      <c r="TAZ969">
        <v>64478</v>
      </c>
      <c r="TBA969" t="s">
        <v>619</v>
      </c>
      <c r="TBB969" t="s">
        <v>619</v>
      </c>
      <c r="TBC969" t="s">
        <v>619</v>
      </c>
      <c r="TKT969" t="s">
        <v>1355</v>
      </c>
      <c r="TKU969" t="s">
        <v>619</v>
      </c>
      <c r="TKV969">
        <v>64478</v>
      </c>
      <c r="TKW969" t="s">
        <v>619</v>
      </c>
      <c r="TKX969" t="s">
        <v>619</v>
      </c>
      <c r="TKY969" t="s">
        <v>619</v>
      </c>
      <c r="TUP969" t="s">
        <v>1355</v>
      </c>
      <c r="TUQ969" t="s">
        <v>619</v>
      </c>
      <c r="TUR969">
        <v>64478</v>
      </c>
      <c r="TUS969" t="s">
        <v>619</v>
      </c>
      <c r="TUT969" t="s">
        <v>619</v>
      </c>
      <c r="TUU969" t="s">
        <v>619</v>
      </c>
      <c r="UEL969" t="s">
        <v>1355</v>
      </c>
      <c r="UEM969" t="s">
        <v>619</v>
      </c>
      <c r="UEN969">
        <v>64478</v>
      </c>
      <c r="UEO969" t="s">
        <v>619</v>
      </c>
      <c r="UEP969" t="s">
        <v>619</v>
      </c>
      <c r="UEQ969" t="s">
        <v>619</v>
      </c>
      <c r="UOH969" t="s">
        <v>1355</v>
      </c>
      <c r="UOI969" t="s">
        <v>619</v>
      </c>
      <c r="UOJ969">
        <v>64478</v>
      </c>
      <c r="UOK969" t="s">
        <v>619</v>
      </c>
      <c r="UOL969" t="s">
        <v>619</v>
      </c>
      <c r="UOM969" t="s">
        <v>619</v>
      </c>
      <c r="UYD969" t="s">
        <v>1355</v>
      </c>
      <c r="UYE969" t="s">
        <v>619</v>
      </c>
      <c r="UYF969">
        <v>64478</v>
      </c>
      <c r="UYG969" t="s">
        <v>619</v>
      </c>
      <c r="UYH969" t="s">
        <v>619</v>
      </c>
      <c r="UYI969" t="s">
        <v>619</v>
      </c>
      <c r="VHZ969" t="s">
        <v>1355</v>
      </c>
      <c r="VIA969" t="s">
        <v>619</v>
      </c>
      <c r="VIB969">
        <v>64478</v>
      </c>
      <c r="VIC969" t="s">
        <v>619</v>
      </c>
      <c r="VID969" t="s">
        <v>619</v>
      </c>
      <c r="VIE969" t="s">
        <v>619</v>
      </c>
      <c r="VRV969" t="s">
        <v>1355</v>
      </c>
      <c r="VRW969" t="s">
        <v>619</v>
      </c>
      <c r="VRX969">
        <v>64478</v>
      </c>
      <c r="VRY969" t="s">
        <v>619</v>
      </c>
      <c r="VRZ969" t="s">
        <v>619</v>
      </c>
      <c r="VSA969" t="s">
        <v>619</v>
      </c>
      <c r="WBR969" t="s">
        <v>1355</v>
      </c>
      <c r="WBS969" t="s">
        <v>619</v>
      </c>
      <c r="WBT969">
        <v>64478</v>
      </c>
      <c r="WBU969" t="s">
        <v>619</v>
      </c>
      <c r="WBV969" t="s">
        <v>619</v>
      </c>
      <c r="WBW969" t="s">
        <v>619</v>
      </c>
      <c r="WLN969" t="s">
        <v>1355</v>
      </c>
      <c r="WLO969" t="s">
        <v>619</v>
      </c>
      <c r="WLP969">
        <v>64478</v>
      </c>
      <c r="WLQ969" t="s">
        <v>619</v>
      </c>
      <c r="WLR969" t="s">
        <v>619</v>
      </c>
      <c r="WLS969" t="s">
        <v>619</v>
      </c>
      <c r="WVJ969" t="s">
        <v>1355</v>
      </c>
      <c r="WVK969" t="s">
        <v>619</v>
      </c>
      <c r="WVL969">
        <v>64478</v>
      </c>
      <c r="WVM969" t="s">
        <v>619</v>
      </c>
      <c r="WVN969" t="s">
        <v>619</v>
      </c>
      <c r="WVO969" t="s">
        <v>619</v>
      </c>
    </row>
    <row r="970" spans="1:775 1026:1799 2050:2823 3074:3847 4098:4871 5122:5895 6146:6919 7170:7943 8194:8967 9218:9991 10242:11015 11266:12039 12290:13063 13314:14087 14338:15111 15362:16135">
      <c r="A970" s="96" t="s">
        <v>1356</v>
      </c>
      <c r="B970" s="1265" t="s">
        <v>775</v>
      </c>
      <c r="C970" s="98">
        <v>0</v>
      </c>
      <c r="D970" s="98">
        <v>0</v>
      </c>
      <c r="E970" s="100">
        <v>66030</v>
      </c>
      <c r="F970" s="100">
        <v>-62510</v>
      </c>
      <c r="G970" s="100">
        <v>-377775</v>
      </c>
      <c r="H970" s="100"/>
      <c r="IX970" t="s">
        <v>1356</v>
      </c>
      <c r="IY970" t="s">
        <v>619</v>
      </c>
      <c r="IZ970" t="s">
        <v>619</v>
      </c>
      <c r="JA970">
        <v>66030</v>
      </c>
      <c r="JB970">
        <v>-62510</v>
      </c>
      <c r="JC970">
        <v>-377775</v>
      </c>
      <c r="ST970" t="s">
        <v>1356</v>
      </c>
      <c r="SU970" t="s">
        <v>619</v>
      </c>
      <c r="SV970" t="s">
        <v>619</v>
      </c>
      <c r="SW970">
        <v>66030</v>
      </c>
      <c r="SX970">
        <v>-62510</v>
      </c>
      <c r="SY970">
        <v>-377775</v>
      </c>
      <c r="ACP970" t="s">
        <v>1356</v>
      </c>
      <c r="ACQ970" t="s">
        <v>619</v>
      </c>
      <c r="ACR970" t="s">
        <v>619</v>
      </c>
      <c r="ACS970">
        <v>66030</v>
      </c>
      <c r="ACT970">
        <v>-62510</v>
      </c>
      <c r="ACU970">
        <v>-377775</v>
      </c>
      <c r="AML970" t="s">
        <v>1356</v>
      </c>
      <c r="AMM970" t="s">
        <v>619</v>
      </c>
      <c r="AMN970" t="s">
        <v>619</v>
      </c>
      <c r="AMO970">
        <v>66030</v>
      </c>
      <c r="AMP970">
        <v>-62510</v>
      </c>
      <c r="AMQ970">
        <v>-377775</v>
      </c>
      <c r="AWH970" t="s">
        <v>1356</v>
      </c>
      <c r="AWI970" t="s">
        <v>619</v>
      </c>
      <c r="AWJ970" t="s">
        <v>619</v>
      </c>
      <c r="AWK970">
        <v>66030</v>
      </c>
      <c r="AWL970">
        <v>-62510</v>
      </c>
      <c r="AWM970">
        <v>-377775</v>
      </c>
      <c r="BGD970" t="s">
        <v>1356</v>
      </c>
      <c r="BGE970" t="s">
        <v>619</v>
      </c>
      <c r="BGF970" t="s">
        <v>619</v>
      </c>
      <c r="BGG970">
        <v>66030</v>
      </c>
      <c r="BGH970">
        <v>-62510</v>
      </c>
      <c r="BGI970">
        <v>-377775</v>
      </c>
      <c r="BPZ970" t="s">
        <v>1356</v>
      </c>
      <c r="BQA970" t="s">
        <v>619</v>
      </c>
      <c r="BQB970" t="s">
        <v>619</v>
      </c>
      <c r="BQC970">
        <v>66030</v>
      </c>
      <c r="BQD970">
        <v>-62510</v>
      </c>
      <c r="BQE970">
        <v>-377775</v>
      </c>
      <c r="BZV970" t="s">
        <v>1356</v>
      </c>
      <c r="BZW970" t="s">
        <v>619</v>
      </c>
      <c r="BZX970" t="s">
        <v>619</v>
      </c>
      <c r="BZY970">
        <v>66030</v>
      </c>
      <c r="BZZ970">
        <v>-62510</v>
      </c>
      <c r="CAA970">
        <v>-377775</v>
      </c>
      <c r="CJR970" t="s">
        <v>1356</v>
      </c>
      <c r="CJS970" t="s">
        <v>619</v>
      </c>
      <c r="CJT970" t="s">
        <v>619</v>
      </c>
      <c r="CJU970">
        <v>66030</v>
      </c>
      <c r="CJV970">
        <v>-62510</v>
      </c>
      <c r="CJW970">
        <v>-377775</v>
      </c>
      <c r="CTN970" t="s">
        <v>1356</v>
      </c>
      <c r="CTO970" t="s">
        <v>619</v>
      </c>
      <c r="CTP970" t="s">
        <v>619</v>
      </c>
      <c r="CTQ970">
        <v>66030</v>
      </c>
      <c r="CTR970">
        <v>-62510</v>
      </c>
      <c r="CTS970">
        <v>-377775</v>
      </c>
      <c r="DDJ970" t="s">
        <v>1356</v>
      </c>
      <c r="DDK970" t="s">
        <v>619</v>
      </c>
      <c r="DDL970" t="s">
        <v>619</v>
      </c>
      <c r="DDM970">
        <v>66030</v>
      </c>
      <c r="DDN970">
        <v>-62510</v>
      </c>
      <c r="DDO970">
        <v>-377775</v>
      </c>
      <c r="DNF970" t="s">
        <v>1356</v>
      </c>
      <c r="DNG970" t="s">
        <v>619</v>
      </c>
      <c r="DNH970" t="s">
        <v>619</v>
      </c>
      <c r="DNI970">
        <v>66030</v>
      </c>
      <c r="DNJ970">
        <v>-62510</v>
      </c>
      <c r="DNK970">
        <v>-377775</v>
      </c>
      <c r="DXB970" t="s">
        <v>1356</v>
      </c>
      <c r="DXC970" t="s">
        <v>619</v>
      </c>
      <c r="DXD970" t="s">
        <v>619</v>
      </c>
      <c r="DXE970">
        <v>66030</v>
      </c>
      <c r="DXF970">
        <v>-62510</v>
      </c>
      <c r="DXG970">
        <v>-377775</v>
      </c>
      <c r="EGX970" t="s">
        <v>1356</v>
      </c>
      <c r="EGY970" t="s">
        <v>619</v>
      </c>
      <c r="EGZ970" t="s">
        <v>619</v>
      </c>
      <c r="EHA970">
        <v>66030</v>
      </c>
      <c r="EHB970">
        <v>-62510</v>
      </c>
      <c r="EHC970">
        <v>-377775</v>
      </c>
      <c r="EQT970" t="s">
        <v>1356</v>
      </c>
      <c r="EQU970" t="s">
        <v>619</v>
      </c>
      <c r="EQV970" t="s">
        <v>619</v>
      </c>
      <c r="EQW970">
        <v>66030</v>
      </c>
      <c r="EQX970">
        <v>-62510</v>
      </c>
      <c r="EQY970">
        <v>-377775</v>
      </c>
      <c r="FAP970" t="s">
        <v>1356</v>
      </c>
      <c r="FAQ970" t="s">
        <v>619</v>
      </c>
      <c r="FAR970" t="s">
        <v>619</v>
      </c>
      <c r="FAS970">
        <v>66030</v>
      </c>
      <c r="FAT970">
        <v>-62510</v>
      </c>
      <c r="FAU970">
        <v>-377775</v>
      </c>
      <c r="FKL970" t="s">
        <v>1356</v>
      </c>
      <c r="FKM970" t="s">
        <v>619</v>
      </c>
      <c r="FKN970" t="s">
        <v>619</v>
      </c>
      <c r="FKO970">
        <v>66030</v>
      </c>
      <c r="FKP970">
        <v>-62510</v>
      </c>
      <c r="FKQ970">
        <v>-377775</v>
      </c>
      <c r="FUH970" t="s">
        <v>1356</v>
      </c>
      <c r="FUI970" t="s">
        <v>619</v>
      </c>
      <c r="FUJ970" t="s">
        <v>619</v>
      </c>
      <c r="FUK970">
        <v>66030</v>
      </c>
      <c r="FUL970">
        <v>-62510</v>
      </c>
      <c r="FUM970">
        <v>-377775</v>
      </c>
      <c r="GED970" t="s">
        <v>1356</v>
      </c>
      <c r="GEE970" t="s">
        <v>619</v>
      </c>
      <c r="GEF970" t="s">
        <v>619</v>
      </c>
      <c r="GEG970">
        <v>66030</v>
      </c>
      <c r="GEH970">
        <v>-62510</v>
      </c>
      <c r="GEI970">
        <v>-377775</v>
      </c>
      <c r="GNZ970" t="s">
        <v>1356</v>
      </c>
      <c r="GOA970" t="s">
        <v>619</v>
      </c>
      <c r="GOB970" t="s">
        <v>619</v>
      </c>
      <c r="GOC970">
        <v>66030</v>
      </c>
      <c r="GOD970">
        <v>-62510</v>
      </c>
      <c r="GOE970">
        <v>-377775</v>
      </c>
      <c r="GXV970" t="s">
        <v>1356</v>
      </c>
      <c r="GXW970" t="s">
        <v>619</v>
      </c>
      <c r="GXX970" t="s">
        <v>619</v>
      </c>
      <c r="GXY970">
        <v>66030</v>
      </c>
      <c r="GXZ970">
        <v>-62510</v>
      </c>
      <c r="GYA970">
        <v>-377775</v>
      </c>
      <c r="HHR970" t="s">
        <v>1356</v>
      </c>
      <c r="HHS970" t="s">
        <v>619</v>
      </c>
      <c r="HHT970" t="s">
        <v>619</v>
      </c>
      <c r="HHU970">
        <v>66030</v>
      </c>
      <c r="HHV970">
        <v>-62510</v>
      </c>
      <c r="HHW970">
        <v>-377775</v>
      </c>
      <c r="HRN970" t="s">
        <v>1356</v>
      </c>
      <c r="HRO970" t="s">
        <v>619</v>
      </c>
      <c r="HRP970" t="s">
        <v>619</v>
      </c>
      <c r="HRQ970">
        <v>66030</v>
      </c>
      <c r="HRR970">
        <v>-62510</v>
      </c>
      <c r="HRS970">
        <v>-377775</v>
      </c>
      <c r="IBJ970" t="s">
        <v>1356</v>
      </c>
      <c r="IBK970" t="s">
        <v>619</v>
      </c>
      <c r="IBL970" t="s">
        <v>619</v>
      </c>
      <c r="IBM970">
        <v>66030</v>
      </c>
      <c r="IBN970">
        <v>-62510</v>
      </c>
      <c r="IBO970">
        <v>-377775</v>
      </c>
      <c r="ILF970" t="s">
        <v>1356</v>
      </c>
      <c r="ILG970" t="s">
        <v>619</v>
      </c>
      <c r="ILH970" t="s">
        <v>619</v>
      </c>
      <c r="ILI970">
        <v>66030</v>
      </c>
      <c r="ILJ970">
        <v>-62510</v>
      </c>
      <c r="ILK970">
        <v>-377775</v>
      </c>
      <c r="IVB970" t="s">
        <v>1356</v>
      </c>
      <c r="IVC970" t="s">
        <v>619</v>
      </c>
      <c r="IVD970" t="s">
        <v>619</v>
      </c>
      <c r="IVE970">
        <v>66030</v>
      </c>
      <c r="IVF970">
        <v>-62510</v>
      </c>
      <c r="IVG970">
        <v>-377775</v>
      </c>
      <c r="JEX970" t="s">
        <v>1356</v>
      </c>
      <c r="JEY970" t="s">
        <v>619</v>
      </c>
      <c r="JEZ970" t="s">
        <v>619</v>
      </c>
      <c r="JFA970">
        <v>66030</v>
      </c>
      <c r="JFB970">
        <v>-62510</v>
      </c>
      <c r="JFC970">
        <v>-377775</v>
      </c>
      <c r="JOT970" t="s">
        <v>1356</v>
      </c>
      <c r="JOU970" t="s">
        <v>619</v>
      </c>
      <c r="JOV970" t="s">
        <v>619</v>
      </c>
      <c r="JOW970">
        <v>66030</v>
      </c>
      <c r="JOX970">
        <v>-62510</v>
      </c>
      <c r="JOY970">
        <v>-377775</v>
      </c>
      <c r="JYP970" t="s">
        <v>1356</v>
      </c>
      <c r="JYQ970" t="s">
        <v>619</v>
      </c>
      <c r="JYR970" t="s">
        <v>619</v>
      </c>
      <c r="JYS970">
        <v>66030</v>
      </c>
      <c r="JYT970">
        <v>-62510</v>
      </c>
      <c r="JYU970">
        <v>-377775</v>
      </c>
      <c r="KIL970" t="s">
        <v>1356</v>
      </c>
      <c r="KIM970" t="s">
        <v>619</v>
      </c>
      <c r="KIN970" t="s">
        <v>619</v>
      </c>
      <c r="KIO970">
        <v>66030</v>
      </c>
      <c r="KIP970">
        <v>-62510</v>
      </c>
      <c r="KIQ970">
        <v>-377775</v>
      </c>
      <c r="KSH970" t="s">
        <v>1356</v>
      </c>
      <c r="KSI970" t="s">
        <v>619</v>
      </c>
      <c r="KSJ970" t="s">
        <v>619</v>
      </c>
      <c r="KSK970">
        <v>66030</v>
      </c>
      <c r="KSL970">
        <v>-62510</v>
      </c>
      <c r="KSM970">
        <v>-377775</v>
      </c>
      <c r="LCD970" t="s">
        <v>1356</v>
      </c>
      <c r="LCE970" t="s">
        <v>619</v>
      </c>
      <c r="LCF970" t="s">
        <v>619</v>
      </c>
      <c r="LCG970">
        <v>66030</v>
      </c>
      <c r="LCH970">
        <v>-62510</v>
      </c>
      <c r="LCI970">
        <v>-377775</v>
      </c>
      <c r="LLZ970" t="s">
        <v>1356</v>
      </c>
      <c r="LMA970" t="s">
        <v>619</v>
      </c>
      <c r="LMB970" t="s">
        <v>619</v>
      </c>
      <c r="LMC970">
        <v>66030</v>
      </c>
      <c r="LMD970">
        <v>-62510</v>
      </c>
      <c r="LME970">
        <v>-377775</v>
      </c>
      <c r="LVV970" t="s">
        <v>1356</v>
      </c>
      <c r="LVW970" t="s">
        <v>619</v>
      </c>
      <c r="LVX970" t="s">
        <v>619</v>
      </c>
      <c r="LVY970">
        <v>66030</v>
      </c>
      <c r="LVZ970">
        <v>-62510</v>
      </c>
      <c r="LWA970">
        <v>-377775</v>
      </c>
      <c r="MFR970" t="s">
        <v>1356</v>
      </c>
      <c r="MFS970" t="s">
        <v>619</v>
      </c>
      <c r="MFT970" t="s">
        <v>619</v>
      </c>
      <c r="MFU970">
        <v>66030</v>
      </c>
      <c r="MFV970">
        <v>-62510</v>
      </c>
      <c r="MFW970">
        <v>-377775</v>
      </c>
      <c r="MPN970" t="s">
        <v>1356</v>
      </c>
      <c r="MPO970" t="s">
        <v>619</v>
      </c>
      <c r="MPP970" t="s">
        <v>619</v>
      </c>
      <c r="MPQ970">
        <v>66030</v>
      </c>
      <c r="MPR970">
        <v>-62510</v>
      </c>
      <c r="MPS970">
        <v>-377775</v>
      </c>
      <c r="MZJ970" t="s">
        <v>1356</v>
      </c>
      <c r="MZK970" t="s">
        <v>619</v>
      </c>
      <c r="MZL970" t="s">
        <v>619</v>
      </c>
      <c r="MZM970">
        <v>66030</v>
      </c>
      <c r="MZN970">
        <v>-62510</v>
      </c>
      <c r="MZO970">
        <v>-377775</v>
      </c>
      <c r="NJF970" t="s">
        <v>1356</v>
      </c>
      <c r="NJG970" t="s">
        <v>619</v>
      </c>
      <c r="NJH970" t="s">
        <v>619</v>
      </c>
      <c r="NJI970">
        <v>66030</v>
      </c>
      <c r="NJJ970">
        <v>-62510</v>
      </c>
      <c r="NJK970">
        <v>-377775</v>
      </c>
      <c r="NTB970" t="s">
        <v>1356</v>
      </c>
      <c r="NTC970" t="s">
        <v>619</v>
      </c>
      <c r="NTD970" t="s">
        <v>619</v>
      </c>
      <c r="NTE970">
        <v>66030</v>
      </c>
      <c r="NTF970">
        <v>-62510</v>
      </c>
      <c r="NTG970">
        <v>-377775</v>
      </c>
      <c r="OCX970" t="s">
        <v>1356</v>
      </c>
      <c r="OCY970" t="s">
        <v>619</v>
      </c>
      <c r="OCZ970" t="s">
        <v>619</v>
      </c>
      <c r="ODA970">
        <v>66030</v>
      </c>
      <c r="ODB970">
        <v>-62510</v>
      </c>
      <c r="ODC970">
        <v>-377775</v>
      </c>
      <c r="OMT970" t="s">
        <v>1356</v>
      </c>
      <c r="OMU970" t="s">
        <v>619</v>
      </c>
      <c r="OMV970" t="s">
        <v>619</v>
      </c>
      <c r="OMW970">
        <v>66030</v>
      </c>
      <c r="OMX970">
        <v>-62510</v>
      </c>
      <c r="OMY970">
        <v>-377775</v>
      </c>
      <c r="OWP970" t="s">
        <v>1356</v>
      </c>
      <c r="OWQ970" t="s">
        <v>619</v>
      </c>
      <c r="OWR970" t="s">
        <v>619</v>
      </c>
      <c r="OWS970">
        <v>66030</v>
      </c>
      <c r="OWT970">
        <v>-62510</v>
      </c>
      <c r="OWU970">
        <v>-377775</v>
      </c>
      <c r="PGL970" t="s">
        <v>1356</v>
      </c>
      <c r="PGM970" t="s">
        <v>619</v>
      </c>
      <c r="PGN970" t="s">
        <v>619</v>
      </c>
      <c r="PGO970">
        <v>66030</v>
      </c>
      <c r="PGP970">
        <v>-62510</v>
      </c>
      <c r="PGQ970">
        <v>-377775</v>
      </c>
      <c r="PQH970" t="s">
        <v>1356</v>
      </c>
      <c r="PQI970" t="s">
        <v>619</v>
      </c>
      <c r="PQJ970" t="s">
        <v>619</v>
      </c>
      <c r="PQK970">
        <v>66030</v>
      </c>
      <c r="PQL970">
        <v>-62510</v>
      </c>
      <c r="PQM970">
        <v>-377775</v>
      </c>
      <c r="QAD970" t="s">
        <v>1356</v>
      </c>
      <c r="QAE970" t="s">
        <v>619</v>
      </c>
      <c r="QAF970" t="s">
        <v>619</v>
      </c>
      <c r="QAG970">
        <v>66030</v>
      </c>
      <c r="QAH970">
        <v>-62510</v>
      </c>
      <c r="QAI970">
        <v>-377775</v>
      </c>
      <c r="QJZ970" t="s">
        <v>1356</v>
      </c>
      <c r="QKA970" t="s">
        <v>619</v>
      </c>
      <c r="QKB970" t="s">
        <v>619</v>
      </c>
      <c r="QKC970">
        <v>66030</v>
      </c>
      <c r="QKD970">
        <v>-62510</v>
      </c>
      <c r="QKE970">
        <v>-377775</v>
      </c>
      <c r="QTV970" t="s">
        <v>1356</v>
      </c>
      <c r="QTW970" t="s">
        <v>619</v>
      </c>
      <c r="QTX970" t="s">
        <v>619</v>
      </c>
      <c r="QTY970">
        <v>66030</v>
      </c>
      <c r="QTZ970">
        <v>-62510</v>
      </c>
      <c r="QUA970">
        <v>-377775</v>
      </c>
      <c r="RDR970" t="s">
        <v>1356</v>
      </c>
      <c r="RDS970" t="s">
        <v>619</v>
      </c>
      <c r="RDT970" t="s">
        <v>619</v>
      </c>
      <c r="RDU970">
        <v>66030</v>
      </c>
      <c r="RDV970">
        <v>-62510</v>
      </c>
      <c r="RDW970">
        <v>-377775</v>
      </c>
      <c r="RNN970" t="s">
        <v>1356</v>
      </c>
      <c r="RNO970" t="s">
        <v>619</v>
      </c>
      <c r="RNP970" t="s">
        <v>619</v>
      </c>
      <c r="RNQ970">
        <v>66030</v>
      </c>
      <c r="RNR970">
        <v>-62510</v>
      </c>
      <c r="RNS970">
        <v>-377775</v>
      </c>
      <c r="RXJ970" t="s">
        <v>1356</v>
      </c>
      <c r="RXK970" t="s">
        <v>619</v>
      </c>
      <c r="RXL970" t="s">
        <v>619</v>
      </c>
      <c r="RXM970">
        <v>66030</v>
      </c>
      <c r="RXN970">
        <v>-62510</v>
      </c>
      <c r="RXO970">
        <v>-377775</v>
      </c>
      <c r="SHF970" t="s">
        <v>1356</v>
      </c>
      <c r="SHG970" t="s">
        <v>619</v>
      </c>
      <c r="SHH970" t="s">
        <v>619</v>
      </c>
      <c r="SHI970">
        <v>66030</v>
      </c>
      <c r="SHJ970">
        <v>-62510</v>
      </c>
      <c r="SHK970">
        <v>-377775</v>
      </c>
      <c r="SRB970" t="s">
        <v>1356</v>
      </c>
      <c r="SRC970" t="s">
        <v>619</v>
      </c>
      <c r="SRD970" t="s">
        <v>619</v>
      </c>
      <c r="SRE970">
        <v>66030</v>
      </c>
      <c r="SRF970">
        <v>-62510</v>
      </c>
      <c r="SRG970">
        <v>-377775</v>
      </c>
      <c r="TAX970" t="s">
        <v>1356</v>
      </c>
      <c r="TAY970" t="s">
        <v>619</v>
      </c>
      <c r="TAZ970" t="s">
        <v>619</v>
      </c>
      <c r="TBA970">
        <v>66030</v>
      </c>
      <c r="TBB970">
        <v>-62510</v>
      </c>
      <c r="TBC970">
        <v>-377775</v>
      </c>
      <c r="TKT970" t="s">
        <v>1356</v>
      </c>
      <c r="TKU970" t="s">
        <v>619</v>
      </c>
      <c r="TKV970" t="s">
        <v>619</v>
      </c>
      <c r="TKW970">
        <v>66030</v>
      </c>
      <c r="TKX970">
        <v>-62510</v>
      </c>
      <c r="TKY970">
        <v>-377775</v>
      </c>
      <c r="TUP970" t="s">
        <v>1356</v>
      </c>
      <c r="TUQ970" t="s">
        <v>619</v>
      </c>
      <c r="TUR970" t="s">
        <v>619</v>
      </c>
      <c r="TUS970">
        <v>66030</v>
      </c>
      <c r="TUT970">
        <v>-62510</v>
      </c>
      <c r="TUU970">
        <v>-377775</v>
      </c>
      <c r="UEL970" t="s">
        <v>1356</v>
      </c>
      <c r="UEM970" t="s">
        <v>619</v>
      </c>
      <c r="UEN970" t="s">
        <v>619</v>
      </c>
      <c r="UEO970">
        <v>66030</v>
      </c>
      <c r="UEP970">
        <v>-62510</v>
      </c>
      <c r="UEQ970">
        <v>-377775</v>
      </c>
      <c r="UOH970" t="s">
        <v>1356</v>
      </c>
      <c r="UOI970" t="s">
        <v>619</v>
      </c>
      <c r="UOJ970" t="s">
        <v>619</v>
      </c>
      <c r="UOK970">
        <v>66030</v>
      </c>
      <c r="UOL970">
        <v>-62510</v>
      </c>
      <c r="UOM970">
        <v>-377775</v>
      </c>
      <c r="UYD970" t="s">
        <v>1356</v>
      </c>
      <c r="UYE970" t="s">
        <v>619</v>
      </c>
      <c r="UYF970" t="s">
        <v>619</v>
      </c>
      <c r="UYG970">
        <v>66030</v>
      </c>
      <c r="UYH970">
        <v>-62510</v>
      </c>
      <c r="UYI970">
        <v>-377775</v>
      </c>
      <c r="VHZ970" t="s">
        <v>1356</v>
      </c>
      <c r="VIA970" t="s">
        <v>619</v>
      </c>
      <c r="VIB970" t="s">
        <v>619</v>
      </c>
      <c r="VIC970">
        <v>66030</v>
      </c>
      <c r="VID970">
        <v>-62510</v>
      </c>
      <c r="VIE970">
        <v>-377775</v>
      </c>
      <c r="VRV970" t="s">
        <v>1356</v>
      </c>
      <c r="VRW970" t="s">
        <v>619</v>
      </c>
      <c r="VRX970" t="s">
        <v>619</v>
      </c>
      <c r="VRY970">
        <v>66030</v>
      </c>
      <c r="VRZ970">
        <v>-62510</v>
      </c>
      <c r="VSA970">
        <v>-377775</v>
      </c>
      <c r="WBR970" t="s">
        <v>1356</v>
      </c>
      <c r="WBS970" t="s">
        <v>619</v>
      </c>
      <c r="WBT970" t="s">
        <v>619</v>
      </c>
      <c r="WBU970">
        <v>66030</v>
      </c>
      <c r="WBV970">
        <v>-62510</v>
      </c>
      <c r="WBW970">
        <v>-377775</v>
      </c>
      <c r="WLN970" t="s">
        <v>1356</v>
      </c>
      <c r="WLO970" t="s">
        <v>619</v>
      </c>
      <c r="WLP970" t="s">
        <v>619</v>
      </c>
      <c r="WLQ970">
        <v>66030</v>
      </c>
      <c r="WLR970">
        <v>-62510</v>
      </c>
      <c r="WLS970">
        <v>-377775</v>
      </c>
      <c r="WVJ970" t="s">
        <v>1356</v>
      </c>
      <c r="WVK970" t="s">
        <v>619</v>
      </c>
      <c r="WVL970" t="s">
        <v>619</v>
      </c>
      <c r="WVM970">
        <v>66030</v>
      </c>
      <c r="WVN970">
        <v>-62510</v>
      </c>
      <c r="WVO970">
        <v>-377775</v>
      </c>
    </row>
    <row r="971" spans="1:775 1026:1799 2050:2823 3074:3847 4098:4871 5122:5895 6146:6919 7170:7943 8194:8967 9218:9991 10242:11015 11266:12039 12290:13063 13314:14087 14338:15111 15362:16135">
      <c r="A971" s="96" t="s">
        <v>1357</v>
      </c>
      <c r="B971" s="1265" t="s">
        <v>778</v>
      </c>
      <c r="C971" s="100">
        <v>679468</v>
      </c>
      <c r="D971" s="100">
        <v>333495</v>
      </c>
      <c r="E971" s="100">
        <v>187094</v>
      </c>
      <c r="F971" s="100">
        <v>1010140</v>
      </c>
      <c r="G971" s="100">
        <v>2295896</v>
      </c>
      <c r="H971" s="100"/>
      <c r="IX971" t="s">
        <v>1357</v>
      </c>
      <c r="IY971">
        <v>679468</v>
      </c>
      <c r="IZ971">
        <v>333495</v>
      </c>
      <c r="JA971">
        <v>187094</v>
      </c>
      <c r="JB971">
        <v>1010140</v>
      </c>
      <c r="JC971">
        <v>2295896</v>
      </c>
      <c r="ST971" t="s">
        <v>1357</v>
      </c>
      <c r="SU971">
        <v>679468</v>
      </c>
      <c r="SV971">
        <v>333495</v>
      </c>
      <c r="SW971">
        <v>187094</v>
      </c>
      <c r="SX971">
        <v>1010140</v>
      </c>
      <c r="SY971">
        <v>2295896</v>
      </c>
      <c r="ACP971" t="s">
        <v>1357</v>
      </c>
      <c r="ACQ971">
        <v>679468</v>
      </c>
      <c r="ACR971">
        <v>333495</v>
      </c>
      <c r="ACS971">
        <v>187094</v>
      </c>
      <c r="ACT971">
        <v>1010140</v>
      </c>
      <c r="ACU971">
        <v>2295896</v>
      </c>
      <c r="AML971" t="s">
        <v>1357</v>
      </c>
      <c r="AMM971">
        <v>679468</v>
      </c>
      <c r="AMN971">
        <v>333495</v>
      </c>
      <c r="AMO971">
        <v>187094</v>
      </c>
      <c r="AMP971">
        <v>1010140</v>
      </c>
      <c r="AMQ971">
        <v>2295896</v>
      </c>
      <c r="AWH971" t="s">
        <v>1357</v>
      </c>
      <c r="AWI971">
        <v>679468</v>
      </c>
      <c r="AWJ971">
        <v>333495</v>
      </c>
      <c r="AWK971">
        <v>187094</v>
      </c>
      <c r="AWL971">
        <v>1010140</v>
      </c>
      <c r="AWM971">
        <v>2295896</v>
      </c>
      <c r="BGD971" t="s">
        <v>1357</v>
      </c>
      <c r="BGE971">
        <v>679468</v>
      </c>
      <c r="BGF971">
        <v>333495</v>
      </c>
      <c r="BGG971">
        <v>187094</v>
      </c>
      <c r="BGH971">
        <v>1010140</v>
      </c>
      <c r="BGI971">
        <v>2295896</v>
      </c>
      <c r="BPZ971" t="s">
        <v>1357</v>
      </c>
      <c r="BQA971">
        <v>679468</v>
      </c>
      <c r="BQB971">
        <v>333495</v>
      </c>
      <c r="BQC971">
        <v>187094</v>
      </c>
      <c r="BQD971">
        <v>1010140</v>
      </c>
      <c r="BQE971">
        <v>2295896</v>
      </c>
      <c r="BZV971" t="s">
        <v>1357</v>
      </c>
      <c r="BZW971">
        <v>679468</v>
      </c>
      <c r="BZX971">
        <v>333495</v>
      </c>
      <c r="BZY971">
        <v>187094</v>
      </c>
      <c r="BZZ971">
        <v>1010140</v>
      </c>
      <c r="CAA971">
        <v>2295896</v>
      </c>
      <c r="CJR971" t="s">
        <v>1357</v>
      </c>
      <c r="CJS971">
        <v>679468</v>
      </c>
      <c r="CJT971">
        <v>333495</v>
      </c>
      <c r="CJU971">
        <v>187094</v>
      </c>
      <c r="CJV971">
        <v>1010140</v>
      </c>
      <c r="CJW971">
        <v>2295896</v>
      </c>
      <c r="CTN971" t="s">
        <v>1357</v>
      </c>
      <c r="CTO971">
        <v>679468</v>
      </c>
      <c r="CTP971">
        <v>333495</v>
      </c>
      <c r="CTQ971">
        <v>187094</v>
      </c>
      <c r="CTR971">
        <v>1010140</v>
      </c>
      <c r="CTS971">
        <v>2295896</v>
      </c>
      <c r="DDJ971" t="s">
        <v>1357</v>
      </c>
      <c r="DDK971">
        <v>679468</v>
      </c>
      <c r="DDL971">
        <v>333495</v>
      </c>
      <c r="DDM971">
        <v>187094</v>
      </c>
      <c r="DDN971">
        <v>1010140</v>
      </c>
      <c r="DDO971">
        <v>2295896</v>
      </c>
      <c r="DNF971" t="s">
        <v>1357</v>
      </c>
      <c r="DNG971">
        <v>679468</v>
      </c>
      <c r="DNH971">
        <v>333495</v>
      </c>
      <c r="DNI971">
        <v>187094</v>
      </c>
      <c r="DNJ971">
        <v>1010140</v>
      </c>
      <c r="DNK971">
        <v>2295896</v>
      </c>
      <c r="DXB971" t="s">
        <v>1357</v>
      </c>
      <c r="DXC971">
        <v>679468</v>
      </c>
      <c r="DXD971">
        <v>333495</v>
      </c>
      <c r="DXE971">
        <v>187094</v>
      </c>
      <c r="DXF971">
        <v>1010140</v>
      </c>
      <c r="DXG971">
        <v>2295896</v>
      </c>
      <c r="EGX971" t="s">
        <v>1357</v>
      </c>
      <c r="EGY971">
        <v>679468</v>
      </c>
      <c r="EGZ971">
        <v>333495</v>
      </c>
      <c r="EHA971">
        <v>187094</v>
      </c>
      <c r="EHB971">
        <v>1010140</v>
      </c>
      <c r="EHC971">
        <v>2295896</v>
      </c>
      <c r="EQT971" t="s">
        <v>1357</v>
      </c>
      <c r="EQU971">
        <v>679468</v>
      </c>
      <c r="EQV971">
        <v>333495</v>
      </c>
      <c r="EQW971">
        <v>187094</v>
      </c>
      <c r="EQX971">
        <v>1010140</v>
      </c>
      <c r="EQY971">
        <v>2295896</v>
      </c>
      <c r="FAP971" t="s">
        <v>1357</v>
      </c>
      <c r="FAQ971">
        <v>679468</v>
      </c>
      <c r="FAR971">
        <v>333495</v>
      </c>
      <c r="FAS971">
        <v>187094</v>
      </c>
      <c r="FAT971">
        <v>1010140</v>
      </c>
      <c r="FAU971">
        <v>2295896</v>
      </c>
      <c r="FKL971" t="s">
        <v>1357</v>
      </c>
      <c r="FKM971">
        <v>679468</v>
      </c>
      <c r="FKN971">
        <v>333495</v>
      </c>
      <c r="FKO971">
        <v>187094</v>
      </c>
      <c r="FKP971">
        <v>1010140</v>
      </c>
      <c r="FKQ971">
        <v>2295896</v>
      </c>
      <c r="FUH971" t="s">
        <v>1357</v>
      </c>
      <c r="FUI971">
        <v>679468</v>
      </c>
      <c r="FUJ971">
        <v>333495</v>
      </c>
      <c r="FUK971">
        <v>187094</v>
      </c>
      <c r="FUL971">
        <v>1010140</v>
      </c>
      <c r="FUM971">
        <v>2295896</v>
      </c>
      <c r="GED971" t="s">
        <v>1357</v>
      </c>
      <c r="GEE971">
        <v>679468</v>
      </c>
      <c r="GEF971">
        <v>333495</v>
      </c>
      <c r="GEG971">
        <v>187094</v>
      </c>
      <c r="GEH971">
        <v>1010140</v>
      </c>
      <c r="GEI971">
        <v>2295896</v>
      </c>
      <c r="GNZ971" t="s">
        <v>1357</v>
      </c>
      <c r="GOA971">
        <v>679468</v>
      </c>
      <c r="GOB971">
        <v>333495</v>
      </c>
      <c r="GOC971">
        <v>187094</v>
      </c>
      <c r="GOD971">
        <v>1010140</v>
      </c>
      <c r="GOE971">
        <v>2295896</v>
      </c>
      <c r="GXV971" t="s">
        <v>1357</v>
      </c>
      <c r="GXW971">
        <v>679468</v>
      </c>
      <c r="GXX971">
        <v>333495</v>
      </c>
      <c r="GXY971">
        <v>187094</v>
      </c>
      <c r="GXZ971">
        <v>1010140</v>
      </c>
      <c r="GYA971">
        <v>2295896</v>
      </c>
      <c r="HHR971" t="s">
        <v>1357</v>
      </c>
      <c r="HHS971">
        <v>679468</v>
      </c>
      <c r="HHT971">
        <v>333495</v>
      </c>
      <c r="HHU971">
        <v>187094</v>
      </c>
      <c r="HHV971">
        <v>1010140</v>
      </c>
      <c r="HHW971">
        <v>2295896</v>
      </c>
      <c r="HRN971" t="s">
        <v>1357</v>
      </c>
      <c r="HRO971">
        <v>679468</v>
      </c>
      <c r="HRP971">
        <v>333495</v>
      </c>
      <c r="HRQ971">
        <v>187094</v>
      </c>
      <c r="HRR971">
        <v>1010140</v>
      </c>
      <c r="HRS971">
        <v>2295896</v>
      </c>
      <c r="IBJ971" t="s">
        <v>1357</v>
      </c>
      <c r="IBK971">
        <v>679468</v>
      </c>
      <c r="IBL971">
        <v>333495</v>
      </c>
      <c r="IBM971">
        <v>187094</v>
      </c>
      <c r="IBN971">
        <v>1010140</v>
      </c>
      <c r="IBO971">
        <v>2295896</v>
      </c>
      <c r="ILF971" t="s">
        <v>1357</v>
      </c>
      <c r="ILG971">
        <v>679468</v>
      </c>
      <c r="ILH971">
        <v>333495</v>
      </c>
      <c r="ILI971">
        <v>187094</v>
      </c>
      <c r="ILJ971">
        <v>1010140</v>
      </c>
      <c r="ILK971">
        <v>2295896</v>
      </c>
      <c r="IVB971" t="s">
        <v>1357</v>
      </c>
      <c r="IVC971">
        <v>679468</v>
      </c>
      <c r="IVD971">
        <v>333495</v>
      </c>
      <c r="IVE971">
        <v>187094</v>
      </c>
      <c r="IVF971">
        <v>1010140</v>
      </c>
      <c r="IVG971">
        <v>2295896</v>
      </c>
      <c r="JEX971" t="s">
        <v>1357</v>
      </c>
      <c r="JEY971">
        <v>679468</v>
      </c>
      <c r="JEZ971">
        <v>333495</v>
      </c>
      <c r="JFA971">
        <v>187094</v>
      </c>
      <c r="JFB971">
        <v>1010140</v>
      </c>
      <c r="JFC971">
        <v>2295896</v>
      </c>
      <c r="JOT971" t="s">
        <v>1357</v>
      </c>
      <c r="JOU971">
        <v>679468</v>
      </c>
      <c r="JOV971">
        <v>333495</v>
      </c>
      <c r="JOW971">
        <v>187094</v>
      </c>
      <c r="JOX971">
        <v>1010140</v>
      </c>
      <c r="JOY971">
        <v>2295896</v>
      </c>
      <c r="JYP971" t="s">
        <v>1357</v>
      </c>
      <c r="JYQ971">
        <v>679468</v>
      </c>
      <c r="JYR971">
        <v>333495</v>
      </c>
      <c r="JYS971">
        <v>187094</v>
      </c>
      <c r="JYT971">
        <v>1010140</v>
      </c>
      <c r="JYU971">
        <v>2295896</v>
      </c>
      <c r="KIL971" t="s">
        <v>1357</v>
      </c>
      <c r="KIM971">
        <v>679468</v>
      </c>
      <c r="KIN971">
        <v>333495</v>
      </c>
      <c r="KIO971">
        <v>187094</v>
      </c>
      <c r="KIP971">
        <v>1010140</v>
      </c>
      <c r="KIQ971">
        <v>2295896</v>
      </c>
      <c r="KSH971" t="s">
        <v>1357</v>
      </c>
      <c r="KSI971">
        <v>679468</v>
      </c>
      <c r="KSJ971">
        <v>333495</v>
      </c>
      <c r="KSK971">
        <v>187094</v>
      </c>
      <c r="KSL971">
        <v>1010140</v>
      </c>
      <c r="KSM971">
        <v>2295896</v>
      </c>
      <c r="LCD971" t="s">
        <v>1357</v>
      </c>
      <c r="LCE971">
        <v>679468</v>
      </c>
      <c r="LCF971">
        <v>333495</v>
      </c>
      <c r="LCG971">
        <v>187094</v>
      </c>
      <c r="LCH971">
        <v>1010140</v>
      </c>
      <c r="LCI971">
        <v>2295896</v>
      </c>
      <c r="LLZ971" t="s">
        <v>1357</v>
      </c>
      <c r="LMA971">
        <v>679468</v>
      </c>
      <c r="LMB971">
        <v>333495</v>
      </c>
      <c r="LMC971">
        <v>187094</v>
      </c>
      <c r="LMD971">
        <v>1010140</v>
      </c>
      <c r="LME971">
        <v>2295896</v>
      </c>
      <c r="LVV971" t="s">
        <v>1357</v>
      </c>
      <c r="LVW971">
        <v>679468</v>
      </c>
      <c r="LVX971">
        <v>333495</v>
      </c>
      <c r="LVY971">
        <v>187094</v>
      </c>
      <c r="LVZ971">
        <v>1010140</v>
      </c>
      <c r="LWA971">
        <v>2295896</v>
      </c>
      <c r="MFR971" t="s">
        <v>1357</v>
      </c>
      <c r="MFS971">
        <v>679468</v>
      </c>
      <c r="MFT971">
        <v>333495</v>
      </c>
      <c r="MFU971">
        <v>187094</v>
      </c>
      <c r="MFV971">
        <v>1010140</v>
      </c>
      <c r="MFW971">
        <v>2295896</v>
      </c>
      <c r="MPN971" t="s">
        <v>1357</v>
      </c>
      <c r="MPO971">
        <v>679468</v>
      </c>
      <c r="MPP971">
        <v>333495</v>
      </c>
      <c r="MPQ971">
        <v>187094</v>
      </c>
      <c r="MPR971">
        <v>1010140</v>
      </c>
      <c r="MPS971">
        <v>2295896</v>
      </c>
      <c r="MZJ971" t="s">
        <v>1357</v>
      </c>
      <c r="MZK971">
        <v>679468</v>
      </c>
      <c r="MZL971">
        <v>333495</v>
      </c>
      <c r="MZM971">
        <v>187094</v>
      </c>
      <c r="MZN971">
        <v>1010140</v>
      </c>
      <c r="MZO971">
        <v>2295896</v>
      </c>
      <c r="NJF971" t="s">
        <v>1357</v>
      </c>
      <c r="NJG971">
        <v>679468</v>
      </c>
      <c r="NJH971">
        <v>333495</v>
      </c>
      <c r="NJI971">
        <v>187094</v>
      </c>
      <c r="NJJ971">
        <v>1010140</v>
      </c>
      <c r="NJK971">
        <v>2295896</v>
      </c>
      <c r="NTB971" t="s">
        <v>1357</v>
      </c>
      <c r="NTC971">
        <v>679468</v>
      </c>
      <c r="NTD971">
        <v>333495</v>
      </c>
      <c r="NTE971">
        <v>187094</v>
      </c>
      <c r="NTF971">
        <v>1010140</v>
      </c>
      <c r="NTG971">
        <v>2295896</v>
      </c>
      <c r="OCX971" t="s">
        <v>1357</v>
      </c>
      <c r="OCY971">
        <v>679468</v>
      </c>
      <c r="OCZ971">
        <v>333495</v>
      </c>
      <c r="ODA971">
        <v>187094</v>
      </c>
      <c r="ODB971">
        <v>1010140</v>
      </c>
      <c r="ODC971">
        <v>2295896</v>
      </c>
      <c r="OMT971" t="s">
        <v>1357</v>
      </c>
      <c r="OMU971">
        <v>679468</v>
      </c>
      <c r="OMV971">
        <v>333495</v>
      </c>
      <c r="OMW971">
        <v>187094</v>
      </c>
      <c r="OMX971">
        <v>1010140</v>
      </c>
      <c r="OMY971">
        <v>2295896</v>
      </c>
      <c r="OWP971" t="s">
        <v>1357</v>
      </c>
      <c r="OWQ971">
        <v>679468</v>
      </c>
      <c r="OWR971">
        <v>333495</v>
      </c>
      <c r="OWS971">
        <v>187094</v>
      </c>
      <c r="OWT971">
        <v>1010140</v>
      </c>
      <c r="OWU971">
        <v>2295896</v>
      </c>
      <c r="PGL971" t="s">
        <v>1357</v>
      </c>
      <c r="PGM971">
        <v>679468</v>
      </c>
      <c r="PGN971">
        <v>333495</v>
      </c>
      <c r="PGO971">
        <v>187094</v>
      </c>
      <c r="PGP971">
        <v>1010140</v>
      </c>
      <c r="PGQ971">
        <v>2295896</v>
      </c>
      <c r="PQH971" t="s">
        <v>1357</v>
      </c>
      <c r="PQI971">
        <v>679468</v>
      </c>
      <c r="PQJ971">
        <v>333495</v>
      </c>
      <c r="PQK971">
        <v>187094</v>
      </c>
      <c r="PQL971">
        <v>1010140</v>
      </c>
      <c r="PQM971">
        <v>2295896</v>
      </c>
      <c r="QAD971" t="s">
        <v>1357</v>
      </c>
      <c r="QAE971">
        <v>679468</v>
      </c>
      <c r="QAF971">
        <v>333495</v>
      </c>
      <c r="QAG971">
        <v>187094</v>
      </c>
      <c r="QAH971">
        <v>1010140</v>
      </c>
      <c r="QAI971">
        <v>2295896</v>
      </c>
      <c r="QJZ971" t="s">
        <v>1357</v>
      </c>
      <c r="QKA971">
        <v>679468</v>
      </c>
      <c r="QKB971">
        <v>333495</v>
      </c>
      <c r="QKC971">
        <v>187094</v>
      </c>
      <c r="QKD971">
        <v>1010140</v>
      </c>
      <c r="QKE971">
        <v>2295896</v>
      </c>
      <c r="QTV971" t="s">
        <v>1357</v>
      </c>
      <c r="QTW971">
        <v>679468</v>
      </c>
      <c r="QTX971">
        <v>333495</v>
      </c>
      <c r="QTY971">
        <v>187094</v>
      </c>
      <c r="QTZ971">
        <v>1010140</v>
      </c>
      <c r="QUA971">
        <v>2295896</v>
      </c>
      <c r="RDR971" t="s">
        <v>1357</v>
      </c>
      <c r="RDS971">
        <v>679468</v>
      </c>
      <c r="RDT971">
        <v>333495</v>
      </c>
      <c r="RDU971">
        <v>187094</v>
      </c>
      <c r="RDV971">
        <v>1010140</v>
      </c>
      <c r="RDW971">
        <v>2295896</v>
      </c>
      <c r="RNN971" t="s">
        <v>1357</v>
      </c>
      <c r="RNO971">
        <v>679468</v>
      </c>
      <c r="RNP971">
        <v>333495</v>
      </c>
      <c r="RNQ971">
        <v>187094</v>
      </c>
      <c r="RNR971">
        <v>1010140</v>
      </c>
      <c r="RNS971">
        <v>2295896</v>
      </c>
      <c r="RXJ971" t="s">
        <v>1357</v>
      </c>
      <c r="RXK971">
        <v>679468</v>
      </c>
      <c r="RXL971">
        <v>333495</v>
      </c>
      <c r="RXM971">
        <v>187094</v>
      </c>
      <c r="RXN971">
        <v>1010140</v>
      </c>
      <c r="RXO971">
        <v>2295896</v>
      </c>
      <c r="SHF971" t="s">
        <v>1357</v>
      </c>
      <c r="SHG971">
        <v>679468</v>
      </c>
      <c r="SHH971">
        <v>333495</v>
      </c>
      <c r="SHI971">
        <v>187094</v>
      </c>
      <c r="SHJ971">
        <v>1010140</v>
      </c>
      <c r="SHK971">
        <v>2295896</v>
      </c>
      <c r="SRB971" t="s">
        <v>1357</v>
      </c>
      <c r="SRC971">
        <v>679468</v>
      </c>
      <c r="SRD971">
        <v>333495</v>
      </c>
      <c r="SRE971">
        <v>187094</v>
      </c>
      <c r="SRF971">
        <v>1010140</v>
      </c>
      <c r="SRG971">
        <v>2295896</v>
      </c>
      <c r="TAX971" t="s">
        <v>1357</v>
      </c>
      <c r="TAY971">
        <v>679468</v>
      </c>
      <c r="TAZ971">
        <v>333495</v>
      </c>
      <c r="TBA971">
        <v>187094</v>
      </c>
      <c r="TBB971">
        <v>1010140</v>
      </c>
      <c r="TBC971">
        <v>2295896</v>
      </c>
      <c r="TKT971" t="s">
        <v>1357</v>
      </c>
      <c r="TKU971">
        <v>679468</v>
      </c>
      <c r="TKV971">
        <v>333495</v>
      </c>
      <c r="TKW971">
        <v>187094</v>
      </c>
      <c r="TKX971">
        <v>1010140</v>
      </c>
      <c r="TKY971">
        <v>2295896</v>
      </c>
      <c r="TUP971" t="s">
        <v>1357</v>
      </c>
      <c r="TUQ971">
        <v>679468</v>
      </c>
      <c r="TUR971">
        <v>333495</v>
      </c>
      <c r="TUS971">
        <v>187094</v>
      </c>
      <c r="TUT971">
        <v>1010140</v>
      </c>
      <c r="TUU971">
        <v>2295896</v>
      </c>
      <c r="UEL971" t="s">
        <v>1357</v>
      </c>
      <c r="UEM971">
        <v>679468</v>
      </c>
      <c r="UEN971">
        <v>333495</v>
      </c>
      <c r="UEO971">
        <v>187094</v>
      </c>
      <c r="UEP971">
        <v>1010140</v>
      </c>
      <c r="UEQ971">
        <v>2295896</v>
      </c>
      <c r="UOH971" t="s">
        <v>1357</v>
      </c>
      <c r="UOI971">
        <v>679468</v>
      </c>
      <c r="UOJ971">
        <v>333495</v>
      </c>
      <c r="UOK971">
        <v>187094</v>
      </c>
      <c r="UOL971">
        <v>1010140</v>
      </c>
      <c r="UOM971">
        <v>2295896</v>
      </c>
      <c r="UYD971" t="s">
        <v>1357</v>
      </c>
      <c r="UYE971">
        <v>679468</v>
      </c>
      <c r="UYF971">
        <v>333495</v>
      </c>
      <c r="UYG971">
        <v>187094</v>
      </c>
      <c r="UYH971">
        <v>1010140</v>
      </c>
      <c r="UYI971">
        <v>2295896</v>
      </c>
      <c r="VHZ971" t="s">
        <v>1357</v>
      </c>
      <c r="VIA971">
        <v>679468</v>
      </c>
      <c r="VIB971">
        <v>333495</v>
      </c>
      <c r="VIC971">
        <v>187094</v>
      </c>
      <c r="VID971">
        <v>1010140</v>
      </c>
      <c r="VIE971">
        <v>2295896</v>
      </c>
      <c r="VRV971" t="s">
        <v>1357</v>
      </c>
      <c r="VRW971">
        <v>679468</v>
      </c>
      <c r="VRX971">
        <v>333495</v>
      </c>
      <c r="VRY971">
        <v>187094</v>
      </c>
      <c r="VRZ971">
        <v>1010140</v>
      </c>
      <c r="VSA971">
        <v>2295896</v>
      </c>
      <c r="WBR971" t="s">
        <v>1357</v>
      </c>
      <c r="WBS971">
        <v>679468</v>
      </c>
      <c r="WBT971">
        <v>333495</v>
      </c>
      <c r="WBU971">
        <v>187094</v>
      </c>
      <c r="WBV971">
        <v>1010140</v>
      </c>
      <c r="WBW971">
        <v>2295896</v>
      </c>
      <c r="WLN971" t="s">
        <v>1357</v>
      </c>
      <c r="WLO971">
        <v>679468</v>
      </c>
      <c r="WLP971">
        <v>333495</v>
      </c>
      <c r="WLQ971">
        <v>187094</v>
      </c>
      <c r="WLR971">
        <v>1010140</v>
      </c>
      <c r="WLS971">
        <v>2295896</v>
      </c>
      <c r="WVJ971" t="s">
        <v>1357</v>
      </c>
      <c r="WVK971">
        <v>679468</v>
      </c>
      <c r="WVL971">
        <v>333495</v>
      </c>
      <c r="WVM971">
        <v>187094</v>
      </c>
      <c r="WVN971">
        <v>1010140</v>
      </c>
      <c r="WVO971">
        <v>2295896</v>
      </c>
    </row>
    <row r="972" spans="1:775 1026:1799 2050:2823 3074:3847 4098:4871 5122:5895 6146:6919 7170:7943 8194:8967 9218:9991 10242:11015 11266:12039 12290:13063 13314:14087 14338:15111 15362:16135">
      <c r="A972" s="96" t="s">
        <v>1358</v>
      </c>
      <c r="B972" s="1265" t="s">
        <v>780</v>
      </c>
      <c r="C972" s="98">
        <v>0</v>
      </c>
      <c r="D972" s="98">
        <v>0</v>
      </c>
      <c r="E972" s="100">
        <v>25757</v>
      </c>
      <c r="F972" s="98">
        <v>0</v>
      </c>
      <c r="G972" s="100">
        <v>35011</v>
      </c>
      <c r="H972" s="100"/>
      <c r="IX972" t="s">
        <v>1358</v>
      </c>
      <c r="IY972" t="s">
        <v>619</v>
      </c>
      <c r="IZ972" t="s">
        <v>619</v>
      </c>
      <c r="JA972">
        <v>25757</v>
      </c>
      <c r="JB972" t="s">
        <v>619</v>
      </c>
      <c r="JC972">
        <v>35011</v>
      </c>
      <c r="ST972" t="s">
        <v>1358</v>
      </c>
      <c r="SU972" t="s">
        <v>619</v>
      </c>
      <c r="SV972" t="s">
        <v>619</v>
      </c>
      <c r="SW972">
        <v>25757</v>
      </c>
      <c r="SX972" t="s">
        <v>619</v>
      </c>
      <c r="SY972">
        <v>35011</v>
      </c>
      <c r="ACP972" t="s">
        <v>1358</v>
      </c>
      <c r="ACQ972" t="s">
        <v>619</v>
      </c>
      <c r="ACR972" t="s">
        <v>619</v>
      </c>
      <c r="ACS972">
        <v>25757</v>
      </c>
      <c r="ACT972" t="s">
        <v>619</v>
      </c>
      <c r="ACU972">
        <v>35011</v>
      </c>
      <c r="AML972" t="s">
        <v>1358</v>
      </c>
      <c r="AMM972" t="s">
        <v>619</v>
      </c>
      <c r="AMN972" t="s">
        <v>619</v>
      </c>
      <c r="AMO972">
        <v>25757</v>
      </c>
      <c r="AMP972" t="s">
        <v>619</v>
      </c>
      <c r="AMQ972">
        <v>35011</v>
      </c>
      <c r="AWH972" t="s">
        <v>1358</v>
      </c>
      <c r="AWI972" t="s">
        <v>619</v>
      </c>
      <c r="AWJ972" t="s">
        <v>619</v>
      </c>
      <c r="AWK972">
        <v>25757</v>
      </c>
      <c r="AWL972" t="s">
        <v>619</v>
      </c>
      <c r="AWM972">
        <v>35011</v>
      </c>
      <c r="BGD972" t="s">
        <v>1358</v>
      </c>
      <c r="BGE972" t="s">
        <v>619</v>
      </c>
      <c r="BGF972" t="s">
        <v>619</v>
      </c>
      <c r="BGG972">
        <v>25757</v>
      </c>
      <c r="BGH972" t="s">
        <v>619</v>
      </c>
      <c r="BGI972">
        <v>35011</v>
      </c>
      <c r="BPZ972" t="s">
        <v>1358</v>
      </c>
      <c r="BQA972" t="s">
        <v>619</v>
      </c>
      <c r="BQB972" t="s">
        <v>619</v>
      </c>
      <c r="BQC972">
        <v>25757</v>
      </c>
      <c r="BQD972" t="s">
        <v>619</v>
      </c>
      <c r="BQE972">
        <v>35011</v>
      </c>
      <c r="BZV972" t="s">
        <v>1358</v>
      </c>
      <c r="BZW972" t="s">
        <v>619</v>
      </c>
      <c r="BZX972" t="s">
        <v>619</v>
      </c>
      <c r="BZY972">
        <v>25757</v>
      </c>
      <c r="BZZ972" t="s">
        <v>619</v>
      </c>
      <c r="CAA972">
        <v>35011</v>
      </c>
      <c r="CJR972" t="s">
        <v>1358</v>
      </c>
      <c r="CJS972" t="s">
        <v>619</v>
      </c>
      <c r="CJT972" t="s">
        <v>619</v>
      </c>
      <c r="CJU972">
        <v>25757</v>
      </c>
      <c r="CJV972" t="s">
        <v>619</v>
      </c>
      <c r="CJW972">
        <v>35011</v>
      </c>
      <c r="CTN972" t="s">
        <v>1358</v>
      </c>
      <c r="CTO972" t="s">
        <v>619</v>
      </c>
      <c r="CTP972" t="s">
        <v>619</v>
      </c>
      <c r="CTQ972">
        <v>25757</v>
      </c>
      <c r="CTR972" t="s">
        <v>619</v>
      </c>
      <c r="CTS972">
        <v>35011</v>
      </c>
      <c r="DDJ972" t="s">
        <v>1358</v>
      </c>
      <c r="DDK972" t="s">
        <v>619</v>
      </c>
      <c r="DDL972" t="s">
        <v>619</v>
      </c>
      <c r="DDM972">
        <v>25757</v>
      </c>
      <c r="DDN972" t="s">
        <v>619</v>
      </c>
      <c r="DDO972">
        <v>35011</v>
      </c>
      <c r="DNF972" t="s">
        <v>1358</v>
      </c>
      <c r="DNG972" t="s">
        <v>619</v>
      </c>
      <c r="DNH972" t="s">
        <v>619</v>
      </c>
      <c r="DNI972">
        <v>25757</v>
      </c>
      <c r="DNJ972" t="s">
        <v>619</v>
      </c>
      <c r="DNK972">
        <v>35011</v>
      </c>
      <c r="DXB972" t="s">
        <v>1358</v>
      </c>
      <c r="DXC972" t="s">
        <v>619</v>
      </c>
      <c r="DXD972" t="s">
        <v>619</v>
      </c>
      <c r="DXE972">
        <v>25757</v>
      </c>
      <c r="DXF972" t="s">
        <v>619</v>
      </c>
      <c r="DXG972">
        <v>35011</v>
      </c>
      <c r="EGX972" t="s">
        <v>1358</v>
      </c>
      <c r="EGY972" t="s">
        <v>619</v>
      </c>
      <c r="EGZ972" t="s">
        <v>619</v>
      </c>
      <c r="EHA972">
        <v>25757</v>
      </c>
      <c r="EHB972" t="s">
        <v>619</v>
      </c>
      <c r="EHC972">
        <v>35011</v>
      </c>
      <c r="EQT972" t="s">
        <v>1358</v>
      </c>
      <c r="EQU972" t="s">
        <v>619</v>
      </c>
      <c r="EQV972" t="s">
        <v>619</v>
      </c>
      <c r="EQW972">
        <v>25757</v>
      </c>
      <c r="EQX972" t="s">
        <v>619</v>
      </c>
      <c r="EQY972">
        <v>35011</v>
      </c>
      <c r="FAP972" t="s">
        <v>1358</v>
      </c>
      <c r="FAQ972" t="s">
        <v>619</v>
      </c>
      <c r="FAR972" t="s">
        <v>619</v>
      </c>
      <c r="FAS972">
        <v>25757</v>
      </c>
      <c r="FAT972" t="s">
        <v>619</v>
      </c>
      <c r="FAU972">
        <v>35011</v>
      </c>
      <c r="FKL972" t="s">
        <v>1358</v>
      </c>
      <c r="FKM972" t="s">
        <v>619</v>
      </c>
      <c r="FKN972" t="s">
        <v>619</v>
      </c>
      <c r="FKO972">
        <v>25757</v>
      </c>
      <c r="FKP972" t="s">
        <v>619</v>
      </c>
      <c r="FKQ972">
        <v>35011</v>
      </c>
      <c r="FUH972" t="s">
        <v>1358</v>
      </c>
      <c r="FUI972" t="s">
        <v>619</v>
      </c>
      <c r="FUJ972" t="s">
        <v>619</v>
      </c>
      <c r="FUK972">
        <v>25757</v>
      </c>
      <c r="FUL972" t="s">
        <v>619</v>
      </c>
      <c r="FUM972">
        <v>35011</v>
      </c>
      <c r="GED972" t="s">
        <v>1358</v>
      </c>
      <c r="GEE972" t="s">
        <v>619</v>
      </c>
      <c r="GEF972" t="s">
        <v>619</v>
      </c>
      <c r="GEG972">
        <v>25757</v>
      </c>
      <c r="GEH972" t="s">
        <v>619</v>
      </c>
      <c r="GEI972">
        <v>35011</v>
      </c>
      <c r="GNZ972" t="s">
        <v>1358</v>
      </c>
      <c r="GOA972" t="s">
        <v>619</v>
      </c>
      <c r="GOB972" t="s">
        <v>619</v>
      </c>
      <c r="GOC972">
        <v>25757</v>
      </c>
      <c r="GOD972" t="s">
        <v>619</v>
      </c>
      <c r="GOE972">
        <v>35011</v>
      </c>
      <c r="GXV972" t="s">
        <v>1358</v>
      </c>
      <c r="GXW972" t="s">
        <v>619</v>
      </c>
      <c r="GXX972" t="s">
        <v>619</v>
      </c>
      <c r="GXY972">
        <v>25757</v>
      </c>
      <c r="GXZ972" t="s">
        <v>619</v>
      </c>
      <c r="GYA972">
        <v>35011</v>
      </c>
      <c r="HHR972" t="s">
        <v>1358</v>
      </c>
      <c r="HHS972" t="s">
        <v>619</v>
      </c>
      <c r="HHT972" t="s">
        <v>619</v>
      </c>
      <c r="HHU972">
        <v>25757</v>
      </c>
      <c r="HHV972" t="s">
        <v>619</v>
      </c>
      <c r="HHW972">
        <v>35011</v>
      </c>
      <c r="HRN972" t="s">
        <v>1358</v>
      </c>
      <c r="HRO972" t="s">
        <v>619</v>
      </c>
      <c r="HRP972" t="s">
        <v>619</v>
      </c>
      <c r="HRQ972">
        <v>25757</v>
      </c>
      <c r="HRR972" t="s">
        <v>619</v>
      </c>
      <c r="HRS972">
        <v>35011</v>
      </c>
      <c r="IBJ972" t="s">
        <v>1358</v>
      </c>
      <c r="IBK972" t="s">
        <v>619</v>
      </c>
      <c r="IBL972" t="s">
        <v>619</v>
      </c>
      <c r="IBM972">
        <v>25757</v>
      </c>
      <c r="IBN972" t="s">
        <v>619</v>
      </c>
      <c r="IBO972">
        <v>35011</v>
      </c>
      <c r="ILF972" t="s">
        <v>1358</v>
      </c>
      <c r="ILG972" t="s">
        <v>619</v>
      </c>
      <c r="ILH972" t="s">
        <v>619</v>
      </c>
      <c r="ILI972">
        <v>25757</v>
      </c>
      <c r="ILJ972" t="s">
        <v>619</v>
      </c>
      <c r="ILK972">
        <v>35011</v>
      </c>
      <c r="IVB972" t="s">
        <v>1358</v>
      </c>
      <c r="IVC972" t="s">
        <v>619</v>
      </c>
      <c r="IVD972" t="s">
        <v>619</v>
      </c>
      <c r="IVE972">
        <v>25757</v>
      </c>
      <c r="IVF972" t="s">
        <v>619</v>
      </c>
      <c r="IVG972">
        <v>35011</v>
      </c>
      <c r="JEX972" t="s">
        <v>1358</v>
      </c>
      <c r="JEY972" t="s">
        <v>619</v>
      </c>
      <c r="JEZ972" t="s">
        <v>619</v>
      </c>
      <c r="JFA972">
        <v>25757</v>
      </c>
      <c r="JFB972" t="s">
        <v>619</v>
      </c>
      <c r="JFC972">
        <v>35011</v>
      </c>
      <c r="JOT972" t="s">
        <v>1358</v>
      </c>
      <c r="JOU972" t="s">
        <v>619</v>
      </c>
      <c r="JOV972" t="s">
        <v>619</v>
      </c>
      <c r="JOW972">
        <v>25757</v>
      </c>
      <c r="JOX972" t="s">
        <v>619</v>
      </c>
      <c r="JOY972">
        <v>35011</v>
      </c>
      <c r="JYP972" t="s">
        <v>1358</v>
      </c>
      <c r="JYQ972" t="s">
        <v>619</v>
      </c>
      <c r="JYR972" t="s">
        <v>619</v>
      </c>
      <c r="JYS972">
        <v>25757</v>
      </c>
      <c r="JYT972" t="s">
        <v>619</v>
      </c>
      <c r="JYU972">
        <v>35011</v>
      </c>
      <c r="KIL972" t="s">
        <v>1358</v>
      </c>
      <c r="KIM972" t="s">
        <v>619</v>
      </c>
      <c r="KIN972" t="s">
        <v>619</v>
      </c>
      <c r="KIO972">
        <v>25757</v>
      </c>
      <c r="KIP972" t="s">
        <v>619</v>
      </c>
      <c r="KIQ972">
        <v>35011</v>
      </c>
      <c r="KSH972" t="s">
        <v>1358</v>
      </c>
      <c r="KSI972" t="s">
        <v>619</v>
      </c>
      <c r="KSJ972" t="s">
        <v>619</v>
      </c>
      <c r="KSK972">
        <v>25757</v>
      </c>
      <c r="KSL972" t="s">
        <v>619</v>
      </c>
      <c r="KSM972">
        <v>35011</v>
      </c>
      <c r="LCD972" t="s">
        <v>1358</v>
      </c>
      <c r="LCE972" t="s">
        <v>619</v>
      </c>
      <c r="LCF972" t="s">
        <v>619</v>
      </c>
      <c r="LCG972">
        <v>25757</v>
      </c>
      <c r="LCH972" t="s">
        <v>619</v>
      </c>
      <c r="LCI972">
        <v>35011</v>
      </c>
      <c r="LLZ972" t="s">
        <v>1358</v>
      </c>
      <c r="LMA972" t="s">
        <v>619</v>
      </c>
      <c r="LMB972" t="s">
        <v>619</v>
      </c>
      <c r="LMC972">
        <v>25757</v>
      </c>
      <c r="LMD972" t="s">
        <v>619</v>
      </c>
      <c r="LME972">
        <v>35011</v>
      </c>
      <c r="LVV972" t="s">
        <v>1358</v>
      </c>
      <c r="LVW972" t="s">
        <v>619</v>
      </c>
      <c r="LVX972" t="s">
        <v>619</v>
      </c>
      <c r="LVY972">
        <v>25757</v>
      </c>
      <c r="LVZ972" t="s">
        <v>619</v>
      </c>
      <c r="LWA972">
        <v>35011</v>
      </c>
      <c r="MFR972" t="s">
        <v>1358</v>
      </c>
      <c r="MFS972" t="s">
        <v>619</v>
      </c>
      <c r="MFT972" t="s">
        <v>619</v>
      </c>
      <c r="MFU972">
        <v>25757</v>
      </c>
      <c r="MFV972" t="s">
        <v>619</v>
      </c>
      <c r="MFW972">
        <v>35011</v>
      </c>
      <c r="MPN972" t="s">
        <v>1358</v>
      </c>
      <c r="MPO972" t="s">
        <v>619</v>
      </c>
      <c r="MPP972" t="s">
        <v>619</v>
      </c>
      <c r="MPQ972">
        <v>25757</v>
      </c>
      <c r="MPR972" t="s">
        <v>619</v>
      </c>
      <c r="MPS972">
        <v>35011</v>
      </c>
      <c r="MZJ972" t="s">
        <v>1358</v>
      </c>
      <c r="MZK972" t="s">
        <v>619</v>
      </c>
      <c r="MZL972" t="s">
        <v>619</v>
      </c>
      <c r="MZM972">
        <v>25757</v>
      </c>
      <c r="MZN972" t="s">
        <v>619</v>
      </c>
      <c r="MZO972">
        <v>35011</v>
      </c>
      <c r="NJF972" t="s">
        <v>1358</v>
      </c>
      <c r="NJG972" t="s">
        <v>619</v>
      </c>
      <c r="NJH972" t="s">
        <v>619</v>
      </c>
      <c r="NJI972">
        <v>25757</v>
      </c>
      <c r="NJJ972" t="s">
        <v>619</v>
      </c>
      <c r="NJK972">
        <v>35011</v>
      </c>
      <c r="NTB972" t="s">
        <v>1358</v>
      </c>
      <c r="NTC972" t="s">
        <v>619</v>
      </c>
      <c r="NTD972" t="s">
        <v>619</v>
      </c>
      <c r="NTE972">
        <v>25757</v>
      </c>
      <c r="NTF972" t="s">
        <v>619</v>
      </c>
      <c r="NTG972">
        <v>35011</v>
      </c>
      <c r="OCX972" t="s">
        <v>1358</v>
      </c>
      <c r="OCY972" t="s">
        <v>619</v>
      </c>
      <c r="OCZ972" t="s">
        <v>619</v>
      </c>
      <c r="ODA972">
        <v>25757</v>
      </c>
      <c r="ODB972" t="s">
        <v>619</v>
      </c>
      <c r="ODC972">
        <v>35011</v>
      </c>
      <c r="OMT972" t="s">
        <v>1358</v>
      </c>
      <c r="OMU972" t="s">
        <v>619</v>
      </c>
      <c r="OMV972" t="s">
        <v>619</v>
      </c>
      <c r="OMW972">
        <v>25757</v>
      </c>
      <c r="OMX972" t="s">
        <v>619</v>
      </c>
      <c r="OMY972">
        <v>35011</v>
      </c>
      <c r="OWP972" t="s">
        <v>1358</v>
      </c>
      <c r="OWQ972" t="s">
        <v>619</v>
      </c>
      <c r="OWR972" t="s">
        <v>619</v>
      </c>
      <c r="OWS972">
        <v>25757</v>
      </c>
      <c r="OWT972" t="s">
        <v>619</v>
      </c>
      <c r="OWU972">
        <v>35011</v>
      </c>
      <c r="PGL972" t="s">
        <v>1358</v>
      </c>
      <c r="PGM972" t="s">
        <v>619</v>
      </c>
      <c r="PGN972" t="s">
        <v>619</v>
      </c>
      <c r="PGO972">
        <v>25757</v>
      </c>
      <c r="PGP972" t="s">
        <v>619</v>
      </c>
      <c r="PGQ972">
        <v>35011</v>
      </c>
      <c r="PQH972" t="s">
        <v>1358</v>
      </c>
      <c r="PQI972" t="s">
        <v>619</v>
      </c>
      <c r="PQJ972" t="s">
        <v>619</v>
      </c>
      <c r="PQK972">
        <v>25757</v>
      </c>
      <c r="PQL972" t="s">
        <v>619</v>
      </c>
      <c r="PQM972">
        <v>35011</v>
      </c>
      <c r="QAD972" t="s">
        <v>1358</v>
      </c>
      <c r="QAE972" t="s">
        <v>619</v>
      </c>
      <c r="QAF972" t="s">
        <v>619</v>
      </c>
      <c r="QAG972">
        <v>25757</v>
      </c>
      <c r="QAH972" t="s">
        <v>619</v>
      </c>
      <c r="QAI972">
        <v>35011</v>
      </c>
      <c r="QJZ972" t="s">
        <v>1358</v>
      </c>
      <c r="QKA972" t="s">
        <v>619</v>
      </c>
      <c r="QKB972" t="s">
        <v>619</v>
      </c>
      <c r="QKC972">
        <v>25757</v>
      </c>
      <c r="QKD972" t="s">
        <v>619</v>
      </c>
      <c r="QKE972">
        <v>35011</v>
      </c>
      <c r="QTV972" t="s">
        <v>1358</v>
      </c>
      <c r="QTW972" t="s">
        <v>619</v>
      </c>
      <c r="QTX972" t="s">
        <v>619</v>
      </c>
      <c r="QTY972">
        <v>25757</v>
      </c>
      <c r="QTZ972" t="s">
        <v>619</v>
      </c>
      <c r="QUA972">
        <v>35011</v>
      </c>
      <c r="RDR972" t="s">
        <v>1358</v>
      </c>
      <c r="RDS972" t="s">
        <v>619</v>
      </c>
      <c r="RDT972" t="s">
        <v>619</v>
      </c>
      <c r="RDU972">
        <v>25757</v>
      </c>
      <c r="RDV972" t="s">
        <v>619</v>
      </c>
      <c r="RDW972">
        <v>35011</v>
      </c>
      <c r="RNN972" t="s">
        <v>1358</v>
      </c>
      <c r="RNO972" t="s">
        <v>619</v>
      </c>
      <c r="RNP972" t="s">
        <v>619</v>
      </c>
      <c r="RNQ972">
        <v>25757</v>
      </c>
      <c r="RNR972" t="s">
        <v>619</v>
      </c>
      <c r="RNS972">
        <v>35011</v>
      </c>
      <c r="RXJ972" t="s">
        <v>1358</v>
      </c>
      <c r="RXK972" t="s">
        <v>619</v>
      </c>
      <c r="RXL972" t="s">
        <v>619</v>
      </c>
      <c r="RXM972">
        <v>25757</v>
      </c>
      <c r="RXN972" t="s">
        <v>619</v>
      </c>
      <c r="RXO972">
        <v>35011</v>
      </c>
      <c r="SHF972" t="s">
        <v>1358</v>
      </c>
      <c r="SHG972" t="s">
        <v>619</v>
      </c>
      <c r="SHH972" t="s">
        <v>619</v>
      </c>
      <c r="SHI972">
        <v>25757</v>
      </c>
      <c r="SHJ972" t="s">
        <v>619</v>
      </c>
      <c r="SHK972">
        <v>35011</v>
      </c>
      <c r="SRB972" t="s">
        <v>1358</v>
      </c>
      <c r="SRC972" t="s">
        <v>619</v>
      </c>
      <c r="SRD972" t="s">
        <v>619</v>
      </c>
      <c r="SRE972">
        <v>25757</v>
      </c>
      <c r="SRF972" t="s">
        <v>619</v>
      </c>
      <c r="SRG972">
        <v>35011</v>
      </c>
      <c r="TAX972" t="s">
        <v>1358</v>
      </c>
      <c r="TAY972" t="s">
        <v>619</v>
      </c>
      <c r="TAZ972" t="s">
        <v>619</v>
      </c>
      <c r="TBA972">
        <v>25757</v>
      </c>
      <c r="TBB972" t="s">
        <v>619</v>
      </c>
      <c r="TBC972">
        <v>35011</v>
      </c>
      <c r="TKT972" t="s">
        <v>1358</v>
      </c>
      <c r="TKU972" t="s">
        <v>619</v>
      </c>
      <c r="TKV972" t="s">
        <v>619</v>
      </c>
      <c r="TKW972">
        <v>25757</v>
      </c>
      <c r="TKX972" t="s">
        <v>619</v>
      </c>
      <c r="TKY972">
        <v>35011</v>
      </c>
      <c r="TUP972" t="s">
        <v>1358</v>
      </c>
      <c r="TUQ972" t="s">
        <v>619</v>
      </c>
      <c r="TUR972" t="s">
        <v>619</v>
      </c>
      <c r="TUS972">
        <v>25757</v>
      </c>
      <c r="TUT972" t="s">
        <v>619</v>
      </c>
      <c r="TUU972">
        <v>35011</v>
      </c>
      <c r="UEL972" t="s">
        <v>1358</v>
      </c>
      <c r="UEM972" t="s">
        <v>619</v>
      </c>
      <c r="UEN972" t="s">
        <v>619</v>
      </c>
      <c r="UEO972">
        <v>25757</v>
      </c>
      <c r="UEP972" t="s">
        <v>619</v>
      </c>
      <c r="UEQ972">
        <v>35011</v>
      </c>
      <c r="UOH972" t="s">
        <v>1358</v>
      </c>
      <c r="UOI972" t="s">
        <v>619</v>
      </c>
      <c r="UOJ972" t="s">
        <v>619</v>
      </c>
      <c r="UOK972">
        <v>25757</v>
      </c>
      <c r="UOL972" t="s">
        <v>619</v>
      </c>
      <c r="UOM972">
        <v>35011</v>
      </c>
      <c r="UYD972" t="s">
        <v>1358</v>
      </c>
      <c r="UYE972" t="s">
        <v>619</v>
      </c>
      <c r="UYF972" t="s">
        <v>619</v>
      </c>
      <c r="UYG972">
        <v>25757</v>
      </c>
      <c r="UYH972" t="s">
        <v>619</v>
      </c>
      <c r="UYI972">
        <v>35011</v>
      </c>
      <c r="VHZ972" t="s">
        <v>1358</v>
      </c>
      <c r="VIA972" t="s">
        <v>619</v>
      </c>
      <c r="VIB972" t="s">
        <v>619</v>
      </c>
      <c r="VIC972">
        <v>25757</v>
      </c>
      <c r="VID972" t="s">
        <v>619</v>
      </c>
      <c r="VIE972">
        <v>35011</v>
      </c>
      <c r="VRV972" t="s">
        <v>1358</v>
      </c>
      <c r="VRW972" t="s">
        <v>619</v>
      </c>
      <c r="VRX972" t="s">
        <v>619</v>
      </c>
      <c r="VRY972">
        <v>25757</v>
      </c>
      <c r="VRZ972" t="s">
        <v>619</v>
      </c>
      <c r="VSA972">
        <v>35011</v>
      </c>
      <c r="WBR972" t="s">
        <v>1358</v>
      </c>
      <c r="WBS972" t="s">
        <v>619</v>
      </c>
      <c r="WBT972" t="s">
        <v>619</v>
      </c>
      <c r="WBU972">
        <v>25757</v>
      </c>
      <c r="WBV972" t="s">
        <v>619</v>
      </c>
      <c r="WBW972">
        <v>35011</v>
      </c>
      <c r="WLN972" t="s">
        <v>1358</v>
      </c>
      <c r="WLO972" t="s">
        <v>619</v>
      </c>
      <c r="WLP972" t="s">
        <v>619</v>
      </c>
      <c r="WLQ972">
        <v>25757</v>
      </c>
      <c r="WLR972" t="s">
        <v>619</v>
      </c>
      <c r="WLS972">
        <v>35011</v>
      </c>
      <c r="WVJ972" t="s">
        <v>1358</v>
      </c>
      <c r="WVK972" t="s">
        <v>619</v>
      </c>
      <c r="WVL972" t="s">
        <v>619</v>
      </c>
      <c r="WVM972">
        <v>25757</v>
      </c>
      <c r="WVN972" t="s">
        <v>619</v>
      </c>
      <c r="WVO972">
        <v>35011</v>
      </c>
    </row>
    <row r="973" spans="1:775 1026:1799 2050:2823 3074:3847 4098:4871 5122:5895 6146:6919 7170:7943 8194:8967 9218:9991 10242:11015 11266:12039 12290:13063 13314:14087 14338:15111 15362:16135">
      <c r="A973" s="96" t="s">
        <v>1359</v>
      </c>
      <c r="B973" s="1265" t="s">
        <v>780</v>
      </c>
      <c r="C973" s="98">
        <v>0</v>
      </c>
      <c r="D973" s="98">
        <v>0</v>
      </c>
      <c r="E973" s="100">
        <v>9654</v>
      </c>
      <c r="F973" s="100">
        <v>54332</v>
      </c>
      <c r="G973" s="100">
        <v>48707</v>
      </c>
      <c r="H973" s="100"/>
      <c r="IX973" t="s">
        <v>1359</v>
      </c>
      <c r="IY973" t="s">
        <v>619</v>
      </c>
      <c r="IZ973" t="s">
        <v>619</v>
      </c>
      <c r="JA973">
        <v>9654</v>
      </c>
      <c r="JB973">
        <v>54332</v>
      </c>
      <c r="JC973">
        <v>48707</v>
      </c>
      <c r="ST973" t="s">
        <v>1359</v>
      </c>
      <c r="SU973" t="s">
        <v>619</v>
      </c>
      <c r="SV973" t="s">
        <v>619</v>
      </c>
      <c r="SW973">
        <v>9654</v>
      </c>
      <c r="SX973">
        <v>54332</v>
      </c>
      <c r="SY973">
        <v>48707</v>
      </c>
      <c r="ACP973" t="s">
        <v>1359</v>
      </c>
      <c r="ACQ973" t="s">
        <v>619</v>
      </c>
      <c r="ACR973" t="s">
        <v>619</v>
      </c>
      <c r="ACS973">
        <v>9654</v>
      </c>
      <c r="ACT973">
        <v>54332</v>
      </c>
      <c r="ACU973">
        <v>48707</v>
      </c>
      <c r="AML973" t="s">
        <v>1359</v>
      </c>
      <c r="AMM973" t="s">
        <v>619</v>
      </c>
      <c r="AMN973" t="s">
        <v>619</v>
      </c>
      <c r="AMO973">
        <v>9654</v>
      </c>
      <c r="AMP973">
        <v>54332</v>
      </c>
      <c r="AMQ973">
        <v>48707</v>
      </c>
      <c r="AWH973" t="s">
        <v>1359</v>
      </c>
      <c r="AWI973" t="s">
        <v>619</v>
      </c>
      <c r="AWJ973" t="s">
        <v>619</v>
      </c>
      <c r="AWK973">
        <v>9654</v>
      </c>
      <c r="AWL973">
        <v>54332</v>
      </c>
      <c r="AWM973">
        <v>48707</v>
      </c>
      <c r="BGD973" t="s">
        <v>1359</v>
      </c>
      <c r="BGE973" t="s">
        <v>619</v>
      </c>
      <c r="BGF973" t="s">
        <v>619</v>
      </c>
      <c r="BGG973">
        <v>9654</v>
      </c>
      <c r="BGH973">
        <v>54332</v>
      </c>
      <c r="BGI973">
        <v>48707</v>
      </c>
      <c r="BPZ973" t="s">
        <v>1359</v>
      </c>
      <c r="BQA973" t="s">
        <v>619</v>
      </c>
      <c r="BQB973" t="s">
        <v>619</v>
      </c>
      <c r="BQC973">
        <v>9654</v>
      </c>
      <c r="BQD973">
        <v>54332</v>
      </c>
      <c r="BQE973">
        <v>48707</v>
      </c>
      <c r="BZV973" t="s">
        <v>1359</v>
      </c>
      <c r="BZW973" t="s">
        <v>619</v>
      </c>
      <c r="BZX973" t="s">
        <v>619</v>
      </c>
      <c r="BZY973">
        <v>9654</v>
      </c>
      <c r="BZZ973">
        <v>54332</v>
      </c>
      <c r="CAA973">
        <v>48707</v>
      </c>
      <c r="CJR973" t="s">
        <v>1359</v>
      </c>
      <c r="CJS973" t="s">
        <v>619</v>
      </c>
      <c r="CJT973" t="s">
        <v>619</v>
      </c>
      <c r="CJU973">
        <v>9654</v>
      </c>
      <c r="CJV973">
        <v>54332</v>
      </c>
      <c r="CJW973">
        <v>48707</v>
      </c>
      <c r="CTN973" t="s">
        <v>1359</v>
      </c>
      <c r="CTO973" t="s">
        <v>619</v>
      </c>
      <c r="CTP973" t="s">
        <v>619</v>
      </c>
      <c r="CTQ973">
        <v>9654</v>
      </c>
      <c r="CTR973">
        <v>54332</v>
      </c>
      <c r="CTS973">
        <v>48707</v>
      </c>
      <c r="DDJ973" t="s">
        <v>1359</v>
      </c>
      <c r="DDK973" t="s">
        <v>619</v>
      </c>
      <c r="DDL973" t="s">
        <v>619</v>
      </c>
      <c r="DDM973">
        <v>9654</v>
      </c>
      <c r="DDN973">
        <v>54332</v>
      </c>
      <c r="DDO973">
        <v>48707</v>
      </c>
      <c r="DNF973" t="s">
        <v>1359</v>
      </c>
      <c r="DNG973" t="s">
        <v>619</v>
      </c>
      <c r="DNH973" t="s">
        <v>619</v>
      </c>
      <c r="DNI973">
        <v>9654</v>
      </c>
      <c r="DNJ973">
        <v>54332</v>
      </c>
      <c r="DNK973">
        <v>48707</v>
      </c>
      <c r="DXB973" t="s">
        <v>1359</v>
      </c>
      <c r="DXC973" t="s">
        <v>619</v>
      </c>
      <c r="DXD973" t="s">
        <v>619</v>
      </c>
      <c r="DXE973">
        <v>9654</v>
      </c>
      <c r="DXF973">
        <v>54332</v>
      </c>
      <c r="DXG973">
        <v>48707</v>
      </c>
      <c r="EGX973" t="s">
        <v>1359</v>
      </c>
      <c r="EGY973" t="s">
        <v>619</v>
      </c>
      <c r="EGZ973" t="s">
        <v>619</v>
      </c>
      <c r="EHA973">
        <v>9654</v>
      </c>
      <c r="EHB973">
        <v>54332</v>
      </c>
      <c r="EHC973">
        <v>48707</v>
      </c>
      <c r="EQT973" t="s">
        <v>1359</v>
      </c>
      <c r="EQU973" t="s">
        <v>619</v>
      </c>
      <c r="EQV973" t="s">
        <v>619</v>
      </c>
      <c r="EQW973">
        <v>9654</v>
      </c>
      <c r="EQX973">
        <v>54332</v>
      </c>
      <c r="EQY973">
        <v>48707</v>
      </c>
      <c r="FAP973" t="s">
        <v>1359</v>
      </c>
      <c r="FAQ973" t="s">
        <v>619</v>
      </c>
      <c r="FAR973" t="s">
        <v>619</v>
      </c>
      <c r="FAS973">
        <v>9654</v>
      </c>
      <c r="FAT973">
        <v>54332</v>
      </c>
      <c r="FAU973">
        <v>48707</v>
      </c>
      <c r="FKL973" t="s">
        <v>1359</v>
      </c>
      <c r="FKM973" t="s">
        <v>619</v>
      </c>
      <c r="FKN973" t="s">
        <v>619</v>
      </c>
      <c r="FKO973">
        <v>9654</v>
      </c>
      <c r="FKP973">
        <v>54332</v>
      </c>
      <c r="FKQ973">
        <v>48707</v>
      </c>
      <c r="FUH973" t="s">
        <v>1359</v>
      </c>
      <c r="FUI973" t="s">
        <v>619</v>
      </c>
      <c r="FUJ973" t="s">
        <v>619</v>
      </c>
      <c r="FUK973">
        <v>9654</v>
      </c>
      <c r="FUL973">
        <v>54332</v>
      </c>
      <c r="FUM973">
        <v>48707</v>
      </c>
      <c r="GED973" t="s">
        <v>1359</v>
      </c>
      <c r="GEE973" t="s">
        <v>619</v>
      </c>
      <c r="GEF973" t="s">
        <v>619</v>
      </c>
      <c r="GEG973">
        <v>9654</v>
      </c>
      <c r="GEH973">
        <v>54332</v>
      </c>
      <c r="GEI973">
        <v>48707</v>
      </c>
      <c r="GNZ973" t="s">
        <v>1359</v>
      </c>
      <c r="GOA973" t="s">
        <v>619</v>
      </c>
      <c r="GOB973" t="s">
        <v>619</v>
      </c>
      <c r="GOC973">
        <v>9654</v>
      </c>
      <c r="GOD973">
        <v>54332</v>
      </c>
      <c r="GOE973">
        <v>48707</v>
      </c>
      <c r="GXV973" t="s">
        <v>1359</v>
      </c>
      <c r="GXW973" t="s">
        <v>619</v>
      </c>
      <c r="GXX973" t="s">
        <v>619</v>
      </c>
      <c r="GXY973">
        <v>9654</v>
      </c>
      <c r="GXZ973">
        <v>54332</v>
      </c>
      <c r="GYA973">
        <v>48707</v>
      </c>
      <c r="HHR973" t="s">
        <v>1359</v>
      </c>
      <c r="HHS973" t="s">
        <v>619</v>
      </c>
      <c r="HHT973" t="s">
        <v>619</v>
      </c>
      <c r="HHU973">
        <v>9654</v>
      </c>
      <c r="HHV973">
        <v>54332</v>
      </c>
      <c r="HHW973">
        <v>48707</v>
      </c>
      <c r="HRN973" t="s">
        <v>1359</v>
      </c>
      <c r="HRO973" t="s">
        <v>619</v>
      </c>
      <c r="HRP973" t="s">
        <v>619</v>
      </c>
      <c r="HRQ973">
        <v>9654</v>
      </c>
      <c r="HRR973">
        <v>54332</v>
      </c>
      <c r="HRS973">
        <v>48707</v>
      </c>
      <c r="IBJ973" t="s">
        <v>1359</v>
      </c>
      <c r="IBK973" t="s">
        <v>619</v>
      </c>
      <c r="IBL973" t="s">
        <v>619</v>
      </c>
      <c r="IBM973">
        <v>9654</v>
      </c>
      <c r="IBN973">
        <v>54332</v>
      </c>
      <c r="IBO973">
        <v>48707</v>
      </c>
      <c r="ILF973" t="s">
        <v>1359</v>
      </c>
      <c r="ILG973" t="s">
        <v>619</v>
      </c>
      <c r="ILH973" t="s">
        <v>619</v>
      </c>
      <c r="ILI973">
        <v>9654</v>
      </c>
      <c r="ILJ973">
        <v>54332</v>
      </c>
      <c r="ILK973">
        <v>48707</v>
      </c>
      <c r="IVB973" t="s">
        <v>1359</v>
      </c>
      <c r="IVC973" t="s">
        <v>619</v>
      </c>
      <c r="IVD973" t="s">
        <v>619</v>
      </c>
      <c r="IVE973">
        <v>9654</v>
      </c>
      <c r="IVF973">
        <v>54332</v>
      </c>
      <c r="IVG973">
        <v>48707</v>
      </c>
      <c r="JEX973" t="s">
        <v>1359</v>
      </c>
      <c r="JEY973" t="s">
        <v>619</v>
      </c>
      <c r="JEZ973" t="s">
        <v>619</v>
      </c>
      <c r="JFA973">
        <v>9654</v>
      </c>
      <c r="JFB973">
        <v>54332</v>
      </c>
      <c r="JFC973">
        <v>48707</v>
      </c>
      <c r="JOT973" t="s">
        <v>1359</v>
      </c>
      <c r="JOU973" t="s">
        <v>619</v>
      </c>
      <c r="JOV973" t="s">
        <v>619</v>
      </c>
      <c r="JOW973">
        <v>9654</v>
      </c>
      <c r="JOX973">
        <v>54332</v>
      </c>
      <c r="JOY973">
        <v>48707</v>
      </c>
      <c r="JYP973" t="s">
        <v>1359</v>
      </c>
      <c r="JYQ973" t="s">
        <v>619</v>
      </c>
      <c r="JYR973" t="s">
        <v>619</v>
      </c>
      <c r="JYS973">
        <v>9654</v>
      </c>
      <c r="JYT973">
        <v>54332</v>
      </c>
      <c r="JYU973">
        <v>48707</v>
      </c>
      <c r="KIL973" t="s">
        <v>1359</v>
      </c>
      <c r="KIM973" t="s">
        <v>619</v>
      </c>
      <c r="KIN973" t="s">
        <v>619</v>
      </c>
      <c r="KIO973">
        <v>9654</v>
      </c>
      <c r="KIP973">
        <v>54332</v>
      </c>
      <c r="KIQ973">
        <v>48707</v>
      </c>
      <c r="KSH973" t="s">
        <v>1359</v>
      </c>
      <c r="KSI973" t="s">
        <v>619</v>
      </c>
      <c r="KSJ973" t="s">
        <v>619</v>
      </c>
      <c r="KSK973">
        <v>9654</v>
      </c>
      <c r="KSL973">
        <v>54332</v>
      </c>
      <c r="KSM973">
        <v>48707</v>
      </c>
      <c r="LCD973" t="s">
        <v>1359</v>
      </c>
      <c r="LCE973" t="s">
        <v>619</v>
      </c>
      <c r="LCF973" t="s">
        <v>619</v>
      </c>
      <c r="LCG973">
        <v>9654</v>
      </c>
      <c r="LCH973">
        <v>54332</v>
      </c>
      <c r="LCI973">
        <v>48707</v>
      </c>
      <c r="LLZ973" t="s">
        <v>1359</v>
      </c>
      <c r="LMA973" t="s">
        <v>619</v>
      </c>
      <c r="LMB973" t="s">
        <v>619</v>
      </c>
      <c r="LMC973">
        <v>9654</v>
      </c>
      <c r="LMD973">
        <v>54332</v>
      </c>
      <c r="LME973">
        <v>48707</v>
      </c>
      <c r="LVV973" t="s">
        <v>1359</v>
      </c>
      <c r="LVW973" t="s">
        <v>619</v>
      </c>
      <c r="LVX973" t="s">
        <v>619</v>
      </c>
      <c r="LVY973">
        <v>9654</v>
      </c>
      <c r="LVZ973">
        <v>54332</v>
      </c>
      <c r="LWA973">
        <v>48707</v>
      </c>
      <c r="MFR973" t="s">
        <v>1359</v>
      </c>
      <c r="MFS973" t="s">
        <v>619</v>
      </c>
      <c r="MFT973" t="s">
        <v>619</v>
      </c>
      <c r="MFU973">
        <v>9654</v>
      </c>
      <c r="MFV973">
        <v>54332</v>
      </c>
      <c r="MFW973">
        <v>48707</v>
      </c>
      <c r="MPN973" t="s">
        <v>1359</v>
      </c>
      <c r="MPO973" t="s">
        <v>619</v>
      </c>
      <c r="MPP973" t="s">
        <v>619</v>
      </c>
      <c r="MPQ973">
        <v>9654</v>
      </c>
      <c r="MPR973">
        <v>54332</v>
      </c>
      <c r="MPS973">
        <v>48707</v>
      </c>
      <c r="MZJ973" t="s">
        <v>1359</v>
      </c>
      <c r="MZK973" t="s">
        <v>619</v>
      </c>
      <c r="MZL973" t="s">
        <v>619</v>
      </c>
      <c r="MZM973">
        <v>9654</v>
      </c>
      <c r="MZN973">
        <v>54332</v>
      </c>
      <c r="MZO973">
        <v>48707</v>
      </c>
      <c r="NJF973" t="s">
        <v>1359</v>
      </c>
      <c r="NJG973" t="s">
        <v>619</v>
      </c>
      <c r="NJH973" t="s">
        <v>619</v>
      </c>
      <c r="NJI973">
        <v>9654</v>
      </c>
      <c r="NJJ973">
        <v>54332</v>
      </c>
      <c r="NJK973">
        <v>48707</v>
      </c>
      <c r="NTB973" t="s">
        <v>1359</v>
      </c>
      <c r="NTC973" t="s">
        <v>619</v>
      </c>
      <c r="NTD973" t="s">
        <v>619</v>
      </c>
      <c r="NTE973">
        <v>9654</v>
      </c>
      <c r="NTF973">
        <v>54332</v>
      </c>
      <c r="NTG973">
        <v>48707</v>
      </c>
      <c r="OCX973" t="s">
        <v>1359</v>
      </c>
      <c r="OCY973" t="s">
        <v>619</v>
      </c>
      <c r="OCZ973" t="s">
        <v>619</v>
      </c>
      <c r="ODA973">
        <v>9654</v>
      </c>
      <c r="ODB973">
        <v>54332</v>
      </c>
      <c r="ODC973">
        <v>48707</v>
      </c>
      <c r="OMT973" t="s">
        <v>1359</v>
      </c>
      <c r="OMU973" t="s">
        <v>619</v>
      </c>
      <c r="OMV973" t="s">
        <v>619</v>
      </c>
      <c r="OMW973">
        <v>9654</v>
      </c>
      <c r="OMX973">
        <v>54332</v>
      </c>
      <c r="OMY973">
        <v>48707</v>
      </c>
      <c r="OWP973" t="s">
        <v>1359</v>
      </c>
      <c r="OWQ973" t="s">
        <v>619</v>
      </c>
      <c r="OWR973" t="s">
        <v>619</v>
      </c>
      <c r="OWS973">
        <v>9654</v>
      </c>
      <c r="OWT973">
        <v>54332</v>
      </c>
      <c r="OWU973">
        <v>48707</v>
      </c>
      <c r="PGL973" t="s">
        <v>1359</v>
      </c>
      <c r="PGM973" t="s">
        <v>619</v>
      </c>
      <c r="PGN973" t="s">
        <v>619</v>
      </c>
      <c r="PGO973">
        <v>9654</v>
      </c>
      <c r="PGP973">
        <v>54332</v>
      </c>
      <c r="PGQ973">
        <v>48707</v>
      </c>
      <c r="PQH973" t="s">
        <v>1359</v>
      </c>
      <c r="PQI973" t="s">
        <v>619</v>
      </c>
      <c r="PQJ973" t="s">
        <v>619</v>
      </c>
      <c r="PQK973">
        <v>9654</v>
      </c>
      <c r="PQL973">
        <v>54332</v>
      </c>
      <c r="PQM973">
        <v>48707</v>
      </c>
      <c r="QAD973" t="s">
        <v>1359</v>
      </c>
      <c r="QAE973" t="s">
        <v>619</v>
      </c>
      <c r="QAF973" t="s">
        <v>619</v>
      </c>
      <c r="QAG973">
        <v>9654</v>
      </c>
      <c r="QAH973">
        <v>54332</v>
      </c>
      <c r="QAI973">
        <v>48707</v>
      </c>
      <c r="QJZ973" t="s">
        <v>1359</v>
      </c>
      <c r="QKA973" t="s">
        <v>619</v>
      </c>
      <c r="QKB973" t="s">
        <v>619</v>
      </c>
      <c r="QKC973">
        <v>9654</v>
      </c>
      <c r="QKD973">
        <v>54332</v>
      </c>
      <c r="QKE973">
        <v>48707</v>
      </c>
      <c r="QTV973" t="s">
        <v>1359</v>
      </c>
      <c r="QTW973" t="s">
        <v>619</v>
      </c>
      <c r="QTX973" t="s">
        <v>619</v>
      </c>
      <c r="QTY973">
        <v>9654</v>
      </c>
      <c r="QTZ973">
        <v>54332</v>
      </c>
      <c r="QUA973">
        <v>48707</v>
      </c>
      <c r="RDR973" t="s">
        <v>1359</v>
      </c>
      <c r="RDS973" t="s">
        <v>619</v>
      </c>
      <c r="RDT973" t="s">
        <v>619</v>
      </c>
      <c r="RDU973">
        <v>9654</v>
      </c>
      <c r="RDV973">
        <v>54332</v>
      </c>
      <c r="RDW973">
        <v>48707</v>
      </c>
      <c r="RNN973" t="s">
        <v>1359</v>
      </c>
      <c r="RNO973" t="s">
        <v>619</v>
      </c>
      <c r="RNP973" t="s">
        <v>619</v>
      </c>
      <c r="RNQ973">
        <v>9654</v>
      </c>
      <c r="RNR973">
        <v>54332</v>
      </c>
      <c r="RNS973">
        <v>48707</v>
      </c>
      <c r="RXJ973" t="s">
        <v>1359</v>
      </c>
      <c r="RXK973" t="s">
        <v>619</v>
      </c>
      <c r="RXL973" t="s">
        <v>619</v>
      </c>
      <c r="RXM973">
        <v>9654</v>
      </c>
      <c r="RXN973">
        <v>54332</v>
      </c>
      <c r="RXO973">
        <v>48707</v>
      </c>
      <c r="SHF973" t="s">
        <v>1359</v>
      </c>
      <c r="SHG973" t="s">
        <v>619</v>
      </c>
      <c r="SHH973" t="s">
        <v>619</v>
      </c>
      <c r="SHI973">
        <v>9654</v>
      </c>
      <c r="SHJ973">
        <v>54332</v>
      </c>
      <c r="SHK973">
        <v>48707</v>
      </c>
      <c r="SRB973" t="s">
        <v>1359</v>
      </c>
      <c r="SRC973" t="s">
        <v>619</v>
      </c>
      <c r="SRD973" t="s">
        <v>619</v>
      </c>
      <c r="SRE973">
        <v>9654</v>
      </c>
      <c r="SRF973">
        <v>54332</v>
      </c>
      <c r="SRG973">
        <v>48707</v>
      </c>
      <c r="TAX973" t="s">
        <v>1359</v>
      </c>
      <c r="TAY973" t="s">
        <v>619</v>
      </c>
      <c r="TAZ973" t="s">
        <v>619</v>
      </c>
      <c r="TBA973">
        <v>9654</v>
      </c>
      <c r="TBB973">
        <v>54332</v>
      </c>
      <c r="TBC973">
        <v>48707</v>
      </c>
      <c r="TKT973" t="s">
        <v>1359</v>
      </c>
      <c r="TKU973" t="s">
        <v>619</v>
      </c>
      <c r="TKV973" t="s">
        <v>619</v>
      </c>
      <c r="TKW973">
        <v>9654</v>
      </c>
      <c r="TKX973">
        <v>54332</v>
      </c>
      <c r="TKY973">
        <v>48707</v>
      </c>
      <c r="TUP973" t="s">
        <v>1359</v>
      </c>
      <c r="TUQ973" t="s">
        <v>619</v>
      </c>
      <c r="TUR973" t="s">
        <v>619</v>
      </c>
      <c r="TUS973">
        <v>9654</v>
      </c>
      <c r="TUT973">
        <v>54332</v>
      </c>
      <c r="TUU973">
        <v>48707</v>
      </c>
      <c r="UEL973" t="s">
        <v>1359</v>
      </c>
      <c r="UEM973" t="s">
        <v>619</v>
      </c>
      <c r="UEN973" t="s">
        <v>619</v>
      </c>
      <c r="UEO973">
        <v>9654</v>
      </c>
      <c r="UEP973">
        <v>54332</v>
      </c>
      <c r="UEQ973">
        <v>48707</v>
      </c>
      <c r="UOH973" t="s">
        <v>1359</v>
      </c>
      <c r="UOI973" t="s">
        <v>619</v>
      </c>
      <c r="UOJ973" t="s">
        <v>619</v>
      </c>
      <c r="UOK973">
        <v>9654</v>
      </c>
      <c r="UOL973">
        <v>54332</v>
      </c>
      <c r="UOM973">
        <v>48707</v>
      </c>
      <c r="UYD973" t="s">
        <v>1359</v>
      </c>
      <c r="UYE973" t="s">
        <v>619</v>
      </c>
      <c r="UYF973" t="s">
        <v>619</v>
      </c>
      <c r="UYG973">
        <v>9654</v>
      </c>
      <c r="UYH973">
        <v>54332</v>
      </c>
      <c r="UYI973">
        <v>48707</v>
      </c>
      <c r="VHZ973" t="s">
        <v>1359</v>
      </c>
      <c r="VIA973" t="s">
        <v>619</v>
      </c>
      <c r="VIB973" t="s">
        <v>619</v>
      </c>
      <c r="VIC973">
        <v>9654</v>
      </c>
      <c r="VID973">
        <v>54332</v>
      </c>
      <c r="VIE973">
        <v>48707</v>
      </c>
      <c r="VRV973" t="s">
        <v>1359</v>
      </c>
      <c r="VRW973" t="s">
        <v>619</v>
      </c>
      <c r="VRX973" t="s">
        <v>619</v>
      </c>
      <c r="VRY973">
        <v>9654</v>
      </c>
      <c r="VRZ973">
        <v>54332</v>
      </c>
      <c r="VSA973">
        <v>48707</v>
      </c>
      <c r="WBR973" t="s">
        <v>1359</v>
      </c>
      <c r="WBS973" t="s">
        <v>619</v>
      </c>
      <c r="WBT973" t="s">
        <v>619</v>
      </c>
      <c r="WBU973">
        <v>9654</v>
      </c>
      <c r="WBV973">
        <v>54332</v>
      </c>
      <c r="WBW973">
        <v>48707</v>
      </c>
      <c r="WLN973" t="s">
        <v>1359</v>
      </c>
      <c r="WLO973" t="s">
        <v>619</v>
      </c>
      <c r="WLP973" t="s">
        <v>619</v>
      </c>
      <c r="WLQ973">
        <v>9654</v>
      </c>
      <c r="WLR973">
        <v>54332</v>
      </c>
      <c r="WLS973">
        <v>48707</v>
      </c>
      <c r="WVJ973" t="s">
        <v>1359</v>
      </c>
      <c r="WVK973" t="s">
        <v>619</v>
      </c>
      <c r="WVL973" t="s">
        <v>619</v>
      </c>
      <c r="WVM973">
        <v>9654</v>
      </c>
      <c r="WVN973">
        <v>54332</v>
      </c>
      <c r="WVO973">
        <v>48707</v>
      </c>
    </row>
    <row r="974" spans="1:775 1026:1799 2050:2823 3074:3847 4098:4871 5122:5895 6146:6919 7170:7943 8194:8967 9218:9991 10242:11015 11266:12039 12290:13063 13314:14087 14338:15111 15362:16135">
      <c r="A974" s="96" t="s">
        <v>1360</v>
      </c>
      <c r="B974" s="1265" t="s">
        <v>780</v>
      </c>
      <c r="C974" s="98">
        <v>0</v>
      </c>
      <c r="D974" s="100">
        <v>108459</v>
      </c>
      <c r="E974" s="98">
        <v>0</v>
      </c>
      <c r="F974" s="98">
        <v>0</v>
      </c>
      <c r="G974" s="98">
        <v>0</v>
      </c>
      <c r="H974" s="98"/>
      <c r="IX974" t="s">
        <v>1360</v>
      </c>
      <c r="IY974" t="s">
        <v>619</v>
      </c>
      <c r="IZ974">
        <v>108459</v>
      </c>
      <c r="JA974" t="s">
        <v>619</v>
      </c>
      <c r="JB974" t="s">
        <v>619</v>
      </c>
      <c r="JC974" t="s">
        <v>619</v>
      </c>
      <c r="ST974" t="s">
        <v>1360</v>
      </c>
      <c r="SU974" t="s">
        <v>619</v>
      </c>
      <c r="SV974">
        <v>108459</v>
      </c>
      <c r="SW974" t="s">
        <v>619</v>
      </c>
      <c r="SX974" t="s">
        <v>619</v>
      </c>
      <c r="SY974" t="s">
        <v>619</v>
      </c>
      <c r="ACP974" t="s">
        <v>1360</v>
      </c>
      <c r="ACQ974" t="s">
        <v>619</v>
      </c>
      <c r="ACR974">
        <v>108459</v>
      </c>
      <c r="ACS974" t="s">
        <v>619</v>
      </c>
      <c r="ACT974" t="s">
        <v>619</v>
      </c>
      <c r="ACU974" t="s">
        <v>619</v>
      </c>
      <c r="AML974" t="s">
        <v>1360</v>
      </c>
      <c r="AMM974" t="s">
        <v>619</v>
      </c>
      <c r="AMN974">
        <v>108459</v>
      </c>
      <c r="AMO974" t="s">
        <v>619</v>
      </c>
      <c r="AMP974" t="s">
        <v>619</v>
      </c>
      <c r="AMQ974" t="s">
        <v>619</v>
      </c>
      <c r="AWH974" t="s">
        <v>1360</v>
      </c>
      <c r="AWI974" t="s">
        <v>619</v>
      </c>
      <c r="AWJ974">
        <v>108459</v>
      </c>
      <c r="AWK974" t="s">
        <v>619</v>
      </c>
      <c r="AWL974" t="s">
        <v>619</v>
      </c>
      <c r="AWM974" t="s">
        <v>619</v>
      </c>
      <c r="BGD974" t="s">
        <v>1360</v>
      </c>
      <c r="BGE974" t="s">
        <v>619</v>
      </c>
      <c r="BGF974">
        <v>108459</v>
      </c>
      <c r="BGG974" t="s">
        <v>619</v>
      </c>
      <c r="BGH974" t="s">
        <v>619</v>
      </c>
      <c r="BGI974" t="s">
        <v>619</v>
      </c>
      <c r="BPZ974" t="s">
        <v>1360</v>
      </c>
      <c r="BQA974" t="s">
        <v>619</v>
      </c>
      <c r="BQB974">
        <v>108459</v>
      </c>
      <c r="BQC974" t="s">
        <v>619</v>
      </c>
      <c r="BQD974" t="s">
        <v>619</v>
      </c>
      <c r="BQE974" t="s">
        <v>619</v>
      </c>
      <c r="BZV974" t="s">
        <v>1360</v>
      </c>
      <c r="BZW974" t="s">
        <v>619</v>
      </c>
      <c r="BZX974">
        <v>108459</v>
      </c>
      <c r="BZY974" t="s">
        <v>619</v>
      </c>
      <c r="BZZ974" t="s">
        <v>619</v>
      </c>
      <c r="CAA974" t="s">
        <v>619</v>
      </c>
      <c r="CJR974" t="s">
        <v>1360</v>
      </c>
      <c r="CJS974" t="s">
        <v>619</v>
      </c>
      <c r="CJT974">
        <v>108459</v>
      </c>
      <c r="CJU974" t="s">
        <v>619</v>
      </c>
      <c r="CJV974" t="s">
        <v>619</v>
      </c>
      <c r="CJW974" t="s">
        <v>619</v>
      </c>
      <c r="CTN974" t="s">
        <v>1360</v>
      </c>
      <c r="CTO974" t="s">
        <v>619</v>
      </c>
      <c r="CTP974">
        <v>108459</v>
      </c>
      <c r="CTQ974" t="s">
        <v>619</v>
      </c>
      <c r="CTR974" t="s">
        <v>619</v>
      </c>
      <c r="CTS974" t="s">
        <v>619</v>
      </c>
      <c r="DDJ974" t="s">
        <v>1360</v>
      </c>
      <c r="DDK974" t="s">
        <v>619</v>
      </c>
      <c r="DDL974">
        <v>108459</v>
      </c>
      <c r="DDM974" t="s">
        <v>619</v>
      </c>
      <c r="DDN974" t="s">
        <v>619</v>
      </c>
      <c r="DDO974" t="s">
        <v>619</v>
      </c>
      <c r="DNF974" t="s">
        <v>1360</v>
      </c>
      <c r="DNG974" t="s">
        <v>619</v>
      </c>
      <c r="DNH974">
        <v>108459</v>
      </c>
      <c r="DNI974" t="s">
        <v>619</v>
      </c>
      <c r="DNJ974" t="s">
        <v>619</v>
      </c>
      <c r="DNK974" t="s">
        <v>619</v>
      </c>
      <c r="DXB974" t="s">
        <v>1360</v>
      </c>
      <c r="DXC974" t="s">
        <v>619</v>
      </c>
      <c r="DXD974">
        <v>108459</v>
      </c>
      <c r="DXE974" t="s">
        <v>619</v>
      </c>
      <c r="DXF974" t="s">
        <v>619</v>
      </c>
      <c r="DXG974" t="s">
        <v>619</v>
      </c>
      <c r="EGX974" t="s">
        <v>1360</v>
      </c>
      <c r="EGY974" t="s">
        <v>619</v>
      </c>
      <c r="EGZ974">
        <v>108459</v>
      </c>
      <c r="EHA974" t="s">
        <v>619</v>
      </c>
      <c r="EHB974" t="s">
        <v>619</v>
      </c>
      <c r="EHC974" t="s">
        <v>619</v>
      </c>
      <c r="EQT974" t="s">
        <v>1360</v>
      </c>
      <c r="EQU974" t="s">
        <v>619</v>
      </c>
      <c r="EQV974">
        <v>108459</v>
      </c>
      <c r="EQW974" t="s">
        <v>619</v>
      </c>
      <c r="EQX974" t="s">
        <v>619</v>
      </c>
      <c r="EQY974" t="s">
        <v>619</v>
      </c>
      <c r="FAP974" t="s">
        <v>1360</v>
      </c>
      <c r="FAQ974" t="s">
        <v>619</v>
      </c>
      <c r="FAR974">
        <v>108459</v>
      </c>
      <c r="FAS974" t="s">
        <v>619</v>
      </c>
      <c r="FAT974" t="s">
        <v>619</v>
      </c>
      <c r="FAU974" t="s">
        <v>619</v>
      </c>
      <c r="FKL974" t="s">
        <v>1360</v>
      </c>
      <c r="FKM974" t="s">
        <v>619</v>
      </c>
      <c r="FKN974">
        <v>108459</v>
      </c>
      <c r="FKO974" t="s">
        <v>619</v>
      </c>
      <c r="FKP974" t="s">
        <v>619</v>
      </c>
      <c r="FKQ974" t="s">
        <v>619</v>
      </c>
      <c r="FUH974" t="s">
        <v>1360</v>
      </c>
      <c r="FUI974" t="s">
        <v>619</v>
      </c>
      <c r="FUJ974">
        <v>108459</v>
      </c>
      <c r="FUK974" t="s">
        <v>619</v>
      </c>
      <c r="FUL974" t="s">
        <v>619</v>
      </c>
      <c r="FUM974" t="s">
        <v>619</v>
      </c>
      <c r="GED974" t="s">
        <v>1360</v>
      </c>
      <c r="GEE974" t="s">
        <v>619</v>
      </c>
      <c r="GEF974">
        <v>108459</v>
      </c>
      <c r="GEG974" t="s">
        <v>619</v>
      </c>
      <c r="GEH974" t="s">
        <v>619</v>
      </c>
      <c r="GEI974" t="s">
        <v>619</v>
      </c>
      <c r="GNZ974" t="s">
        <v>1360</v>
      </c>
      <c r="GOA974" t="s">
        <v>619</v>
      </c>
      <c r="GOB974">
        <v>108459</v>
      </c>
      <c r="GOC974" t="s">
        <v>619</v>
      </c>
      <c r="GOD974" t="s">
        <v>619</v>
      </c>
      <c r="GOE974" t="s">
        <v>619</v>
      </c>
      <c r="GXV974" t="s">
        <v>1360</v>
      </c>
      <c r="GXW974" t="s">
        <v>619</v>
      </c>
      <c r="GXX974">
        <v>108459</v>
      </c>
      <c r="GXY974" t="s">
        <v>619</v>
      </c>
      <c r="GXZ974" t="s">
        <v>619</v>
      </c>
      <c r="GYA974" t="s">
        <v>619</v>
      </c>
      <c r="HHR974" t="s">
        <v>1360</v>
      </c>
      <c r="HHS974" t="s">
        <v>619</v>
      </c>
      <c r="HHT974">
        <v>108459</v>
      </c>
      <c r="HHU974" t="s">
        <v>619</v>
      </c>
      <c r="HHV974" t="s">
        <v>619</v>
      </c>
      <c r="HHW974" t="s">
        <v>619</v>
      </c>
      <c r="HRN974" t="s">
        <v>1360</v>
      </c>
      <c r="HRO974" t="s">
        <v>619</v>
      </c>
      <c r="HRP974">
        <v>108459</v>
      </c>
      <c r="HRQ974" t="s">
        <v>619</v>
      </c>
      <c r="HRR974" t="s">
        <v>619</v>
      </c>
      <c r="HRS974" t="s">
        <v>619</v>
      </c>
      <c r="IBJ974" t="s">
        <v>1360</v>
      </c>
      <c r="IBK974" t="s">
        <v>619</v>
      </c>
      <c r="IBL974">
        <v>108459</v>
      </c>
      <c r="IBM974" t="s">
        <v>619</v>
      </c>
      <c r="IBN974" t="s">
        <v>619</v>
      </c>
      <c r="IBO974" t="s">
        <v>619</v>
      </c>
      <c r="ILF974" t="s">
        <v>1360</v>
      </c>
      <c r="ILG974" t="s">
        <v>619</v>
      </c>
      <c r="ILH974">
        <v>108459</v>
      </c>
      <c r="ILI974" t="s">
        <v>619</v>
      </c>
      <c r="ILJ974" t="s">
        <v>619</v>
      </c>
      <c r="ILK974" t="s">
        <v>619</v>
      </c>
      <c r="IVB974" t="s">
        <v>1360</v>
      </c>
      <c r="IVC974" t="s">
        <v>619</v>
      </c>
      <c r="IVD974">
        <v>108459</v>
      </c>
      <c r="IVE974" t="s">
        <v>619</v>
      </c>
      <c r="IVF974" t="s">
        <v>619</v>
      </c>
      <c r="IVG974" t="s">
        <v>619</v>
      </c>
      <c r="JEX974" t="s">
        <v>1360</v>
      </c>
      <c r="JEY974" t="s">
        <v>619</v>
      </c>
      <c r="JEZ974">
        <v>108459</v>
      </c>
      <c r="JFA974" t="s">
        <v>619</v>
      </c>
      <c r="JFB974" t="s">
        <v>619</v>
      </c>
      <c r="JFC974" t="s">
        <v>619</v>
      </c>
      <c r="JOT974" t="s">
        <v>1360</v>
      </c>
      <c r="JOU974" t="s">
        <v>619</v>
      </c>
      <c r="JOV974">
        <v>108459</v>
      </c>
      <c r="JOW974" t="s">
        <v>619</v>
      </c>
      <c r="JOX974" t="s">
        <v>619</v>
      </c>
      <c r="JOY974" t="s">
        <v>619</v>
      </c>
      <c r="JYP974" t="s">
        <v>1360</v>
      </c>
      <c r="JYQ974" t="s">
        <v>619</v>
      </c>
      <c r="JYR974">
        <v>108459</v>
      </c>
      <c r="JYS974" t="s">
        <v>619</v>
      </c>
      <c r="JYT974" t="s">
        <v>619</v>
      </c>
      <c r="JYU974" t="s">
        <v>619</v>
      </c>
      <c r="KIL974" t="s">
        <v>1360</v>
      </c>
      <c r="KIM974" t="s">
        <v>619</v>
      </c>
      <c r="KIN974">
        <v>108459</v>
      </c>
      <c r="KIO974" t="s">
        <v>619</v>
      </c>
      <c r="KIP974" t="s">
        <v>619</v>
      </c>
      <c r="KIQ974" t="s">
        <v>619</v>
      </c>
      <c r="KSH974" t="s">
        <v>1360</v>
      </c>
      <c r="KSI974" t="s">
        <v>619</v>
      </c>
      <c r="KSJ974">
        <v>108459</v>
      </c>
      <c r="KSK974" t="s">
        <v>619</v>
      </c>
      <c r="KSL974" t="s">
        <v>619</v>
      </c>
      <c r="KSM974" t="s">
        <v>619</v>
      </c>
      <c r="LCD974" t="s">
        <v>1360</v>
      </c>
      <c r="LCE974" t="s">
        <v>619</v>
      </c>
      <c r="LCF974">
        <v>108459</v>
      </c>
      <c r="LCG974" t="s">
        <v>619</v>
      </c>
      <c r="LCH974" t="s">
        <v>619</v>
      </c>
      <c r="LCI974" t="s">
        <v>619</v>
      </c>
      <c r="LLZ974" t="s">
        <v>1360</v>
      </c>
      <c r="LMA974" t="s">
        <v>619</v>
      </c>
      <c r="LMB974">
        <v>108459</v>
      </c>
      <c r="LMC974" t="s">
        <v>619</v>
      </c>
      <c r="LMD974" t="s">
        <v>619</v>
      </c>
      <c r="LME974" t="s">
        <v>619</v>
      </c>
      <c r="LVV974" t="s">
        <v>1360</v>
      </c>
      <c r="LVW974" t="s">
        <v>619</v>
      </c>
      <c r="LVX974">
        <v>108459</v>
      </c>
      <c r="LVY974" t="s">
        <v>619</v>
      </c>
      <c r="LVZ974" t="s">
        <v>619</v>
      </c>
      <c r="LWA974" t="s">
        <v>619</v>
      </c>
      <c r="MFR974" t="s">
        <v>1360</v>
      </c>
      <c r="MFS974" t="s">
        <v>619</v>
      </c>
      <c r="MFT974">
        <v>108459</v>
      </c>
      <c r="MFU974" t="s">
        <v>619</v>
      </c>
      <c r="MFV974" t="s">
        <v>619</v>
      </c>
      <c r="MFW974" t="s">
        <v>619</v>
      </c>
      <c r="MPN974" t="s">
        <v>1360</v>
      </c>
      <c r="MPO974" t="s">
        <v>619</v>
      </c>
      <c r="MPP974">
        <v>108459</v>
      </c>
      <c r="MPQ974" t="s">
        <v>619</v>
      </c>
      <c r="MPR974" t="s">
        <v>619</v>
      </c>
      <c r="MPS974" t="s">
        <v>619</v>
      </c>
      <c r="MZJ974" t="s">
        <v>1360</v>
      </c>
      <c r="MZK974" t="s">
        <v>619</v>
      </c>
      <c r="MZL974">
        <v>108459</v>
      </c>
      <c r="MZM974" t="s">
        <v>619</v>
      </c>
      <c r="MZN974" t="s">
        <v>619</v>
      </c>
      <c r="MZO974" t="s">
        <v>619</v>
      </c>
      <c r="NJF974" t="s">
        <v>1360</v>
      </c>
      <c r="NJG974" t="s">
        <v>619</v>
      </c>
      <c r="NJH974">
        <v>108459</v>
      </c>
      <c r="NJI974" t="s">
        <v>619</v>
      </c>
      <c r="NJJ974" t="s">
        <v>619</v>
      </c>
      <c r="NJK974" t="s">
        <v>619</v>
      </c>
      <c r="NTB974" t="s">
        <v>1360</v>
      </c>
      <c r="NTC974" t="s">
        <v>619</v>
      </c>
      <c r="NTD974">
        <v>108459</v>
      </c>
      <c r="NTE974" t="s">
        <v>619</v>
      </c>
      <c r="NTF974" t="s">
        <v>619</v>
      </c>
      <c r="NTG974" t="s">
        <v>619</v>
      </c>
      <c r="OCX974" t="s">
        <v>1360</v>
      </c>
      <c r="OCY974" t="s">
        <v>619</v>
      </c>
      <c r="OCZ974">
        <v>108459</v>
      </c>
      <c r="ODA974" t="s">
        <v>619</v>
      </c>
      <c r="ODB974" t="s">
        <v>619</v>
      </c>
      <c r="ODC974" t="s">
        <v>619</v>
      </c>
      <c r="OMT974" t="s">
        <v>1360</v>
      </c>
      <c r="OMU974" t="s">
        <v>619</v>
      </c>
      <c r="OMV974">
        <v>108459</v>
      </c>
      <c r="OMW974" t="s">
        <v>619</v>
      </c>
      <c r="OMX974" t="s">
        <v>619</v>
      </c>
      <c r="OMY974" t="s">
        <v>619</v>
      </c>
      <c r="OWP974" t="s">
        <v>1360</v>
      </c>
      <c r="OWQ974" t="s">
        <v>619</v>
      </c>
      <c r="OWR974">
        <v>108459</v>
      </c>
      <c r="OWS974" t="s">
        <v>619</v>
      </c>
      <c r="OWT974" t="s">
        <v>619</v>
      </c>
      <c r="OWU974" t="s">
        <v>619</v>
      </c>
      <c r="PGL974" t="s">
        <v>1360</v>
      </c>
      <c r="PGM974" t="s">
        <v>619</v>
      </c>
      <c r="PGN974">
        <v>108459</v>
      </c>
      <c r="PGO974" t="s">
        <v>619</v>
      </c>
      <c r="PGP974" t="s">
        <v>619</v>
      </c>
      <c r="PGQ974" t="s">
        <v>619</v>
      </c>
      <c r="PQH974" t="s">
        <v>1360</v>
      </c>
      <c r="PQI974" t="s">
        <v>619</v>
      </c>
      <c r="PQJ974">
        <v>108459</v>
      </c>
      <c r="PQK974" t="s">
        <v>619</v>
      </c>
      <c r="PQL974" t="s">
        <v>619</v>
      </c>
      <c r="PQM974" t="s">
        <v>619</v>
      </c>
      <c r="QAD974" t="s">
        <v>1360</v>
      </c>
      <c r="QAE974" t="s">
        <v>619</v>
      </c>
      <c r="QAF974">
        <v>108459</v>
      </c>
      <c r="QAG974" t="s">
        <v>619</v>
      </c>
      <c r="QAH974" t="s">
        <v>619</v>
      </c>
      <c r="QAI974" t="s">
        <v>619</v>
      </c>
      <c r="QJZ974" t="s">
        <v>1360</v>
      </c>
      <c r="QKA974" t="s">
        <v>619</v>
      </c>
      <c r="QKB974">
        <v>108459</v>
      </c>
      <c r="QKC974" t="s">
        <v>619</v>
      </c>
      <c r="QKD974" t="s">
        <v>619</v>
      </c>
      <c r="QKE974" t="s">
        <v>619</v>
      </c>
      <c r="QTV974" t="s">
        <v>1360</v>
      </c>
      <c r="QTW974" t="s">
        <v>619</v>
      </c>
      <c r="QTX974">
        <v>108459</v>
      </c>
      <c r="QTY974" t="s">
        <v>619</v>
      </c>
      <c r="QTZ974" t="s">
        <v>619</v>
      </c>
      <c r="QUA974" t="s">
        <v>619</v>
      </c>
      <c r="RDR974" t="s">
        <v>1360</v>
      </c>
      <c r="RDS974" t="s">
        <v>619</v>
      </c>
      <c r="RDT974">
        <v>108459</v>
      </c>
      <c r="RDU974" t="s">
        <v>619</v>
      </c>
      <c r="RDV974" t="s">
        <v>619</v>
      </c>
      <c r="RDW974" t="s">
        <v>619</v>
      </c>
      <c r="RNN974" t="s">
        <v>1360</v>
      </c>
      <c r="RNO974" t="s">
        <v>619</v>
      </c>
      <c r="RNP974">
        <v>108459</v>
      </c>
      <c r="RNQ974" t="s">
        <v>619</v>
      </c>
      <c r="RNR974" t="s">
        <v>619</v>
      </c>
      <c r="RNS974" t="s">
        <v>619</v>
      </c>
      <c r="RXJ974" t="s">
        <v>1360</v>
      </c>
      <c r="RXK974" t="s">
        <v>619</v>
      </c>
      <c r="RXL974">
        <v>108459</v>
      </c>
      <c r="RXM974" t="s">
        <v>619</v>
      </c>
      <c r="RXN974" t="s">
        <v>619</v>
      </c>
      <c r="RXO974" t="s">
        <v>619</v>
      </c>
      <c r="SHF974" t="s">
        <v>1360</v>
      </c>
      <c r="SHG974" t="s">
        <v>619</v>
      </c>
      <c r="SHH974">
        <v>108459</v>
      </c>
      <c r="SHI974" t="s">
        <v>619</v>
      </c>
      <c r="SHJ974" t="s">
        <v>619</v>
      </c>
      <c r="SHK974" t="s">
        <v>619</v>
      </c>
      <c r="SRB974" t="s">
        <v>1360</v>
      </c>
      <c r="SRC974" t="s">
        <v>619</v>
      </c>
      <c r="SRD974">
        <v>108459</v>
      </c>
      <c r="SRE974" t="s">
        <v>619</v>
      </c>
      <c r="SRF974" t="s">
        <v>619</v>
      </c>
      <c r="SRG974" t="s">
        <v>619</v>
      </c>
      <c r="TAX974" t="s">
        <v>1360</v>
      </c>
      <c r="TAY974" t="s">
        <v>619</v>
      </c>
      <c r="TAZ974">
        <v>108459</v>
      </c>
      <c r="TBA974" t="s">
        <v>619</v>
      </c>
      <c r="TBB974" t="s">
        <v>619</v>
      </c>
      <c r="TBC974" t="s">
        <v>619</v>
      </c>
      <c r="TKT974" t="s">
        <v>1360</v>
      </c>
      <c r="TKU974" t="s">
        <v>619</v>
      </c>
      <c r="TKV974">
        <v>108459</v>
      </c>
      <c r="TKW974" t="s">
        <v>619</v>
      </c>
      <c r="TKX974" t="s">
        <v>619</v>
      </c>
      <c r="TKY974" t="s">
        <v>619</v>
      </c>
      <c r="TUP974" t="s">
        <v>1360</v>
      </c>
      <c r="TUQ974" t="s">
        <v>619</v>
      </c>
      <c r="TUR974">
        <v>108459</v>
      </c>
      <c r="TUS974" t="s">
        <v>619</v>
      </c>
      <c r="TUT974" t="s">
        <v>619</v>
      </c>
      <c r="TUU974" t="s">
        <v>619</v>
      </c>
      <c r="UEL974" t="s">
        <v>1360</v>
      </c>
      <c r="UEM974" t="s">
        <v>619</v>
      </c>
      <c r="UEN974">
        <v>108459</v>
      </c>
      <c r="UEO974" t="s">
        <v>619</v>
      </c>
      <c r="UEP974" t="s">
        <v>619</v>
      </c>
      <c r="UEQ974" t="s">
        <v>619</v>
      </c>
      <c r="UOH974" t="s">
        <v>1360</v>
      </c>
      <c r="UOI974" t="s">
        <v>619</v>
      </c>
      <c r="UOJ974">
        <v>108459</v>
      </c>
      <c r="UOK974" t="s">
        <v>619</v>
      </c>
      <c r="UOL974" t="s">
        <v>619</v>
      </c>
      <c r="UOM974" t="s">
        <v>619</v>
      </c>
      <c r="UYD974" t="s">
        <v>1360</v>
      </c>
      <c r="UYE974" t="s">
        <v>619</v>
      </c>
      <c r="UYF974">
        <v>108459</v>
      </c>
      <c r="UYG974" t="s">
        <v>619</v>
      </c>
      <c r="UYH974" t="s">
        <v>619</v>
      </c>
      <c r="UYI974" t="s">
        <v>619</v>
      </c>
      <c r="VHZ974" t="s">
        <v>1360</v>
      </c>
      <c r="VIA974" t="s">
        <v>619</v>
      </c>
      <c r="VIB974">
        <v>108459</v>
      </c>
      <c r="VIC974" t="s">
        <v>619</v>
      </c>
      <c r="VID974" t="s">
        <v>619</v>
      </c>
      <c r="VIE974" t="s">
        <v>619</v>
      </c>
      <c r="VRV974" t="s">
        <v>1360</v>
      </c>
      <c r="VRW974" t="s">
        <v>619</v>
      </c>
      <c r="VRX974">
        <v>108459</v>
      </c>
      <c r="VRY974" t="s">
        <v>619</v>
      </c>
      <c r="VRZ974" t="s">
        <v>619</v>
      </c>
      <c r="VSA974" t="s">
        <v>619</v>
      </c>
      <c r="WBR974" t="s">
        <v>1360</v>
      </c>
      <c r="WBS974" t="s">
        <v>619</v>
      </c>
      <c r="WBT974">
        <v>108459</v>
      </c>
      <c r="WBU974" t="s">
        <v>619</v>
      </c>
      <c r="WBV974" t="s">
        <v>619</v>
      </c>
      <c r="WBW974" t="s">
        <v>619</v>
      </c>
      <c r="WLN974" t="s">
        <v>1360</v>
      </c>
      <c r="WLO974" t="s">
        <v>619</v>
      </c>
      <c r="WLP974">
        <v>108459</v>
      </c>
      <c r="WLQ974" t="s">
        <v>619</v>
      </c>
      <c r="WLR974" t="s">
        <v>619</v>
      </c>
      <c r="WLS974" t="s">
        <v>619</v>
      </c>
      <c r="WVJ974" t="s">
        <v>1360</v>
      </c>
      <c r="WVK974" t="s">
        <v>619</v>
      </c>
      <c r="WVL974">
        <v>108459</v>
      </c>
      <c r="WVM974" t="s">
        <v>619</v>
      </c>
      <c r="WVN974" t="s">
        <v>619</v>
      </c>
      <c r="WVO974" t="s">
        <v>619</v>
      </c>
    </row>
    <row r="975" spans="1:775 1026:1799 2050:2823 3074:3847 4098:4871 5122:5895 6146:6919 7170:7943 8194:8967 9218:9991 10242:11015 11266:12039 12290:13063 13314:14087 14338:15111 15362:16135">
      <c r="A975" s="96" t="s">
        <v>1361</v>
      </c>
      <c r="B975" s="1265" t="s">
        <v>780</v>
      </c>
      <c r="C975" s="98">
        <v>0</v>
      </c>
      <c r="D975" s="98">
        <v>0</v>
      </c>
      <c r="E975" s="100">
        <v>457382</v>
      </c>
      <c r="F975" s="100">
        <v>10111</v>
      </c>
      <c r="G975" s="100">
        <v>282888</v>
      </c>
      <c r="H975" s="100"/>
      <c r="IX975" t="s">
        <v>1361</v>
      </c>
      <c r="IY975" t="s">
        <v>619</v>
      </c>
      <c r="IZ975" t="s">
        <v>619</v>
      </c>
      <c r="JA975">
        <v>457382</v>
      </c>
      <c r="JB975">
        <v>10111</v>
      </c>
      <c r="JC975">
        <v>282888</v>
      </c>
      <c r="ST975" t="s">
        <v>1361</v>
      </c>
      <c r="SU975" t="s">
        <v>619</v>
      </c>
      <c r="SV975" t="s">
        <v>619</v>
      </c>
      <c r="SW975">
        <v>457382</v>
      </c>
      <c r="SX975">
        <v>10111</v>
      </c>
      <c r="SY975">
        <v>282888</v>
      </c>
      <c r="ACP975" t="s">
        <v>1361</v>
      </c>
      <c r="ACQ975" t="s">
        <v>619</v>
      </c>
      <c r="ACR975" t="s">
        <v>619</v>
      </c>
      <c r="ACS975">
        <v>457382</v>
      </c>
      <c r="ACT975">
        <v>10111</v>
      </c>
      <c r="ACU975">
        <v>282888</v>
      </c>
      <c r="AML975" t="s">
        <v>1361</v>
      </c>
      <c r="AMM975" t="s">
        <v>619</v>
      </c>
      <c r="AMN975" t="s">
        <v>619</v>
      </c>
      <c r="AMO975">
        <v>457382</v>
      </c>
      <c r="AMP975">
        <v>10111</v>
      </c>
      <c r="AMQ975">
        <v>282888</v>
      </c>
      <c r="AWH975" t="s">
        <v>1361</v>
      </c>
      <c r="AWI975" t="s">
        <v>619</v>
      </c>
      <c r="AWJ975" t="s">
        <v>619</v>
      </c>
      <c r="AWK975">
        <v>457382</v>
      </c>
      <c r="AWL975">
        <v>10111</v>
      </c>
      <c r="AWM975">
        <v>282888</v>
      </c>
      <c r="BGD975" t="s">
        <v>1361</v>
      </c>
      <c r="BGE975" t="s">
        <v>619</v>
      </c>
      <c r="BGF975" t="s">
        <v>619</v>
      </c>
      <c r="BGG975">
        <v>457382</v>
      </c>
      <c r="BGH975">
        <v>10111</v>
      </c>
      <c r="BGI975">
        <v>282888</v>
      </c>
      <c r="BPZ975" t="s">
        <v>1361</v>
      </c>
      <c r="BQA975" t="s">
        <v>619</v>
      </c>
      <c r="BQB975" t="s">
        <v>619</v>
      </c>
      <c r="BQC975">
        <v>457382</v>
      </c>
      <c r="BQD975">
        <v>10111</v>
      </c>
      <c r="BQE975">
        <v>282888</v>
      </c>
      <c r="BZV975" t="s">
        <v>1361</v>
      </c>
      <c r="BZW975" t="s">
        <v>619</v>
      </c>
      <c r="BZX975" t="s">
        <v>619</v>
      </c>
      <c r="BZY975">
        <v>457382</v>
      </c>
      <c r="BZZ975">
        <v>10111</v>
      </c>
      <c r="CAA975">
        <v>282888</v>
      </c>
      <c r="CJR975" t="s">
        <v>1361</v>
      </c>
      <c r="CJS975" t="s">
        <v>619</v>
      </c>
      <c r="CJT975" t="s">
        <v>619</v>
      </c>
      <c r="CJU975">
        <v>457382</v>
      </c>
      <c r="CJV975">
        <v>10111</v>
      </c>
      <c r="CJW975">
        <v>282888</v>
      </c>
      <c r="CTN975" t="s">
        <v>1361</v>
      </c>
      <c r="CTO975" t="s">
        <v>619</v>
      </c>
      <c r="CTP975" t="s">
        <v>619</v>
      </c>
      <c r="CTQ975">
        <v>457382</v>
      </c>
      <c r="CTR975">
        <v>10111</v>
      </c>
      <c r="CTS975">
        <v>282888</v>
      </c>
      <c r="DDJ975" t="s">
        <v>1361</v>
      </c>
      <c r="DDK975" t="s">
        <v>619</v>
      </c>
      <c r="DDL975" t="s">
        <v>619</v>
      </c>
      <c r="DDM975">
        <v>457382</v>
      </c>
      <c r="DDN975">
        <v>10111</v>
      </c>
      <c r="DDO975">
        <v>282888</v>
      </c>
      <c r="DNF975" t="s">
        <v>1361</v>
      </c>
      <c r="DNG975" t="s">
        <v>619</v>
      </c>
      <c r="DNH975" t="s">
        <v>619</v>
      </c>
      <c r="DNI975">
        <v>457382</v>
      </c>
      <c r="DNJ975">
        <v>10111</v>
      </c>
      <c r="DNK975">
        <v>282888</v>
      </c>
      <c r="DXB975" t="s">
        <v>1361</v>
      </c>
      <c r="DXC975" t="s">
        <v>619</v>
      </c>
      <c r="DXD975" t="s">
        <v>619</v>
      </c>
      <c r="DXE975">
        <v>457382</v>
      </c>
      <c r="DXF975">
        <v>10111</v>
      </c>
      <c r="DXG975">
        <v>282888</v>
      </c>
      <c r="EGX975" t="s">
        <v>1361</v>
      </c>
      <c r="EGY975" t="s">
        <v>619</v>
      </c>
      <c r="EGZ975" t="s">
        <v>619</v>
      </c>
      <c r="EHA975">
        <v>457382</v>
      </c>
      <c r="EHB975">
        <v>10111</v>
      </c>
      <c r="EHC975">
        <v>282888</v>
      </c>
      <c r="EQT975" t="s">
        <v>1361</v>
      </c>
      <c r="EQU975" t="s">
        <v>619</v>
      </c>
      <c r="EQV975" t="s">
        <v>619</v>
      </c>
      <c r="EQW975">
        <v>457382</v>
      </c>
      <c r="EQX975">
        <v>10111</v>
      </c>
      <c r="EQY975">
        <v>282888</v>
      </c>
      <c r="FAP975" t="s">
        <v>1361</v>
      </c>
      <c r="FAQ975" t="s">
        <v>619</v>
      </c>
      <c r="FAR975" t="s">
        <v>619</v>
      </c>
      <c r="FAS975">
        <v>457382</v>
      </c>
      <c r="FAT975">
        <v>10111</v>
      </c>
      <c r="FAU975">
        <v>282888</v>
      </c>
      <c r="FKL975" t="s">
        <v>1361</v>
      </c>
      <c r="FKM975" t="s">
        <v>619</v>
      </c>
      <c r="FKN975" t="s">
        <v>619</v>
      </c>
      <c r="FKO975">
        <v>457382</v>
      </c>
      <c r="FKP975">
        <v>10111</v>
      </c>
      <c r="FKQ975">
        <v>282888</v>
      </c>
      <c r="FUH975" t="s">
        <v>1361</v>
      </c>
      <c r="FUI975" t="s">
        <v>619</v>
      </c>
      <c r="FUJ975" t="s">
        <v>619</v>
      </c>
      <c r="FUK975">
        <v>457382</v>
      </c>
      <c r="FUL975">
        <v>10111</v>
      </c>
      <c r="FUM975">
        <v>282888</v>
      </c>
      <c r="GED975" t="s">
        <v>1361</v>
      </c>
      <c r="GEE975" t="s">
        <v>619</v>
      </c>
      <c r="GEF975" t="s">
        <v>619</v>
      </c>
      <c r="GEG975">
        <v>457382</v>
      </c>
      <c r="GEH975">
        <v>10111</v>
      </c>
      <c r="GEI975">
        <v>282888</v>
      </c>
      <c r="GNZ975" t="s">
        <v>1361</v>
      </c>
      <c r="GOA975" t="s">
        <v>619</v>
      </c>
      <c r="GOB975" t="s">
        <v>619</v>
      </c>
      <c r="GOC975">
        <v>457382</v>
      </c>
      <c r="GOD975">
        <v>10111</v>
      </c>
      <c r="GOE975">
        <v>282888</v>
      </c>
      <c r="GXV975" t="s">
        <v>1361</v>
      </c>
      <c r="GXW975" t="s">
        <v>619</v>
      </c>
      <c r="GXX975" t="s">
        <v>619</v>
      </c>
      <c r="GXY975">
        <v>457382</v>
      </c>
      <c r="GXZ975">
        <v>10111</v>
      </c>
      <c r="GYA975">
        <v>282888</v>
      </c>
      <c r="HHR975" t="s">
        <v>1361</v>
      </c>
      <c r="HHS975" t="s">
        <v>619</v>
      </c>
      <c r="HHT975" t="s">
        <v>619</v>
      </c>
      <c r="HHU975">
        <v>457382</v>
      </c>
      <c r="HHV975">
        <v>10111</v>
      </c>
      <c r="HHW975">
        <v>282888</v>
      </c>
      <c r="HRN975" t="s">
        <v>1361</v>
      </c>
      <c r="HRO975" t="s">
        <v>619</v>
      </c>
      <c r="HRP975" t="s">
        <v>619</v>
      </c>
      <c r="HRQ975">
        <v>457382</v>
      </c>
      <c r="HRR975">
        <v>10111</v>
      </c>
      <c r="HRS975">
        <v>282888</v>
      </c>
      <c r="IBJ975" t="s">
        <v>1361</v>
      </c>
      <c r="IBK975" t="s">
        <v>619</v>
      </c>
      <c r="IBL975" t="s">
        <v>619</v>
      </c>
      <c r="IBM975">
        <v>457382</v>
      </c>
      <c r="IBN975">
        <v>10111</v>
      </c>
      <c r="IBO975">
        <v>282888</v>
      </c>
      <c r="ILF975" t="s">
        <v>1361</v>
      </c>
      <c r="ILG975" t="s">
        <v>619</v>
      </c>
      <c r="ILH975" t="s">
        <v>619</v>
      </c>
      <c r="ILI975">
        <v>457382</v>
      </c>
      <c r="ILJ975">
        <v>10111</v>
      </c>
      <c r="ILK975">
        <v>282888</v>
      </c>
      <c r="IVB975" t="s">
        <v>1361</v>
      </c>
      <c r="IVC975" t="s">
        <v>619</v>
      </c>
      <c r="IVD975" t="s">
        <v>619</v>
      </c>
      <c r="IVE975">
        <v>457382</v>
      </c>
      <c r="IVF975">
        <v>10111</v>
      </c>
      <c r="IVG975">
        <v>282888</v>
      </c>
      <c r="JEX975" t="s">
        <v>1361</v>
      </c>
      <c r="JEY975" t="s">
        <v>619</v>
      </c>
      <c r="JEZ975" t="s">
        <v>619</v>
      </c>
      <c r="JFA975">
        <v>457382</v>
      </c>
      <c r="JFB975">
        <v>10111</v>
      </c>
      <c r="JFC975">
        <v>282888</v>
      </c>
      <c r="JOT975" t="s">
        <v>1361</v>
      </c>
      <c r="JOU975" t="s">
        <v>619</v>
      </c>
      <c r="JOV975" t="s">
        <v>619</v>
      </c>
      <c r="JOW975">
        <v>457382</v>
      </c>
      <c r="JOX975">
        <v>10111</v>
      </c>
      <c r="JOY975">
        <v>282888</v>
      </c>
      <c r="JYP975" t="s">
        <v>1361</v>
      </c>
      <c r="JYQ975" t="s">
        <v>619</v>
      </c>
      <c r="JYR975" t="s">
        <v>619</v>
      </c>
      <c r="JYS975">
        <v>457382</v>
      </c>
      <c r="JYT975">
        <v>10111</v>
      </c>
      <c r="JYU975">
        <v>282888</v>
      </c>
      <c r="KIL975" t="s">
        <v>1361</v>
      </c>
      <c r="KIM975" t="s">
        <v>619</v>
      </c>
      <c r="KIN975" t="s">
        <v>619</v>
      </c>
      <c r="KIO975">
        <v>457382</v>
      </c>
      <c r="KIP975">
        <v>10111</v>
      </c>
      <c r="KIQ975">
        <v>282888</v>
      </c>
      <c r="KSH975" t="s">
        <v>1361</v>
      </c>
      <c r="KSI975" t="s">
        <v>619</v>
      </c>
      <c r="KSJ975" t="s">
        <v>619</v>
      </c>
      <c r="KSK975">
        <v>457382</v>
      </c>
      <c r="KSL975">
        <v>10111</v>
      </c>
      <c r="KSM975">
        <v>282888</v>
      </c>
      <c r="LCD975" t="s">
        <v>1361</v>
      </c>
      <c r="LCE975" t="s">
        <v>619</v>
      </c>
      <c r="LCF975" t="s">
        <v>619</v>
      </c>
      <c r="LCG975">
        <v>457382</v>
      </c>
      <c r="LCH975">
        <v>10111</v>
      </c>
      <c r="LCI975">
        <v>282888</v>
      </c>
      <c r="LLZ975" t="s">
        <v>1361</v>
      </c>
      <c r="LMA975" t="s">
        <v>619</v>
      </c>
      <c r="LMB975" t="s">
        <v>619</v>
      </c>
      <c r="LMC975">
        <v>457382</v>
      </c>
      <c r="LMD975">
        <v>10111</v>
      </c>
      <c r="LME975">
        <v>282888</v>
      </c>
      <c r="LVV975" t="s">
        <v>1361</v>
      </c>
      <c r="LVW975" t="s">
        <v>619</v>
      </c>
      <c r="LVX975" t="s">
        <v>619</v>
      </c>
      <c r="LVY975">
        <v>457382</v>
      </c>
      <c r="LVZ975">
        <v>10111</v>
      </c>
      <c r="LWA975">
        <v>282888</v>
      </c>
      <c r="MFR975" t="s">
        <v>1361</v>
      </c>
      <c r="MFS975" t="s">
        <v>619</v>
      </c>
      <c r="MFT975" t="s">
        <v>619</v>
      </c>
      <c r="MFU975">
        <v>457382</v>
      </c>
      <c r="MFV975">
        <v>10111</v>
      </c>
      <c r="MFW975">
        <v>282888</v>
      </c>
      <c r="MPN975" t="s">
        <v>1361</v>
      </c>
      <c r="MPO975" t="s">
        <v>619</v>
      </c>
      <c r="MPP975" t="s">
        <v>619</v>
      </c>
      <c r="MPQ975">
        <v>457382</v>
      </c>
      <c r="MPR975">
        <v>10111</v>
      </c>
      <c r="MPS975">
        <v>282888</v>
      </c>
      <c r="MZJ975" t="s">
        <v>1361</v>
      </c>
      <c r="MZK975" t="s">
        <v>619</v>
      </c>
      <c r="MZL975" t="s">
        <v>619</v>
      </c>
      <c r="MZM975">
        <v>457382</v>
      </c>
      <c r="MZN975">
        <v>10111</v>
      </c>
      <c r="MZO975">
        <v>282888</v>
      </c>
      <c r="NJF975" t="s">
        <v>1361</v>
      </c>
      <c r="NJG975" t="s">
        <v>619</v>
      </c>
      <c r="NJH975" t="s">
        <v>619</v>
      </c>
      <c r="NJI975">
        <v>457382</v>
      </c>
      <c r="NJJ975">
        <v>10111</v>
      </c>
      <c r="NJK975">
        <v>282888</v>
      </c>
      <c r="NTB975" t="s">
        <v>1361</v>
      </c>
      <c r="NTC975" t="s">
        <v>619</v>
      </c>
      <c r="NTD975" t="s">
        <v>619</v>
      </c>
      <c r="NTE975">
        <v>457382</v>
      </c>
      <c r="NTF975">
        <v>10111</v>
      </c>
      <c r="NTG975">
        <v>282888</v>
      </c>
      <c r="OCX975" t="s">
        <v>1361</v>
      </c>
      <c r="OCY975" t="s">
        <v>619</v>
      </c>
      <c r="OCZ975" t="s">
        <v>619</v>
      </c>
      <c r="ODA975">
        <v>457382</v>
      </c>
      <c r="ODB975">
        <v>10111</v>
      </c>
      <c r="ODC975">
        <v>282888</v>
      </c>
      <c r="OMT975" t="s">
        <v>1361</v>
      </c>
      <c r="OMU975" t="s">
        <v>619</v>
      </c>
      <c r="OMV975" t="s">
        <v>619</v>
      </c>
      <c r="OMW975">
        <v>457382</v>
      </c>
      <c r="OMX975">
        <v>10111</v>
      </c>
      <c r="OMY975">
        <v>282888</v>
      </c>
      <c r="OWP975" t="s">
        <v>1361</v>
      </c>
      <c r="OWQ975" t="s">
        <v>619</v>
      </c>
      <c r="OWR975" t="s">
        <v>619</v>
      </c>
      <c r="OWS975">
        <v>457382</v>
      </c>
      <c r="OWT975">
        <v>10111</v>
      </c>
      <c r="OWU975">
        <v>282888</v>
      </c>
      <c r="PGL975" t="s">
        <v>1361</v>
      </c>
      <c r="PGM975" t="s">
        <v>619</v>
      </c>
      <c r="PGN975" t="s">
        <v>619</v>
      </c>
      <c r="PGO975">
        <v>457382</v>
      </c>
      <c r="PGP975">
        <v>10111</v>
      </c>
      <c r="PGQ975">
        <v>282888</v>
      </c>
      <c r="PQH975" t="s">
        <v>1361</v>
      </c>
      <c r="PQI975" t="s">
        <v>619</v>
      </c>
      <c r="PQJ975" t="s">
        <v>619</v>
      </c>
      <c r="PQK975">
        <v>457382</v>
      </c>
      <c r="PQL975">
        <v>10111</v>
      </c>
      <c r="PQM975">
        <v>282888</v>
      </c>
      <c r="QAD975" t="s">
        <v>1361</v>
      </c>
      <c r="QAE975" t="s">
        <v>619</v>
      </c>
      <c r="QAF975" t="s">
        <v>619</v>
      </c>
      <c r="QAG975">
        <v>457382</v>
      </c>
      <c r="QAH975">
        <v>10111</v>
      </c>
      <c r="QAI975">
        <v>282888</v>
      </c>
      <c r="QJZ975" t="s">
        <v>1361</v>
      </c>
      <c r="QKA975" t="s">
        <v>619</v>
      </c>
      <c r="QKB975" t="s">
        <v>619</v>
      </c>
      <c r="QKC975">
        <v>457382</v>
      </c>
      <c r="QKD975">
        <v>10111</v>
      </c>
      <c r="QKE975">
        <v>282888</v>
      </c>
      <c r="QTV975" t="s">
        <v>1361</v>
      </c>
      <c r="QTW975" t="s">
        <v>619</v>
      </c>
      <c r="QTX975" t="s">
        <v>619</v>
      </c>
      <c r="QTY975">
        <v>457382</v>
      </c>
      <c r="QTZ975">
        <v>10111</v>
      </c>
      <c r="QUA975">
        <v>282888</v>
      </c>
      <c r="RDR975" t="s">
        <v>1361</v>
      </c>
      <c r="RDS975" t="s">
        <v>619</v>
      </c>
      <c r="RDT975" t="s">
        <v>619</v>
      </c>
      <c r="RDU975">
        <v>457382</v>
      </c>
      <c r="RDV975">
        <v>10111</v>
      </c>
      <c r="RDW975">
        <v>282888</v>
      </c>
      <c r="RNN975" t="s">
        <v>1361</v>
      </c>
      <c r="RNO975" t="s">
        <v>619</v>
      </c>
      <c r="RNP975" t="s">
        <v>619</v>
      </c>
      <c r="RNQ975">
        <v>457382</v>
      </c>
      <c r="RNR975">
        <v>10111</v>
      </c>
      <c r="RNS975">
        <v>282888</v>
      </c>
      <c r="RXJ975" t="s">
        <v>1361</v>
      </c>
      <c r="RXK975" t="s">
        <v>619</v>
      </c>
      <c r="RXL975" t="s">
        <v>619</v>
      </c>
      <c r="RXM975">
        <v>457382</v>
      </c>
      <c r="RXN975">
        <v>10111</v>
      </c>
      <c r="RXO975">
        <v>282888</v>
      </c>
      <c r="SHF975" t="s">
        <v>1361</v>
      </c>
      <c r="SHG975" t="s">
        <v>619</v>
      </c>
      <c r="SHH975" t="s">
        <v>619</v>
      </c>
      <c r="SHI975">
        <v>457382</v>
      </c>
      <c r="SHJ975">
        <v>10111</v>
      </c>
      <c r="SHK975">
        <v>282888</v>
      </c>
      <c r="SRB975" t="s">
        <v>1361</v>
      </c>
      <c r="SRC975" t="s">
        <v>619</v>
      </c>
      <c r="SRD975" t="s">
        <v>619</v>
      </c>
      <c r="SRE975">
        <v>457382</v>
      </c>
      <c r="SRF975">
        <v>10111</v>
      </c>
      <c r="SRG975">
        <v>282888</v>
      </c>
      <c r="TAX975" t="s">
        <v>1361</v>
      </c>
      <c r="TAY975" t="s">
        <v>619</v>
      </c>
      <c r="TAZ975" t="s">
        <v>619</v>
      </c>
      <c r="TBA975">
        <v>457382</v>
      </c>
      <c r="TBB975">
        <v>10111</v>
      </c>
      <c r="TBC975">
        <v>282888</v>
      </c>
      <c r="TKT975" t="s">
        <v>1361</v>
      </c>
      <c r="TKU975" t="s">
        <v>619</v>
      </c>
      <c r="TKV975" t="s">
        <v>619</v>
      </c>
      <c r="TKW975">
        <v>457382</v>
      </c>
      <c r="TKX975">
        <v>10111</v>
      </c>
      <c r="TKY975">
        <v>282888</v>
      </c>
      <c r="TUP975" t="s">
        <v>1361</v>
      </c>
      <c r="TUQ975" t="s">
        <v>619</v>
      </c>
      <c r="TUR975" t="s">
        <v>619</v>
      </c>
      <c r="TUS975">
        <v>457382</v>
      </c>
      <c r="TUT975">
        <v>10111</v>
      </c>
      <c r="TUU975">
        <v>282888</v>
      </c>
      <c r="UEL975" t="s">
        <v>1361</v>
      </c>
      <c r="UEM975" t="s">
        <v>619</v>
      </c>
      <c r="UEN975" t="s">
        <v>619</v>
      </c>
      <c r="UEO975">
        <v>457382</v>
      </c>
      <c r="UEP975">
        <v>10111</v>
      </c>
      <c r="UEQ975">
        <v>282888</v>
      </c>
      <c r="UOH975" t="s">
        <v>1361</v>
      </c>
      <c r="UOI975" t="s">
        <v>619</v>
      </c>
      <c r="UOJ975" t="s">
        <v>619</v>
      </c>
      <c r="UOK975">
        <v>457382</v>
      </c>
      <c r="UOL975">
        <v>10111</v>
      </c>
      <c r="UOM975">
        <v>282888</v>
      </c>
      <c r="UYD975" t="s">
        <v>1361</v>
      </c>
      <c r="UYE975" t="s">
        <v>619</v>
      </c>
      <c r="UYF975" t="s">
        <v>619</v>
      </c>
      <c r="UYG975">
        <v>457382</v>
      </c>
      <c r="UYH975">
        <v>10111</v>
      </c>
      <c r="UYI975">
        <v>282888</v>
      </c>
      <c r="VHZ975" t="s">
        <v>1361</v>
      </c>
      <c r="VIA975" t="s">
        <v>619</v>
      </c>
      <c r="VIB975" t="s">
        <v>619</v>
      </c>
      <c r="VIC975">
        <v>457382</v>
      </c>
      <c r="VID975">
        <v>10111</v>
      </c>
      <c r="VIE975">
        <v>282888</v>
      </c>
      <c r="VRV975" t="s">
        <v>1361</v>
      </c>
      <c r="VRW975" t="s">
        <v>619</v>
      </c>
      <c r="VRX975" t="s">
        <v>619</v>
      </c>
      <c r="VRY975">
        <v>457382</v>
      </c>
      <c r="VRZ975">
        <v>10111</v>
      </c>
      <c r="VSA975">
        <v>282888</v>
      </c>
      <c r="WBR975" t="s">
        <v>1361</v>
      </c>
      <c r="WBS975" t="s">
        <v>619</v>
      </c>
      <c r="WBT975" t="s">
        <v>619</v>
      </c>
      <c r="WBU975">
        <v>457382</v>
      </c>
      <c r="WBV975">
        <v>10111</v>
      </c>
      <c r="WBW975">
        <v>282888</v>
      </c>
      <c r="WLN975" t="s">
        <v>1361</v>
      </c>
      <c r="WLO975" t="s">
        <v>619</v>
      </c>
      <c r="WLP975" t="s">
        <v>619</v>
      </c>
      <c r="WLQ975">
        <v>457382</v>
      </c>
      <c r="WLR975">
        <v>10111</v>
      </c>
      <c r="WLS975">
        <v>282888</v>
      </c>
      <c r="WVJ975" t="s">
        <v>1361</v>
      </c>
      <c r="WVK975" t="s">
        <v>619</v>
      </c>
      <c r="WVL975" t="s">
        <v>619</v>
      </c>
      <c r="WVM975">
        <v>457382</v>
      </c>
      <c r="WVN975">
        <v>10111</v>
      </c>
      <c r="WVO975">
        <v>282888</v>
      </c>
    </row>
    <row r="976" spans="1:775 1026:1799 2050:2823 3074:3847 4098:4871 5122:5895 6146:6919 7170:7943 8194:8967 9218:9991 10242:11015 11266:12039 12290:13063 13314:14087 14338:15111 15362:16135">
      <c r="A976" s="96" t="s">
        <v>1362</v>
      </c>
      <c r="B976" s="1265" t="s">
        <v>780</v>
      </c>
      <c r="C976" s="100">
        <v>36597</v>
      </c>
      <c r="D976" s="100">
        <v>13876</v>
      </c>
      <c r="E976" s="98">
        <v>0</v>
      </c>
      <c r="F976" s="98">
        <v>0</v>
      </c>
      <c r="G976" s="98">
        <v>0</v>
      </c>
      <c r="H976" s="98"/>
      <c r="IX976" t="s">
        <v>1362</v>
      </c>
      <c r="IY976">
        <v>36597</v>
      </c>
      <c r="IZ976">
        <v>13876</v>
      </c>
      <c r="JA976" t="s">
        <v>619</v>
      </c>
      <c r="JB976" t="s">
        <v>619</v>
      </c>
      <c r="JC976" t="s">
        <v>619</v>
      </c>
      <c r="ST976" t="s">
        <v>1362</v>
      </c>
      <c r="SU976">
        <v>36597</v>
      </c>
      <c r="SV976">
        <v>13876</v>
      </c>
      <c r="SW976" t="s">
        <v>619</v>
      </c>
      <c r="SX976" t="s">
        <v>619</v>
      </c>
      <c r="SY976" t="s">
        <v>619</v>
      </c>
      <c r="ACP976" t="s">
        <v>1362</v>
      </c>
      <c r="ACQ976">
        <v>36597</v>
      </c>
      <c r="ACR976">
        <v>13876</v>
      </c>
      <c r="ACS976" t="s">
        <v>619</v>
      </c>
      <c r="ACT976" t="s">
        <v>619</v>
      </c>
      <c r="ACU976" t="s">
        <v>619</v>
      </c>
      <c r="AML976" t="s">
        <v>1362</v>
      </c>
      <c r="AMM976">
        <v>36597</v>
      </c>
      <c r="AMN976">
        <v>13876</v>
      </c>
      <c r="AMO976" t="s">
        <v>619</v>
      </c>
      <c r="AMP976" t="s">
        <v>619</v>
      </c>
      <c r="AMQ976" t="s">
        <v>619</v>
      </c>
      <c r="AWH976" t="s">
        <v>1362</v>
      </c>
      <c r="AWI976">
        <v>36597</v>
      </c>
      <c r="AWJ976">
        <v>13876</v>
      </c>
      <c r="AWK976" t="s">
        <v>619</v>
      </c>
      <c r="AWL976" t="s">
        <v>619</v>
      </c>
      <c r="AWM976" t="s">
        <v>619</v>
      </c>
      <c r="BGD976" t="s">
        <v>1362</v>
      </c>
      <c r="BGE976">
        <v>36597</v>
      </c>
      <c r="BGF976">
        <v>13876</v>
      </c>
      <c r="BGG976" t="s">
        <v>619</v>
      </c>
      <c r="BGH976" t="s">
        <v>619</v>
      </c>
      <c r="BGI976" t="s">
        <v>619</v>
      </c>
      <c r="BPZ976" t="s">
        <v>1362</v>
      </c>
      <c r="BQA976">
        <v>36597</v>
      </c>
      <c r="BQB976">
        <v>13876</v>
      </c>
      <c r="BQC976" t="s">
        <v>619</v>
      </c>
      <c r="BQD976" t="s">
        <v>619</v>
      </c>
      <c r="BQE976" t="s">
        <v>619</v>
      </c>
      <c r="BZV976" t="s">
        <v>1362</v>
      </c>
      <c r="BZW976">
        <v>36597</v>
      </c>
      <c r="BZX976">
        <v>13876</v>
      </c>
      <c r="BZY976" t="s">
        <v>619</v>
      </c>
      <c r="BZZ976" t="s">
        <v>619</v>
      </c>
      <c r="CAA976" t="s">
        <v>619</v>
      </c>
      <c r="CJR976" t="s">
        <v>1362</v>
      </c>
      <c r="CJS976">
        <v>36597</v>
      </c>
      <c r="CJT976">
        <v>13876</v>
      </c>
      <c r="CJU976" t="s">
        <v>619</v>
      </c>
      <c r="CJV976" t="s">
        <v>619</v>
      </c>
      <c r="CJW976" t="s">
        <v>619</v>
      </c>
      <c r="CTN976" t="s">
        <v>1362</v>
      </c>
      <c r="CTO976">
        <v>36597</v>
      </c>
      <c r="CTP976">
        <v>13876</v>
      </c>
      <c r="CTQ976" t="s">
        <v>619</v>
      </c>
      <c r="CTR976" t="s">
        <v>619</v>
      </c>
      <c r="CTS976" t="s">
        <v>619</v>
      </c>
      <c r="DDJ976" t="s">
        <v>1362</v>
      </c>
      <c r="DDK976">
        <v>36597</v>
      </c>
      <c r="DDL976">
        <v>13876</v>
      </c>
      <c r="DDM976" t="s">
        <v>619</v>
      </c>
      <c r="DDN976" t="s">
        <v>619</v>
      </c>
      <c r="DDO976" t="s">
        <v>619</v>
      </c>
      <c r="DNF976" t="s">
        <v>1362</v>
      </c>
      <c r="DNG976">
        <v>36597</v>
      </c>
      <c r="DNH976">
        <v>13876</v>
      </c>
      <c r="DNI976" t="s">
        <v>619</v>
      </c>
      <c r="DNJ976" t="s">
        <v>619</v>
      </c>
      <c r="DNK976" t="s">
        <v>619</v>
      </c>
      <c r="DXB976" t="s">
        <v>1362</v>
      </c>
      <c r="DXC976">
        <v>36597</v>
      </c>
      <c r="DXD976">
        <v>13876</v>
      </c>
      <c r="DXE976" t="s">
        <v>619</v>
      </c>
      <c r="DXF976" t="s">
        <v>619</v>
      </c>
      <c r="DXG976" t="s">
        <v>619</v>
      </c>
      <c r="EGX976" t="s">
        <v>1362</v>
      </c>
      <c r="EGY976">
        <v>36597</v>
      </c>
      <c r="EGZ976">
        <v>13876</v>
      </c>
      <c r="EHA976" t="s">
        <v>619</v>
      </c>
      <c r="EHB976" t="s">
        <v>619</v>
      </c>
      <c r="EHC976" t="s">
        <v>619</v>
      </c>
      <c r="EQT976" t="s">
        <v>1362</v>
      </c>
      <c r="EQU976">
        <v>36597</v>
      </c>
      <c r="EQV976">
        <v>13876</v>
      </c>
      <c r="EQW976" t="s">
        <v>619</v>
      </c>
      <c r="EQX976" t="s">
        <v>619</v>
      </c>
      <c r="EQY976" t="s">
        <v>619</v>
      </c>
      <c r="FAP976" t="s">
        <v>1362</v>
      </c>
      <c r="FAQ976">
        <v>36597</v>
      </c>
      <c r="FAR976">
        <v>13876</v>
      </c>
      <c r="FAS976" t="s">
        <v>619</v>
      </c>
      <c r="FAT976" t="s">
        <v>619</v>
      </c>
      <c r="FAU976" t="s">
        <v>619</v>
      </c>
      <c r="FKL976" t="s">
        <v>1362</v>
      </c>
      <c r="FKM976">
        <v>36597</v>
      </c>
      <c r="FKN976">
        <v>13876</v>
      </c>
      <c r="FKO976" t="s">
        <v>619</v>
      </c>
      <c r="FKP976" t="s">
        <v>619</v>
      </c>
      <c r="FKQ976" t="s">
        <v>619</v>
      </c>
      <c r="FUH976" t="s">
        <v>1362</v>
      </c>
      <c r="FUI976">
        <v>36597</v>
      </c>
      <c r="FUJ976">
        <v>13876</v>
      </c>
      <c r="FUK976" t="s">
        <v>619</v>
      </c>
      <c r="FUL976" t="s">
        <v>619</v>
      </c>
      <c r="FUM976" t="s">
        <v>619</v>
      </c>
      <c r="GED976" t="s">
        <v>1362</v>
      </c>
      <c r="GEE976">
        <v>36597</v>
      </c>
      <c r="GEF976">
        <v>13876</v>
      </c>
      <c r="GEG976" t="s">
        <v>619</v>
      </c>
      <c r="GEH976" t="s">
        <v>619</v>
      </c>
      <c r="GEI976" t="s">
        <v>619</v>
      </c>
      <c r="GNZ976" t="s">
        <v>1362</v>
      </c>
      <c r="GOA976">
        <v>36597</v>
      </c>
      <c r="GOB976">
        <v>13876</v>
      </c>
      <c r="GOC976" t="s">
        <v>619</v>
      </c>
      <c r="GOD976" t="s">
        <v>619</v>
      </c>
      <c r="GOE976" t="s">
        <v>619</v>
      </c>
      <c r="GXV976" t="s">
        <v>1362</v>
      </c>
      <c r="GXW976">
        <v>36597</v>
      </c>
      <c r="GXX976">
        <v>13876</v>
      </c>
      <c r="GXY976" t="s">
        <v>619</v>
      </c>
      <c r="GXZ976" t="s">
        <v>619</v>
      </c>
      <c r="GYA976" t="s">
        <v>619</v>
      </c>
      <c r="HHR976" t="s">
        <v>1362</v>
      </c>
      <c r="HHS976">
        <v>36597</v>
      </c>
      <c r="HHT976">
        <v>13876</v>
      </c>
      <c r="HHU976" t="s">
        <v>619</v>
      </c>
      <c r="HHV976" t="s">
        <v>619</v>
      </c>
      <c r="HHW976" t="s">
        <v>619</v>
      </c>
      <c r="HRN976" t="s">
        <v>1362</v>
      </c>
      <c r="HRO976">
        <v>36597</v>
      </c>
      <c r="HRP976">
        <v>13876</v>
      </c>
      <c r="HRQ976" t="s">
        <v>619</v>
      </c>
      <c r="HRR976" t="s">
        <v>619</v>
      </c>
      <c r="HRS976" t="s">
        <v>619</v>
      </c>
      <c r="IBJ976" t="s">
        <v>1362</v>
      </c>
      <c r="IBK976">
        <v>36597</v>
      </c>
      <c r="IBL976">
        <v>13876</v>
      </c>
      <c r="IBM976" t="s">
        <v>619</v>
      </c>
      <c r="IBN976" t="s">
        <v>619</v>
      </c>
      <c r="IBO976" t="s">
        <v>619</v>
      </c>
      <c r="ILF976" t="s">
        <v>1362</v>
      </c>
      <c r="ILG976">
        <v>36597</v>
      </c>
      <c r="ILH976">
        <v>13876</v>
      </c>
      <c r="ILI976" t="s">
        <v>619</v>
      </c>
      <c r="ILJ976" t="s">
        <v>619</v>
      </c>
      <c r="ILK976" t="s">
        <v>619</v>
      </c>
      <c r="IVB976" t="s">
        <v>1362</v>
      </c>
      <c r="IVC976">
        <v>36597</v>
      </c>
      <c r="IVD976">
        <v>13876</v>
      </c>
      <c r="IVE976" t="s">
        <v>619</v>
      </c>
      <c r="IVF976" t="s">
        <v>619</v>
      </c>
      <c r="IVG976" t="s">
        <v>619</v>
      </c>
      <c r="JEX976" t="s">
        <v>1362</v>
      </c>
      <c r="JEY976">
        <v>36597</v>
      </c>
      <c r="JEZ976">
        <v>13876</v>
      </c>
      <c r="JFA976" t="s">
        <v>619</v>
      </c>
      <c r="JFB976" t="s">
        <v>619</v>
      </c>
      <c r="JFC976" t="s">
        <v>619</v>
      </c>
      <c r="JOT976" t="s">
        <v>1362</v>
      </c>
      <c r="JOU976">
        <v>36597</v>
      </c>
      <c r="JOV976">
        <v>13876</v>
      </c>
      <c r="JOW976" t="s">
        <v>619</v>
      </c>
      <c r="JOX976" t="s">
        <v>619</v>
      </c>
      <c r="JOY976" t="s">
        <v>619</v>
      </c>
      <c r="JYP976" t="s">
        <v>1362</v>
      </c>
      <c r="JYQ976">
        <v>36597</v>
      </c>
      <c r="JYR976">
        <v>13876</v>
      </c>
      <c r="JYS976" t="s">
        <v>619</v>
      </c>
      <c r="JYT976" t="s">
        <v>619</v>
      </c>
      <c r="JYU976" t="s">
        <v>619</v>
      </c>
      <c r="KIL976" t="s">
        <v>1362</v>
      </c>
      <c r="KIM976">
        <v>36597</v>
      </c>
      <c r="KIN976">
        <v>13876</v>
      </c>
      <c r="KIO976" t="s">
        <v>619</v>
      </c>
      <c r="KIP976" t="s">
        <v>619</v>
      </c>
      <c r="KIQ976" t="s">
        <v>619</v>
      </c>
      <c r="KSH976" t="s">
        <v>1362</v>
      </c>
      <c r="KSI976">
        <v>36597</v>
      </c>
      <c r="KSJ976">
        <v>13876</v>
      </c>
      <c r="KSK976" t="s">
        <v>619</v>
      </c>
      <c r="KSL976" t="s">
        <v>619</v>
      </c>
      <c r="KSM976" t="s">
        <v>619</v>
      </c>
      <c r="LCD976" t="s">
        <v>1362</v>
      </c>
      <c r="LCE976">
        <v>36597</v>
      </c>
      <c r="LCF976">
        <v>13876</v>
      </c>
      <c r="LCG976" t="s">
        <v>619</v>
      </c>
      <c r="LCH976" t="s">
        <v>619</v>
      </c>
      <c r="LCI976" t="s">
        <v>619</v>
      </c>
      <c r="LLZ976" t="s">
        <v>1362</v>
      </c>
      <c r="LMA976">
        <v>36597</v>
      </c>
      <c r="LMB976">
        <v>13876</v>
      </c>
      <c r="LMC976" t="s">
        <v>619</v>
      </c>
      <c r="LMD976" t="s">
        <v>619</v>
      </c>
      <c r="LME976" t="s">
        <v>619</v>
      </c>
      <c r="LVV976" t="s">
        <v>1362</v>
      </c>
      <c r="LVW976">
        <v>36597</v>
      </c>
      <c r="LVX976">
        <v>13876</v>
      </c>
      <c r="LVY976" t="s">
        <v>619</v>
      </c>
      <c r="LVZ976" t="s">
        <v>619</v>
      </c>
      <c r="LWA976" t="s">
        <v>619</v>
      </c>
      <c r="MFR976" t="s">
        <v>1362</v>
      </c>
      <c r="MFS976">
        <v>36597</v>
      </c>
      <c r="MFT976">
        <v>13876</v>
      </c>
      <c r="MFU976" t="s">
        <v>619</v>
      </c>
      <c r="MFV976" t="s">
        <v>619</v>
      </c>
      <c r="MFW976" t="s">
        <v>619</v>
      </c>
      <c r="MPN976" t="s">
        <v>1362</v>
      </c>
      <c r="MPO976">
        <v>36597</v>
      </c>
      <c r="MPP976">
        <v>13876</v>
      </c>
      <c r="MPQ976" t="s">
        <v>619</v>
      </c>
      <c r="MPR976" t="s">
        <v>619</v>
      </c>
      <c r="MPS976" t="s">
        <v>619</v>
      </c>
      <c r="MZJ976" t="s">
        <v>1362</v>
      </c>
      <c r="MZK976">
        <v>36597</v>
      </c>
      <c r="MZL976">
        <v>13876</v>
      </c>
      <c r="MZM976" t="s">
        <v>619</v>
      </c>
      <c r="MZN976" t="s">
        <v>619</v>
      </c>
      <c r="MZO976" t="s">
        <v>619</v>
      </c>
      <c r="NJF976" t="s">
        <v>1362</v>
      </c>
      <c r="NJG976">
        <v>36597</v>
      </c>
      <c r="NJH976">
        <v>13876</v>
      </c>
      <c r="NJI976" t="s">
        <v>619</v>
      </c>
      <c r="NJJ976" t="s">
        <v>619</v>
      </c>
      <c r="NJK976" t="s">
        <v>619</v>
      </c>
      <c r="NTB976" t="s">
        <v>1362</v>
      </c>
      <c r="NTC976">
        <v>36597</v>
      </c>
      <c r="NTD976">
        <v>13876</v>
      </c>
      <c r="NTE976" t="s">
        <v>619</v>
      </c>
      <c r="NTF976" t="s">
        <v>619</v>
      </c>
      <c r="NTG976" t="s">
        <v>619</v>
      </c>
      <c r="OCX976" t="s">
        <v>1362</v>
      </c>
      <c r="OCY976">
        <v>36597</v>
      </c>
      <c r="OCZ976">
        <v>13876</v>
      </c>
      <c r="ODA976" t="s">
        <v>619</v>
      </c>
      <c r="ODB976" t="s">
        <v>619</v>
      </c>
      <c r="ODC976" t="s">
        <v>619</v>
      </c>
      <c r="OMT976" t="s">
        <v>1362</v>
      </c>
      <c r="OMU976">
        <v>36597</v>
      </c>
      <c r="OMV976">
        <v>13876</v>
      </c>
      <c r="OMW976" t="s">
        <v>619</v>
      </c>
      <c r="OMX976" t="s">
        <v>619</v>
      </c>
      <c r="OMY976" t="s">
        <v>619</v>
      </c>
      <c r="OWP976" t="s">
        <v>1362</v>
      </c>
      <c r="OWQ976">
        <v>36597</v>
      </c>
      <c r="OWR976">
        <v>13876</v>
      </c>
      <c r="OWS976" t="s">
        <v>619</v>
      </c>
      <c r="OWT976" t="s">
        <v>619</v>
      </c>
      <c r="OWU976" t="s">
        <v>619</v>
      </c>
      <c r="PGL976" t="s">
        <v>1362</v>
      </c>
      <c r="PGM976">
        <v>36597</v>
      </c>
      <c r="PGN976">
        <v>13876</v>
      </c>
      <c r="PGO976" t="s">
        <v>619</v>
      </c>
      <c r="PGP976" t="s">
        <v>619</v>
      </c>
      <c r="PGQ976" t="s">
        <v>619</v>
      </c>
      <c r="PQH976" t="s">
        <v>1362</v>
      </c>
      <c r="PQI976">
        <v>36597</v>
      </c>
      <c r="PQJ976">
        <v>13876</v>
      </c>
      <c r="PQK976" t="s">
        <v>619</v>
      </c>
      <c r="PQL976" t="s">
        <v>619</v>
      </c>
      <c r="PQM976" t="s">
        <v>619</v>
      </c>
      <c r="QAD976" t="s">
        <v>1362</v>
      </c>
      <c r="QAE976">
        <v>36597</v>
      </c>
      <c r="QAF976">
        <v>13876</v>
      </c>
      <c r="QAG976" t="s">
        <v>619</v>
      </c>
      <c r="QAH976" t="s">
        <v>619</v>
      </c>
      <c r="QAI976" t="s">
        <v>619</v>
      </c>
      <c r="QJZ976" t="s">
        <v>1362</v>
      </c>
      <c r="QKA976">
        <v>36597</v>
      </c>
      <c r="QKB976">
        <v>13876</v>
      </c>
      <c r="QKC976" t="s">
        <v>619</v>
      </c>
      <c r="QKD976" t="s">
        <v>619</v>
      </c>
      <c r="QKE976" t="s">
        <v>619</v>
      </c>
      <c r="QTV976" t="s">
        <v>1362</v>
      </c>
      <c r="QTW976">
        <v>36597</v>
      </c>
      <c r="QTX976">
        <v>13876</v>
      </c>
      <c r="QTY976" t="s">
        <v>619</v>
      </c>
      <c r="QTZ976" t="s">
        <v>619</v>
      </c>
      <c r="QUA976" t="s">
        <v>619</v>
      </c>
      <c r="RDR976" t="s">
        <v>1362</v>
      </c>
      <c r="RDS976">
        <v>36597</v>
      </c>
      <c r="RDT976">
        <v>13876</v>
      </c>
      <c r="RDU976" t="s">
        <v>619</v>
      </c>
      <c r="RDV976" t="s">
        <v>619</v>
      </c>
      <c r="RDW976" t="s">
        <v>619</v>
      </c>
      <c r="RNN976" t="s">
        <v>1362</v>
      </c>
      <c r="RNO976">
        <v>36597</v>
      </c>
      <c r="RNP976">
        <v>13876</v>
      </c>
      <c r="RNQ976" t="s">
        <v>619</v>
      </c>
      <c r="RNR976" t="s">
        <v>619</v>
      </c>
      <c r="RNS976" t="s">
        <v>619</v>
      </c>
      <c r="RXJ976" t="s">
        <v>1362</v>
      </c>
      <c r="RXK976">
        <v>36597</v>
      </c>
      <c r="RXL976">
        <v>13876</v>
      </c>
      <c r="RXM976" t="s">
        <v>619</v>
      </c>
      <c r="RXN976" t="s">
        <v>619</v>
      </c>
      <c r="RXO976" t="s">
        <v>619</v>
      </c>
      <c r="SHF976" t="s">
        <v>1362</v>
      </c>
      <c r="SHG976">
        <v>36597</v>
      </c>
      <c r="SHH976">
        <v>13876</v>
      </c>
      <c r="SHI976" t="s">
        <v>619</v>
      </c>
      <c r="SHJ976" t="s">
        <v>619</v>
      </c>
      <c r="SHK976" t="s">
        <v>619</v>
      </c>
      <c r="SRB976" t="s">
        <v>1362</v>
      </c>
      <c r="SRC976">
        <v>36597</v>
      </c>
      <c r="SRD976">
        <v>13876</v>
      </c>
      <c r="SRE976" t="s">
        <v>619</v>
      </c>
      <c r="SRF976" t="s">
        <v>619</v>
      </c>
      <c r="SRG976" t="s">
        <v>619</v>
      </c>
      <c r="TAX976" t="s">
        <v>1362</v>
      </c>
      <c r="TAY976">
        <v>36597</v>
      </c>
      <c r="TAZ976">
        <v>13876</v>
      </c>
      <c r="TBA976" t="s">
        <v>619</v>
      </c>
      <c r="TBB976" t="s">
        <v>619</v>
      </c>
      <c r="TBC976" t="s">
        <v>619</v>
      </c>
      <c r="TKT976" t="s">
        <v>1362</v>
      </c>
      <c r="TKU976">
        <v>36597</v>
      </c>
      <c r="TKV976">
        <v>13876</v>
      </c>
      <c r="TKW976" t="s">
        <v>619</v>
      </c>
      <c r="TKX976" t="s">
        <v>619</v>
      </c>
      <c r="TKY976" t="s">
        <v>619</v>
      </c>
      <c r="TUP976" t="s">
        <v>1362</v>
      </c>
      <c r="TUQ976">
        <v>36597</v>
      </c>
      <c r="TUR976">
        <v>13876</v>
      </c>
      <c r="TUS976" t="s">
        <v>619</v>
      </c>
      <c r="TUT976" t="s">
        <v>619</v>
      </c>
      <c r="TUU976" t="s">
        <v>619</v>
      </c>
      <c r="UEL976" t="s">
        <v>1362</v>
      </c>
      <c r="UEM976">
        <v>36597</v>
      </c>
      <c r="UEN976">
        <v>13876</v>
      </c>
      <c r="UEO976" t="s">
        <v>619</v>
      </c>
      <c r="UEP976" t="s">
        <v>619</v>
      </c>
      <c r="UEQ976" t="s">
        <v>619</v>
      </c>
      <c r="UOH976" t="s">
        <v>1362</v>
      </c>
      <c r="UOI976">
        <v>36597</v>
      </c>
      <c r="UOJ976">
        <v>13876</v>
      </c>
      <c r="UOK976" t="s">
        <v>619</v>
      </c>
      <c r="UOL976" t="s">
        <v>619</v>
      </c>
      <c r="UOM976" t="s">
        <v>619</v>
      </c>
      <c r="UYD976" t="s">
        <v>1362</v>
      </c>
      <c r="UYE976">
        <v>36597</v>
      </c>
      <c r="UYF976">
        <v>13876</v>
      </c>
      <c r="UYG976" t="s">
        <v>619</v>
      </c>
      <c r="UYH976" t="s">
        <v>619</v>
      </c>
      <c r="UYI976" t="s">
        <v>619</v>
      </c>
      <c r="VHZ976" t="s">
        <v>1362</v>
      </c>
      <c r="VIA976">
        <v>36597</v>
      </c>
      <c r="VIB976">
        <v>13876</v>
      </c>
      <c r="VIC976" t="s">
        <v>619</v>
      </c>
      <c r="VID976" t="s">
        <v>619</v>
      </c>
      <c r="VIE976" t="s">
        <v>619</v>
      </c>
      <c r="VRV976" t="s">
        <v>1362</v>
      </c>
      <c r="VRW976">
        <v>36597</v>
      </c>
      <c r="VRX976">
        <v>13876</v>
      </c>
      <c r="VRY976" t="s">
        <v>619</v>
      </c>
      <c r="VRZ976" t="s">
        <v>619</v>
      </c>
      <c r="VSA976" t="s">
        <v>619</v>
      </c>
      <c r="WBR976" t="s">
        <v>1362</v>
      </c>
      <c r="WBS976">
        <v>36597</v>
      </c>
      <c r="WBT976">
        <v>13876</v>
      </c>
      <c r="WBU976" t="s">
        <v>619</v>
      </c>
      <c r="WBV976" t="s">
        <v>619</v>
      </c>
      <c r="WBW976" t="s">
        <v>619</v>
      </c>
      <c r="WLN976" t="s">
        <v>1362</v>
      </c>
      <c r="WLO976">
        <v>36597</v>
      </c>
      <c r="WLP976">
        <v>13876</v>
      </c>
      <c r="WLQ976" t="s">
        <v>619</v>
      </c>
      <c r="WLR976" t="s">
        <v>619</v>
      </c>
      <c r="WLS976" t="s">
        <v>619</v>
      </c>
      <c r="WVJ976" t="s">
        <v>1362</v>
      </c>
      <c r="WVK976">
        <v>36597</v>
      </c>
      <c r="WVL976">
        <v>13876</v>
      </c>
      <c r="WVM976" t="s">
        <v>619</v>
      </c>
      <c r="WVN976" t="s">
        <v>619</v>
      </c>
      <c r="WVO976" t="s">
        <v>619</v>
      </c>
    </row>
    <row r="977" spans="1:775 1026:1799 2050:2823 3074:3847 4098:4871 5122:5895 6146:6919 7170:7943 8194:8967 9218:9991 10242:11015 11266:12039 12290:13063 13314:14087 14338:15111 15362:16135">
      <c r="A977" s="96" t="s">
        <v>720</v>
      </c>
      <c r="B977" s="1265" t="s">
        <v>780</v>
      </c>
      <c r="C977" s="100">
        <v>-657986</v>
      </c>
      <c r="D977" s="100">
        <v>-326957</v>
      </c>
      <c r="E977" s="100">
        <v>151953</v>
      </c>
      <c r="F977" s="100">
        <v>-3705762</v>
      </c>
      <c r="G977" s="100">
        <v>-1849518</v>
      </c>
      <c r="H977" s="100"/>
      <c r="IX977" t="s">
        <v>720</v>
      </c>
      <c r="IY977">
        <v>-657986</v>
      </c>
      <c r="IZ977">
        <v>-326957</v>
      </c>
      <c r="JA977">
        <v>151953</v>
      </c>
      <c r="JB977">
        <v>-3705762</v>
      </c>
      <c r="JC977">
        <v>-1849518</v>
      </c>
      <c r="ST977" t="s">
        <v>720</v>
      </c>
      <c r="SU977">
        <v>-657986</v>
      </c>
      <c r="SV977">
        <v>-326957</v>
      </c>
      <c r="SW977">
        <v>151953</v>
      </c>
      <c r="SX977">
        <v>-3705762</v>
      </c>
      <c r="SY977">
        <v>-1849518</v>
      </c>
      <c r="ACP977" t="s">
        <v>720</v>
      </c>
      <c r="ACQ977">
        <v>-657986</v>
      </c>
      <c r="ACR977">
        <v>-326957</v>
      </c>
      <c r="ACS977">
        <v>151953</v>
      </c>
      <c r="ACT977">
        <v>-3705762</v>
      </c>
      <c r="ACU977">
        <v>-1849518</v>
      </c>
      <c r="AML977" t="s">
        <v>720</v>
      </c>
      <c r="AMM977">
        <v>-657986</v>
      </c>
      <c r="AMN977">
        <v>-326957</v>
      </c>
      <c r="AMO977">
        <v>151953</v>
      </c>
      <c r="AMP977">
        <v>-3705762</v>
      </c>
      <c r="AMQ977">
        <v>-1849518</v>
      </c>
      <c r="AWH977" t="s">
        <v>720</v>
      </c>
      <c r="AWI977">
        <v>-657986</v>
      </c>
      <c r="AWJ977">
        <v>-326957</v>
      </c>
      <c r="AWK977">
        <v>151953</v>
      </c>
      <c r="AWL977">
        <v>-3705762</v>
      </c>
      <c r="AWM977">
        <v>-1849518</v>
      </c>
      <c r="BGD977" t="s">
        <v>720</v>
      </c>
      <c r="BGE977">
        <v>-657986</v>
      </c>
      <c r="BGF977">
        <v>-326957</v>
      </c>
      <c r="BGG977">
        <v>151953</v>
      </c>
      <c r="BGH977">
        <v>-3705762</v>
      </c>
      <c r="BGI977">
        <v>-1849518</v>
      </c>
      <c r="BPZ977" t="s">
        <v>720</v>
      </c>
      <c r="BQA977">
        <v>-657986</v>
      </c>
      <c r="BQB977">
        <v>-326957</v>
      </c>
      <c r="BQC977">
        <v>151953</v>
      </c>
      <c r="BQD977">
        <v>-3705762</v>
      </c>
      <c r="BQE977">
        <v>-1849518</v>
      </c>
      <c r="BZV977" t="s">
        <v>720</v>
      </c>
      <c r="BZW977">
        <v>-657986</v>
      </c>
      <c r="BZX977">
        <v>-326957</v>
      </c>
      <c r="BZY977">
        <v>151953</v>
      </c>
      <c r="BZZ977">
        <v>-3705762</v>
      </c>
      <c r="CAA977">
        <v>-1849518</v>
      </c>
      <c r="CJR977" t="s">
        <v>720</v>
      </c>
      <c r="CJS977">
        <v>-657986</v>
      </c>
      <c r="CJT977">
        <v>-326957</v>
      </c>
      <c r="CJU977">
        <v>151953</v>
      </c>
      <c r="CJV977">
        <v>-3705762</v>
      </c>
      <c r="CJW977">
        <v>-1849518</v>
      </c>
      <c r="CTN977" t="s">
        <v>720</v>
      </c>
      <c r="CTO977">
        <v>-657986</v>
      </c>
      <c r="CTP977">
        <v>-326957</v>
      </c>
      <c r="CTQ977">
        <v>151953</v>
      </c>
      <c r="CTR977">
        <v>-3705762</v>
      </c>
      <c r="CTS977">
        <v>-1849518</v>
      </c>
      <c r="DDJ977" t="s">
        <v>720</v>
      </c>
      <c r="DDK977">
        <v>-657986</v>
      </c>
      <c r="DDL977">
        <v>-326957</v>
      </c>
      <c r="DDM977">
        <v>151953</v>
      </c>
      <c r="DDN977">
        <v>-3705762</v>
      </c>
      <c r="DDO977">
        <v>-1849518</v>
      </c>
      <c r="DNF977" t="s">
        <v>720</v>
      </c>
      <c r="DNG977">
        <v>-657986</v>
      </c>
      <c r="DNH977">
        <v>-326957</v>
      </c>
      <c r="DNI977">
        <v>151953</v>
      </c>
      <c r="DNJ977">
        <v>-3705762</v>
      </c>
      <c r="DNK977">
        <v>-1849518</v>
      </c>
      <c r="DXB977" t="s">
        <v>720</v>
      </c>
      <c r="DXC977">
        <v>-657986</v>
      </c>
      <c r="DXD977">
        <v>-326957</v>
      </c>
      <c r="DXE977">
        <v>151953</v>
      </c>
      <c r="DXF977">
        <v>-3705762</v>
      </c>
      <c r="DXG977">
        <v>-1849518</v>
      </c>
      <c r="EGX977" t="s">
        <v>720</v>
      </c>
      <c r="EGY977">
        <v>-657986</v>
      </c>
      <c r="EGZ977">
        <v>-326957</v>
      </c>
      <c r="EHA977">
        <v>151953</v>
      </c>
      <c r="EHB977">
        <v>-3705762</v>
      </c>
      <c r="EHC977">
        <v>-1849518</v>
      </c>
      <c r="EQT977" t="s">
        <v>720</v>
      </c>
      <c r="EQU977">
        <v>-657986</v>
      </c>
      <c r="EQV977">
        <v>-326957</v>
      </c>
      <c r="EQW977">
        <v>151953</v>
      </c>
      <c r="EQX977">
        <v>-3705762</v>
      </c>
      <c r="EQY977">
        <v>-1849518</v>
      </c>
      <c r="FAP977" t="s">
        <v>720</v>
      </c>
      <c r="FAQ977">
        <v>-657986</v>
      </c>
      <c r="FAR977">
        <v>-326957</v>
      </c>
      <c r="FAS977">
        <v>151953</v>
      </c>
      <c r="FAT977">
        <v>-3705762</v>
      </c>
      <c r="FAU977">
        <v>-1849518</v>
      </c>
      <c r="FKL977" t="s">
        <v>720</v>
      </c>
      <c r="FKM977">
        <v>-657986</v>
      </c>
      <c r="FKN977">
        <v>-326957</v>
      </c>
      <c r="FKO977">
        <v>151953</v>
      </c>
      <c r="FKP977">
        <v>-3705762</v>
      </c>
      <c r="FKQ977">
        <v>-1849518</v>
      </c>
      <c r="FUH977" t="s">
        <v>720</v>
      </c>
      <c r="FUI977">
        <v>-657986</v>
      </c>
      <c r="FUJ977">
        <v>-326957</v>
      </c>
      <c r="FUK977">
        <v>151953</v>
      </c>
      <c r="FUL977">
        <v>-3705762</v>
      </c>
      <c r="FUM977">
        <v>-1849518</v>
      </c>
      <c r="GED977" t="s">
        <v>720</v>
      </c>
      <c r="GEE977">
        <v>-657986</v>
      </c>
      <c r="GEF977">
        <v>-326957</v>
      </c>
      <c r="GEG977">
        <v>151953</v>
      </c>
      <c r="GEH977">
        <v>-3705762</v>
      </c>
      <c r="GEI977">
        <v>-1849518</v>
      </c>
      <c r="GNZ977" t="s">
        <v>720</v>
      </c>
      <c r="GOA977">
        <v>-657986</v>
      </c>
      <c r="GOB977">
        <v>-326957</v>
      </c>
      <c r="GOC977">
        <v>151953</v>
      </c>
      <c r="GOD977">
        <v>-3705762</v>
      </c>
      <c r="GOE977">
        <v>-1849518</v>
      </c>
      <c r="GXV977" t="s">
        <v>720</v>
      </c>
      <c r="GXW977">
        <v>-657986</v>
      </c>
      <c r="GXX977">
        <v>-326957</v>
      </c>
      <c r="GXY977">
        <v>151953</v>
      </c>
      <c r="GXZ977">
        <v>-3705762</v>
      </c>
      <c r="GYA977">
        <v>-1849518</v>
      </c>
      <c r="HHR977" t="s">
        <v>720</v>
      </c>
      <c r="HHS977">
        <v>-657986</v>
      </c>
      <c r="HHT977">
        <v>-326957</v>
      </c>
      <c r="HHU977">
        <v>151953</v>
      </c>
      <c r="HHV977">
        <v>-3705762</v>
      </c>
      <c r="HHW977">
        <v>-1849518</v>
      </c>
      <c r="HRN977" t="s">
        <v>720</v>
      </c>
      <c r="HRO977">
        <v>-657986</v>
      </c>
      <c r="HRP977">
        <v>-326957</v>
      </c>
      <c r="HRQ977">
        <v>151953</v>
      </c>
      <c r="HRR977">
        <v>-3705762</v>
      </c>
      <c r="HRS977">
        <v>-1849518</v>
      </c>
      <c r="IBJ977" t="s">
        <v>720</v>
      </c>
      <c r="IBK977">
        <v>-657986</v>
      </c>
      <c r="IBL977">
        <v>-326957</v>
      </c>
      <c r="IBM977">
        <v>151953</v>
      </c>
      <c r="IBN977">
        <v>-3705762</v>
      </c>
      <c r="IBO977">
        <v>-1849518</v>
      </c>
      <c r="ILF977" t="s">
        <v>720</v>
      </c>
      <c r="ILG977">
        <v>-657986</v>
      </c>
      <c r="ILH977">
        <v>-326957</v>
      </c>
      <c r="ILI977">
        <v>151953</v>
      </c>
      <c r="ILJ977">
        <v>-3705762</v>
      </c>
      <c r="ILK977">
        <v>-1849518</v>
      </c>
      <c r="IVB977" t="s">
        <v>720</v>
      </c>
      <c r="IVC977">
        <v>-657986</v>
      </c>
      <c r="IVD977">
        <v>-326957</v>
      </c>
      <c r="IVE977">
        <v>151953</v>
      </c>
      <c r="IVF977">
        <v>-3705762</v>
      </c>
      <c r="IVG977">
        <v>-1849518</v>
      </c>
      <c r="JEX977" t="s">
        <v>720</v>
      </c>
      <c r="JEY977">
        <v>-657986</v>
      </c>
      <c r="JEZ977">
        <v>-326957</v>
      </c>
      <c r="JFA977">
        <v>151953</v>
      </c>
      <c r="JFB977">
        <v>-3705762</v>
      </c>
      <c r="JFC977">
        <v>-1849518</v>
      </c>
      <c r="JOT977" t="s">
        <v>720</v>
      </c>
      <c r="JOU977">
        <v>-657986</v>
      </c>
      <c r="JOV977">
        <v>-326957</v>
      </c>
      <c r="JOW977">
        <v>151953</v>
      </c>
      <c r="JOX977">
        <v>-3705762</v>
      </c>
      <c r="JOY977">
        <v>-1849518</v>
      </c>
      <c r="JYP977" t="s">
        <v>720</v>
      </c>
      <c r="JYQ977">
        <v>-657986</v>
      </c>
      <c r="JYR977">
        <v>-326957</v>
      </c>
      <c r="JYS977">
        <v>151953</v>
      </c>
      <c r="JYT977">
        <v>-3705762</v>
      </c>
      <c r="JYU977">
        <v>-1849518</v>
      </c>
      <c r="KIL977" t="s">
        <v>720</v>
      </c>
      <c r="KIM977">
        <v>-657986</v>
      </c>
      <c r="KIN977">
        <v>-326957</v>
      </c>
      <c r="KIO977">
        <v>151953</v>
      </c>
      <c r="KIP977">
        <v>-3705762</v>
      </c>
      <c r="KIQ977">
        <v>-1849518</v>
      </c>
      <c r="KSH977" t="s">
        <v>720</v>
      </c>
      <c r="KSI977">
        <v>-657986</v>
      </c>
      <c r="KSJ977">
        <v>-326957</v>
      </c>
      <c r="KSK977">
        <v>151953</v>
      </c>
      <c r="KSL977">
        <v>-3705762</v>
      </c>
      <c r="KSM977">
        <v>-1849518</v>
      </c>
      <c r="LCD977" t="s">
        <v>720</v>
      </c>
      <c r="LCE977">
        <v>-657986</v>
      </c>
      <c r="LCF977">
        <v>-326957</v>
      </c>
      <c r="LCG977">
        <v>151953</v>
      </c>
      <c r="LCH977">
        <v>-3705762</v>
      </c>
      <c r="LCI977">
        <v>-1849518</v>
      </c>
      <c r="LLZ977" t="s">
        <v>720</v>
      </c>
      <c r="LMA977">
        <v>-657986</v>
      </c>
      <c r="LMB977">
        <v>-326957</v>
      </c>
      <c r="LMC977">
        <v>151953</v>
      </c>
      <c r="LMD977">
        <v>-3705762</v>
      </c>
      <c r="LME977">
        <v>-1849518</v>
      </c>
      <c r="LVV977" t="s">
        <v>720</v>
      </c>
      <c r="LVW977">
        <v>-657986</v>
      </c>
      <c r="LVX977">
        <v>-326957</v>
      </c>
      <c r="LVY977">
        <v>151953</v>
      </c>
      <c r="LVZ977">
        <v>-3705762</v>
      </c>
      <c r="LWA977">
        <v>-1849518</v>
      </c>
      <c r="MFR977" t="s">
        <v>720</v>
      </c>
      <c r="MFS977">
        <v>-657986</v>
      </c>
      <c r="MFT977">
        <v>-326957</v>
      </c>
      <c r="MFU977">
        <v>151953</v>
      </c>
      <c r="MFV977">
        <v>-3705762</v>
      </c>
      <c r="MFW977">
        <v>-1849518</v>
      </c>
      <c r="MPN977" t="s">
        <v>720</v>
      </c>
      <c r="MPO977">
        <v>-657986</v>
      </c>
      <c r="MPP977">
        <v>-326957</v>
      </c>
      <c r="MPQ977">
        <v>151953</v>
      </c>
      <c r="MPR977">
        <v>-3705762</v>
      </c>
      <c r="MPS977">
        <v>-1849518</v>
      </c>
      <c r="MZJ977" t="s">
        <v>720</v>
      </c>
      <c r="MZK977">
        <v>-657986</v>
      </c>
      <c r="MZL977">
        <v>-326957</v>
      </c>
      <c r="MZM977">
        <v>151953</v>
      </c>
      <c r="MZN977">
        <v>-3705762</v>
      </c>
      <c r="MZO977">
        <v>-1849518</v>
      </c>
      <c r="NJF977" t="s">
        <v>720</v>
      </c>
      <c r="NJG977">
        <v>-657986</v>
      </c>
      <c r="NJH977">
        <v>-326957</v>
      </c>
      <c r="NJI977">
        <v>151953</v>
      </c>
      <c r="NJJ977">
        <v>-3705762</v>
      </c>
      <c r="NJK977">
        <v>-1849518</v>
      </c>
      <c r="NTB977" t="s">
        <v>720</v>
      </c>
      <c r="NTC977">
        <v>-657986</v>
      </c>
      <c r="NTD977">
        <v>-326957</v>
      </c>
      <c r="NTE977">
        <v>151953</v>
      </c>
      <c r="NTF977">
        <v>-3705762</v>
      </c>
      <c r="NTG977">
        <v>-1849518</v>
      </c>
      <c r="OCX977" t="s">
        <v>720</v>
      </c>
      <c r="OCY977">
        <v>-657986</v>
      </c>
      <c r="OCZ977">
        <v>-326957</v>
      </c>
      <c r="ODA977">
        <v>151953</v>
      </c>
      <c r="ODB977">
        <v>-3705762</v>
      </c>
      <c r="ODC977">
        <v>-1849518</v>
      </c>
      <c r="OMT977" t="s">
        <v>720</v>
      </c>
      <c r="OMU977">
        <v>-657986</v>
      </c>
      <c r="OMV977">
        <v>-326957</v>
      </c>
      <c r="OMW977">
        <v>151953</v>
      </c>
      <c r="OMX977">
        <v>-3705762</v>
      </c>
      <c r="OMY977">
        <v>-1849518</v>
      </c>
      <c r="OWP977" t="s">
        <v>720</v>
      </c>
      <c r="OWQ977">
        <v>-657986</v>
      </c>
      <c r="OWR977">
        <v>-326957</v>
      </c>
      <c r="OWS977">
        <v>151953</v>
      </c>
      <c r="OWT977">
        <v>-3705762</v>
      </c>
      <c r="OWU977">
        <v>-1849518</v>
      </c>
      <c r="PGL977" t="s">
        <v>720</v>
      </c>
      <c r="PGM977">
        <v>-657986</v>
      </c>
      <c r="PGN977">
        <v>-326957</v>
      </c>
      <c r="PGO977">
        <v>151953</v>
      </c>
      <c r="PGP977">
        <v>-3705762</v>
      </c>
      <c r="PGQ977">
        <v>-1849518</v>
      </c>
      <c r="PQH977" t="s">
        <v>720</v>
      </c>
      <c r="PQI977">
        <v>-657986</v>
      </c>
      <c r="PQJ977">
        <v>-326957</v>
      </c>
      <c r="PQK977">
        <v>151953</v>
      </c>
      <c r="PQL977">
        <v>-3705762</v>
      </c>
      <c r="PQM977">
        <v>-1849518</v>
      </c>
      <c r="QAD977" t="s">
        <v>720</v>
      </c>
      <c r="QAE977">
        <v>-657986</v>
      </c>
      <c r="QAF977">
        <v>-326957</v>
      </c>
      <c r="QAG977">
        <v>151953</v>
      </c>
      <c r="QAH977">
        <v>-3705762</v>
      </c>
      <c r="QAI977">
        <v>-1849518</v>
      </c>
      <c r="QJZ977" t="s">
        <v>720</v>
      </c>
      <c r="QKA977">
        <v>-657986</v>
      </c>
      <c r="QKB977">
        <v>-326957</v>
      </c>
      <c r="QKC977">
        <v>151953</v>
      </c>
      <c r="QKD977">
        <v>-3705762</v>
      </c>
      <c r="QKE977">
        <v>-1849518</v>
      </c>
      <c r="QTV977" t="s">
        <v>720</v>
      </c>
      <c r="QTW977">
        <v>-657986</v>
      </c>
      <c r="QTX977">
        <v>-326957</v>
      </c>
      <c r="QTY977">
        <v>151953</v>
      </c>
      <c r="QTZ977">
        <v>-3705762</v>
      </c>
      <c r="QUA977">
        <v>-1849518</v>
      </c>
      <c r="RDR977" t="s">
        <v>720</v>
      </c>
      <c r="RDS977">
        <v>-657986</v>
      </c>
      <c r="RDT977">
        <v>-326957</v>
      </c>
      <c r="RDU977">
        <v>151953</v>
      </c>
      <c r="RDV977">
        <v>-3705762</v>
      </c>
      <c r="RDW977">
        <v>-1849518</v>
      </c>
      <c r="RNN977" t="s">
        <v>720</v>
      </c>
      <c r="RNO977">
        <v>-657986</v>
      </c>
      <c r="RNP977">
        <v>-326957</v>
      </c>
      <c r="RNQ977">
        <v>151953</v>
      </c>
      <c r="RNR977">
        <v>-3705762</v>
      </c>
      <c r="RNS977">
        <v>-1849518</v>
      </c>
      <c r="RXJ977" t="s">
        <v>720</v>
      </c>
      <c r="RXK977">
        <v>-657986</v>
      </c>
      <c r="RXL977">
        <v>-326957</v>
      </c>
      <c r="RXM977">
        <v>151953</v>
      </c>
      <c r="RXN977">
        <v>-3705762</v>
      </c>
      <c r="RXO977">
        <v>-1849518</v>
      </c>
      <c r="SHF977" t="s">
        <v>720</v>
      </c>
      <c r="SHG977">
        <v>-657986</v>
      </c>
      <c r="SHH977">
        <v>-326957</v>
      </c>
      <c r="SHI977">
        <v>151953</v>
      </c>
      <c r="SHJ977">
        <v>-3705762</v>
      </c>
      <c r="SHK977">
        <v>-1849518</v>
      </c>
      <c r="SRB977" t="s">
        <v>720</v>
      </c>
      <c r="SRC977">
        <v>-657986</v>
      </c>
      <c r="SRD977">
        <v>-326957</v>
      </c>
      <c r="SRE977">
        <v>151953</v>
      </c>
      <c r="SRF977">
        <v>-3705762</v>
      </c>
      <c r="SRG977">
        <v>-1849518</v>
      </c>
      <c r="TAX977" t="s">
        <v>720</v>
      </c>
      <c r="TAY977">
        <v>-657986</v>
      </c>
      <c r="TAZ977">
        <v>-326957</v>
      </c>
      <c r="TBA977">
        <v>151953</v>
      </c>
      <c r="TBB977">
        <v>-3705762</v>
      </c>
      <c r="TBC977">
        <v>-1849518</v>
      </c>
      <c r="TKT977" t="s">
        <v>720</v>
      </c>
      <c r="TKU977">
        <v>-657986</v>
      </c>
      <c r="TKV977">
        <v>-326957</v>
      </c>
      <c r="TKW977">
        <v>151953</v>
      </c>
      <c r="TKX977">
        <v>-3705762</v>
      </c>
      <c r="TKY977">
        <v>-1849518</v>
      </c>
      <c r="TUP977" t="s">
        <v>720</v>
      </c>
      <c r="TUQ977">
        <v>-657986</v>
      </c>
      <c r="TUR977">
        <v>-326957</v>
      </c>
      <c r="TUS977">
        <v>151953</v>
      </c>
      <c r="TUT977">
        <v>-3705762</v>
      </c>
      <c r="TUU977">
        <v>-1849518</v>
      </c>
      <c r="UEL977" t="s">
        <v>720</v>
      </c>
      <c r="UEM977">
        <v>-657986</v>
      </c>
      <c r="UEN977">
        <v>-326957</v>
      </c>
      <c r="UEO977">
        <v>151953</v>
      </c>
      <c r="UEP977">
        <v>-3705762</v>
      </c>
      <c r="UEQ977">
        <v>-1849518</v>
      </c>
      <c r="UOH977" t="s">
        <v>720</v>
      </c>
      <c r="UOI977">
        <v>-657986</v>
      </c>
      <c r="UOJ977">
        <v>-326957</v>
      </c>
      <c r="UOK977">
        <v>151953</v>
      </c>
      <c r="UOL977">
        <v>-3705762</v>
      </c>
      <c r="UOM977">
        <v>-1849518</v>
      </c>
      <c r="UYD977" t="s">
        <v>720</v>
      </c>
      <c r="UYE977">
        <v>-657986</v>
      </c>
      <c r="UYF977">
        <v>-326957</v>
      </c>
      <c r="UYG977">
        <v>151953</v>
      </c>
      <c r="UYH977">
        <v>-3705762</v>
      </c>
      <c r="UYI977">
        <v>-1849518</v>
      </c>
      <c r="VHZ977" t="s">
        <v>720</v>
      </c>
      <c r="VIA977">
        <v>-657986</v>
      </c>
      <c r="VIB977">
        <v>-326957</v>
      </c>
      <c r="VIC977">
        <v>151953</v>
      </c>
      <c r="VID977">
        <v>-3705762</v>
      </c>
      <c r="VIE977">
        <v>-1849518</v>
      </c>
      <c r="VRV977" t="s">
        <v>720</v>
      </c>
      <c r="VRW977">
        <v>-657986</v>
      </c>
      <c r="VRX977">
        <v>-326957</v>
      </c>
      <c r="VRY977">
        <v>151953</v>
      </c>
      <c r="VRZ977">
        <v>-3705762</v>
      </c>
      <c r="VSA977">
        <v>-1849518</v>
      </c>
      <c r="WBR977" t="s">
        <v>720</v>
      </c>
      <c r="WBS977">
        <v>-657986</v>
      </c>
      <c r="WBT977">
        <v>-326957</v>
      </c>
      <c r="WBU977">
        <v>151953</v>
      </c>
      <c r="WBV977">
        <v>-3705762</v>
      </c>
      <c r="WBW977">
        <v>-1849518</v>
      </c>
      <c r="WLN977" t="s">
        <v>720</v>
      </c>
      <c r="WLO977">
        <v>-657986</v>
      </c>
      <c r="WLP977">
        <v>-326957</v>
      </c>
      <c r="WLQ977">
        <v>151953</v>
      </c>
      <c r="WLR977">
        <v>-3705762</v>
      </c>
      <c r="WLS977">
        <v>-1849518</v>
      </c>
      <c r="WVJ977" t="s">
        <v>720</v>
      </c>
      <c r="WVK977">
        <v>-657986</v>
      </c>
      <c r="WVL977">
        <v>-326957</v>
      </c>
      <c r="WVM977">
        <v>151953</v>
      </c>
      <c r="WVN977">
        <v>-3705762</v>
      </c>
      <c r="WVO977">
        <v>-1849518</v>
      </c>
    </row>
    <row r="978" spans="1:775 1026:1799 2050:2823 3074:3847 4098:4871 5122:5895 6146:6919 7170:7943 8194:8967 9218:9991 10242:11015 11266:12039 12290:13063 13314:14087 14338:15111 15362:16135">
      <c r="A978" s="96" t="s">
        <v>1363</v>
      </c>
      <c r="B978" s="1265" t="s">
        <v>780</v>
      </c>
      <c r="C978" s="98">
        <v>0</v>
      </c>
      <c r="D978" s="98">
        <v>0</v>
      </c>
      <c r="E978" s="98">
        <v>0</v>
      </c>
      <c r="F978" s="98">
        <v>0</v>
      </c>
      <c r="G978" s="100">
        <v>-138332</v>
      </c>
      <c r="H978" s="100"/>
      <c r="IX978" t="s">
        <v>1363</v>
      </c>
      <c r="IY978" t="s">
        <v>619</v>
      </c>
      <c r="IZ978" t="s">
        <v>619</v>
      </c>
      <c r="JA978" t="s">
        <v>619</v>
      </c>
      <c r="JB978" t="s">
        <v>619</v>
      </c>
      <c r="JC978">
        <v>-138332</v>
      </c>
      <c r="ST978" t="s">
        <v>1363</v>
      </c>
      <c r="SU978" t="s">
        <v>619</v>
      </c>
      <c r="SV978" t="s">
        <v>619</v>
      </c>
      <c r="SW978" t="s">
        <v>619</v>
      </c>
      <c r="SX978" t="s">
        <v>619</v>
      </c>
      <c r="SY978">
        <v>-138332</v>
      </c>
      <c r="ACP978" t="s">
        <v>1363</v>
      </c>
      <c r="ACQ978" t="s">
        <v>619</v>
      </c>
      <c r="ACR978" t="s">
        <v>619</v>
      </c>
      <c r="ACS978" t="s">
        <v>619</v>
      </c>
      <c r="ACT978" t="s">
        <v>619</v>
      </c>
      <c r="ACU978">
        <v>-138332</v>
      </c>
      <c r="AML978" t="s">
        <v>1363</v>
      </c>
      <c r="AMM978" t="s">
        <v>619</v>
      </c>
      <c r="AMN978" t="s">
        <v>619</v>
      </c>
      <c r="AMO978" t="s">
        <v>619</v>
      </c>
      <c r="AMP978" t="s">
        <v>619</v>
      </c>
      <c r="AMQ978">
        <v>-138332</v>
      </c>
      <c r="AWH978" t="s">
        <v>1363</v>
      </c>
      <c r="AWI978" t="s">
        <v>619</v>
      </c>
      <c r="AWJ978" t="s">
        <v>619</v>
      </c>
      <c r="AWK978" t="s">
        <v>619</v>
      </c>
      <c r="AWL978" t="s">
        <v>619</v>
      </c>
      <c r="AWM978">
        <v>-138332</v>
      </c>
      <c r="BGD978" t="s">
        <v>1363</v>
      </c>
      <c r="BGE978" t="s">
        <v>619</v>
      </c>
      <c r="BGF978" t="s">
        <v>619</v>
      </c>
      <c r="BGG978" t="s">
        <v>619</v>
      </c>
      <c r="BGH978" t="s">
        <v>619</v>
      </c>
      <c r="BGI978">
        <v>-138332</v>
      </c>
      <c r="BPZ978" t="s">
        <v>1363</v>
      </c>
      <c r="BQA978" t="s">
        <v>619</v>
      </c>
      <c r="BQB978" t="s">
        <v>619</v>
      </c>
      <c r="BQC978" t="s">
        <v>619</v>
      </c>
      <c r="BQD978" t="s">
        <v>619</v>
      </c>
      <c r="BQE978">
        <v>-138332</v>
      </c>
      <c r="BZV978" t="s">
        <v>1363</v>
      </c>
      <c r="BZW978" t="s">
        <v>619</v>
      </c>
      <c r="BZX978" t="s">
        <v>619</v>
      </c>
      <c r="BZY978" t="s">
        <v>619</v>
      </c>
      <c r="BZZ978" t="s">
        <v>619</v>
      </c>
      <c r="CAA978">
        <v>-138332</v>
      </c>
      <c r="CJR978" t="s">
        <v>1363</v>
      </c>
      <c r="CJS978" t="s">
        <v>619</v>
      </c>
      <c r="CJT978" t="s">
        <v>619</v>
      </c>
      <c r="CJU978" t="s">
        <v>619</v>
      </c>
      <c r="CJV978" t="s">
        <v>619</v>
      </c>
      <c r="CJW978">
        <v>-138332</v>
      </c>
      <c r="CTN978" t="s">
        <v>1363</v>
      </c>
      <c r="CTO978" t="s">
        <v>619</v>
      </c>
      <c r="CTP978" t="s">
        <v>619</v>
      </c>
      <c r="CTQ978" t="s">
        <v>619</v>
      </c>
      <c r="CTR978" t="s">
        <v>619</v>
      </c>
      <c r="CTS978">
        <v>-138332</v>
      </c>
      <c r="DDJ978" t="s">
        <v>1363</v>
      </c>
      <c r="DDK978" t="s">
        <v>619</v>
      </c>
      <c r="DDL978" t="s">
        <v>619</v>
      </c>
      <c r="DDM978" t="s">
        <v>619</v>
      </c>
      <c r="DDN978" t="s">
        <v>619</v>
      </c>
      <c r="DDO978">
        <v>-138332</v>
      </c>
      <c r="DNF978" t="s">
        <v>1363</v>
      </c>
      <c r="DNG978" t="s">
        <v>619</v>
      </c>
      <c r="DNH978" t="s">
        <v>619</v>
      </c>
      <c r="DNI978" t="s">
        <v>619</v>
      </c>
      <c r="DNJ978" t="s">
        <v>619</v>
      </c>
      <c r="DNK978">
        <v>-138332</v>
      </c>
      <c r="DXB978" t="s">
        <v>1363</v>
      </c>
      <c r="DXC978" t="s">
        <v>619</v>
      </c>
      <c r="DXD978" t="s">
        <v>619</v>
      </c>
      <c r="DXE978" t="s">
        <v>619</v>
      </c>
      <c r="DXF978" t="s">
        <v>619</v>
      </c>
      <c r="DXG978">
        <v>-138332</v>
      </c>
      <c r="EGX978" t="s">
        <v>1363</v>
      </c>
      <c r="EGY978" t="s">
        <v>619</v>
      </c>
      <c r="EGZ978" t="s">
        <v>619</v>
      </c>
      <c r="EHA978" t="s">
        <v>619</v>
      </c>
      <c r="EHB978" t="s">
        <v>619</v>
      </c>
      <c r="EHC978">
        <v>-138332</v>
      </c>
      <c r="EQT978" t="s">
        <v>1363</v>
      </c>
      <c r="EQU978" t="s">
        <v>619</v>
      </c>
      <c r="EQV978" t="s">
        <v>619</v>
      </c>
      <c r="EQW978" t="s">
        <v>619</v>
      </c>
      <c r="EQX978" t="s">
        <v>619</v>
      </c>
      <c r="EQY978">
        <v>-138332</v>
      </c>
      <c r="FAP978" t="s">
        <v>1363</v>
      </c>
      <c r="FAQ978" t="s">
        <v>619</v>
      </c>
      <c r="FAR978" t="s">
        <v>619</v>
      </c>
      <c r="FAS978" t="s">
        <v>619</v>
      </c>
      <c r="FAT978" t="s">
        <v>619</v>
      </c>
      <c r="FAU978">
        <v>-138332</v>
      </c>
      <c r="FKL978" t="s">
        <v>1363</v>
      </c>
      <c r="FKM978" t="s">
        <v>619</v>
      </c>
      <c r="FKN978" t="s">
        <v>619</v>
      </c>
      <c r="FKO978" t="s">
        <v>619</v>
      </c>
      <c r="FKP978" t="s">
        <v>619</v>
      </c>
      <c r="FKQ978">
        <v>-138332</v>
      </c>
      <c r="FUH978" t="s">
        <v>1363</v>
      </c>
      <c r="FUI978" t="s">
        <v>619</v>
      </c>
      <c r="FUJ978" t="s">
        <v>619</v>
      </c>
      <c r="FUK978" t="s">
        <v>619</v>
      </c>
      <c r="FUL978" t="s">
        <v>619</v>
      </c>
      <c r="FUM978">
        <v>-138332</v>
      </c>
      <c r="GED978" t="s">
        <v>1363</v>
      </c>
      <c r="GEE978" t="s">
        <v>619</v>
      </c>
      <c r="GEF978" t="s">
        <v>619</v>
      </c>
      <c r="GEG978" t="s">
        <v>619</v>
      </c>
      <c r="GEH978" t="s">
        <v>619</v>
      </c>
      <c r="GEI978">
        <v>-138332</v>
      </c>
      <c r="GNZ978" t="s">
        <v>1363</v>
      </c>
      <c r="GOA978" t="s">
        <v>619</v>
      </c>
      <c r="GOB978" t="s">
        <v>619</v>
      </c>
      <c r="GOC978" t="s">
        <v>619</v>
      </c>
      <c r="GOD978" t="s">
        <v>619</v>
      </c>
      <c r="GOE978">
        <v>-138332</v>
      </c>
      <c r="GXV978" t="s">
        <v>1363</v>
      </c>
      <c r="GXW978" t="s">
        <v>619</v>
      </c>
      <c r="GXX978" t="s">
        <v>619</v>
      </c>
      <c r="GXY978" t="s">
        <v>619</v>
      </c>
      <c r="GXZ978" t="s">
        <v>619</v>
      </c>
      <c r="GYA978">
        <v>-138332</v>
      </c>
      <c r="HHR978" t="s">
        <v>1363</v>
      </c>
      <c r="HHS978" t="s">
        <v>619</v>
      </c>
      <c r="HHT978" t="s">
        <v>619</v>
      </c>
      <c r="HHU978" t="s">
        <v>619</v>
      </c>
      <c r="HHV978" t="s">
        <v>619</v>
      </c>
      <c r="HHW978">
        <v>-138332</v>
      </c>
      <c r="HRN978" t="s">
        <v>1363</v>
      </c>
      <c r="HRO978" t="s">
        <v>619</v>
      </c>
      <c r="HRP978" t="s">
        <v>619</v>
      </c>
      <c r="HRQ978" t="s">
        <v>619</v>
      </c>
      <c r="HRR978" t="s">
        <v>619</v>
      </c>
      <c r="HRS978">
        <v>-138332</v>
      </c>
      <c r="IBJ978" t="s">
        <v>1363</v>
      </c>
      <c r="IBK978" t="s">
        <v>619</v>
      </c>
      <c r="IBL978" t="s">
        <v>619</v>
      </c>
      <c r="IBM978" t="s">
        <v>619</v>
      </c>
      <c r="IBN978" t="s">
        <v>619</v>
      </c>
      <c r="IBO978">
        <v>-138332</v>
      </c>
      <c r="ILF978" t="s">
        <v>1363</v>
      </c>
      <c r="ILG978" t="s">
        <v>619</v>
      </c>
      <c r="ILH978" t="s">
        <v>619</v>
      </c>
      <c r="ILI978" t="s">
        <v>619</v>
      </c>
      <c r="ILJ978" t="s">
        <v>619</v>
      </c>
      <c r="ILK978">
        <v>-138332</v>
      </c>
      <c r="IVB978" t="s">
        <v>1363</v>
      </c>
      <c r="IVC978" t="s">
        <v>619</v>
      </c>
      <c r="IVD978" t="s">
        <v>619</v>
      </c>
      <c r="IVE978" t="s">
        <v>619</v>
      </c>
      <c r="IVF978" t="s">
        <v>619</v>
      </c>
      <c r="IVG978">
        <v>-138332</v>
      </c>
      <c r="JEX978" t="s">
        <v>1363</v>
      </c>
      <c r="JEY978" t="s">
        <v>619</v>
      </c>
      <c r="JEZ978" t="s">
        <v>619</v>
      </c>
      <c r="JFA978" t="s">
        <v>619</v>
      </c>
      <c r="JFB978" t="s">
        <v>619</v>
      </c>
      <c r="JFC978">
        <v>-138332</v>
      </c>
      <c r="JOT978" t="s">
        <v>1363</v>
      </c>
      <c r="JOU978" t="s">
        <v>619</v>
      </c>
      <c r="JOV978" t="s">
        <v>619</v>
      </c>
      <c r="JOW978" t="s">
        <v>619</v>
      </c>
      <c r="JOX978" t="s">
        <v>619</v>
      </c>
      <c r="JOY978">
        <v>-138332</v>
      </c>
      <c r="JYP978" t="s">
        <v>1363</v>
      </c>
      <c r="JYQ978" t="s">
        <v>619</v>
      </c>
      <c r="JYR978" t="s">
        <v>619</v>
      </c>
      <c r="JYS978" t="s">
        <v>619</v>
      </c>
      <c r="JYT978" t="s">
        <v>619</v>
      </c>
      <c r="JYU978">
        <v>-138332</v>
      </c>
      <c r="KIL978" t="s">
        <v>1363</v>
      </c>
      <c r="KIM978" t="s">
        <v>619</v>
      </c>
      <c r="KIN978" t="s">
        <v>619</v>
      </c>
      <c r="KIO978" t="s">
        <v>619</v>
      </c>
      <c r="KIP978" t="s">
        <v>619</v>
      </c>
      <c r="KIQ978">
        <v>-138332</v>
      </c>
      <c r="KSH978" t="s">
        <v>1363</v>
      </c>
      <c r="KSI978" t="s">
        <v>619</v>
      </c>
      <c r="KSJ978" t="s">
        <v>619</v>
      </c>
      <c r="KSK978" t="s">
        <v>619</v>
      </c>
      <c r="KSL978" t="s">
        <v>619</v>
      </c>
      <c r="KSM978">
        <v>-138332</v>
      </c>
      <c r="LCD978" t="s">
        <v>1363</v>
      </c>
      <c r="LCE978" t="s">
        <v>619</v>
      </c>
      <c r="LCF978" t="s">
        <v>619</v>
      </c>
      <c r="LCG978" t="s">
        <v>619</v>
      </c>
      <c r="LCH978" t="s">
        <v>619</v>
      </c>
      <c r="LCI978">
        <v>-138332</v>
      </c>
      <c r="LLZ978" t="s">
        <v>1363</v>
      </c>
      <c r="LMA978" t="s">
        <v>619</v>
      </c>
      <c r="LMB978" t="s">
        <v>619</v>
      </c>
      <c r="LMC978" t="s">
        <v>619</v>
      </c>
      <c r="LMD978" t="s">
        <v>619</v>
      </c>
      <c r="LME978">
        <v>-138332</v>
      </c>
      <c r="LVV978" t="s">
        <v>1363</v>
      </c>
      <c r="LVW978" t="s">
        <v>619</v>
      </c>
      <c r="LVX978" t="s">
        <v>619</v>
      </c>
      <c r="LVY978" t="s">
        <v>619</v>
      </c>
      <c r="LVZ978" t="s">
        <v>619</v>
      </c>
      <c r="LWA978">
        <v>-138332</v>
      </c>
      <c r="MFR978" t="s">
        <v>1363</v>
      </c>
      <c r="MFS978" t="s">
        <v>619</v>
      </c>
      <c r="MFT978" t="s">
        <v>619</v>
      </c>
      <c r="MFU978" t="s">
        <v>619</v>
      </c>
      <c r="MFV978" t="s">
        <v>619</v>
      </c>
      <c r="MFW978">
        <v>-138332</v>
      </c>
      <c r="MPN978" t="s">
        <v>1363</v>
      </c>
      <c r="MPO978" t="s">
        <v>619</v>
      </c>
      <c r="MPP978" t="s">
        <v>619</v>
      </c>
      <c r="MPQ978" t="s">
        <v>619</v>
      </c>
      <c r="MPR978" t="s">
        <v>619</v>
      </c>
      <c r="MPS978">
        <v>-138332</v>
      </c>
      <c r="MZJ978" t="s">
        <v>1363</v>
      </c>
      <c r="MZK978" t="s">
        <v>619</v>
      </c>
      <c r="MZL978" t="s">
        <v>619</v>
      </c>
      <c r="MZM978" t="s">
        <v>619</v>
      </c>
      <c r="MZN978" t="s">
        <v>619</v>
      </c>
      <c r="MZO978">
        <v>-138332</v>
      </c>
      <c r="NJF978" t="s">
        <v>1363</v>
      </c>
      <c r="NJG978" t="s">
        <v>619</v>
      </c>
      <c r="NJH978" t="s">
        <v>619</v>
      </c>
      <c r="NJI978" t="s">
        <v>619</v>
      </c>
      <c r="NJJ978" t="s">
        <v>619</v>
      </c>
      <c r="NJK978">
        <v>-138332</v>
      </c>
      <c r="NTB978" t="s">
        <v>1363</v>
      </c>
      <c r="NTC978" t="s">
        <v>619</v>
      </c>
      <c r="NTD978" t="s">
        <v>619</v>
      </c>
      <c r="NTE978" t="s">
        <v>619</v>
      </c>
      <c r="NTF978" t="s">
        <v>619</v>
      </c>
      <c r="NTG978">
        <v>-138332</v>
      </c>
      <c r="OCX978" t="s">
        <v>1363</v>
      </c>
      <c r="OCY978" t="s">
        <v>619</v>
      </c>
      <c r="OCZ978" t="s">
        <v>619</v>
      </c>
      <c r="ODA978" t="s">
        <v>619</v>
      </c>
      <c r="ODB978" t="s">
        <v>619</v>
      </c>
      <c r="ODC978">
        <v>-138332</v>
      </c>
      <c r="OMT978" t="s">
        <v>1363</v>
      </c>
      <c r="OMU978" t="s">
        <v>619</v>
      </c>
      <c r="OMV978" t="s">
        <v>619</v>
      </c>
      <c r="OMW978" t="s">
        <v>619</v>
      </c>
      <c r="OMX978" t="s">
        <v>619</v>
      </c>
      <c r="OMY978">
        <v>-138332</v>
      </c>
      <c r="OWP978" t="s">
        <v>1363</v>
      </c>
      <c r="OWQ978" t="s">
        <v>619</v>
      </c>
      <c r="OWR978" t="s">
        <v>619</v>
      </c>
      <c r="OWS978" t="s">
        <v>619</v>
      </c>
      <c r="OWT978" t="s">
        <v>619</v>
      </c>
      <c r="OWU978">
        <v>-138332</v>
      </c>
      <c r="PGL978" t="s">
        <v>1363</v>
      </c>
      <c r="PGM978" t="s">
        <v>619</v>
      </c>
      <c r="PGN978" t="s">
        <v>619</v>
      </c>
      <c r="PGO978" t="s">
        <v>619</v>
      </c>
      <c r="PGP978" t="s">
        <v>619</v>
      </c>
      <c r="PGQ978">
        <v>-138332</v>
      </c>
      <c r="PQH978" t="s">
        <v>1363</v>
      </c>
      <c r="PQI978" t="s">
        <v>619</v>
      </c>
      <c r="PQJ978" t="s">
        <v>619</v>
      </c>
      <c r="PQK978" t="s">
        <v>619</v>
      </c>
      <c r="PQL978" t="s">
        <v>619</v>
      </c>
      <c r="PQM978">
        <v>-138332</v>
      </c>
      <c r="QAD978" t="s">
        <v>1363</v>
      </c>
      <c r="QAE978" t="s">
        <v>619</v>
      </c>
      <c r="QAF978" t="s">
        <v>619</v>
      </c>
      <c r="QAG978" t="s">
        <v>619</v>
      </c>
      <c r="QAH978" t="s">
        <v>619</v>
      </c>
      <c r="QAI978">
        <v>-138332</v>
      </c>
      <c r="QJZ978" t="s">
        <v>1363</v>
      </c>
      <c r="QKA978" t="s">
        <v>619</v>
      </c>
      <c r="QKB978" t="s">
        <v>619</v>
      </c>
      <c r="QKC978" t="s">
        <v>619</v>
      </c>
      <c r="QKD978" t="s">
        <v>619</v>
      </c>
      <c r="QKE978">
        <v>-138332</v>
      </c>
      <c r="QTV978" t="s">
        <v>1363</v>
      </c>
      <c r="QTW978" t="s">
        <v>619</v>
      </c>
      <c r="QTX978" t="s">
        <v>619</v>
      </c>
      <c r="QTY978" t="s">
        <v>619</v>
      </c>
      <c r="QTZ978" t="s">
        <v>619</v>
      </c>
      <c r="QUA978">
        <v>-138332</v>
      </c>
      <c r="RDR978" t="s">
        <v>1363</v>
      </c>
      <c r="RDS978" t="s">
        <v>619</v>
      </c>
      <c r="RDT978" t="s">
        <v>619</v>
      </c>
      <c r="RDU978" t="s">
        <v>619</v>
      </c>
      <c r="RDV978" t="s">
        <v>619</v>
      </c>
      <c r="RDW978">
        <v>-138332</v>
      </c>
      <c r="RNN978" t="s">
        <v>1363</v>
      </c>
      <c r="RNO978" t="s">
        <v>619</v>
      </c>
      <c r="RNP978" t="s">
        <v>619</v>
      </c>
      <c r="RNQ978" t="s">
        <v>619</v>
      </c>
      <c r="RNR978" t="s">
        <v>619</v>
      </c>
      <c r="RNS978">
        <v>-138332</v>
      </c>
      <c r="RXJ978" t="s">
        <v>1363</v>
      </c>
      <c r="RXK978" t="s">
        <v>619</v>
      </c>
      <c r="RXL978" t="s">
        <v>619</v>
      </c>
      <c r="RXM978" t="s">
        <v>619</v>
      </c>
      <c r="RXN978" t="s">
        <v>619</v>
      </c>
      <c r="RXO978">
        <v>-138332</v>
      </c>
      <c r="SHF978" t="s">
        <v>1363</v>
      </c>
      <c r="SHG978" t="s">
        <v>619</v>
      </c>
      <c r="SHH978" t="s">
        <v>619</v>
      </c>
      <c r="SHI978" t="s">
        <v>619</v>
      </c>
      <c r="SHJ978" t="s">
        <v>619</v>
      </c>
      <c r="SHK978">
        <v>-138332</v>
      </c>
      <c r="SRB978" t="s">
        <v>1363</v>
      </c>
      <c r="SRC978" t="s">
        <v>619</v>
      </c>
      <c r="SRD978" t="s">
        <v>619</v>
      </c>
      <c r="SRE978" t="s">
        <v>619</v>
      </c>
      <c r="SRF978" t="s">
        <v>619</v>
      </c>
      <c r="SRG978">
        <v>-138332</v>
      </c>
      <c r="TAX978" t="s">
        <v>1363</v>
      </c>
      <c r="TAY978" t="s">
        <v>619</v>
      </c>
      <c r="TAZ978" t="s">
        <v>619</v>
      </c>
      <c r="TBA978" t="s">
        <v>619</v>
      </c>
      <c r="TBB978" t="s">
        <v>619</v>
      </c>
      <c r="TBC978">
        <v>-138332</v>
      </c>
      <c r="TKT978" t="s">
        <v>1363</v>
      </c>
      <c r="TKU978" t="s">
        <v>619</v>
      </c>
      <c r="TKV978" t="s">
        <v>619</v>
      </c>
      <c r="TKW978" t="s">
        <v>619</v>
      </c>
      <c r="TKX978" t="s">
        <v>619</v>
      </c>
      <c r="TKY978">
        <v>-138332</v>
      </c>
      <c r="TUP978" t="s">
        <v>1363</v>
      </c>
      <c r="TUQ978" t="s">
        <v>619</v>
      </c>
      <c r="TUR978" t="s">
        <v>619</v>
      </c>
      <c r="TUS978" t="s">
        <v>619</v>
      </c>
      <c r="TUT978" t="s">
        <v>619</v>
      </c>
      <c r="TUU978">
        <v>-138332</v>
      </c>
      <c r="UEL978" t="s">
        <v>1363</v>
      </c>
      <c r="UEM978" t="s">
        <v>619</v>
      </c>
      <c r="UEN978" t="s">
        <v>619</v>
      </c>
      <c r="UEO978" t="s">
        <v>619</v>
      </c>
      <c r="UEP978" t="s">
        <v>619</v>
      </c>
      <c r="UEQ978">
        <v>-138332</v>
      </c>
      <c r="UOH978" t="s">
        <v>1363</v>
      </c>
      <c r="UOI978" t="s">
        <v>619</v>
      </c>
      <c r="UOJ978" t="s">
        <v>619</v>
      </c>
      <c r="UOK978" t="s">
        <v>619</v>
      </c>
      <c r="UOL978" t="s">
        <v>619</v>
      </c>
      <c r="UOM978">
        <v>-138332</v>
      </c>
      <c r="UYD978" t="s">
        <v>1363</v>
      </c>
      <c r="UYE978" t="s">
        <v>619</v>
      </c>
      <c r="UYF978" t="s">
        <v>619</v>
      </c>
      <c r="UYG978" t="s">
        <v>619</v>
      </c>
      <c r="UYH978" t="s">
        <v>619</v>
      </c>
      <c r="UYI978">
        <v>-138332</v>
      </c>
      <c r="VHZ978" t="s">
        <v>1363</v>
      </c>
      <c r="VIA978" t="s">
        <v>619</v>
      </c>
      <c r="VIB978" t="s">
        <v>619</v>
      </c>
      <c r="VIC978" t="s">
        <v>619</v>
      </c>
      <c r="VID978" t="s">
        <v>619</v>
      </c>
      <c r="VIE978">
        <v>-138332</v>
      </c>
      <c r="VRV978" t="s">
        <v>1363</v>
      </c>
      <c r="VRW978" t="s">
        <v>619</v>
      </c>
      <c r="VRX978" t="s">
        <v>619</v>
      </c>
      <c r="VRY978" t="s">
        <v>619</v>
      </c>
      <c r="VRZ978" t="s">
        <v>619</v>
      </c>
      <c r="VSA978">
        <v>-138332</v>
      </c>
      <c r="WBR978" t="s">
        <v>1363</v>
      </c>
      <c r="WBS978" t="s">
        <v>619</v>
      </c>
      <c r="WBT978" t="s">
        <v>619</v>
      </c>
      <c r="WBU978" t="s">
        <v>619</v>
      </c>
      <c r="WBV978" t="s">
        <v>619</v>
      </c>
      <c r="WBW978">
        <v>-138332</v>
      </c>
      <c r="WLN978" t="s">
        <v>1363</v>
      </c>
      <c r="WLO978" t="s">
        <v>619</v>
      </c>
      <c r="WLP978" t="s">
        <v>619</v>
      </c>
      <c r="WLQ978" t="s">
        <v>619</v>
      </c>
      <c r="WLR978" t="s">
        <v>619</v>
      </c>
      <c r="WLS978">
        <v>-138332</v>
      </c>
      <c r="WVJ978" t="s">
        <v>1363</v>
      </c>
      <c r="WVK978" t="s">
        <v>619</v>
      </c>
      <c r="WVL978" t="s">
        <v>619</v>
      </c>
      <c r="WVM978" t="s">
        <v>619</v>
      </c>
      <c r="WVN978" t="s">
        <v>619</v>
      </c>
      <c r="WVO978">
        <v>-138332</v>
      </c>
    </row>
    <row r="979" spans="1:775 1026:1799 2050:2823 3074:3847 4098:4871 5122:5895 6146:6919 7170:7943 8194:8967 9218:9991 10242:11015 11266:12039 12290:13063 13314:14087 14338:15111 15362:16135">
      <c r="A979" s="96" t="s">
        <v>933</v>
      </c>
      <c r="B979" s="1265" t="s">
        <v>780</v>
      </c>
      <c r="C979" s="100">
        <v>291137</v>
      </c>
      <c r="D979" s="100">
        <v>323298</v>
      </c>
      <c r="E979" s="100">
        <v>785695</v>
      </c>
      <c r="F979" s="100">
        <v>1778440</v>
      </c>
      <c r="G979" s="100">
        <v>1620876</v>
      </c>
      <c r="H979" s="100"/>
      <c r="IX979" t="s">
        <v>933</v>
      </c>
      <c r="IY979">
        <v>291137</v>
      </c>
      <c r="IZ979">
        <v>323298</v>
      </c>
      <c r="JA979">
        <v>785695</v>
      </c>
      <c r="JB979">
        <v>1778440</v>
      </c>
      <c r="JC979">
        <v>1620876</v>
      </c>
      <c r="ST979" t="s">
        <v>933</v>
      </c>
      <c r="SU979">
        <v>291137</v>
      </c>
      <c r="SV979">
        <v>323298</v>
      </c>
      <c r="SW979">
        <v>785695</v>
      </c>
      <c r="SX979">
        <v>1778440</v>
      </c>
      <c r="SY979">
        <v>1620876</v>
      </c>
      <c r="ACP979" t="s">
        <v>933</v>
      </c>
      <c r="ACQ979">
        <v>291137</v>
      </c>
      <c r="ACR979">
        <v>323298</v>
      </c>
      <c r="ACS979">
        <v>785695</v>
      </c>
      <c r="ACT979">
        <v>1778440</v>
      </c>
      <c r="ACU979">
        <v>1620876</v>
      </c>
      <c r="AML979" t="s">
        <v>933</v>
      </c>
      <c r="AMM979">
        <v>291137</v>
      </c>
      <c r="AMN979">
        <v>323298</v>
      </c>
      <c r="AMO979">
        <v>785695</v>
      </c>
      <c r="AMP979">
        <v>1778440</v>
      </c>
      <c r="AMQ979">
        <v>1620876</v>
      </c>
      <c r="AWH979" t="s">
        <v>933</v>
      </c>
      <c r="AWI979">
        <v>291137</v>
      </c>
      <c r="AWJ979">
        <v>323298</v>
      </c>
      <c r="AWK979">
        <v>785695</v>
      </c>
      <c r="AWL979">
        <v>1778440</v>
      </c>
      <c r="AWM979">
        <v>1620876</v>
      </c>
      <c r="BGD979" t="s">
        <v>933</v>
      </c>
      <c r="BGE979">
        <v>291137</v>
      </c>
      <c r="BGF979">
        <v>323298</v>
      </c>
      <c r="BGG979">
        <v>785695</v>
      </c>
      <c r="BGH979">
        <v>1778440</v>
      </c>
      <c r="BGI979">
        <v>1620876</v>
      </c>
      <c r="BPZ979" t="s">
        <v>933</v>
      </c>
      <c r="BQA979">
        <v>291137</v>
      </c>
      <c r="BQB979">
        <v>323298</v>
      </c>
      <c r="BQC979">
        <v>785695</v>
      </c>
      <c r="BQD979">
        <v>1778440</v>
      </c>
      <c r="BQE979">
        <v>1620876</v>
      </c>
      <c r="BZV979" t="s">
        <v>933</v>
      </c>
      <c r="BZW979">
        <v>291137</v>
      </c>
      <c r="BZX979">
        <v>323298</v>
      </c>
      <c r="BZY979">
        <v>785695</v>
      </c>
      <c r="BZZ979">
        <v>1778440</v>
      </c>
      <c r="CAA979">
        <v>1620876</v>
      </c>
      <c r="CJR979" t="s">
        <v>933</v>
      </c>
      <c r="CJS979">
        <v>291137</v>
      </c>
      <c r="CJT979">
        <v>323298</v>
      </c>
      <c r="CJU979">
        <v>785695</v>
      </c>
      <c r="CJV979">
        <v>1778440</v>
      </c>
      <c r="CJW979">
        <v>1620876</v>
      </c>
      <c r="CTN979" t="s">
        <v>933</v>
      </c>
      <c r="CTO979">
        <v>291137</v>
      </c>
      <c r="CTP979">
        <v>323298</v>
      </c>
      <c r="CTQ979">
        <v>785695</v>
      </c>
      <c r="CTR979">
        <v>1778440</v>
      </c>
      <c r="CTS979">
        <v>1620876</v>
      </c>
      <c r="DDJ979" t="s">
        <v>933</v>
      </c>
      <c r="DDK979">
        <v>291137</v>
      </c>
      <c r="DDL979">
        <v>323298</v>
      </c>
      <c r="DDM979">
        <v>785695</v>
      </c>
      <c r="DDN979">
        <v>1778440</v>
      </c>
      <c r="DDO979">
        <v>1620876</v>
      </c>
      <c r="DNF979" t="s">
        <v>933</v>
      </c>
      <c r="DNG979">
        <v>291137</v>
      </c>
      <c r="DNH979">
        <v>323298</v>
      </c>
      <c r="DNI979">
        <v>785695</v>
      </c>
      <c r="DNJ979">
        <v>1778440</v>
      </c>
      <c r="DNK979">
        <v>1620876</v>
      </c>
      <c r="DXB979" t="s">
        <v>933</v>
      </c>
      <c r="DXC979">
        <v>291137</v>
      </c>
      <c r="DXD979">
        <v>323298</v>
      </c>
      <c r="DXE979">
        <v>785695</v>
      </c>
      <c r="DXF979">
        <v>1778440</v>
      </c>
      <c r="DXG979">
        <v>1620876</v>
      </c>
      <c r="EGX979" t="s">
        <v>933</v>
      </c>
      <c r="EGY979">
        <v>291137</v>
      </c>
      <c r="EGZ979">
        <v>323298</v>
      </c>
      <c r="EHA979">
        <v>785695</v>
      </c>
      <c r="EHB979">
        <v>1778440</v>
      </c>
      <c r="EHC979">
        <v>1620876</v>
      </c>
      <c r="EQT979" t="s">
        <v>933</v>
      </c>
      <c r="EQU979">
        <v>291137</v>
      </c>
      <c r="EQV979">
        <v>323298</v>
      </c>
      <c r="EQW979">
        <v>785695</v>
      </c>
      <c r="EQX979">
        <v>1778440</v>
      </c>
      <c r="EQY979">
        <v>1620876</v>
      </c>
      <c r="FAP979" t="s">
        <v>933</v>
      </c>
      <c r="FAQ979">
        <v>291137</v>
      </c>
      <c r="FAR979">
        <v>323298</v>
      </c>
      <c r="FAS979">
        <v>785695</v>
      </c>
      <c r="FAT979">
        <v>1778440</v>
      </c>
      <c r="FAU979">
        <v>1620876</v>
      </c>
      <c r="FKL979" t="s">
        <v>933</v>
      </c>
      <c r="FKM979">
        <v>291137</v>
      </c>
      <c r="FKN979">
        <v>323298</v>
      </c>
      <c r="FKO979">
        <v>785695</v>
      </c>
      <c r="FKP979">
        <v>1778440</v>
      </c>
      <c r="FKQ979">
        <v>1620876</v>
      </c>
      <c r="FUH979" t="s">
        <v>933</v>
      </c>
      <c r="FUI979">
        <v>291137</v>
      </c>
      <c r="FUJ979">
        <v>323298</v>
      </c>
      <c r="FUK979">
        <v>785695</v>
      </c>
      <c r="FUL979">
        <v>1778440</v>
      </c>
      <c r="FUM979">
        <v>1620876</v>
      </c>
      <c r="GED979" t="s">
        <v>933</v>
      </c>
      <c r="GEE979">
        <v>291137</v>
      </c>
      <c r="GEF979">
        <v>323298</v>
      </c>
      <c r="GEG979">
        <v>785695</v>
      </c>
      <c r="GEH979">
        <v>1778440</v>
      </c>
      <c r="GEI979">
        <v>1620876</v>
      </c>
      <c r="GNZ979" t="s">
        <v>933</v>
      </c>
      <c r="GOA979">
        <v>291137</v>
      </c>
      <c r="GOB979">
        <v>323298</v>
      </c>
      <c r="GOC979">
        <v>785695</v>
      </c>
      <c r="GOD979">
        <v>1778440</v>
      </c>
      <c r="GOE979">
        <v>1620876</v>
      </c>
      <c r="GXV979" t="s">
        <v>933</v>
      </c>
      <c r="GXW979">
        <v>291137</v>
      </c>
      <c r="GXX979">
        <v>323298</v>
      </c>
      <c r="GXY979">
        <v>785695</v>
      </c>
      <c r="GXZ979">
        <v>1778440</v>
      </c>
      <c r="GYA979">
        <v>1620876</v>
      </c>
      <c r="HHR979" t="s">
        <v>933</v>
      </c>
      <c r="HHS979">
        <v>291137</v>
      </c>
      <c r="HHT979">
        <v>323298</v>
      </c>
      <c r="HHU979">
        <v>785695</v>
      </c>
      <c r="HHV979">
        <v>1778440</v>
      </c>
      <c r="HHW979">
        <v>1620876</v>
      </c>
      <c r="HRN979" t="s">
        <v>933</v>
      </c>
      <c r="HRO979">
        <v>291137</v>
      </c>
      <c r="HRP979">
        <v>323298</v>
      </c>
      <c r="HRQ979">
        <v>785695</v>
      </c>
      <c r="HRR979">
        <v>1778440</v>
      </c>
      <c r="HRS979">
        <v>1620876</v>
      </c>
      <c r="IBJ979" t="s">
        <v>933</v>
      </c>
      <c r="IBK979">
        <v>291137</v>
      </c>
      <c r="IBL979">
        <v>323298</v>
      </c>
      <c r="IBM979">
        <v>785695</v>
      </c>
      <c r="IBN979">
        <v>1778440</v>
      </c>
      <c r="IBO979">
        <v>1620876</v>
      </c>
      <c r="ILF979" t="s">
        <v>933</v>
      </c>
      <c r="ILG979">
        <v>291137</v>
      </c>
      <c r="ILH979">
        <v>323298</v>
      </c>
      <c r="ILI979">
        <v>785695</v>
      </c>
      <c r="ILJ979">
        <v>1778440</v>
      </c>
      <c r="ILK979">
        <v>1620876</v>
      </c>
      <c r="IVB979" t="s">
        <v>933</v>
      </c>
      <c r="IVC979">
        <v>291137</v>
      </c>
      <c r="IVD979">
        <v>323298</v>
      </c>
      <c r="IVE979">
        <v>785695</v>
      </c>
      <c r="IVF979">
        <v>1778440</v>
      </c>
      <c r="IVG979">
        <v>1620876</v>
      </c>
      <c r="JEX979" t="s">
        <v>933</v>
      </c>
      <c r="JEY979">
        <v>291137</v>
      </c>
      <c r="JEZ979">
        <v>323298</v>
      </c>
      <c r="JFA979">
        <v>785695</v>
      </c>
      <c r="JFB979">
        <v>1778440</v>
      </c>
      <c r="JFC979">
        <v>1620876</v>
      </c>
      <c r="JOT979" t="s">
        <v>933</v>
      </c>
      <c r="JOU979">
        <v>291137</v>
      </c>
      <c r="JOV979">
        <v>323298</v>
      </c>
      <c r="JOW979">
        <v>785695</v>
      </c>
      <c r="JOX979">
        <v>1778440</v>
      </c>
      <c r="JOY979">
        <v>1620876</v>
      </c>
      <c r="JYP979" t="s">
        <v>933</v>
      </c>
      <c r="JYQ979">
        <v>291137</v>
      </c>
      <c r="JYR979">
        <v>323298</v>
      </c>
      <c r="JYS979">
        <v>785695</v>
      </c>
      <c r="JYT979">
        <v>1778440</v>
      </c>
      <c r="JYU979">
        <v>1620876</v>
      </c>
      <c r="KIL979" t="s">
        <v>933</v>
      </c>
      <c r="KIM979">
        <v>291137</v>
      </c>
      <c r="KIN979">
        <v>323298</v>
      </c>
      <c r="KIO979">
        <v>785695</v>
      </c>
      <c r="KIP979">
        <v>1778440</v>
      </c>
      <c r="KIQ979">
        <v>1620876</v>
      </c>
      <c r="KSH979" t="s">
        <v>933</v>
      </c>
      <c r="KSI979">
        <v>291137</v>
      </c>
      <c r="KSJ979">
        <v>323298</v>
      </c>
      <c r="KSK979">
        <v>785695</v>
      </c>
      <c r="KSL979">
        <v>1778440</v>
      </c>
      <c r="KSM979">
        <v>1620876</v>
      </c>
      <c r="LCD979" t="s">
        <v>933</v>
      </c>
      <c r="LCE979">
        <v>291137</v>
      </c>
      <c r="LCF979">
        <v>323298</v>
      </c>
      <c r="LCG979">
        <v>785695</v>
      </c>
      <c r="LCH979">
        <v>1778440</v>
      </c>
      <c r="LCI979">
        <v>1620876</v>
      </c>
      <c r="LLZ979" t="s">
        <v>933</v>
      </c>
      <c r="LMA979">
        <v>291137</v>
      </c>
      <c r="LMB979">
        <v>323298</v>
      </c>
      <c r="LMC979">
        <v>785695</v>
      </c>
      <c r="LMD979">
        <v>1778440</v>
      </c>
      <c r="LME979">
        <v>1620876</v>
      </c>
      <c r="LVV979" t="s">
        <v>933</v>
      </c>
      <c r="LVW979">
        <v>291137</v>
      </c>
      <c r="LVX979">
        <v>323298</v>
      </c>
      <c r="LVY979">
        <v>785695</v>
      </c>
      <c r="LVZ979">
        <v>1778440</v>
      </c>
      <c r="LWA979">
        <v>1620876</v>
      </c>
      <c r="MFR979" t="s">
        <v>933</v>
      </c>
      <c r="MFS979">
        <v>291137</v>
      </c>
      <c r="MFT979">
        <v>323298</v>
      </c>
      <c r="MFU979">
        <v>785695</v>
      </c>
      <c r="MFV979">
        <v>1778440</v>
      </c>
      <c r="MFW979">
        <v>1620876</v>
      </c>
      <c r="MPN979" t="s">
        <v>933</v>
      </c>
      <c r="MPO979">
        <v>291137</v>
      </c>
      <c r="MPP979">
        <v>323298</v>
      </c>
      <c r="MPQ979">
        <v>785695</v>
      </c>
      <c r="MPR979">
        <v>1778440</v>
      </c>
      <c r="MPS979">
        <v>1620876</v>
      </c>
      <c r="MZJ979" t="s">
        <v>933</v>
      </c>
      <c r="MZK979">
        <v>291137</v>
      </c>
      <c r="MZL979">
        <v>323298</v>
      </c>
      <c r="MZM979">
        <v>785695</v>
      </c>
      <c r="MZN979">
        <v>1778440</v>
      </c>
      <c r="MZO979">
        <v>1620876</v>
      </c>
      <c r="NJF979" t="s">
        <v>933</v>
      </c>
      <c r="NJG979">
        <v>291137</v>
      </c>
      <c r="NJH979">
        <v>323298</v>
      </c>
      <c r="NJI979">
        <v>785695</v>
      </c>
      <c r="NJJ979">
        <v>1778440</v>
      </c>
      <c r="NJK979">
        <v>1620876</v>
      </c>
      <c r="NTB979" t="s">
        <v>933</v>
      </c>
      <c r="NTC979">
        <v>291137</v>
      </c>
      <c r="NTD979">
        <v>323298</v>
      </c>
      <c r="NTE979">
        <v>785695</v>
      </c>
      <c r="NTF979">
        <v>1778440</v>
      </c>
      <c r="NTG979">
        <v>1620876</v>
      </c>
      <c r="OCX979" t="s">
        <v>933</v>
      </c>
      <c r="OCY979">
        <v>291137</v>
      </c>
      <c r="OCZ979">
        <v>323298</v>
      </c>
      <c r="ODA979">
        <v>785695</v>
      </c>
      <c r="ODB979">
        <v>1778440</v>
      </c>
      <c r="ODC979">
        <v>1620876</v>
      </c>
      <c r="OMT979" t="s">
        <v>933</v>
      </c>
      <c r="OMU979">
        <v>291137</v>
      </c>
      <c r="OMV979">
        <v>323298</v>
      </c>
      <c r="OMW979">
        <v>785695</v>
      </c>
      <c r="OMX979">
        <v>1778440</v>
      </c>
      <c r="OMY979">
        <v>1620876</v>
      </c>
      <c r="OWP979" t="s">
        <v>933</v>
      </c>
      <c r="OWQ979">
        <v>291137</v>
      </c>
      <c r="OWR979">
        <v>323298</v>
      </c>
      <c r="OWS979">
        <v>785695</v>
      </c>
      <c r="OWT979">
        <v>1778440</v>
      </c>
      <c r="OWU979">
        <v>1620876</v>
      </c>
      <c r="PGL979" t="s">
        <v>933</v>
      </c>
      <c r="PGM979">
        <v>291137</v>
      </c>
      <c r="PGN979">
        <v>323298</v>
      </c>
      <c r="PGO979">
        <v>785695</v>
      </c>
      <c r="PGP979">
        <v>1778440</v>
      </c>
      <c r="PGQ979">
        <v>1620876</v>
      </c>
      <c r="PQH979" t="s">
        <v>933</v>
      </c>
      <c r="PQI979">
        <v>291137</v>
      </c>
      <c r="PQJ979">
        <v>323298</v>
      </c>
      <c r="PQK979">
        <v>785695</v>
      </c>
      <c r="PQL979">
        <v>1778440</v>
      </c>
      <c r="PQM979">
        <v>1620876</v>
      </c>
      <c r="QAD979" t="s">
        <v>933</v>
      </c>
      <c r="QAE979">
        <v>291137</v>
      </c>
      <c r="QAF979">
        <v>323298</v>
      </c>
      <c r="QAG979">
        <v>785695</v>
      </c>
      <c r="QAH979">
        <v>1778440</v>
      </c>
      <c r="QAI979">
        <v>1620876</v>
      </c>
      <c r="QJZ979" t="s">
        <v>933</v>
      </c>
      <c r="QKA979">
        <v>291137</v>
      </c>
      <c r="QKB979">
        <v>323298</v>
      </c>
      <c r="QKC979">
        <v>785695</v>
      </c>
      <c r="QKD979">
        <v>1778440</v>
      </c>
      <c r="QKE979">
        <v>1620876</v>
      </c>
      <c r="QTV979" t="s">
        <v>933</v>
      </c>
      <c r="QTW979">
        <v>291137</v>
      </c>
      <c r="QTX979">
        <v>323298</v>
      </c>
      <c r="QTY979">
        <v>785695</v>
      </c>
      <c r="QTZ979">
        <v>1778440</v>
      </c>
      <c r="QUA979">
        <v>1620876</v>
      </c>
      <c r="RDR979" t="s">
        <v>933</v>
      </c>
      <c r="RDS979">
        <v>291137</v>
      </c>
      <c r="RDT979">
        <v>323298</v>
      </c>
      <c r="RDU979">
        <v>785695</v>
      </c>
      <c r="RDV979">
        <v>1778440</v>
      </c>
      <c r="RDW979">
        <v>1620876</v>
      </c>
      <c r="RNN979" t="s">
        <v>933</v>
      </c>
      <c r="RNO979">
        <v>291137</v>
      </c>
      <c r="RNP979">
        <v>323298</v>
      </c>
      <c r="RNQ979">
        <v>785695</v>
      </c>
      <c r="RNR979">
        <v>1778440</v>
      </c>
      <c r="RNS979">
        <v>1620876</v>
      </c>
      <c r="RXJ979" t="s">
        <v>933</v>
      </c>
      <c r="RXK979">
        <v>291137</v>
      </c>
      <c r="RXL979">
        <v>323298</v>
      </c>
      <c r="RXM979">
        <v>785695</v>
      </c>
      <c r="RXN979">
        <v>1778440</v>
      </c>
      <c r="RXO979">
        <v>1620876</v>
      </c>
      <c r="SHF979" t="s">
        <v>933</v>
      </c>
      <c r="SHG979">
        <v>291137</v>
      </c>
      <c r="SHH979">
        <v>323298</v>
      </c>
      <c r="SHI979">
        <v>785695</v>
      </c>
      <c r="SHJ979">
        <v>1778440</v>
      </c>
      <c r="SHK979">
        <v>1620876</v>
      </c>
      <c r="SRB979" t="s">
        <v>933</v>
      </c>
      <c r="SRC979">
        <v>291137</v>
      </c>
      <c r="SRD979">
        <v>323298</v>
      </c>
      <c r="SRE979">
        <v>785695</v>
      </c>
      <c r="SRF979">
        <v>1778440</v>
      </c>
      <c r="SRG979">
        <v>1620876</v>
      </c>
      <c r="TAX979" t="s">
        <v>933</v>
      </c>
      <c r="TAY979">
        <v>291137</v>
      </c>
      <c r="TAZ979">
        <v>323298</v>
      </c>
      <c r="TBA979">
        <v>785695</v>
      </c>
      <c r="TBB979">
        <v>1778440</v>
      </c>
      <c r="TBC979">
        <v>1620876</v>
      </c>
      <c r="TKT979" t="s">
        <v>933</v>
      </c>
      <c r="TKU979">
        <v>291137</v>
      </c>
      <c r="TKV979">
        <v>323298</v>
      </c>
      <c r="TKW979">
        <v>785695</v>
      </c>
      <c r="TKX979">
        <v>1778440</v>
      </c>
      <c r="TKY979">
        <v>1620876</v>
      </c>
      <c r="TUP979" t="s">
        <v>933</v>
      </c>
      <c r="TUQ979">
        <v>291137</v>
      </c>
      <c r="TUR979">
        <v>323298</v>
      </c>
      <c r="TUS979">
        <v>785695</v>
      </c>
      <c r="TUT979">
        <v>1778440</v>
      </c>
      <c r="TUU979">
        <v>1620876</v>
      </c>
      <c r="UEL979" t="s">
        <v>933</v>
      </c>
      <c r="UEM979">
        <v>291137</v>
      </c>
      <c r="UEN979">
        <v>323298</v>
      </c>
      <c r="UEO979">
        <v>785695</v>
      </c>
      <c r="UEP979">
        <v>1778440</v>
      </c>
      <c r="UEQ979">
        <v>1620876</v>
      </c>
      <c r="UOH979" t="s">
        <v>933</v>
      </c>
      <c r="UOI979">
        <v>291137</v>
      </c>
      <c r="UOJ979">
        <v>323298</v>
      </c>
      <c r="UOK979">
        <v>785695</v>
      </c>
      <c r="UOL979">
        <v>1778440</v>
      </c>
      <c r="UOM979">
        <v>1620876</v>
      </c>
      <c r="UYD979" t="s">
        <v>933</v>
      </c>
      <c r="UYE979">
        <v>291137</v>
      </c>
      <c r="UYF979">
        <v>323298</v>
      </c>
      <c r="UYG979">
        <v>785695</v>
      </c>
      <c r="UYH979">
        <v>1778440</v>
      </c>
      <c r="UYI979">
        <v>1620876</v>
      </c>
      <c r="VHZ979" t="s">
        <v>933</v>
      </c>
      <c r="VIA979">
        <v>291137</v>
      </c>
      <c r="VIB979">
        <v>323298</v>
      </c>
      <c r="VIC979">
        <v>785695</v>
      </c>
      <c r="VID979">
        <v>1778440</v>
      </c>
      <c r="VIE979">
        <v>1620876</v>
      </c>
      <c r="VRV979" t="s">
        <v>933</v>
      </c>
      <c r="VRW979">
        <v>291137</v>
      </c>
      <c r="VRX979">
        <v>323298</v>
      </c>
      <c r="VRY979">
        <v>785695</v>
      </c>
      <c r="VRZ979">
        <v>1778440</v>
      </c>
      <c r="VSA979">
        <v>1620876</v>
      </c>
      <c r="WBR979" t="s">
        <v>933</v>
      </c>
      <c r="WBS979">
        <v>291137</v>
      </c>
      <c r="WBT979">
        <v>323298</v>
      </c>
      <c r="WBU979">
        <v>785695</v>
      </c>
      <c r="WBV979">
        <v>1778440</v>
      </c>
      <c r="WBW979">
        <v>1620876</v>
      </c>
      <c r="WLN979" t="s">
        <v>933</v>
      </c>
      <c r="WLO979">
        <v>291137</v>
      </c>
      <c r="WLP979">
        <v>323298</v>
      </c>
      <c r="WLQ979">
        <v>785695</v>
      </c>
      <c r="WLR979">
        <v>1778440</v>
      </c>
      <c r="WLS979">
        <v>1620876</v>
      </c>
      <c r="WVJ979" t="s">
        <v>933</v>
      </c>
      <c r="WVK979">
        <v>291137</v>
      </c>
      <c r="WVL979">
        <v>323298</v>
      </c>
      <c r="WVM979">
        <v>785695</v>
      </c>
      <c r="WVN979">
        <v>1778440</v>
      </c>
      <c r="WVO979">
        <v>1620876</v>
      </c>
    </row>
    <row r="980" spans="1:775 1026:1799 2050:2823 3074:3847 4098:4871 5122:5895 6146:6919 7170:7943 8194:8967 9218:9991 10242:11015 11266:12039 12290:13063 13314:14087 14338:15111 15362:16135">
      <c r="A980" s="96" t="s">
        <v>900</v>
      </c>
      <c r="B980" s="1265" t="s">
        <v>780</v>
      </c>
      <c r="C980" s="100">
        <v>-574677</v>
      </c>
      <c r="D980" s="98">
        <v>0</v>
      </c>
      <c r="E980" s="98">
        <v>0</v>
      </c>
      <c r="F980" s="98">
        <v>0</v>
      </c>
      <c r="G980" s="98">
        <v>0</v>
      </c>
      <c r="H980" s="98"/>
      <c r="IX980" t="s">
        <v>900</v>
      </c>
      <c r="IY980">
        <v>-574677</v>
      </c>
      <c r="IZ980" t="s">
        <v>619</v>
      </c>
      <c r="JA980" t="s">
        <v>619</v>
      </c>
      <c r="JB980" t="s">
        <v>619</v>
      </c>
      <c r="JC980" t="s">
        <v>619</v>
      </c>
      <c r="ST980" t="s">
        <v>900</v>
      </c>
      <c r="SU980">
        <v>-574677</v>
      </c>
      <c r="SV980" t="s">
        <v>619</v>
      </c>
      <c r="SW980" t="s">
        <v>619</v>
      </c>
      <c r="SX980" t="s">
        <v>619</v>
      </c>
      <c r="SY980" t="s">
        <v>619</v>
      </c>
      <c r="ACP980" t="s">
        <v>900</v>
      </c>
      <c r="ACQ980">
        <v>-574677</v>
      </c>
      <c r="ACR980" t="s">
        <v>619</v>
      </c>
      <c r="ACS980" t="s">
        <v>619</v>
      </c>
      <c r="ACT980" t="s">
        <v>619</v>
      </c>
      <c r="ACU980" t="s">
        <v>619</v>
      </c>
      <c r="AML980" t="s">
        <v>900</v>
      </c>
      <c r="AMM980">
        <v>-574677</v>
      </c>
      <c r="AMN980" t="s">
        <v>619</v>
      </c>
      <c r="AMO980" t="s">
        <v>619</v>
      </c>
      <c r="AMP980" t="s">
        <v>619</v>
      </c>
      <c r="AMQ980" t="s">
        <v>619</v>
      </c>
      <c r="AWH980" t="s">
        <v>900</v>
      </c>
      <c r="AWI980">
        <v>-574677</v>
      </c>
      <c r="AWJ980" t="s">
        <v>619</v>
      </c>
      <c r="AWK980" t="s">
        <v>619</v>
      </c>
      <c r="AWL980" t="s">
        <v>619</v>
      </c>
      <c r="AWM980" t="s">
        <v>619</v>
      </c>
      <c r="BGD980" t="s">
        <v>900</v>
      </c>
      <c r="BGE980">
        <v>-574677</v>
      </c>
      <c r="BGF980" t="s">
        <v>619</v>
      </c>
      <c r="BGG980" t="s">
        <v>619</v>
      </c>
      <c r="BGH980" t="s">
        <v>619</v>
      </c>
      <c r="BGI980" t="s">
        <v>619</v>
      </c>
      <c r="BPZ980" t="s">
        <v>900</v>
      </c>
      <c r="BQA980">
        <v>-574677</v>
      </c>
      <c r="BQB980" t="s">
        <v>619</v>
      </c>
      <c r="BQC980" t="s">
        <v>619</v>
      </c>
      <c r="BQD980" t="s">
        <v>619</v>
      </c>
      <c r="BQE980" t="s">
        <v>619</v>
      </c>
      <c r="BZV980" t="s">
        <v>900</v>
      </c>
      <c r="BZW980">
        <v>-574677</v>
      </c>
      <c r="BZX980" t="s">
        <v>619</v>
      </c>
      <c r="BZY980" t="s">
        <v>619</v>
      </c>
      <c r="BZZ980" t="s">
        <v>619</v>
      </c>
      <c r="CAA980" t="s">
        <v>619</v>
      </c>
      <c r="CJR980" t="s">
        <v>900</v>
      </c>
      <c r="CJS980">
        <v>-574677</v>
      </c>
      <c r="CJT980" t="s">
        <v>619</v>
      </c>
      <c r="CJU980" t="s">
        <v>619</v>
      </c>
      <c r="CJV980" t="s">
        <v>619</v>
      </c>
      <c r="CJW980" t="s">
        <v>619</v>
      </c>
      <c r="CTN980" t="s">
        <v>900</v>
      </c>
      <c r="CTO980">
        <v>-574677</v>
      </c>
      <c r="CTP980" t="s">
        <v>619</v>
      </c>
      <c r="CTQ980" t="s">
        <v>619</v>
      </c>
      <c r="CTR980" t="s">
        <v>619</v>
      </c>
      <c r="CTS980" t="s">
        <v>619</v>
      </c>
      <c r="DDJ980" t="s">
        <v>900</v>
      </c>
      <c r="DDK980">
        <v>-574677</v>
      </c>
      <c r="DDL980" t="s">
        <v>619</v>
      </c>
      <c r="DDM980" t="s">
        <v>619</v>
      </c>
      <c r="DDN980" t="s">
        <v>619</v>
      </c>
      <c r="DDO980" t="s">
        <v>619</v>
      </c>
      <c r="DNF980" t="s">
        <v>900</v>
      </c>
      <c r="DNG980">
        <v>-574677</v>
      </c>
      <c r="DNH980" t="s">
        <v>619</v>
      </c>
      <c r="DNI980" t="s">
        <v>619</v>
      </c>
      <c r="DNJ980" t="s">
        <v>619</v>
      </c>
      <c r="DNK980" t="s">
        <v>619</v>
      </c>
      <c r="DXB980" t="s">
        <v>900</v>
      </c>
      <c r="DXC980">
        <v>-574677</v>
      </c>
      <c r="DXD980" t="s">
        <v>619</v>
      </c>
      <c r="DXE980" t="s">
        <v>619</v>
      </c>
      <c r="DXF980" t="s">
        <v>619</v>
      </c>
      <c r="DXG980" t="s">
        <v>619</v>
      </c>
      <c r="EGX980" t="s">
        <v>900</v>
      </c>
      <c r="EGY980">
        <v>-574677</v>
      </c>
      <c r="EGZ980" t="s">
        <v>619</v>
      </c>
      <c r="EHA980" t="s">
        <v>619</v>
      </c>
      <c r="EHB980" t="s">
        <v>619</v>
      </c>
      <c r="EHC980" t="s">
        <v>619</v>
      </c>
      <c r="EQT980" t="s">
        <v>900</v>
      </c>
      <c r="EQU980">
        <v>-574677</v>
      </c>
      <c r="EQV980" t="s">
        <v>619</v>
      </c>
      <c r="EQW980" t="s">
        <v>619</v>
      </c>
      <c r="EQX980" t="s">
        <v>619</v>
      </c>
      <c r="EQY980" t="s">
        <v>619</v>
      </c>
      <c r="FAP980" t="s">
        <v>900</v>
      </c>
      <c r="FAQ980">
        <v>-574677</v>
      </c>
      <c r="FAR980" t="s">
        <v>619</v>
      </c>
      <c r="FAS980" t="s">
        <v>619</v>
      </c>
      <c r="FAT980" t="s">
        <v>619</v>
      </c>
      <c r="FAU980" t="s">
        <v>619</v>
      </c>
      <c r="FKL980" t="s">
        <v>900</v>
      </c>
      <c r="FKM980">
        <v>-574677</v>
      </c>
      <c r="FKN980" t="s">
        <v>619</v>
      </c>
      <c r="FKO980" t="s">
        <v>619</v>
      </c>
      <c r="FKP980" t="s">
        <v>619</v>
      </c>
      <c r="FKQ980" t="s">
        <v>619</v>
      </c>
      <c r="FUH980" t="s">
        <v>900</v>
      </c>
      <c r="FUI980">
        <v>-574677</v>
      </c>
      <c r="FUJ980" t="s">
        <v>619</v>
      </c>
      <c r="FUK980" t="s">
        <v>619</v>
      </c>
      <c r="FUL980" t="s">
        <v>619</v>
      </c>
      <c r="FUM980" t="s">
        <v>619</v>
      </c>
      <c r="GED980" t="s">
        <v>900</v>
      </c>
      <c r="GEE980">
        <v>-574677</v>
      </c>
      <c r="GEF980" t="s">
        <v>619</v>
      </c>
      <c r="GEG980" t="s">
        <v>619</v>
      </c>
      <c r="GEH980" t="s">
        <v>619</v>
      </c>
      <c r="GEI980" t="s">
        <v>619</v>
      </c>
      <c r="GNZ980" t="s">
        <v>900</v>
      </c>
      <c r="GOA980">
        <v>-574677</v>
      </c>
      <c r="GOB980" t="s">
        <v>619</v>
      </c>
      <c r="GOC980" t="s">
        <v>619</v>
      </c>
      <c r="GOD980" t="s">
        <v>619</v>
      </c>
      <c r="GOE980" t="s">
        <v>619</v>
      </c>
      <c r="GXV980" t="s">
        <v>900</v>
      </c>
      <c r="GXW980">
        <v>-574677</v>
      </c>
      <c r="GXX980" t="s">
        <v>619</v>
      </c>
      <c r="GXY980" t="s">
        <v>619</v>
      </c>
      <c r="GXZ980" t="s">
        <v>619</v>
      </c>
      <c r="GYA980" t="s">
        <v>619</v>
      </c>
      <c r="HHR980" t="s">
        <v>900</v>
      </c>
      <c r="HHS980">
        <v>-574677</v>
      </c>
      <c r="HHT980" t="s">
        <v>619</v>
      </c>
      <c r="HHU980" t="s">
        <v>619</v>
      </c>
      <c r="HHV980" t="s">
        <v>619</v>
      </c>
      <c r="HHW980" t="s">
        <v>619</v>
      </c>
      <c r="HRN980" t="s">
        <v>900</v>
      </c>
      <c r="HRO980">
        <v>-574677</v>
      </c>
      <c r="HRP980" t="s">
        <v>619</v>
      </c>
      <c r="HRQ980" t="s">
        <v>619</v>
      </c>
      <c r="HRR980" t="s">
        <v>619</v>
      </c>
      <c r="HRS980" t="s">
        <v>619</v>
      </c>
      <c r="IBJ980" t="s">
        <v>900</v>
      </c>
      <c r="IBK980">
        <v>-574677</v>
      </c>
      <c r="IBL980" t="s">
        <v>619</v>
      </c>
      <c r="IBM980" t="s">
        <v>619</v>
      </c>
      <c r="IBN980" t="s">
        <v>619</v>
      </c>
      <c r="IBO980" t="s">
        <v>619</v>
      </c>
      <c r="ILF980" t="s">
        <v>900</v>
      </c>
      <c r="ILG980">
        <v>-574677</v>
      </c>
      <c r="ILH980" t="s">
        <v>619</v>
      </c>
      <c r="ILI980" t="s">
        <v>619</v>
      </c>
      <c r="ILJ980" t="s">
        <v>619</v>
      </c>
      <c r="ILK980" t="s">
        <v>619</v>
      </c>
      <c r="IVB980" t="s">
        <v>900</v>
      </c>
      <c r="IVC980">
        <v>-574677</v>
      </c>
      <c r="IVD980" t="s">
        <v>619</v>
      </c>
      <c r="IVE980" t="s">
        <v>619</v>
      </c>
      <c r="IVF980" t="s">
        <v>619</v>
      </c>
      <c r="IVG980" t="s">
        <v>619</v>
      </c>
      <c r="JEX980" t="s">
        <v>900</v>
      </c>
      <c r="JEY980">
        <v>-574677</v>
      </c>
      <c r="JEZ980" t="s">
        <v>619</v>
      </c>
      <c r="JFA980" t="s">
        <v>619</v>
      </c>
      <c r="JFB980" t="s">
        <v>619</v>
      </c>
      <c r="JFC980" t="s">
        <v>619</v>
      </c>
      <c r="JOT980" t="s">
        <v>900</v>
      </c>
      <c r="JOU980">
        <v>-574677</v>
      </c>
      <c r="JOV980" t="s">
        <v>619</v>
      </c>
      <c r="JOW980" t="s">
        <v>619</v>
      </c>
      <c r="JOX980" t="s">
        <v>619</v>
      </c>
      <c r="JOY980" t="s">
        <v>619</v>
      </c>
      <c r="JYP980" t="s">
        <v>900</v>
      </c>
      <c r="JYQ980">
        <v>-574677</v>
      </c>
      <c r="JYR980" t="s">
        <v>619</v>
      </c>
      <c r="JYS980" t="s">
        <v>619</v>
      </c>
      <c r="JYT980" t="s">
        <v>619</v>
      </c>
      <c r="JYU980" t="s">
        <v>619</v>
      </c>
      <c r="KIL980" t="s">
        <v>900</v>
      </c>
      <c r="KIM980">
        <v>-574677</v>
      </c>
      <c r="KIN980" t="s">
        <v>619</v>
      </c>
      <c r="KIO980" t="s">
        <v>619</v>
      </c>
      <c r="KIP980" t="s">
        <v>619</v>
      </c>
      <c r="KIQ980" t="s">
        <v>619</v>
      </c>
      <c r="KSH980" t="s">
        <v>900</v>
      </c>
      <c r="KSI980">
        <v>-574677</v>
      </c>
      <c r="KSJ980" t="s">
        <v>619</v>
      </c>
      <c r="KSK980" t="s">
        <v>619</v>
      </c>
      <c r="KSL980" t="s">
        <v>619</v>
      </c>
      <c r="KSM980" t="s">
        <v>619</v>
      </c>
      <c r="LCD980" t="s">
        <v>900</v>
      </c>
      <c r="LCE980">
        <v>-574677</v>
      </c>
      <c r="LCF980" t="s">
        <v>619</v>
      </c>
      <c r="LCG980" t="s">
        <v>619</v>
      </c>
      <c r="LCH980" t="s">
        <v>619</v>
      </c>
      <c r="LCI980" t="s">
        <v>619</v>
      </c>
      <c r="LLZ980" t="s">
        <v>900</v>
      </c>
      <c r="LMA980">
        <v>-574677</v>
      </c>
      <c r="LMB980" t="s">
        <v>619</v>
      </c>
      <c r="LMC980" t="s">
        <v>619</v>
      </c>
      <c r="LMD980" t="s">
        <v>619</v>
      </c>
      <c r="LME980" t="s">
        <v>619</v>
      </c>
      <c r="LVV980" t="s">
        <v>900</v>
      </c>
      <c r="LVW980">
        <v>-574677</v>
      </c>
      <c r="LVX980" t="s">
        <v>619</v>
      </c>
      <c r="LVY980" t="s">
        <v>619</v>
      </c>
      <c r="LVZ980" t="s">
        <v>619</v>
      </c>
      <c r="LWA980" t="s">
        <v>619</v>
      </c>
      <c r="MFR980" t="s">
        <v>900</v>
      </c>
      <c r="MFS980">
        <v>-574677</v>
      </c>
      <c r="MFT980" t="s">
        <v>619</v>
      </c>
      <c r="MFU980" t="s">
        <v>619</v>
      </c>
      <c r="MFV980" t="s">
        <v>619</v>
      </c>
      <c r="MFW980" t="s">
        <v>619</v>
      </c>
      <c r="MPN980" t="s">
        <v>900</v>
      </c>
      <c r="MPO980">
        <v>-574677</v>
      </c>
      <c r="MPP980" t="s">
        <v>619</v>
      </c>
      <c r="MPQ980" t="s">
        <v>619</v>
      </c>
      <c r="MPR980" t="s">
        <v>619</v>
      </c>
      <c r="MPS980" t="s">
        <v>619</v>
      </c>
      <c r="MZJ980" t="s">
        <v>900</v>
      </c>
      <c r="MZK980">
        <v>-574677</v>
      </c>
      <c r="MZL980" t="s">
        <v>619</v>
      </c>
      <c r="MZM980" t="s">
        <v>619</v>
      </c>
      <c r="MZN980" t="s">
        <v>619</v>
      </c>
      <c r="MZO980" t="s">
        <v>619</v>
      </c>
      <c r="NJF980" t="s">
        <v>900</v>
      </c>
      <c r="NJG980">
        <v>-574677</v>
      </c>
      <c r="NJH980" t="s">
        <v>619</v>
      </c>
      <c r="NJI980" t="s">
        <v>619</v>
      </c>
      <c r="NJJ980" t="s">
        <v>619</v>
      </c>
      <c r="NJK980" t="s">
        <v>619</v>
      </c>
      <c r="NTB980" t="s">
        <v>900</v>
      </c>
      <c r="NTC980">
        <v>-574677</v>
      </c>
      <c r="NTD980" t="s">
        <v>619</v>
      </c>
      <c r="NTE980" t="s">
        <v>619</v>
      </c>
      <c r="NTF980" t="s">
        <v>619</v>
      </c>
      <c r="NTG980" t="s">
        <v>619</v>
      </c>
      <c r="OCX980" t="s">
        <v>900</v>
      </c>
      <c r="OCY980">
        <v>-574677</v>
      </c>
      <c r="OCZ980" t="s">
        <v>619</v>
      </c>
      <c r="ODA980" t="s">
        <v>619</v>
      </c>
      <c r="ODB980" t="s">
        <v>619</v>
      </c>
      <c r="ODC980" t="s">
        <v>619</v>
      </c>
      <c r="OMT980" t="s">
        <v>900</v>
      </c>
      <c r="OMU980">
        <v>-574677</v>
      </c>
      <c r="OMV980" t="s">
        <v>619</v>
      </c>
      <c r="OMW980" t="s">
        <v>619</v>
      </c>
      <c r="OMX980" t="s">
        <v>619</v>
      </c>
      <c r="OMY980" t="s">
        <v>619</v>
      </c>
      <c r="OWP980" t="s">
        <v>900</v>
      </c>
      <c r="OWQ980">
        <v>-574677</v>
      </c>
      <c r="OWR980" t="s">
        <v>619</v>
      </c>
      <c r="OWS980" t="s">
        <v>619</v>
      </c>
      <c r="OWT980" t="s">
        <v>619</v>
      </c>
      <c r="OWU980" t="s">
        <v>619</v>
      </c>
      <c r="PGL980" t="s">
        <v>900</v>
      </c>
      <c r="PGM980">
        <v>-574677</v>
      </c>
      <c r="PGN980" t="s">
        <v>619</v>
      </c>
      <c r="PGO980" t="s">
        <v>619</v>
      </c>
      <c r="PGP980" t="s">
        <v>619</v>
      </c>
      <c r="PGQ980" t="s">
        <v>619</v>
      </c>
      <c r="PQH980" t="s">
        <v>900</v>
      </c>
      <c r="PQI980">
        <v>-574677</v>
      </c>
      <c r="PQJ980" t="s">
        <v>619</v>
      </c>
      <c r="PQK980" t="s">
        <v>619</v>
      </c>
      <c r="PQL980" t="s">
        <v>619</v>
      </c>
      <c r="PQM980" t="s">
        <v>619</v>
      </c>
      <c r="QAD980" t="s">
        <v>900</v>
      </c>
      <c r="QAE980">
        <v>-574677</v>
      </c>
      <c r="QAF980" t="s">
        <v>619</v>
      </c>
      <c r="QAG980" t="s">
        <v>619</v>
      </c>
      <c r="QAH980" t="s">
        <v>619</v>
      </c>
      <c r="QAI980" t="s">
        <v>619</v>
      </c>
      <c r="QJZ980" t="s">
        <v>900</v>
      </c>
      <c r="QKA980">
        <v>-574677</v>
      </c>
      <c r="QKB980" t="s">
        <v>619</v>
      </c>
      <c r="QKC980" t="s">
        <v>619</v>
      </c>
      <c r="QKD980" t="s">
        <v>619</v>
      </c>
      <c r="QKE980" t="s">
        <v>619</v>
      </c>
      <c r="QTV980" t="s">
        <v>900</v>
      </c>
      <c r="QTW980">
        <v>-574677</v>
      </c>
      <c r="QTX980" t="s">
        <v>619</v>
      </c>
      <c r="QTY980" t="s">
        <v>619</v>
      </c>
      <c r="QTZ980" t="s">
        <v>619</v>
      </c>
      <c r="QUA980" t="s">
        <v>619</v>
      </c>
      <c r="RDR980" t="s">
        <v>900</v>
      </c>
      <c r="RDS980">
        <v>-574677</v>
      </c>
      <c r="RDT980" t="s">
        <v>619</v>
      </c>
      <c r="RDU980" t="s">
        <v>619</v>
      </c>
      <c r="RDV980" t="s">
        <v>619</v>
      </c>
      <c r="RDW980" t="s">
        <v>619</v>
      </c>
      <c r="RNN980" t="s">
        <v>900</v>
      </c>
      <c r="RNO980">
        <v>-574677</v>
      </c>
      <c r="RNP980" t="s">
        <v>619</v>
      </c>
      <c r="RNQ980" t="s">
        <v>619</v>
      </c>
      <c r="RNR980" t="s">
        <v>619</v>
      </c>
      <c r="RNS980" t="s">
        <v>619</v>
      </c>
      <c r="RXJ980" t="s">
        <v>900</v>
      </c>
      <c r="RXK980">
        <v>-574677</v>
      </c>
      <c r="RXL980" t="s">
        <v>619</v>
      </c>
      <c r="RXM980" t="s">
        <v>619</v>
      </c>
      <c r="RXN980" t="s">
        <v>619</v>
      </c>
      <c r="RXO980" t="s">
        <v>619</v>
      </c>
      <c r="SHF980" t="s">
        <v>900</v>
      </c>
      <c r="SHG980">
        <v>-574677</v>
      </c>
      <c r="SHH980" t="s">
        <v>619</v>
      </c>
      <c r="SHI980" t="s">
        <v>619</v>
      </c>
      <c r="SHJ980" t="s">
        <v>619</v>
      </c>
      <c r="SHK980" t="s">
        <v>619</v>
      </c>
      <c r="SRB980" t="s">
        <v>900</v>
      </c>
      <c r="SRC980">
        <v>-574677</v>
      </c>
      <c r="SRD980" t="s">
        <v>619</v>
      </c>
      <c r="SRE980" t="s">
        <v>619</v>
      </c>
      <c r="SRF980" t="s">
        <v>619</v>
      </c>
      <c r="SRG980" t="s">
        <v>619</v>
      </c>
      <c r="TAX980" t="s">
        <v>900</v>
      </c>
      <c r="TAY980">
        <v>-574677</v>
      </c>
      <c r="TAZ980" t="s">
        <v>619</v>
      </c>
      <c r="TBA980" t="s">
        <v>619</v>
      </c>
      <c r="TBB980" t="s">
        <v>619</v>
      </c>
      <c r="TBC980" t="s">
        <v>619</v>
      </c>
      <c r="TKT980" t="s">
        <v>900</v>
      </c>
      <c r="TKU980">
        <v>-574677</v>
      </c>
      <c r="TKV980" t="s">
        <v>619</v>
      </c>
      <c r="TKW980" t="s">
        <v>619</v>
      </c>
      <c r="TKX980" t="s">
        <v>619</v>
      </c>
      <c r="TKY980" t="s">
        <v>619</v>
      </c>
      <c r="TUP980" t="s">
        <v>900</v>
      </c>
      <c r="TUQ980">
        <v>-574677</v>
      </c>
      <c r="TUR980" t="s">
        <v>619</v>
      </c>
      <c r="TUS980" t="s">
        <v>619</v>
      </c>
      <c r="TUT980" t="s">
        <v>619</v>
      </c>
      <c r="TUU980" t="s">
        <v>619</v>
      </c>
      <c r="UEL980" t="s">
        <v>900</v>
      </c>
      <c r="UEM980">
        <v>-574677</v>
      </c>
      <c r="UEN980" t="s">
        <v>619</v>
      </c>
      <c r="UEO980" t="s">
        <v>619</v>
      </c>
      <c r="UEP980" t="s">
        <v>619</v>
      </c>
      <c r="UEQ980" t="s">
        <v>619</v>
      </c>
      <c r="UOH980" t="s">
        <v>900</v>
      </c>
      <c r="UOI980">
        <v>-574677</v>
      </c>
      <c r="UOJ980" t="s">
        <v>619</v>
      </c>
      <c r="UOK980" t="s">
        <v>619</v>
      </c>
      <c r="UOL980" t="s">
        <v>619</v>
      </c>
      <c r="UOM980" t="s">
        <v>619</v>
      </c>
      <c r="UYD980" t="s">
        <v>900</v>
      </c>
      <c r="UYE980">
        <v>-574677</v>
      </c>
      <c r="UYF980" t="s">
        <v>619</v>
      </c>
      <c r="UYG980" t="s">
        <v>619</v>
      </c>
      <c r="UYH980" t="s">
        <v>619</v>
      </c>
      <c r="UYI980" t="s">
        <v>619</v>
      </c>
      <c r="VHZ980" t="s">
        <v>900</v>
      </c>
      <c r="VIA980">
        <v>-574677</v>
      </c>
      <c r="VIB980" t="s">
        <v>619</v>
      </c>
      <c r="VIC980" t="s">
        <v>619</v>
      </c>
      <c r="VID980" t="s">
        <v>619</v>
      </c>
      <c r="VIE980" t="s">
        <v>619</v>
      </c>
      <c r="VRV980" t="s">
        <v>900</v>
      </c>
      <c r="VRW980">
        <v>-574677</v>
      </c>
      <c r="VRX980" t="s">
        <v>619</v>
      </c>
      <c r="VRY980" t="s">
        <v>619</v>
      </c>
      <c r="VRZ980" t="s">
        <v>619</v>
      </c>
      <c r="VSA980" t="s">
        <v>619</v>
      </c>
      <c r="WBR980" t="s">
        <v>900</v>
      </c>
      <c r="WBS980">
        <v>-574677</v>
      </c>
      <c r="WBT980" t="s">
        <v>619</v>
      </c>
      <c r="WBU980" t="s">
        <v>619</v>
      </c>
      <c r="WBV980" t="s">
        <v>619</v>
      </c>
      <c r="WBW980" t="s">
        <v>619</v>
      </c>
      <c r="WLN980" t="s">
        <v>900</v>
      </c>
      <c r="WLO980">
        <v>-574677</v>
      </c>
      <c r="WLP980" t="s">
        <v>619</v>
      </c>
      <c r="WLQ980" t="s">
        <v>619</v>
      </c>
      <c r="WLR980" t="s">
        <v>619</v>
      </c>
      <c r="WLS980" t="s">
        <v>619</v>
      </c>
      <c r="WVJ980" t="s">
        <v>900</v>
      </c>
      <c r="WVK980">
        <v>-574677</v>
      </c>
      <c r="WVL980" t="s">
        <v>619</v>
      </c>
      <c r="WVM980" t="s">
        <v>619</v>
      </c>
      <c r="WVN980" t="s">
        <v>619</v>
      </c>
      <c r="WVO980" t="s">
        <v>619</v>
      </c>
    </row>
    <row r="981" spans="1:775 1026:1799 2050:2823 3074:3847 4098:4871 5122:5895 6146:6919 7170:7943 8194:8967 9218:9991 10242:11015 11266:12039 12290:13063 13314:14087 14338:15111 15362:16135">
      <c r="A981" s="96" t="s">
        <v>931</v>
      </c>
      <c r="B981" s="1265" t="s">
        <v>780</v>
      </c>
      <c r="C981" s="98">
        <v>0</v>
      </c>
      <c r="D981" s="98">
        <v>0</v>
      </c>
      <c r="E981" s="98">
        <v>0</v>
      </c>
      <c r="F981" s="100">
        <v>25199</v>
      </c>
      <c r="G981" s="100">
        <v>192990</v>
      </c>
      <c r="H981" s="100"/>
      <c r="IX981" t="s">
        <v>931</v>
      </c>
      <c r="IY981" t="s">
        <v>619</v>
      </c>
      <c r="IZ981" t="s">
        <v>619</v>
      </c>
      <c r="JA981" t="s">
        <v>619</v>
      </c>
      <c r="JB981">
        <v>25199</v>
      </c>
      <c r="JC981">
        <v>192990</v>
      </c>
      <c r="ST981" t="s">
        <v>931</v>
      </c>
      <c r="SU981" t="s">
        <v>619</v>
      </c>
      <c r="SV981" t="s">
        <v>619</v>
      </c>
      <c r="SW981" t="s">
        <v>619</v>
      </c>
      <c r="SX981">
        <v>25199</v>
      </c>
      <c r="SY981">
        <v>192990</v>
      </c>
      <c r="ACP981" t="s">
        <v>931</v>
      </c>
      <c r="ACQ981" t="s">
        <v>619</v>
      </c>
      <c r="ACR981" t="s">
        <v>619</v>
      </c>
      <c r="ACS981" t="s">
        <v>619</v>
      </c>
      <c r="ACT981">
        <v>25199</v>
      </c>
      <c r="ACU981">
        <v>192990</v>
      </c>
      <c r="AML981" t="s">
        <v>931</v>
      </c>
      <c r="AMM981" t="s">
        <v>619</v>
      </c>
      <c r="AMN981" t="s">
        <v>619</v>
      </c>
      <c r="AMO981" t="s">
        <v>619</v>
      </c>
      <c r="AMP981">
        <v>25199</v>
      </c>
      <c r="AMQ981">
        <v>192990</v>
      </c>
      <c r="AWH981" t="s">
        <v>931</v>
      </c>
      <c r="AWI981" t="s">
        <v>619</v>
      </c>
      <c r="AWJ981" t="s">
        <v>619</v>
      </c>
      <c r="AWK981" t="s">
        <v>619</v>
      </c>
      <c r="AWL981">
        <v>25199</v>
      </c>
      <c r="AWM981">
        <v>192990</v>
      </c>
      <c r="BGD981" t="s">
        <v>931</v>
      </c>
      <c r="BGE981" t="s">
        <v>619</v>
      </c>
      <c r="BGF981" t="s">
        <v>619</v>
      </c>
      <c r="BGG981" t="s">
        <v>619</v>
      </c>
      <c r="BGH981">
        <v>25199</v>
      </c>
      <c r="BGI981">
        <v>192990</v>
      </c>
      <c r="BPZ981" t="s">
        <v>931</v>
      </c>
      <c r="BQA981" t="s">
        <v>619</v>
      </c>
      <c r="BQB981" t="s">
        <v>619</v>
      </c>
      <c r="BQC981" t="s">
        <v>619</v>
      </c>
      <c r="BQD981">
        <v>25199</v>
      </c>
      <c r="BQE981">
        <v>192990</v>
      </c>
      <c r="BZV981" t="s">
        <v>931</v>
      </c>
      <c r="BZW981" t="s">
        <v>619</v>
      </c>
      <c r="BZX981" t="s">
        <v>619</v>
      </c>
      <c r="BZY981" t="s">
        <v>619</v>
      </c>
      <c r="BZZ981">
        <v>25199</v>
      </c>
      <c r="CAA981">
        <v>192990</v>
      </c>
      <c r="CJR981" t="s">
        <v>931</v>
      </c>
      <c r="CJS981" t="s">
        <v>619</v>
      </c>
      <c r="CJT981" t="s">
        <v>619</v>
      </c>
      <c r="CJU981" t="s">
        <v>619</v>
      </c>
      <c r="CJV981">
        <v>25199</v>
      </c>
      <c r="CJW981">
        <v>192990</v>
      </c>
      <c r="CTN981" t="s">
        <v>931</v>
      </c>
      <c r="CTO981" t="s">
        <v>619</v>
      </c>
      <c r="CTP981" t="s">
        <v>619</v>
      </c>
      <c r="CTQ981" t="s">
        <v>619</v>
      </c>
      <c r="CTR981">
        <v>25199</v>
      </c>
      <c r="CTS981">
        <v>192990</v>
      </c>
      <c r="DDJ981" t="s">
        <v>931</v>
      </c>
      <c r="DDK981" t="s">
        <v>619</v>
      </c>
      <c r="DDL981" t="s">
        <v>619</v>
      </c>
      <c r="DDM981" t="s">
        <v>619</v>
      </c>
      <c r="DDN981">
        <v>25199</v>
      </c>
      <c r="DDO981">
        <v>192990</v>
      </c>
      <c r="DNF981" t="s">
        <v>931</v>
      </c>
      <c r="DNG981" t="s">
        <v>619</v>
      </c>
      <c r="DNH981" t="s">
        <v>619</v>
      </c>
      <c r="DNI981" t="s">
        <v>619</v>
      </c>
      <c r="DNJ981">
        <v>25199</v>
      </c>
      <c r="DNK981">
        <v>192990</v>
      </c>
      <c r="DXB981" t="s">
        <v>931</v>
      </c>
      <c r="DXC981" t="s">
        <v>619</v>
      </c>
      <c r="DXD981" t="s">
        <v>619</v>
      </c>
      <c r="DXE981" t="s">
        <v>619</v>
      </c>
      <c r="DXF981">
        <v>25199</v>
      </c>
      <c r="DXG981">
        <v>192990</v>
      </c>
      <c r="EGX981" t="s">
        <v>931</v>
      </c>
      <c r="EGY981" t="s">
        <v>619</v>
      </c>
      <c r="EGZ981" t="s">
        <v>619</v>
      </c>
      <c r="EHA981" t="s">
        <v>619</v>
      </c>
      <c r="EHB981">
        <v>25199</v>
      </c>
      <c r="EHC981">
        <v>192990</v>
      </c>
      <c r="EQT981" t="s">
        <v>931</v>
      </c>
      <c r="EQU981" t="s">
        <v>619</v>
      </c>
      <c r="EQV981" t="s">
        <v>619</v>
      </c>
      <c r="EQW981" t="s">
        <v>619</v>
      </c>
      <c r="EQX981">
        <v>25199</v>
      </c>
      <c r="EQY981">
        <v>192990</v>
      </c>
      <c r="FAP981" t="s">
        <v>931</v>
      </c>
      <c r="FAQ981" t="s">
        <v>619</v>
      </c>
      <c r="FAR981" t="s">
        <v>619</v>
      </c>
      <c r="FAS981" t="s">
        <v>619</v>
      </c>
      <c r="FAT981">
        <v>25199</v>
      </c>
      <c r="FAU981">
        <v>192990</v>
      </c>
      <c r="FKL981" t="s">
        <v>931</v>
      </c>
      <c r="FKM981" t="s">
        <v>619</v>
      </c>
      <c r="FKN981" t="s">
        <v>619</v>
      </c>
      <c r="FKO981" t="s">
        <v>619</v>
      </c>
      <c r="FKP981">
        <v>25199</v>
      </c>
      <c r="FKQ981">
        <v>192990</v>
      </c>
      <c r="FUH981" t="s">
        <v>931</v>
      </c>
      <c r="FUI981" t="s">
        <v>619</v>
      </c>
      <c r="FUJ981" t="s">
        <v>619</v>
      </c>
      <c r="FUK981" t="s">
        <v>619</v>
      </c>
      <c r="FUL981">
        <v>25199</v>
      </c>
      <c r="FUM981">
        <v>192990</v>
      </c>
      <c r="GED981" t="s">
        <v>931</v>
      </c>
      <c r="GEE981" t="s">
        <v>619</v>
      </c>
      <c r="GEF981" t="s">
        <v>619</v>
      </c>
      <c r="GEG981" t="s">
        <v>619</v>
      </c>
      <c r="GEH981">
        <v>25199</v>
      </c>
      <c r="GEI981">
        <v>192990</v>
      </c>
      <c r="GNZ981" t="s">
        <v>931</v>
      </c>
      <c r="GOA981" t="s">
        <v>619</v>
      </c>
      <c r="GOB981" t="s">
        <v>619</v>
      </c>
      <c r="GOC981" t="s">
        <v>619</v>
      </c>
      <c r="GOD981">
        <v>25199</v>
      </c>
      <c r="GOE981">
        <v>192990</v>
      </c>
      <c r="GXV981" t="s">
        <v>931</v>
      </c>
      <c r="GXW981" t="s">
        <v>619</v>
      </c>
      <c r="GXX981" t="s">
        <v>619</v>
      </c>
      <c r="GXY981" t="s">
        <v>619</v>
      </c>
      <c r="GXZ981">
        <v>25199</v>
      </c>
      <c r="GYA981">
        <v>192990</v>
      </c>
      <c r="HHR981" t="s">
        <v>931</v>
      </c>
      <c r="HHS981" t="s">
        <v>619</v>
      </c>
      <c r="HHT981" t="s">
        <v>619</v>
      </c>
      <c r="HHU981" t="s">
        <v>619</v>
      </c>
      <c r="HHV981">
        <v>25199</v>
      </c>
      <c r="HHW981">
        <v>192990</v>
      </c>
      <c r="HRN981" t="s">
        <v>931</v>
      </c>
      <c r="HRO981" t="s">
        <v>619</v>
      </c>
      <c r="HRP981" t="s">
        <v>619</v>
      </c>
      <c r="HRQ981" t="s">
        <v>619</v>
      </c>
      <c r="HRR981">
        <v>25199</v>
      </c>
      <c r="HRS981">
        <v>192990</v>
      </c>
      <c r="IBJ981" t="s">
        <v>931</v>
      </c>
      <c r="IBK981" t="s">
        <v>619</v>
      </c>
      <c r="IBL981" t="s">
        <v>619</v>
      </c>
      <c r="IBM981" t="s">
        <v>619</v>
      </c>
      <c r="IBN981">
        <v>25199</v>
      </c>
      <c r="IBO981">
        <v>192990</v>
      </c>
      <c r="ILF981" t="s">
        <v>931</v>
      </c>
      <c r="ILG981" t="s">
        <v>619</v>
      </c>
      <c r="ILH981" t="s">
        <v>619</v>
      </c>
      <c r="ILI981" t="s">
        <v>619</v>
      </c>
      <c r="ILJ981">
        <v>25199</v>
      </c>
      <c r="ILK981">
        <v>192990</v>
      </c>
      <c r="IVB981" t="s">
        <v>931</v>
      </c>
      <c r="IVC981" t="s">
        <v>619</v>
      </c>
      <c r="IVD981" t="s">
        <v>619</v>
      </c>
      <c r="IVE981" t="s">
        <v>619</v>
      </c>
      <c r="IVF981">
        <v>25199</v>
      </c>
      <c r="IVG981">
        <v>192990</v>
      </c>
      <c r="JEX981" t="s">
        <v>931</v>
      </c>
      <c r="JEY981" t="s">
        <v>619</v>
      </c>
      <c r="JEZ981" t="s">
        <v>619</v>
      </c>
      <c r="JFA981" t="s">
        <v>619</v>
      </c>
      <c r="JFB981">
        <v>25199</v>
      </c>
      <c r="JFC981">
        <v>192990</v>
      </c>
      <c r="JOT981" t="s">
        <v>931</v>
      </c>
      <c r="JOU981" t="s">
        <v>619</v>
      </c>
      <c r="JOV981" t="s">
        <v>619</v>
      </c>
      <c r="JOW981" t="s">
        <v>619</v>
      </c>
      <c r="JOX981">
        <v>25199</v>
      </c>
      <c r="JOY981">
        <v>192990</v>
      </c>
      <c r="JYP981" t="s">
        <v>931</v>
      </c>
      <c r="JYQ981" t="s">
        <v>619</v>
      </c>
      <c r="JYR981" t="s">
        <v>619</v>
      </c>
      <c r="JYS981" t="s">
        <v>619</v>
      </c>
      <c r="JYT981">
        <v>25199</v>
      </c>
      <c r="JYU981">
        <v>192990</v>
      </c>
      <c r="KIL981" t="s">
        <v>931</v>
      </c>
      <c r="KIM981" t="s">
        <v>619</v>
      </c>
      <c r="KIN981" t="s">
        <v>619</v>
      </c>
      <c r="KIO981" t="s">
        <v>619</v>
      </c>
      <c r="KIP981">
        <v>25199</v>
      </c>
      <c r="KIQ981">
        <v>192990</v>
      </c>
      <c r="KSH981" t="s">
        <v>931</v>
      </c>
      <c r="KSI981" t="s">
        <v>619</v>
      </c>
      <c r="KSJ981" t="s">
        <v>619</v>
      </c>
      <c r="KSK981" t="s">
        <v>619</v>
      </c>
      <c r="KSL981">
        <v>25199</v>
      </c>
      <c r="KSM981">
        <v>192990</v>
      </c>
      <c r="LCD981" t="s">
        <v>931</v>
      </c>
      <c r="LCE981" t="s">
        <v>619</v>
      </c>
      <c r="LCF981" t="s">
        <v>619</v>
      </c>
      <c r="LCG981" t="s">
        <v>619</v>
      </c>
      <c r="LCH981">
        <v>25199</v>
      </c>
      <c r="LCI981">
        <v>192990</v>
      </c>
      <c r="LLZ981" t="s">
        <v>931</v>
      </c>
      <c r="LMA981" t="s">
        <v>619</v>
      </c>
      <c r="LMB981" t="s">
        <v>619</v>
      </c>
      <c r="LMC981" t="s">
        <v>619</v>
      </c>
      <c r="LMD981">
        <v>25199</v>
      </c>
      <c r="LME981">
        <v>192990</v>
      </c>
      <c r="LVV981" t="s">
        <v>931</v>
      </c>
      <c r="LVW981" t="s">
        <v>619</v>
      </c>
      <c r="LVX981" t="s">
        <v>619</v>
      </c>
      <c r="LVY981" t="s">
        <v>619</v>
      </c>
      <c r="LVZ981">
        <v>25199</v>
      </c>
      <c r="LWA981">
        <v>192990</v>
      </c>
      <c r="MFR981" t="s">
        <v>931</v>
      </c>
      <c r="MFS981" t="s">
        <v>619</v>
      </c>
      <c r="MFT981" t="s">
        <v>619</v>
      </c>
      <c r="MFU981" t="s">
        <v>619</v>
      </c>
      <c r="MFV981">
        <v>25199</v>
      </c>
      <c r="MFW981">
        <v>192990</v>
      </c>
      <c r="MPN981" t="s">
        <v>931</v>
      </c>
      <c r="MPO981" t="s">
        <v>619</v>
      </c>
      <c r="MPP981" t="s">
        <v>619</v>
      </c>
      <c r="MPQ981" t="s">
        <v>619</v>
      </c>
      <c r="MPR981">
        <v>25199</v>
      </c>
      <c r="MPS981">
        <v>192990</v>
      </c>
      <c r="MZJ981" t="s">
        <v>931</v>
      </c>
      <c r="MZK981" t="s">
        <v>619</v>
      </c>
      <c r="MZL981" t="s">
        <v>619</v>
      </c>
      <c r="MZM981" t="s">
        <v>619</v>
      </c>
      <c r="MZN981">
        <v>25199</v>
      </c>
      <c r="MZO981">
        <v>192990</v>
      </c>
      <c r="NJF981" t="s">
        <v>931</v>
      </c>
      <c r="NJG981" t="s">
        <v>619</v>
      </c>
      <c r="NJH981" t="s">
        <v>619</v>
      </c>
      <c r="NJI981" t="s">
        <v>619</v>
      </c>
      <c r="NJJ981">
        <v>25199</v>
      </c>
      <c r="NJK981">
        <v>192990</v>
      </c>
      <c r="NTB981" t="s">
        <v>931</v>
      </c>
      <c r="NTC981" t="s">
        <v>619</v>
      </c>
      <c r="NTD981" t="s">
        <v>619</v>
      </c>
      <c r="NTE981" t="s">
        <v>619</v>
      </c>
      <c r="NTF981">
        <v>25199</v>
      </c>
      <c r="NTG981">
        <v>192990</v>
      </c>
      <c r="OCX981" t="s">
        <v>931</v>
      </c>
      <c r="OCY981" t="s">
        <v>619</v>
      </c>
      <c r="OCZ981" t="s">
        <v>619</v>
      </c>
      <c r="ODA981" t="s">
        <v>619</v>
      </c>
      <c r="ODB981">
        <v>25199</v>
      </c>
      <c r="ODC981">
        <v>192990</v>
      </c>
      <c r="OMT981" t="s">
        <v>931</v>
      </c>
      <c r="OMU981" t="s">
        <v>619</v>
      </c>
      <c r="OMV981" t="s">
        <v>619</v>
      </c>
      <c r="OMW981" t="s">
        <v>619</v>
      </c>
      <c r="OMX981">
        <v>25199</v>
      </c>
      <c r="OMY981">
        <v>192990</v>
      </c>
      <c r="OWP981" t="s">
        <v>931</v>
      </c>
      <c r="OWQ981" t="s">
        <v>619</v>
      </c>
      <c r="OWR981" t="s">
        <v>619</v>
      </c>
      <c r="OWS981" t="s">
        <v>619</v>
      </c>
      <c r="OWT981">
        <v>25199</v>
      </c>
      <c r="OWU981">
        <v>192990</v>
      </c>
      <c r="PGL981" t="s">
        <v>931</v>
      </c>
      <c r="PGM981" t="s">
        <v>619</v>
      </c>
      <c r="PGN981" t="s">
        <v>619</v>
      </c>
      <c r="PGO981" t="s">
        <v>619</v>
      </c>
      <c r="PGP981">
        <v>25199</v>
      </c>
      <c r="PGQ981">
        <v>192990</v>
      </c>
      <c r="PQH981" t="s">
        <v>931</v>
      </c>
      <c r="PQI981" t="s">
        <v>619</v>
      </c>
      <c r="PQJ981" t="s">
        <v>619</v>
      </c>
      <c r="PQK981" t="s">
        <v>619</v>
      </c>
      <c r="PQL981">
        <v>25199</v>
      </c>
      <c r="PQM981">
        <v>192990</v>
      </c>
      <c r="QAD981" t="s">
        <v>931</v>
      </c>
      <c r="QAE981" t="s">
        <v>619</v>
      </c>
      <c r="QAF981" t="s">
        <v>619</v>
      </c>
      <c r="QAG981" t="s">
        <v>619</v>
      </c>
      <c r="QAH981">
        <v>25199</v>
      </c>
      <c r="QAI981">
        <v>192990</v>
      </c>
      <c r="QJZ981" t="s">
        <v>931</v>
      </c>
      <c r="QKA981" t="s">
        <v>619</v>
      </c>
      <c r="QKB981" t="s">
        <v>619</v>
      </c>
      <c r="QKC981" t="s">
        <v>619</v>
      </c>
      <c r="QKD981">
        <v>25199</v>
      </c>
      <c r="QKE981">
        <v>192990</v>
      </c>
      <c r="QTV981" t="s">
        <v>931</v>
      </c>
      <c r="QTW981" t="s">
        <v>619</v>
      </c>
      <c r="QTX981" t="s">
        <v>619</v>
      </c>
      <c r="QTY981" t="s">
        <v>619</v>
      </c>
      <c r="QTZ981">
        <v>25199</v>
      </c>
      <c r="QUA981">
        <v>192990</v>
      </c>
      <c r="RDR981" t="s">
        <v>931</v>
      </c>
      <c r="RDS981" t="s">
        <v>619</v>
      </c>
      <c r="RDT981" t="s">
        <v>619</v>
      </c>
      <c r="RDU981" t="s">
        <v>619</v>
      </c>
      <c r="RDV981">
        <v>25199</v>
      </c>
      <c r="RDW981">
        <v>192990</v>
      </c>
      <c r="RNN981" t="s">
        <v>931</v>
      </c>
      <c r="RNO981" t="s">
        <v>619</v>
      </c>
      <c r="RNP981" t="s">
        <v>619</v>
      </c>
      <c r="RNQ981" t="s">
        <v>619</v>
      </c>
      <c r="RNR981">
        <v>25199</v>
      </c>
      <c r="RNS981">
        <v>192990</v>
      </c>
      <c r="RXJ981" t="s">
        <v>931</v>
      </c>
      <c r="RXK981" t="s">
        <v>619</v>
      </c>
      <c r="RXL981" t="s">
        <v>619</v>
      </c>
      <c r="RXM981" t="s">
        <v>619</v>
      </c>
      <c r="RXN981">
        <v>25199</v>
      </c>
      <c r="RXO981">
        <v>192990</v>
      </c>
      <c r="SHF981" t="s">
        <v>931</v>
      </c>
      <c r="SHG981" t="s">
        <v>619</v>
      </c>
      <c r="SHH981" t="s">
        <v>619</v>
      </c>
      <c r="SHI981" t="s">
        <v>619</v>
      </c>
      <c r="SHJ981">
        <v>25199</v>
      </c>
      <c r="SHK981">
        <v>192990</v>
      </c>
      <c r="SRB981" t="s">
        <v>931</v>
      </c>
      <c r="SRC981" t="s">
        <v>619</v>
      </c>
      <c r="SRD981" t="s">
        <v>619</v>
      </c>
      <c r="SRE981" t="s">
        <v>619</v>
      </c>
      <c r="SRF981">
        <v>25199</v>
      </c>
      <c r="SRG981">
        <v>192990</v>
      </c>
      <c r="TAX981" t="s">
        <v>931</v>
      </c>
      <c r="TAY981" t="s">
        <v>619</v>
      </c>
      <c r="TAZ981" t="s">
        <v>619</v>
      </c>
      <c r="TBA981" t="s">
        <v>619</v>
      </c>
      <c r="TBB981">
        <v>25199</v>
      </c>
      <c r="TBC981">
        <v>192990</v>
      </c>
      <c r="TKT981" t="s">
        <v>931</v>
      </c>
      <c r="TKU981" t="s">
        <v>619</v>
      </c>
      <c r="TKV981" t="s">
        <v>619</v>
      </c>
      <c r="TKW981" t="s">
        <v>619</v>
      </c>
      <c r="TKX981">
        <v>25199</v>
      </c>
      <c r="TKY981">
        <v>192990</v>
      </c>
      <c r="TUP981" t="s">
        <v>931</v>
      </c>
      <c r="TUQ981" t="s">
        <v>619</v>
      </c>
      <c r="TUR981" t="s">
        <v>619</v>
      </c>
      <c r="TUS981" t="s">
        <v>619</v>
      </c>
      <c r="TUT981">
        <v>25199</v>
      </c>
      <c r="TUU981">
        <v>192990</v>
      </c>
      <c r="UEL981" t="s">
        <v>931</v>
      </c>
      <c r="UEM981" t="s">
        <v>619</v>
      </c>
      <c r="UEN981" t="s">
        <v>619</v>
      </c>
      <c r="UEO981" t="s">
        <v>619</v>
      </c>
      <c r="UEP981">
        <v>25199</v>
      </c>
      <c r="UEQ981">
        <v>192990</v>
      </c>
      <c r="UOH981" t="s">
        <v>931</v>
      </c>
      <c r="UOI981" t="s">
        <v>619</v>
      </c>
      <c r="UOJ981" t="s">
        <v>619</v>
      </c>
      <c r="UOK981" t="s">
        <v>619</v>
      </c>
      <c r="UOL981">
        <v>25199</v>
      </c>
      <c r="UOM981">
        <v>192990</v>
      </c>
      <c r="UYD981" t="s">
        <v>931</v>
      </c>
      <c r="UYE981" t="s">
        <v>619</v>
      </c>
      <c r="UYF981" t="s">
        <v>619</v>
      </c>
      <c r="UYG981" t="s">
        <v>619</v>
      </c>
      <c r="UYH981">
        <v>25199</v>
      </c>
      <c r="UYI981">
        <v>192990</v>
      </c>
      <c r="VHZ981" t="s">
        <v>931</v>
      </c>
      <c r="VIA981" t="s">
        <v>619</v>
      </c>
      <c r="VIB981" t="s">
        <v>619</v>
      </c>
      <c r="VIC981" t="s">
        <v>619</v>
      </c>
      <c r="VID981">
        <v>25199</v>
      </c>
      <c r="VIE981">
        <v>192990</v>
      </c>
      <c r="VRV981" t="s">
        <v>931</v>
      </c>
      <c r="VRW981" t="s">
        <v>619</v>
      </c>
      <c r="VRX981" t="s">
        <v>619</v>
      </c>
      <c r="VRY981" t="s">
        <v>619</v>
      </c>
      <c r="VRZ981">
        <v>25199</v>
      </c>
      <c r="VSA981">
        <v>192990</v>
      </c>
      <c r="WBR981" t="s">
        <v>931</v>
      </c>
      <c r="WBS981" t="s">
        <v>619</v>
      </c>
      <c r="WBT981" t="s">
        <v>619</v>
      </c>
      <c r="WBU981" t="s">
        <v>619</v>
      </c>
      <c r="WBV981">
        <v>25199</v>
      </c>
      <c r="WBW981">
        <v>192990</v>
      </c>
      <c r="WLN981" t="s">
        <v>931</v>
      </c>
      <c r="WLO981" t="s">
        <v>619</v>
      </c>
      <c r="WLP981" t="s">
        <v>619</v>
      </c>
      <c r="WLQ981" t="s">
        <v>619</v>
      </c>
      <c r="WLR981">
        <v>25199</v>
      </c>
      <c r="WLS981">
        <v>192990</v>
      </c>
      <c r="WVJ981" t="s">
        <v>931</v>
      </c>
      <c r="WVK981" t="s">
        <v>619</v>
      </c>
      <c r="WVL981" t="s">
        <v>619</v>
      </c>
      <c r="WVM981" t="s">
        <v>619</v>
      </c>
      <c r="WVN981">
        <v>25199</v>
      </c>
      <c r="WVO981">
        <v>192990</v>
      </c>
    </row>
    <row r="982" spans="1:775 1026:1799 2050:2823 3074:3847 4098:4871 5122:5895 6146:6919 7170:7943 8194:8967 9218:9991 10242:11015 11266:12039 12290:13063 13314:14087 14338:15111 15362:16135">
      <c r="A982" s="96" t="s">
        <v>1364</v>
      </c>
      <c r="B982" s="1265" t="s">
        <v>780</v>
      </c>
      <c r="C982" s="98">
        <v>0</v>
      </c>
      <c r="D982" s="100">
        <v>-345323</v>
      </c>
      <c r="E982" s="100">
        <v>-448466</v>
      </c>
      <c r="F982" s="100">
        <v>-748799</v>
      </c>
      <c r="G982" s="100">
        <v>-1016571</v>
      </c>
      <c r="H982" s="100"/>
      <c r="IX982" t="s">
        <v>1364</v>
      </c>
      <c r="IY982" t="s">
        <v>619</v>
      </c>
      <c r="IZ982">
        <v>-345323</v>
      </c>
      <c r="JA982">
        <v>-448466</v>
      </c>
      <c r="JB982">
        <v>-748799</v>
      </c>
      <c r="JC982">
        <v>-1016571</v>
      </c>
      <c r="ST982" t="s">
        <v>1364</v>
      </c>
      <c r="SU982" t="s">
        <v>619</v>
      </c>
      <c r="SV982">
        <v>-345323</v>
      </c>
      <c r="SW982">
        <v>-448466</v>
      </c>
      <c r="SX982">
        <v>-748799</v>
      </c>
      <c r="SY982">
        <v>-1016571</v>
      </c>
      <c r="ACP982" t="s">
        <v>1364</v>
      </c>
      <c r="ACQ982" t="s">
        <v>619</v>
      </c>
      <c r="ACR982">
        <v>-345323</v>
      </c>
      <c r="ACS982">
        <v>-448466</v>
      </c>
      <c r="ACT982">
        <v>-748799</v>
      </c>
      <c r="ACU982">
        <v>-1016571</v>
      </c>
      <c r="AML982" t="s">
        <v>1364</v>
      </c>
      <c r="AMM982" t="s">
        <v>619</v>
      </c>
      <c r="AMN982">
        <v>-345323</v>
      </c>
      <c r="AMO982">
        <v>-448466</v>
      </c>
      <c r="AMP982">
        <v>-748799</v>
      </c>
      <c r="AMQ982">
        <v>-1016571</v>
      </c>
      <c r="AWH982" t="s">
        <v>1364</v>
      </c>
      <c r="AWI982" t="s">
        <v>619</v>
      </c>
      <c r="AWJ982">
        <v>-345323</v>
      </c>
      <c r="AWK982">
        <v>-448466</v>
      </c>
      <c r="AWL982">
        <v>-748799</v>
      </c>
      <c r="AWM982">
        <v>-1016571</v>
      </c>
      <c r="BGD982" t="s">
        <v>1364</v>
      </c>
      <c r="BGE982" t="s">
        <v>619</v>
      </c>
      <c r="BGF982">
        <v>-345323</v>
      </c>
      <c r="BGG982">
        <v>-448466</v>
      </c>
      <c r="BGH982">
        <v>-748799</v>
      </c>
      <c r="BGI982">
        <v>-1016571</v>
      </c>
      <c r="BPZ982" t="s">
        <v>1364</v>
      </c>
      <c r="BQA982" t="s">
        <v>619</v>
      </c>
      <c r="BQB982">
        <v>-345323</v>
      </c>
      <c r="BQC982">
        <v>-448466</v>
      </c>
      <c r="BQD982">
        <v>-748799</v>
      </c>
      <c r="BQE982">
        <v>-1016571</v>
      </c>
      <c r="BZV982" t="s">
        <v>1364</v>
      </c>
      <c r="BZW982" t="s">
        <v>619</v>
      </c>
      <c r="BZX982">
        <v>-345323</v>
      </c>
      <c r="BZY982">
        <v>-448466</v>
      </c>
      <c r="BZZ982">
        <v>-748799</v>
      </c>
      <c r="CAA982">
        <v>-1016571</v>
      </c>
      <c r="CJR982" t="s">
        <v>1364</v>
      </c>
      <c r="CJS982" t="s">
        <v>619</v>
      </c>
      <c r="CJT982">
        <v>-345323</v>
      </c>
      <c r="CJU982">
        <v>-448466</v>
      </c>
      <c r="CJV982">
        <v>-748799</v>
      </c>
      <c r="CJW982">
        <v>-1016571</v>
      </c>
      <c r="CTN982" t="s">
        <v>1364</v>
      </c>
      <c r="CTO982" t="s">
        <v>619</v>
      </c>
      <c r="CTP982">
        <v>-345323</v>
      </c>
      <c r="CTQ982">
        <v>-448466</v>
      </c>
      <c r="CTR982">
        <v>-748799</v>
      </c>
      <c r="CTS982">
        <v>-1016571</v>
      </c>
      <c r="DDJ982" t="s">
        <v>1364</v>
      </c>
      <c r="DDK982" t="s">
        <v>619</v>
      </c>
      <c r="DDL982">
        <v>-345323</v>
      </c>
      <c r="DDM982">
        <v>-448466</v>
      </c>
      <c r="DDN982">
        <v>-748799</v>
      </c>
      <c r="DDO982">
        <v>-1016571</v>
      </c>
      <c r="DNF982" t="s">
        <v>1364</v>
      </c>
      <c r="DNG982" t="s">
        <v>619</v>
      </c>
      <c r="DNH982">
        <v>-345323</v>
      </c>
      <c r="DNI982">
        <v>-448466</v>
      </c>
      <c r="DNJ982">
        <v>-748799</v>
      </c>
      <c r="DNK982">
        <v>-1016571</v>
      </c>
      <c r="DXB982" t="s">
        <v>1364</v>
      </c>
      <c r="DXC982" t="s">
        <v>619</v>
      </c>
      <c r="DXD982">
        <v>-345323</v>
      </c>
      <c r="DXE982">
        <v>-448466</v>
      </c>
      <c r="DXF982">
        <v>-748799</v>
      </c>
      <c r="DXG982">
        <v>-1016571</v>
      </c>
      <c r="EGX982" t="s">
        <v>1364</v>
      </c>
      <c r="EGY982" t="s">
        <v>619</v>
      </c>
      <c r="EGZ982">
        <v>-345323</v>
      </c>
      <c r="EHA982">
        <v>-448466</v>
      </c>
      <c r="EHB982">
        <v>-748799</v>
      </c>
      <c r="EHC982">
        <v>-1016571</v>
      </c>
      <c r="EQT982" t="s">
        <v>1364</v>
      </c>
      <c r="EQU982" t="s">
        <v>619</v>
      </c>
      <c r="EQV982">
        <v>-345323</v>
      </c>
      <c r="EQW982">
        <v>-448466</v>
      </c>
      <c r="EQX982">
        <v>-748799</v>
      </c>
      <c r="EQY982">
        <v>-1016571</v>
      </c>
      <c r="FAP982" t="s">
        <v>1364</v>
      </c>
      <c r="FAQ982" t="s">
        <v>619</v>
      </c>
      <c r="FAR982">
        <v>-345323</v>
      </c>
      <c r="FAS982">
        <v>-448466</v>
      </c>
      <c r="FAT982">
        <v>-748799</v>
      </c>
      <c r="FAU982">
        <v>-1016571</v>
      </c>
      <c r="FKL982" t="s">
        <v>1364</v>
      </c>
      <c r="FKM982" t="s">
        <v>619</v>
      </c>
      <c r="FKN982">
        <v>-345323</v>
      </c>
      <c r="FKO982">
        <v>-448466</v>
      </c>
      <c r="FKP982">
        <v>-748799</v>
      </c>
      <c r="FKQ982">
        <v>-1016571</v>
      </c>
      <c r="FUH982" t="s">
        <v>1364</v>
      </c>
      <c r="FUI982" t="s">
        <v>619</v>
      </c>
      <c r="FUJ982">
        <v>-345323</v>
      </c>
      <c r="FUK982">
        <v>-448466</v>
      </c>
      <c r="FUL982">
        <v>-748799</v>
      </c>
      <c r="FUM982">
        <v>-1016571</v>
      </c>
      <c r="GED982" t="s">
        <v>1364</v>
      </c>
      <c r="GEE982" t="s">
        <v>619</v>
      </c>
      <c r="GEF982">
        <v>-345323</v>
      </c>
      <c r="GEG982">
        <v>-448466</v>
      </c>
      <c r="GEH982">
        <v>-748799</v>
      </c>
      <c r="GEI982">
        <v>-1016571</v>
      </c>
      <c r="GNZ982" t="s">
        <v>1364</v>
      </c>
      <c r="GOA982" t="s">
        <v>619</v>
      </c>
      <c r="GOB982">
        <v>-345323</v>
      </c>
      <c r="GOC982">
        <v>-448466</v>
      </c>
      <c r="GOD982">
        <v>-748799</v>
      </c>
      <c r="GOE982">
        <v>-1016571</v>
      </c>
      <c r="GXV982" t="s">
        <v>1364</v>
      </c>
      <c r="GXW982" t="s">
        <v>619</v>
      </c>
      <c r="GXX982">
        <v>-345323</v>
      </c>
      <c r="GXY982">
        <v>-448466</v>
      </c>
      <c r="GXZ982">
        <v>-748799</v>
      </c>
      <c r="GYA982">
        <v>-1016571</v>
      </c>
      <c r="HHR982" t="s">
        <v>1364</v>
      </c>
      <c r="HHS982" t="s">
        <v>619</v>
      </c>
      <c r="HHT982">
        <v>-345323</v>
      </c>
      <c r="HHU982">
        <v>-448466</v>
      </c>
      <c r="HHV982">
        <v>-748799</v>
      </c>
      <c r="HHW982">
        <v>-1016571</v>
      </c>
      <c r="HRN982" t="s">
        <v>1364</v>
      </c>
      <c r="HRO982" t="s">
        <v>619</v>
      </c>
      <c r="HRP982">
        <v>-345323</v>
      </c>
      <c r="HRQ982">
        <v>-448466</v>
      </c>
      <c r="HRR982">
        <v>-748799</v>
      </c>
      <c r="HRS982">
        <v>-1016571</v>
      </c>
      <c r="IBJ982" t="s">
        <v>1364</v>
      </c>
      <c r="IBK982" t="s">
        <v>619</v>
      </c>
      <c r="IBL982">
        <v>-345323</v>
      </c>
      <c r="IBM982">
        <v>-448466</v>
      </c>
      <c r="IBN982">
        <v>-748799</v>
      </c>
      <c r="IBO982">
        <v>-1016571</v>
      </c>
      <c r="ILF982" t="s">
        <v>1364</v>
      </c>
      <c r="ILG982" t="s">
        <v>619</v>
      </c>
      <c r="ILH982">
        <v>-345323</v>
      </c>
      <c r="ILI982">
        <v>-448466</v>
      </c>
      <c r="ILJ982">
        <v>-748799</v>
      </c>
      <c r="ILK982">
        <v>-1016571</v>
      </c>
      <c r="IVB982" t="s">
        <v>1364</v>
      </c>
      <c r="IVC982" t="s">
        <v>619</v>
      </c>
      <c r="IVD982">
        <v>-345323</v>
      </c>
      <c r="IVE982">
        <v>-448466</v>
      </c>
      <c r="IVF982">
        <v>-748799</v>
      </c>
      <c r="IVG982">
        <v>-1016571</v>
      </c>
      <c r="JEX982" t="s">
        <v>1364</v>
      </c>
      <c r="JEY982" t="s">
        <v>619</v>
      </c>
      <c r="JEZ982">
        <v>-345323</v>
      </c>
      <c r="JFA982">
        <v>-448466</v>
      </c>
      <c r="JFB982">
        <v>-748799</v>
      </c>
      <c r="JFC982">
        <v>-1016571</v>
      </c>
      <c r="JOT982" t="s">
        <v>1364</v>
      </c>
      <c r="JOU982" t="s">
        <v>619</v>
      </c>
      <c r="JOV982">
        <v>-345323</v>
      </c>
      <c r="JOW982">
        <v>-448466</v>
      </c>
      <c r="JOX982">
        <v>-748799</v>
      </c>
      <c r="JOY982">
        <v>-1016571</v>
      </c>
      <c r="JYP982" t="s">
        <v>1364</v>
      </c>
      <c r="JYQ982" t="s">
        <v>619</v>
      </c>
      <c r="JYR982">
        <v>-345323</v>
      </c>
      <c r="JYS982">
        <v>-448466</v>
      </c>
      <c r="JYT982">
        <v>-748799</v>
      </c>
      <c r="JYU982">
        <v>-1016571</v>
      </c>
      <c r="KIL982" t="s">
        <v>1364</v>
      </c>
      <c r="KIM982" t="s">
        <v>619</v>
      </c>
      <c r="KIN982">
        <v>-345323</v>
      </c>
      <c r="KIO982">
        <v>-448466</v>
      </c>
      <c r="KIP982">
        <v>-748799</v>
      </c>
      <c r="KIQ982">
        <v>-1016571</v>
      </c>
      <c r="KSH982" t="s">
        <v>1364</v>
      </c>
      <c r="KSI982" t="s">
        <v>619</v>
      </c>
      <c r="KSJ982">
        <v>-345323</v>
      </c>
      <c r="KSK982">
        <v>-448466</v>
      </c>
      <c r="KSL982">
        <v>-748799</v>
      </c>
      <c r="KSM982">
        <v>-1016571</v>
      </c>
      <c r="LCD982" t="s">
        <v>1364</v>
      </c>
      <c r="LCE982" t="s">
        <v>619</v>
      </c>
      <c r="LCF982">
        <v>-345323</v>
      </c>
      <c r="LCG982">
        <v>-448466</v>
      </c>
      <c r="LCH982">
        <v>-748799</v>
      </c>
      <c r="LCI982">
        <v>-1016571</v>
      </c>
      <c r="LLZ982" t="s">
        <v>1364</v>
      </c>
      <c r="LMA982" t="s">
        <v>619</v>
      </c>
      <c r="LMB982">
        <v>-345323</v>
      </c>
      <c r="LMC982">
        <v>-448466</v>
      </c>
      <c r="LMD982">
        <v>-748799</v>
      </c>
      <c r="LME982">
        <v>-1016571</v>
      </c>
      <c r="LVV982" t="s">
        <v>1364</v>
      </c>
      <c r="LVW982" t="s">
        <v>619</v>
      </c>
      <c r="LVX982">
        <v>-345323</v>
      </c>
      <c r="LVY982">
        <v>-448466</v>
      </c>
      <c r="LVZ982">
        <v>-748799</v>
      </c>
      <c r="LWA982">
        <v>-1016571</v>
      </c>
      <c r="MFR982" t="s">
        <v>1364</v>
      </c>
      <c r="MFS982" t="s">
        <v>619</v>
      </c>
      <c r="MFT982">
        <v>-345323</v>
      </c>
      <c r="MFU982">
        <v>-448466</v>
      </c>
      <c r="MFV982">
        <v>-748799</v>
      </c>
      <c r="MFW982">
        <v>-1016571</v>
      </c>
      <c r="MPN982" t="s">
        <v>1364</v>
      </c>
      <c r="MPO982" t="s">
        <v>619</v>
      </c>
      <c r="MPP982">
        <v>-345323</v>
      </c>
      <c r="MPQ982">
        <v>-448466</v>
      </c>
      <c r="MPR982">
        <v>-748799</v>
      </c>
      <c r="MPS982">
        <v>-1016571</v>
      </c>
      <c r="MZJ982" t="s">
        <v>1364</v>
      </c>
      <c r="MZK982" t="s">
        <v>619</v>
      </c>
      <c r="MZL982">
        <v>-345323</v>
      </c>
      <c r="MZM982">
        <v>-448466</v>
      </c>
      <c r="MZN982">
        <v>-748799</v>
      </c>
      <c r="MZO982">
        <v>-1016571</v>
      </c>
      <c r="NJF982" t="s">
        <v>1364</v>
      </c>
      <c r="NJG982" t="s">
        <v>619</v>
      </c>
      <c r="NJH982">
        <v>-345323</v>
      </c>
      <c r="NJI982">
        <v>-448466</v>
      </c>
      <c r="NJJ982">
        <v>-748799</v>
      </c>
      <c r="NJK982">
        <v>-1016571</v>
      </c>
      <c r="NTB982" t="s">
        <v>1364</v>
      </c>
      <c r="NTC982" t="s">
        <v>619</v>
      </c>
      <c r="NTD982">
        <v>-345323</v>
      </c>
      <c r="NTE982">
        <v>-448466</v>
      </c>
      <c r="NTF982">
        <v>-748799</v>
      </c>
      <c r="NTG982">
        <v>-1016571</v>
      </c>
      <c r="OCX982" t="s">
        <v>1364</v>
      </c>
      <c r="OCY982" t="s">
        <v>619</v>
      </c>
      <c r="OCZ982">
        <v>-345323</v>
      </c>
      <c r="ODA982">
        <v>-448466</v>
      </c>
      <c r="ODB982">
        <v>-748799</v>
      </c>
      <c r="ODC982">
        <v>-1016571</v>
      </c>
      <c r="OMT982" t="s">
        <v>1364</v>
      </c>
      <c r="OMU982" t="s">
        <v>619</v>
      </c>
      <c r="OMV982">
        <v>-345323</v>
      </c>
      <c r="OMW982">
        <v>-448466</v>
      </c>
      <c r="OMX982">
        <v>-748799</v>
      </c>
      <c r="OMY982">
        <v>-1016571</v>
      </c>
      <c r="OWP982" t="s">
        <v>1364</v>
      </c>
      <c r="OWQ982" t="s">
        <v>619</v>
      </c>
      <c r="OWR982">
        <v>-345323</v>
      </c>
      <c r="OWS982">
        <v>-448466</v>
      </c>
      <c r="OWT982">
        <v>-748799</v>
      </c>
      <c r="OWU982">
        <v>-1016571</v>
      </c>
      <c r="PGL982" t="s">
        <v>1364</v>
      </c>
      <c r="PGM982" t="s">
        <v>619</v>
      </c>
      <c r="PGN982">
        <v>-345323</v>
      </c>
      <c r="PGO982">
        <v>-448466</v>
      </c>
      <c r="PGP982">
        <v>-748799</v>
      </c>
      <c r="PGQ982">
        <v>-1016571</v>
      </c>
      <c r="PQH982" t="s">
        <v>1364</v>
      </c>
      <c r="PQI982" t="s">
        <v>619</v>
      </c>
      <c r="PQJ982">
        <v>-345323</v>
      </c>
      <c r="PQK982">
        <v>-448466</v>
      </c>
      <c r="PQL982">
        <v>-748799</v>
      </c>
      <c r="PQM982">
        <v>-1016571</v>
      </c>
      <c r="QAD982" t="s">
        <v>1364</v>
      </c>
      <c r="QAE982" t="s">
        <v>619</v>
      </c>
      <c r="QAF982">
        <v>-345323</v>
      </c>
      <c r="QAG982">
        <v>-448466</v>
      </c>
      <c r="QAH982">
        <v>-748799</v>
      </c>
      <c r="QAI982">
        <v>-1016571</v>
      </c>
      <c r="QJZ982" t="s">
        <v>1364</v>
      </c>
      <c r="QKA982" t="s">
        <v>619</v>
      </c>
      <c r="QKB982">
        <v>-345323</v>
      </c>
      <c r="QKC982">
        <v>-448466</v>
      </c>
      <c r="QKD982">
        <v>-748799</v>
      </c>
      <c r="QKE982">
        <v>-1016571</v>
      </c>
      <c r="QTV982" t="s">
        <v>1364</v>
      </c>
      <c r="QTW982" t="s">
        <v>619</v>
      </c>
      <c r="QTX982">
        <v>-345323</v>
      </c>
      <c r="QTY982">
        <v>-448466</v>
      </c>
      <c r="QTZ982">
        <v>-748799</v>
      </c>
      <c r="QUA982">
        <v>-1016571</v>
      </c>
      <c r="RDR982" t="s">
        <v>1364</v>
      </c>
      <c r="RDS982" t="s">
        <v>619</v>
      </c>
      <c r="RDT982">
        <v>-345323</v>
      </c>
      <c r="RDU982">
        <v>-448466</v>
      </c>
      <c r="RDV982">
        <v>-748799</v>
      </c>
      <c r="RDW982">
        <v>-1016571</v>
      </c>
      <c r="RNN982" t="s">
        <v>1364</v>
      </c>
      <c r="RNO982" t="s">
        <v>619</v>
      </c>
      <c r="RNP982">
        <v>-345323</v>
      </c>
      <c r="RNQ982">
        <v>-448466</v>
      </c>
      <c r="RNR982">
        <v>-748799</v>
      </c>
      <c r="RNS982">
        <v>-1016571</v>
      </c>
      <c r="RXJ982" t="s">
        <v>1364</v>
      </c>
      <c r="RXK982" t="s">
        <v>619</v>
      </c>
      <c r="RXL982">
        <v>-345323</v>
      </c>
      <c r="RXM982">
        <v>-448466</v>
      </c>
      <c r="RXN982">
        <v>-748799</v>
      </c>
      <c r="RXO982">
        <v>-1016571</v>
      </c>
      <c r="SHF982" t="s">
        <v>1364</v>
      </c>
      <c r="SHG982" t="s">
        <v>619</v>
      </c>
      <c r="SHH982">
        <v>-345323</v>
      </c>
      <c r="SHI982">
        <v>-448466</v>
      </c>
      <c r="SHJ982">
        <v>-748799</v>
      </c>
      <c r="SHK982">
        <v>-1016571</v>
      </c>
      <c r="SRB982" t="s">
        <v>1364</v>
      </c>
      <c r="SRC982" t="s">
        <v>619</v>
      </c>
      <c r="SRD982">
        <v>-345323</v>
      </c>
      <c r="SRE982">
        <v>-448466</v>
      </c>
      <c r="SRF982">
        <v>-748799</v>
      </c>
      <c r="SRG982">
        <v>-1016571</v>
      </c>
      <c r="TAX982" t="s">
        <v>1364</v>
      </c>
      <c r="TAY982" t="s">
        <v>619</v>
      </c>
      <c r="TAZ982">
        <v>-345323</v>
      </c>
      <c r="TBA982">
        <v>-448466</v>
      </c>
      <c r="TBB982">
        <v>-748799</v>
      </c>
      <c r="TBC982">
        <v>-1016571</v>
      </c>
      <c r="TKT982" t="s">
        <v>1364</v>
      </c>
      <c r="TKU982" t="s">
        <v>619</v>
      </c>
      <c r="TKV982">
        <v>-345323</v>
      </c>
      <c r="TKW982">
        <v>-448466</v>
      </c>
      <c r="TKX982">
        <v>-748799</v>
      </c>
      <c r="TKY982">
        <v>-1016571</v>
      </c>
      <c r="TUP982" t="s">
        <v>1364</v>
      </c>
      <c r="TUQ982" t="s">
        <v>619</v>
      </c>
      <c r="TUR982">
        <v>-345323</v>
      </c>
      <c r="TUS982">
        <v>-448466</v>
      </c>
      <c r="TUT982">
        <v>-748799</v>
      </c>
      <c r="TUU982">
        <v>-1016571</v>
      </c>
      <c r="UEL982" t="s">
        <v>1364</v>
      </c>
      <c r="UEM982" t="s">
        <v>619</v>
      </c>
      <c r="UEN982">
        <v>-345323</v>
      </c>
      <c r="UEO982">
        <v>-448466</v>
      </c>
      <c r="UEP982">
        <v>-748799</v>
      </c>
      <c r="UEQ982">
        <v>-1016571</v>
      </c>
      <c r="UOH982" t="s">
        <v>1364</v>
      </c>
      <c r="UOI982" t="s">
        <v>619</v>
      </c>
      <c r="UOJ982">
        <v>-345323</v>
      </c>
      <c r="UOK982">
        <v>-448466</v>
      </c>
      <c r="UOL982">
        <v>-748799</v>
      </c>
      <c r="UOM982">
        <v>-1016571</v>
      </c>
      <c r="UYD982" t="s">
        <v>1364</v>
      </c>
      <c r="UYE982" t="s">
        <v>619</v>
      </c>
      <c r="UYF982">
        <v>-345323</v>
      </c>
      <c r="UYG982">
        <v>-448466</v>
      </c>
      <c r="UYH982">
        <v>-748799</v>
      </c>
      <c r="UYI982">
        <v>-1016571</v>
      </c>
      <c r="VHZ982" t="s">
        <v>1364</v>
      </c>
      <c r="VIA982" t="s">
        <v>619</v>
      </c>
      <c r="VIB982">
        <v>-345323</v>
      </c>
      <c r="VIC982">
        <v>-448466</v>
      </c>
      <c r="VID982">
        <v>-748799</v>
      </c>
      <c r="VIE982">
        <v>-1016571</v>
      </c>
      <c r="VRV982" t="s">
        <v>1364</v>
      </c>
      <c r="VRW982" t="s">
        <v>619</v>
      </c>
      <c r="VRX982">
        <v>-345323</v>
      </c>
      <c r="VRY982">
        <v>-448466</v>
      </c>
      <c r="VRZ982">
        <v>-748799</v>
      </c>
      <c r="VSA982">
        <v>-1016571</v>
      </c>
      <c r="WBR982" t="s">
        <v>1364</v>
      </c>
      <c r="WBS982" t="s">
        <v>619</v>
      </c>
      <c r="WBT982">
        <v>-345323</v>
      </c>
      <c r="WBU982">
        <v>-448466</v>
      </c>
      <c r="WBV982">
        <v>-748799</v>
      </c>
      <c r="WBW982">
        <v>-1016571</v>
      </c>
      <c r="WLN982" t="s">
        <v>1364</v>
      </c>
      <c r="WLO982" t="s">
        <v>619</v>
      </c>
      <c r="WLP982">
        <v>-345323</v>
      </c>
      <c r="WLQ982">
        <v>-448466</v>
      </c>
      <c r="WLR982">
        <v>-748799</v>
      </c>
      <c r="WLS982">
        <v>-1016571</v>
      </c>
      <c r="WVJ982" t="s">
        <v>1364</v>
      </c>
      <c r="WVK982" t="s">
        <v>619</v>
      </c>
      <c r="WVL982">
        <v>-345323</v>
      </c>
      <c r="WVM982">
        <v>-448466</v>
      </c>
      <c r="WVN982">
        <v>-748799</v>
      </c>
      <c r="WVO982">
        <v>-1016571</v>
      </c>
    </row>
    <row r="983" spans="1:775 1026:1799 2050:2823 3074:3847 4098:4871 5122:5895 6146:6919 7170:7943 8194:8967 9218:9991 10242:11015 11266:12039 12290:13063 13314:14087 14338:15111 15362:16135">
      <c r="A983" s="96" t="s">
        <v>1365</v>
      </c>
      <c r="B983" s="1265" t="s">
        <v>780</v>
      </c>
      <c r="C983" s="98">
        <v>0</v>
      </c>
      <c r="D983" s="100">
        <v>75278</v>
      </c>
      <c r="E983" s="98">
        <v>0</v>
      </c>
      <c r="F983" s="98">
        <v>0</v>
      </c>
      <c r="G983" s="98">
        <v>0</v>
      </c>
      <c r="H983" s="98"/>
      <c r="IX983" t="s">
        <v>1365</v>
      </c>
      <c r="IY983" t="s">
        <v>619</v>
      </c>
      <c r="IZ983">
        <v>75278</v>
      </c>
      <c r="JA983" t="s">
        <v>619</v>
      </c>
      <c r="JB983" t="s">
        <v>619</v>
      </c>
      <c r="JC983" t="s">
        <v>619</v>
      </c>
      <c r="ST983" t="s">
        <v>1365</v>
      </c>
      <c r="SU983" t="s">
        <v>619</v>
      </c>
      <c r="SV983">
        <v>75278</v>
      </c>
      <c r="SW983" t="s">
        <v>619</v>
      </c>
      <c r="SX983" t="s">
        <v>619</v>
      </c>
      <c r="SY983" t="s">
        <v>619</v>
      </c>
      <c r="ACP983" t="s">
        <v>1365</v>
      </c>
      <c r="ACQ983" t="s">
        <v>619</v>
      </c>
      <c r="ACR983">
        <v>75278</v>
      </c>
      <c r="ACS983" t="s">
        <v>619</v>
      </c>
      <c r="ACT983" t="s">
        <v>619</v>
      </c>
      <c r="ACU983" t="s">
        <v>619</v>
      </c>
      <c r="AML983" t="s">
        <v>1365</v>
      </c>
      <c r="AMM983" t="s">
        <v>619</v>
      </c>
      <c r="AMN983">
        <v>75278</v>
      </c>
      <c r="AMO983" t="s">
        <v>619</v>
      </c>
      <c r="AMP983" t="s">
        <v>619</v>
      </c>
      <c r="AMQ983" t="s">
        <v>619</v>
      </c>
      <c r="AWH983" t="s">
        <v>1365</v>
      </c>
      <c r="AWI983" t="s">
        <v>619</v>
      </c>
      <c r="AWJ983">
        <v>75278</v>
      </c>
      <c r="AWK983" t="s">
        <v>619</v>
      </c>
      <c r="AWL983" t="s">
        <v>619</v>
      </c>
      <c r="AWM983" t="s">
        <v>619</v>
      </c>
      <c r="BGD983" t="s">
        <v>1365</v>
      </c>
      <c r="BGE983" t="s">
        <v>619</v>
      </c>
      <c r="BGF983">
        <v>75278</v>
      </c>
      <c r="BGG983" t="s">
        <v>619</v>
      </c>
      <c r="BGH983" t="s">
        <v>619</v>
      </c>
      <c r="BGI983" t="s">
        <v>619</v>
      </c>
      <c r="BPZ983" t="s">
        <v>1365</v>
      </c>
      <c r="BQA983" t="s">
        <v>619</v>
      </c>
      <c r="BQB983">
        <v>75278</v>
      </c>
      <c r="BQC983" t="s">
        <v>619</v>
      </c>
      <c r="BQD983" t="s">
        <v>619</v>
      </c>
      <c r="BQE983" t="s">
        <v>619</v>
      </c>
      <c r="BZV983" t="s">
        <v>1365</v>
      </c>
      <c r="BZW983" t="s">
        <v>619</v>
      </c>
      <c r="BZX983">
        <v>75278</v>
      </c>
      <c r="BZY983" t="s">
        <v>619</v>
      </c>
      <c r="BZZ983" t="s">
        <v>619</v>
      </c>
      <c r="CAA983" t="s">
        <v>619</v>
      </c>
      <c r="CJR983" t="s">
        <v>1365</v>
      </c>
      <c r="CJS983" t="s">
        <v>619</v>
      </c>
      <c r="CJT983">
        <v>75278</v>
      </c>
      <c r="CJU983" t="s">
        <v>619</v>
      </c>
      <c r="CJV983" t="s">
        <v>619</v>
      </c>
      <c r="CJW983" t="s">
        <v>619</v>
      </c>
      <c r="CTN983" t="s">
        <v>1365</v>
      </c>
      <c r="CTO983" t="s">
        <v>619</v>
      </c>
      <c r="CTP983">
        <v>75278</v>
      </c>
      <c r="CTQ983" t="s">
        <v>619</v>
      </c>
      <c r="CTR983" t="s">
        <v>619</v>
      </c>
      <c r="CTS983" t="s">
        <v>619</v>
      </c>
      <c r="DDJ983" t="s">
        <v>1365</v>
      </c>
      <c r="DDK983" t="s">
        <v>619</v>
      </c>
      <c r="DDL983">
        <v>75278</v>
      </c>
      <c r="DDM983" t="s">
        <v>619</v>
      </c>
      <c r="DDN983" t="s">
        <v>619</v>
      </c>
      <c r="DDO983" t="s">
        <v>619</v>
      </c>
      <c r="DNF983" t="s">
        <v>1365</v>
      </c>
      <c r="DNG983" t="s">
        <v>619</v>
      </c>
      <c r="DNH983">
        <v>75278</v>
      </c>
      <c r="DNI983" t="s">
        <v>619</v>
      </c>
      <c r="DNJ983" t="s">
        <v>619</v>
      </c>
      <c r="DNK983" t="s">
        <v>619</v>
      </c>
      <c r="DXB983" t="s">
        <v>1365</v>
      </c>
      <c r="DXC983" t="s">
        <v>619</v>
      </c>
      <c r="DXD983">
        <v>75278</v>
      </c>
      <c r="DXE983" t="s">
        <v>619</v>
      </c>
      <c r="DXF983" t="s">
        <v>619</v>
      </c>
      <c r="DXG983" t="s">
        <v>619</v>
      </c>
      <c r="EGX983" t="s">
        <v>1365</v>
      </c>
      <c r="EGY983" t="s">
        <v>619</v>
      </c>
      <c r="EGZ983">
        <v>75278</v>
      </c>
      <c r="EHA983" t="s">
        <v>619</v>
      </c>
      <c r="EHB983" t="s">
        <v>619</v>
      </c>
      <c r="EHC983" t="s">
        <v>619</v>
      </c>
      <c r="EQT983" t="s">
        <v>1365</v>
      </c>
      <c r="EQU983" t="s">
        <v>619</v>
      </c>
      <c r="EQV983">
        <v>75278</v>
      </c>
      <c r="EQW983" t="s">
        <v>619</v>
      </c>
      <c r="EQX983" t="s">
        <v>619</v>
      </c>
      <c r="EQY983" t="s">
        <v>619</v>
      </c>
      <c r="FAP983" t="s">
        <v>1365</v>
      </c>
      <c r="FAQ983" t="s">
        <v>619</v>
      </c>
      <c r="FAR983">
        <v>75278</v>
      </c>
      <c r="FAS983" t="s">
        <v>619</v>
      </c>
      <c r="FAT983" t="s">
        <v>619</v>
      </c>
      <c r="FAU983" t="s">
        <v>619</v>
      </c>
      <c r="FKL983" t="s">
        <v>1365</v>
      </c>
      <c r="FKM983" t="s">
        <v>619</v>
      </c>
      <c r="FKN983">
        <v>75278</v>
      </c>
      <c r="FKO983" t="s">
        <v>619</v>
      </c>
      <c r="FKP983" t="s">
        <v>619</v>
      </c>
      <c r="FKQ983" t="s">
        <v>619</v>
      </c>
      <c r="FUH983" t="s">
        <v>1365</v>
      </c>
      <c r="FUI983" t="s">
        <v>619</v>
      </c>
      <c r="FUJ983">
        <v>75278</v>
      </c>
      <c r="FUK983" t="s">
        <v>619</v>
      </c>
      <c r="FUL983" t="s">
        <v>619</v>
      </c>
      <c r="FUM983" t="s">
        <v>619</v>
      </c>
      <c r="GED983" t="s">
        <v>1365</v>
      </c>
      <c r="GEE983" t="s">
        <v>619</v>
      </c>
      <c r="GEF983">
        <v>75278</v>
      </c>
      <c r="GEG983" t="s">
        <v>619</v>
      </c>
      <c r="GEH983" t="s">
        <v>619</v>
      </c>
      <c r="GEI983" t="s">
        <v>619</v>
      </c>
      <c r="GNZ983" t="s">
        <v>1365</v>
      </c>
      <c r="GOA983" t="s">
        <v>619</v>
      </c>
      <c r="GOB983">
        <v>75278</v>
      </c>
      <c r="GOC983" t="s">
        <v>619</v>
      </c>
      <c r="GOD983" t="s">
        <v>619</v>
      </c>
      <c r="GOE983" t="s">
        <v>619</v>
      </c>
      <c r="GXV983" t="s">
        <v>1365</v>
      </c>
      <c r="GXW983" t="s">
        <v>619</v>
      </c>
      <c r="GXX983">
        <v>75278</v>
      </c>
      <c r="GXY983" t="s">
        <v>619</v>
      </c>
      <c r="GXZ983" t="s">
        <v>619</v>
      </c>
      <c r="GYA983" t="s">
        <v>619</v>
      </c>
      <c r="HHR983" t="s">
        <v>1365</v>
      </c>
      <c r="HHS983" t="s">
        <v>619</v>
      </c>
      <c r="HHT983">
        <v>75278</v>
      </c>
      <c r="HHU983" t="s">
        <v>619</v>
      </c>
      <c r="HHV983" t="s">
        <v>619</v>
      </c>
      <c r="HHW983" t="s">
        <v>619</v>
      </c>
      <c r="HRN983" t="s">
        <v>1365</v>
      </c>
      <c r="HRO983" t="s">
        <v>619</v>
      </c>
      <c r="HRP983">
        <v>75278</v>
      </c>
      <c r="HRQ983" t="s">
        <v>619</v>
      </c>
      <c r="HRR983" t="s">
        <v>619</v>
      </c>
      <c r="HRS983" t="s">
        <v>619</v>
      </c>
      <c r="IBJ983" t="s">
        <v>1365</v>
      </c>
      <c r="IBK983" t="s">
        <v>619</v>
      </c>
      <c r="IBL983">
        <v>75278</v>
      </c>
      <c r="IBM983" t="s">
        <v>619</v>
      </c>
      <c r="IBN983" t="s">
        <v>619</v>
      </c>
      <c r="IBO983" t="s">
        <v>619</v>
      </c>
      <c r="ILF983" t="s">
        <v>1365</v>
      </c>
      <c r="ILG983" t="s">
        <v>619</v>
      </c>
      <c r="ILH983">
        <v>75278</v>
      </c>
      <c r="ILI983" t="s">
        <v>619</v>
      </c>
      <c r="ILJ983" t="s">
        <v>619</v>
      </c>
      <c r="ILK983" t="s">
        <v>619</v>
      </c>
      <c r="IVB983" t="s">
        <v>1365</v>
      </c>
      <c r="IVC983" t="s">
        <v>619</v>
      </c>
      <c r="IVD983">
        <v>75278</v>
      </c>
      <c r="IVE983" t="s">
        <v>619</v>
      </c>
      <c r="IVF983" t="s">
        <v>619</v>
      </c>
      <c r="IVG983" t="s">
        <v>619</v>
      </c>
      <c r="JEX983" t="s">
        <v>1365</v>
      </c>
      <c r="JEY983" t="s">
        <v>619</v>
      </c>
      <c r="JEZ983">
        <v>75278</v>
      </c>
      <c r="JFA983" t="s">
        <v>619</v>
      </c>
      <c r="JFB983" t="s">
        <v>619</v>
      </c>
      <c r="JFC983" t="s">
        <v>619</v>
      </c>
      <c r="JOT983" t="s">
        <v>1365</v>
      </c>
      <c r="JOU983" t="s">
        <v>619</v>
      </c>
      <c r="JOV983">
        <v>75278</v>
      </c>
      <c r="JOW983" t="s">
        <v>619</v>
      </c>
      <c r="JOX983" t="s">
        <v>619</v>
      </c>
      <c r="JOY983" t="s">
        <v>619</v>
      </c>
      <c r="JYP983" t="s">
        <v>1365</v>
      </c>
      <c r="JYQ983" t="s">
        <v>619</v>
      </c>
      <c r="JYR983">
        <v>75278</v>
      </c>
      <c r="JYS983" t="s">
        <v>619</v>
      </c>
      <c r="JYT983" t="s">
        <v>619</v>
      </c>
      <c r="JYU983" t="s">
        <v>619</v>
      </c>
      <c r="KIL983" t="s">
        <v>1365</v>
      </c>
      <c r="KIM983" t="s">
        <v>619</v>
      </c>
      <c r="KIN983">
        <v>75278</v>
      </c>
      <c r="KIO983" t="s">
        <v>619</v>
      </c>
      <c r="KIP983" t="s">
        <v>619</v>
      </c>
      <c r="KIQ983" t="s">
        <v>619</v>
      </c>
      <c r="KSH983" t="s">
        <v>1365</v>
      </c>
      <c r="KSI983" t="s">
        <v>619</v>
      </c>
      <c r="KSJ983">
        <v>75278</v>
      </c>
      <c r="KSK983" t="s">
        <v>619</v>
      </c>
      <c r="KSL983" t="s">
        <v>619</v>
      </c>
      <c r="KSM983" t="s">
        <v>619</v>
      </c>
      <c r="LCD983" t="s">
        <v>1365</v>
      </c>
      <c r="LCE983" t="s">
        <v>619</v>
      </c>
      <c r="LCF983">
        <v>75278</v>
      </c>
      <c r="LCG983" t="s">
        <v>619</v>
      </c>
      <c r="LCH983" t="s">
        <v>619</v>
      </c>
      <c r="LCI983" t="s">
        <v>619</v>
      </c>
      <c r="LLZ983" t="s">
        <v>1365</v>
      </c>
      <c r="LMA983" t="s">
        <v>619</v>
      </c>
      <c r="LMB983">
        <v>75278</v>
      </c>
      <c r="LMC983" t="s">
        <v>619</v>
      </c>
      <c r="LMD983" t="s">
        <v>619</v>
      </c>
      <c r="LME983" t="s">
        <v>619</v>
      </c>
      <c r="LVV983" t="s">
        <v>1365</v>
      </c>
      <c r="LVW983" t="s">
        <v>619</v>
      </c>
      <c r="LVX983">
        <v>75278</v>
      </c>
      <c r="LVY983" t="s">
        <v>619</v>
      </c>
      <c r="LVZ983" t="s">
        <v>619</v>
      </c>
      <c r="LWA983" t="s">
        <v>619</v>
      </c>
      <c r="MFR983" t="s">
        <v>1365</v>
      </c>
      <c r="MFS983" t="s">
        <v>619</v>
      </c>
      <c r="MFT983">
        <v>75278</v>
      </c>
      <c r="MFU983" t="s">
        <v>619</v>
      </c>
      <c r="MFV983" t="s">
        <v>619</v>
      </c>
      <c r="MFW983" t="s">
        <v>619</v>
      </c>
      <c r="MPN983" t="s">
        <v>1365</v>
      </c>
      <c r="MPO983" t="s">
        <v>619</v>
      </c>
      <c r="MPP983">
        <v>75278</v>
      </c>
      <c r="MPQ983" t="s">
        <v>619</v>
      </c>
      <c r="MPR983" t="s">
        <v>619</v>
      </c>
      <c r="MPS983" t="s">
        <v>619</v>
      </c>
      <c r="MZJ983" t="s">
        <v>1365</v>
      </c>
      <c r="MZK983" t="s">
        <v>619</v>
      </c>
      <c r="MZL983">
        <v>75278</v>
      </c>
      <c r="MZM983" t="s">
        <v>619</v>
      </c>
      <c r="MZN983" t="s">
        <v>619</v>
      </c>
      <c r="MZO983" t="s">
        <v>619</v>
      </c>
      <c r="NJF983" t="s">
        <v>1365</v>
      </c>
      <c r="NJG983" t="s">
        <v>619</v>
      </c>
      <c r="NJH983">
        <v>75278</v>
      </c>
      <c r="NJI983" t="s">
        <v>619</v>
      </c>
      <c r="NJJ983" t="s">
        <v>619</v>
      </c>
      <c r="NJK983" t="s">
        <v>619</v>
      </c>
      <c r="NTB983" t="s">
        <v>1365</v>
      </c>
      <c r="NTC983" t="s">
        <v>619</v>
      </c>
      <c r="NTD983">
        <v>75278</v>
      </c>
      <c r="NTE983" t="s">
        <v>619</v>
      </c>
      <c r="NTF983" t="s">
        <v>619</v>
      </c>
      <c r="NTG983" t="s">
        <v>619</v>
      </c>
      <c r="OCX983" t="s">
        <v>1365</v>
      </c>
      <c r="OCY983" t="s">
        <v>619</v>
      </c>
      <c r="OCZ983">
        <v>75278</v>
      </c>
      <c r="ODA983" t="s">
        <v>619</v>
      </c>
      <c r="ODB983" t="s">
        <v>619</v>
      </c>
      <c r="ODC983" t="s">
        <v>619</v>
      </c>
      <c r="OMT983" t="s">
        <v>1365</v>
      </c>
      <c r="OMU983" t="s">
        <v>619</v>
      </c>
      <c r="OMV983">
        <v>75278</v>
      </c>
      <c r="OMW983" t="s">
        <v>619</v>
      </c>
      <c r="OMX983" t="s">
        <v>619</v>
      </c>
      <c r="OMY983" t="s">
        <v>619</v>
      </c>
      <c r="OWP983" t="s">
        <v>1365</v>
      </c>
      <c r="OWQ983" t="s">
        <v>619</v>
      </c>
      <c r="OWR983">
        <v>75278</v>
      </c>
      <c r="OWS983" t="s">
        <v>619</v>
      </c>
      <c r="OWT983" t="s">
        <v>619</v>
      </c>
      <c r="OWU983" t="s">
        <v>619</v>
      </c>
      <c r="PGL983" t="s">
        <v>1365</v>
      </c>
      <c r="PGM983" t="s">
        <v>619</v>
      </c>
      <c r="PGN983">
        <v>75278</v>
      </c>
      <c r="PGO983" t="s">
        <v>619</v>
      </c>
      <c r="PGP983" t="s">
        <v>619</v>
      </c>
      <c r="PGQ983" t="s">
        <v>619</v>
      </c>
      <c r="PQH983" t="s">
        <v>1365</v>
      </c>
      <c r="PQI983" t="s">
        <v>619</v>
      </c>
      <c r="PQJ983">
        <v>75278</v>
      </c>
      <c r="PQK983" t="s">
        <v>619</v>
      </c>
      <c r="PQL983" t="s">
        <v>619</v>
      </c>
      <c r="PQM983" t="s">
        <v>619</v>
      </c>
      <c r="QAD983" t="s">
        <v>1365</v>
      </c>
      <c r="QAE983" t="s">
        <v>619</v>
      </c>
      <c r="QAF983">
        <v>75278</v>
      </c>
      <c r="QAG983" t="s">
        <v>619</v>
      </c>
      <c r="QAH983" t="s">
        <v>619</v>
      </c>
      <c r="QAI983" t="s">
        <v>619</v>
      </c>
      <c r="QJZ983" t="s">
        <v>1365</v>
      </c>
      <c r="QKA983" t="s">
        <v>619</v>
      </c>
      <c r="QKB983">
        <v>75278</v>
      </c>
      <c r="QKC983" t="s">
        <v>619</v>
      </c>
      <c r="QKD983" t="s">
        <v>619</v>
      </c>
      <c r="QKE983" t="s">
        <v>619</v>
      </c>
      <c r="QTV983" t="s">
        <v>1365</v>
      </c>
      <c r="QTW983" t="s">
        <v>619</v>
      </c>
      <c r="QTX983">
        <v>75278</v>
      </c>
      <c r="QTY983" t="s">
        <v>619</v>
      </c>
      <c r="QTZ983" t="s">
        <v>619</v>
      </c>
      <c r="QUA983" t="s">
        <v>619</v>
      </c>
      <c r="RDR983" t="s">
        <v>1365</v>
      </c>
      <c r="RDS983" t="s">
        <v>619</v>
      </c>
      <c r="RDT983">
        <v>75278</v>
      </c>
      <c r="RDU983" t="s">
        <v>619</v>
      </c>
      <c r="RDV983" t="s">
        <v>619</v>
      </c>
      <c r="RDW983" t="s">
        <v>619</v>
      </c>
      <c r="RNN983" t="s">
        <v>1365</v>
      </c>
      <c r="RNO983" t="s">
        <v>619</v>
      </c>
      <c r="RNP983">
        <v>75278</v>
      </c>
      <c r="RNQ983" t="s">
        <v>619</v>
      </c>
      <c r="RNR983" t="s">
        <v>619</v>
      </c>
      <c r="RNS983" t="s">
        <v>619</v>
      </c>
      <c r="RXJ983" t="s">
        <v>1365</v>
      </c>
      <c r="RXK983" t="s">
        <v>619</v>
      </c>
      <c r="RXL983">
        <v>75278</v>
      </c>
      <c r="RXM983" t="s">
        <v>619</v>
      </c>
      <c r="RXN983" t="s">
        <v>619</v>
      </c>
      <c r="RXO983" t="s">
        <v>619</v>
      </c>
      <c r="SHF983" t="s">
        <v>1365</v>
      </c>
      <c r="SHG983" t="s">
        <v>619</v>
      </c>
      <c r="SHH983">
        <v>75278</v>
      </c>
      <c r="SHI983" t="s">
        <v>619</v>
      </c>
      <c r="SHJ983" t="s">
        <v>619</v>
      </c>
      <c r="SHK983" t="s">
        <v>619</v>
      </c>
      <c r="SRB983" t="s">
        <v>1365</v>
      </c>
      <c r="SRC983" t="s">
        <v>619</v>
      </c>
      <c r="SRD983">
        <v>75278</v>
      </c>
      <c r="SRE983" t="s">
        <v>619</v>
      </c>
      <c r="SRF983" t="s">
        <v>619</v>
      </c>
      <c r="SRG983" t="s">
        <v>619</v>
      </c>
      <c r="TAX983" t="s">
        <v>1365</v>
      </c>
      <c r="TAY983" t="s">
        <v>619</v>
      </c>
      <c r="TAZ983">
        <v>75278</v>
      </c>
      <c r="TBA983" t="s">
        <v>619</v>
      </c>
      <c r="TBB983" t="s">
        <v>619</v>
      </c>
      <c r="TBC983" t="s">
        <v>619</v>
      </c>
      <c r="TKT983" t="s">
        <v>1365</v>
      </c>
      <c r="TKU983" t="s">
        <v>619</v>
      </c>
      <c r="TKV983">
        <v>75278</v>
      </c>
      <c r="TKW983" t="s">
        <v>619</v>
      </c>
      <c r="TKX983" t="s">
        <v>619</v>
      </c>
      <c r="TKY983" t="s">
        <v>619</v>
      </c>
      <c r="TUP983" t="s">
        <v>1365</v>
      </c>
      <c r="TUQ983" t="s">
        <v>619</v>
      </c>
      <c r="TUR983">
        <v>75278</v>
      </c>
      <c r="TUS983" t="s">
        <v>619</v>
      </c>
      <c r="TUT983" t="s">
        <v>619</v>
      </c>
      <c r="TUU983" t="s">
        <v>619</v>
      </c>
      <c r="UEL983" t="s">
        <v>1365</v>
      </c>
      <c r="UEM983" t="s">
        <v>619</v>
      </c>
      <c r="UEN983">
        <v>75278</v>
      </c>
      <c r="UEO983" t="s">
        <v>619</v>
      </c>
      <c r="UEP983" t="s">
        <v>619</v>
      </c>
      <c r="UEQ983" t="s">
        <v>619</v>
      </c>
      <c r="UOH983" t="s">
        <v>1365</v>
      </c>
      <c r="UOI983" t="s">
        <v>619</v>
      </c>
      <c r="UOJ983">
        <v>75278</v>
      </c>
      <c r="UOK983" t="s">
        <v>619</v>
      </c>
      <c r="UOL983" t="s">
        <v>619</v>
      </c>
      <c r="UOM983" t="s">
        <v>619</v>
      </c>
      <c r="UYD983" t="s">
        <v>1365</v>
      </c>
      <c r="UYE983" t="s">
        <v>619</v>
      </c>
      <c r="UYF983">
        <v>75278</v>
      </c>
      <c r="UYG983" t="s">
        <v>619</v>
      </c>
      <c r="UYH983" t="s">
        <v>619</v>
      </c>
      <c r="UYI983" t="s">
        <v>619</v>
      </c>
      <c r="VHZ983" t="s">
        <v>1365</v>
      </c>
      <c r="VIA983" t="s">
        <v>619</v>
      </c>
      <c r="VIB983">
        <v>75278</v>
      </c>
      <c r="VIC983" t="s">
        <v>619</v>
      </c>
      <c r="VID983" t="s">
        <v>619</v>
      </c>
      <c r="VIE983" t="s">
        <v>619</v>
      </c>
      <c r="VRV983" t="s">
        <v>1365</v>
      </c>
      <c r="VRW983" t="s">
        <v>619</v>
      </c>
      <c r="VRX983">
        <v>75278</v>
      </c>
      <c r="VRY983" t="s">
        <v>619</v>
      </c>
      <c r="VRZ983" t="s">
        <v>619</v>
      </c>
      <c r="VSA983" t="s">
        <v>619</v>
      </c>
      <c r="WBR983" t="s">
        <v>1365</v>
      </c>
      <c r="WBS983" t="s">
        <v>619</v>
      </c>
      <c r="WBT983">
        <v>75278</v>
      </c>
      <c r="WBU983" t="s">
        <v>619</v>
      </c>
      <c r="WBV983" t="s">
        <v>619</v>
      </c>
      <c r="WBW983" t="s">
        <v>619</v>
      </c>
      <c r="WLN983" t="s">
        <v>1365</v>
      </c>
      <c r="WLO983" t="s">
        <v>619</v>
      </c>
      <c r="WLP983">
        <v>75278</v>
      </c>
      <c r="WLQ983" t="s">
        <v>619</v>
      </c>
      <c r="WLR983" t="s">
        <v>619</v>
      </c>
      <c r="WLS983" t="s">
        <v>619</v>
      </c>
      <c r="WVJ983" t="s">
        <v>1365</v>
      </c>
      <c r="WVK983" t="s">
        <v>619</v>
      </c>
      <c r="WVL983">
        <v>75278</v>
      </c>
      <c r="WVM983" t="s">
        <v>619</v>
      </c>
      <c r="WVN983" t="s">
        <v>619</v>
      </c>
      <c r="WVO983" t="s">
        <v>619</v>
      </c>
    </row>
    <row r="984" spans="1:775 1026:1799 2050:2823 3074:3847 4098:4871 5122:5895 6146:6919 7170:7943 8194:8967 9218:9991 10242:11015 11266:12039 12290:13063 13314:14087 14338:15111 15362:16135">
      <c r="A984" s="96" t="s">
        <v>1319</v>
      </c>
      <c r="B984" s="1507" t="s">
        <v>788</v>
      </c>
      <c r="C984" s="100">
        <v>-756508</v>
      </c>
      <c r="D984" s="98">
        <v>0</v>
      </c>
      <c r="E984" s="98">
        <v>0</v>
      </c>
      <c r="F984" s="98">
        <v>0</v>
      </c>
      <c r="G984" s="98">
        <v>0</v>
      </c>
      <c r="H984" s="98"/>
      <c r="IX984" t="s">
        <v>1319</v>
      </c>
      <c r="IY984">
        <v>-756508</v>
      </c>
      <c r="IZ984" t="s">
        <v>619</v>
      </c>
      <c r="JA984" t="s">
        <v>619</v>
      </c>
      <c r="JB984" t="s">
        <v>619</v>
      </c>
      <c r="JC984" t="s">
        <v>619</v>
      </c>
      <c r="ST984" t="s">
        <v>1319</v>
      </c>
      <c r="SU984">
        <v>-756508</v>
      </c>
      <c r="SV984" t="s">
        <v>619</v>
      </c>
      <c r="SW984" t="s">
        <v>619</v>
      </c>
      <c r="SX984" t="s">
        <v>619</v>
      </c>
      <c r="SY984" t="s">
        <v>619</v>
      </c>
      <c r="ACP984" t="s">
        <v>1319</v>
      </c>
      <c r="ACQ984">
        <v>-756508</v>
      </c>
      <c r="ACR984" t="s">
        <v>619</v>
      </c>
      <c r="ACS984" t="s">
        <v>619</v>
      </c>
      <c r="ACT984" t="s">
        <v>619</v>
      </c>
      <c r="ACU984" t="s">
        <v>619</v>
      </c>
      <c r="AML984" t="s">
        <v>1319</v>
      </c>
      <c r="AMM984">
        <v>-756508</v>
      </c>
      <c r="AMN984" t="s">
        <v>619</v>
      </c>
      <c r="AMO984" t="s">
        <v>619</v>
      </c>
      <c r="AMP984" t="s">
        <v>619</v>
      </c>
      <c r="AMQ984" t="s">
        <v>619</v>
      </c>
      <c r="AWH984" t="s">
        <v>1319</v>
      </c>
      <c r="AWI984">
        <v>-756508</v>
      </c>
      <c r="AWJ984" t="s">
        <v>619</v>
      </c>
      <c r="AWK984" t="s">
        <v>619</v>
      </c>
      <c r="AWL984" t="s">
        <v>619</v>
      </c>
      <c r="AWM984" t="s">
        <v>619</v>
      </c>
      <c r="BGD984" t="s">
        <v>1319</v>
      </c>
      <c r="BGE984">
        <v>-756508</v>
      </c>
      <c r="BGF984" t="s">
        <v>619</v>
      </c>
      <c r="BGG984" t="s">
        <v>619</v>
      </c>
      <c r="BGH984" t="s">
        <v>619</v>
      </c>
      <c r="BGI984" t="s">
        <v>619</v>
      </c>
      <c r="BPZ984" t="s">
        <v>1319</v>
      </c>
      <c r="BQA984">
        <v>-756508</v>
      </c>
      <c r="BQB984" t="s">
        <v>619</v>
      </c>
      <c r="BQC984" t="s">
        <v>619</v>
      </c>
      <c r="BQD984" t="s">
        <v>619</v>
      </c>
      <c r="BQE984" t="s">
        <v>619</v>
      </c>
      <c r="BZV984" t="s">
        <v>1319</v>
      </c>
      <c r="BZW984">
        <v>-756508</v>
      </c>
      <c r="BZX984" t="s">
        <v>619</v>
      </c>
      <c r="BZY984" t="s">
        <v>619</v>
      </c>
      <c r="BZZ984" t="s">
        <v>619</v>
      </c>
      <c r="CAA984" t="s">
        <v>619</v>
      </c>
      <c r="CJR984" t="s">
        <v>1319</v>
      </c>
      <c r="CJS984">
        <v>-756508</v>
      </c>
      <c r="CJT984" t="s">
        <v>619</v>
      </c>
      <c r="CJU984" t="s">
        <v>619</v>
      </c>
      <c r="CJV984" t="s">
        <v>619</v>
      </c>
      <c r="CJW984" t="s">
        <v>619</v>
      </c>
      <c r="CTN984" t="s">
        <v>1319</v>
      </c>
      <c r="CTO984">
        <v>-756508</v>
      </c>
      <c r="CTP984" t="s">
        <v>619</v>
      </c>
      <c r="CTQ984" t="s">
        <v>619</v>
      </c>
      <c r="CTR984" t="s">
        <v>619</v>
      </c>
      <c r="CTS984" t="s">
        <v>619</v>
      </c>
      <c r="DDJ984" t="s">
        <v>1319</v>
      </c>
      <c r="DDK984">
        <v>-756508</v>
      </c>
      <c r="DDL984" t="s">
        <v>619</v>
      </c>
      <c r="DDM984" t="s">
        <v>619</v>
      </c>
      <c r="DDN984" t="s">
        <v>619</v>
      </c>
      <c r="DDO984" t="s">
        <v>619</v>
      </c>
      <c r="DNF984" t="s">
        <v>1319</v>
      </c>
      <c r="DNG984">
        <v>-756508</v>
      </c>
      <c r="DNH984" t="s">
        <v>619</v>
      </c>
      <c r="DNI984" t="s">
        <v>619</v>
      </c>
      <c r="DNJ984" t="s">
        <v>619</v>
      </c>
      <c r="DNK984" t="s">
        <v>619</v>
      </c>
      <c r="DXB984" t="s">
        <v>1319</v>
      </c>
      <c r="DXC984">
        <v>-756508</v>
      </c>
      <c r="DXD984" t="s">
        <v>619</v>
      </c>
      <c r="DXE984" t="s">
        <v>619</v>
      </c>
      <c r="DXF984" t="s">
        <v>619</v>
      </c>
      <c r="DXG984" t="s">
        <v>619</v>
      </c>
      <c r="EGX984" t="s">
        <v>1319</v>
      </c>
      <c r="EGY984">
        <v>-756508</v>
      </c>
      <c r="EGZ984" t="s">
        <v>619</v>
      </c>
      <c r="EHA984" t="s">
        <v>619</v>
      </c>
      <c r="EHB984" t="s">
        <v>619</v>
      </c>
      <c r="EHC984" t="s">
        <v>619</v>
      </c>
      <c r="EQT984" t="s">
        <v>1319</v>
      </c>
      <c r="EQU984">
        <v>-756508</v>
      </c>
      <c r="EQV984" t="s">
        <v>619</v>
      </c>
      <c r="EQW984" t="s">
        <v>619</v>
      </c>
      <c r="EQX984" t="s">
        <v>619</v>
      </c>
      <c r="EQY984" t="s">
        <v>619</v>
      </c>
      <c r="FAP984" t="s">
        <v>1319</v>
      </c>
      <c r="FAQ984">
        <v>-756508</v>
      </c>
      <c r="FAR984" t="s">
        <v>619</v>
      </c>
      <c r="FAS984" t="s">
        <v>619</v>
      </c>
      <c r="FAT984" t="s">
        <v>619</v>
      </c>
      <c r="FAU984" t="s">
        <v>619</v>
      </c>
      <c r="FKL984" t="s">
        <v>1319</v>
      </c>
      <c r="FKM984">
        <v>-756508</v>
      </c>
      <c r="FKN984" t="s">
        <v>619</v>
      </c>
      <c r="FKO984" t="s">
        <v>619</v>
      </c>
      <c r="FKP984" t="s">
        <v>619</v>
      </c>
      <c r="FKQ984" t="s">
        <v>619</v>
      </c>
      <c r="FUH984" t="s">
        <v>1319</v>
      </c>
      <c r="FUI984">
        <v>-756508</v>
      </c>
      <c r="FUJ984" t="s">
        <v>619</v>
      </c>
      <c r="FUK984" t="s">
        <v>619</v>
      </c>
      <c r="FUL984" t="s">
        <v>619</v>
      </c>
      <c r="FUM984" t="s">
        <v>619</v>
      </c>
      <c r="GED984" t="s">
        <v>1319</v>
      </c>
      <c r="GEE984">
        <v>-756508</v>
      </c>
      <c r="GEF984" t="s">
        <v>619</v>
      </c>
      <c r="GEG984" t="s">
        <v>619</v>
      </c>
      <c r="GEH984" t="s">
        <v>619</v>
      </c>
      <c r="GEI984" t="s">
        <v>619</v>
      </c>
      <c r="GNZ984" t="s">
        <v>1319</v>
      </c>
      <c r="GOA984">
        <v>-756508</v>
      </c>
      <c r="GOB984" t="s">
        <v>619</v>
      </c>
      <c r="GOC984" t="s">
        <v>619</v>
      </c>
      <c r="GOD984" t="s">
        <v>619</v>
      </c>
      <c r="GOE984" t="s">
        <v>619</v>
      </c>
      <c r="GXV984" t="s">
        <v>1319</v>
      </c>
      <c r="GXW984">
        <v>-756508</v>
      </c>
      <c r="GXX984" t="s">
        <v>619</v>
      </c>
      <c r="GXY984" t="s">
        <v>619</v>
      </c>
      <c r="GXZ984" t="s">
        <v>619</v>
      </c>
      <c r="GYA984" t="s">
        <v>619</v>
      </c>
      <c r="HHR984" t="s">
        <v>1319</v>
      </c>
      <c r="HHS984">
        <v>-756508</v>
      </c>
      <c r="HHT984" t="s">
        <v>619</v>
      </c>
      <c r="HHU984" t="s">
        <v>619</v>
      </c>
      <c r="HHV984" t="s">
        <v>619</v>
      </c>
      <c r="HHW984" t="s">
        <v>619</v>
      </c>
      <c r="HRN984" t="s">
        <v>1319</v>
      </c>
      <c r="HRO984">
        <v>-756508</v>
      </c>
      <c r="HRP984" t="s">
        <v>619</v>
      </c>
      <c r="HRQ984" t="s">
        <v>619</v>
      </c>
      <c r="HRR984" t="s">
        <v>619</v>
      </c>
      <c r="HRS984" t="s">
        <v>619</v>
      </c>
      <c r="IBJ984" t="s">
        <v>1319</v>
      </c>
      <c r="IBK984">
        <v>-756508</v>
      </c>
      <c r="IBL984" t="s">
        <v>619</v>
      </c>
      <c r="IBM984" t="s">
        <v>619</v>
      </c>
      <c r="IBN984" t="s">
        <v>619</v>
      </c>
      <c r="IBO984" t="s">
        <v>619</v>
      </c>
      <c r="ILF984" t="s">
        <v>1319</v>
      </c>
      <c r="ILG984">
        <v>-756508</v>
      </c>
      <c r="ILH984" t="s">
        <v>619</v>
      </c>
      <c r="ILI984" t="s">
        <v>619</v>
      </c>
      <c r="ILJ984" t="s">
        <v>619</v>
      </c>
      <c r="ILK984" t="s">
        <v>619</v>
      </c>
      <c r="IVB984" t="s">
        <v>1319</v>
      </c>
      <c r="IVC984">
        <v>-756508</v>
      </c>
      <c r="IVD984" t="s">
        <v>619</v>
      </c>
      <c r="IVE984" t="s">
        <v>619</v>
      </c>
      <c r="IVF984" t="s">
        <v>619</v>
      </c>
      <c r="IVG984" t="s">
        <v>619</v>
      </c>
      <c r="JEX984" t="s">
        <v>1319</v>
      </c>
      <c r="JEY984">
        <v>-756508</v>
      </c>
      <c r="JEZ984" t="s">
        <v>619</v>
      </c>
      <c r="JFA984" t="s">
        <v>619</v>
      </c>
      <c r="JFB984" t="s">
        <v>619</v>
      </c>
      <c r="JFC984" t="s">
        <v>619</v>
      </c>
      <c r="JOT984" t="s">
        <v>1319</v>
      </c>
      <c r="JOU984">
        <v>-756508</v>
      </c>
      <c r="JOV984" t="s">
        <v>619</v>
      </c>
      <c r="JOW984" t="s">
        <v>619</v>
      </c>
      <c r="JOX984" t="s">
        <v>619</v>
      </c>
      <c r="JOY984" t="s">
        <v>619</v>
      </c>
      <c r="JYP984" t="s">
        <v>1319</v>
      </c>
      <c r="JYQ984">
        <v>-756508</v>
      </c>
      <c r="JYR984" t="s">
        <v>619</v>
      </c>
      <c r="JYS984" t="s">
        <v>619</v>
      </c>
      <c r="JYT984" t="s">
        <v>619</v>
      </c>
      <c r="JYU984" t="s">
        <v>619</v>
      </c>
      <c r="KIL984" t="s">
        <v>1319</v>
      </c>
      <c r="KIM984">
        <v>-756508</v>
      </c>
      <c r="KIN984" t="s">
        <v>619</v>
      </c>
      <c r="KIO984" t="s">
        <v>619</v>
      </c>
      <c r="KIP984" t="s">
        <v>619</v>
      </c>
      <c r="KIQ984" t="s">
        <v>619</v>
      </c>
      <c r="KSH984" t="s">
        <v>1319</v>
      </c>
      <c r="KSI984">
        <v>-756508</v>
      </c>
      <c r="KSJ984" t="s">
        <v>619</v>
      </c>
      <c r="KSK984" t="s">
        <v>619</v>
      </c>
      <c r="KSL984" t="s">
        <v>619</v>
      </c>
      <c r="KSM984" t="s">
        <v>619</v>
      </c>
      <c r="LCD984" t="s">
        <v>1319</v>
      </c>
      <c r="LCE984">
        <v>-756508</v>
      </c>
      <c r="LCF984" t="s">
        <v>619</v>
      </c>
      <c r="LCG984" t="s">
        <v>619</v>
      </c>
      <c r="LCH984" t="s">
        <v>619</v>
      </c>
      <c r="LCI984" t="s">
        <v>619</v>
      </c>
      <c r="LLZ984" t="s">
        <v>1319</v>
      </c>
      <c r="LMA984">
        <v>-756508</v>
      </c>
      <c r="LMB984" t="s">
        <v>619</v>
      </c>
      <c r="LMC984" t="s">
        <v>619</v>
      </c>
      <c r="LMD984" t="s">
        <v>619</v>
      </c>
      <c r="LME984" t="s">
        <v>619</v>
      </c>
      <c r="LVV984" t="s">
        <v>1319</v>
      </c>
      <c r="LVW984">
        <v>-756508</v>
      </c>
      <c r="LVX984" t="s">
        <v>619</v>
      </c>
      <c r="LVY984" t="s">
        <v>619</v>
      </c>
      <c r="LVZ984" t="s">
        <v>619</v>
      </c>
      <c r="LWA984" t="s">
        <v>619</v>
      </c>
      <c r="MFR984" t="s">
        <v>1319</v>
      </c>
      <c r="MFS984">
        <v>-756508</v>
      </c>
      <c r="MFT984" t="s">
        <v>619</v>
      </c>
      <c r="MFU984" t="s">
        <v>619</v>
      </c>
      <c r="MFV984" t="s">
        <v>619</v>
      </c>
      <c r="MFW984" t="s">
        <v>619</v>
      </c>
      <c r="MPN984" t="s">
        <v>1319</v>
      </c>
      <c r="MPO984">
        <v>-756508</v>
      </c>
      <c r="MPP984" t="s">
        <v>619</v>
      </c>
      <c r="MPQ984" t="s">
        <v>619</v>
      </c>
      <c r="MPR984" t="s">
        <v>619</v>
      </c>
      <c r="MPS984" t="s">
        <v>619</v>
      </c>
      <c r="MZJ984" t="s">
        <v>1319</v>
      </c>
      <c r="MZK984">
        <v>-756508</v>
      </c>
      <c r="MZL984" t="s">
        <v>619</v>
      </c>
      <c r="MZM984" t="s">
        <v>619</v>
      </c>
      <c r="MZN984" t="s">
        <v>619</v>
      </c>
      <c r="MZO984" t="s">
        <v>619</v>
      </c>
      <c r="NJF984" t="s">
        <v>1319</v>
      </c>
      <c r="NJG984">
        <v>-756508</v>
      </c>
      <c r="NJH984" t="s">
        <v>619</v>
      </c>
      <c r="NJI984" t="s">
        <v>619</v>
      </c>
      <c r="NJJ984" t="s">
        <v>619</v>
      </c>
      <c r="NJK984" t="s">
        <v>619</v>
      </c>
      <c r="NTB984" t="s">
        <v>1319</v>
      </c>
      <c r="NTC984">
        <v>-756508</v>
      </c>
      <c r="NTD984" t="s">
        <v>619</v>
      </c>
      <c r="NTE984" t="s">
        <v>619</v>
      </c>
      <c r="NTF984" t="s">
        <v>619</v>
      </c>
      <c r="NTG984" t="s">
        <v>619</v>
      </c>
      <c r="OCX984" t="s">
        <v>1319</v>
      </c>
      <c r="OCY984">
        <v>-756508</v>
      </c>
      <c r="OCZ984" t="s">
        <v>619</v>
      </c>
      <c r="ODA984" t="s">
        <v>619</v>
      </c>
      <c r="ODB984" t="s">
        <v>619</v>
      </c>
      <c r="ODC984" t="s">
        <v>619</v>
      </c>
      <c r="OMT984" t="s">
        <v>1319</v>
      </c>
      <c r="OMU984">
        <v>-756508</v>
      </c>
      <c r="OMV984" t="s">
        <v>619</v>
      </c>
      <c r="OMW984" t="s">
        <v>619</v>
      </c>
      <c r="OMX984" t="s">
        <v>619</v>
      </c>
      <c r="OMY984" t="s">
        <v>619</v>
      </c>
      <c r="OWP984" t="s">
        <v>1319</v>
      </c>
      <c r="OWQ984">
        <v>-756508</v>
      </c>
      <c r="OWR984" t="s">
        <v>619</v>
      </c>
      <c r="OWS984" t="s">
        <v>619</v>
      </c>
      <c r="OWT984" t="s">
        <v>619</v>
      </c>
      <c r="OWU984" t="s">
        <v>619</v>
      </c>
      <c r="PGL984" t="s">
        <v>1319</v>
      </c>
      <c r="PGM984">
        <v>-756508</v>
      </c>
      <c r="PGN984" t="s">
        <v>619</v>
      </c>
      <c r="PGO984" t="s">
        <v>619</v>
      </c>
      <c r="PGP984" t="s">
        <v>619</v>
      </c>
      <c r="PGQ984" t="s">
        <v>619</v>
      </c>
      <c r="PQH984" t="s">
        <v>1319</v>
      </c>
      <c r="PQI984">
        <v>-756508</v>
      </c>
      <c r="PQJ984" t="s">
        <v>619</v>
      </c>
      <c r="PQK984" t="s">
        <v>619</v>
      </c>
      <c r="PQL984" t="s">
        <v>619</v>
      </c>
      <c r="PQM984" t="s">
        <v>619</v>
      </c>
      <c r="QAD984" t="s">
        <v>1319</v>
      </c>
      <c r="QAE984">
        <v>-756508</v>
      </c>
      <c r="QAF984" t="s">
        <v>619</v>
      </c>
      <c r="QAG984" t="s">
        <v>619</v>
      </c>
      <c r="QAH984" t="s">
        <v>619</v>
      </c>
      <c r="QAI984" t="s">
        <v>619</v>
      </c>
      <c r="QJZ984" t="s">
        <v>1319</v>
      </c>
      <c r="QKA984">
        <v>-756508</v>
      </c>
      <c r="QKB984" t="s">
        <v>619</v>
      </c>
      <c r="QKC984" t="s">
        <v>619</v>
      </c>
      <c r="QKD984" t="s">
        <v>619</v>
      </c>
      <c r="QKE984" t="s">
        <v>619</v>
      </c>
      <c r="QTV984" t="s">
        <v>1319</v>
      </c>
      <c r="QTW984">
        <v>-756508</v>
      </c>
      <c r="QTX984" t="s">
        <v>619</v>
      </c>
      <c r="QTY984" t="s">
        <v>619</v>
      </c>
      <c r="QTZ984" t="s">
        <v>619</v>
      </c>
      <c r="QUA984" t="s">
        <v>619</v>
      </c>
      <c r="RDR984" t="s">
        <v>1319</v>
      </c>
      <c r="RDS984">
        <v>-756508</v>
      </c>
      <c r="RDT984" t="s">
        <v>619</v>
      </c>
      <c r="RDU984" t="s">
        <v>619</v>
      </c>
      <c r="RDV984" t="s">
        <v>619</v>
      </c>
      <c r="RDW984" t="s">
        <v>619</v>
      </c>
      <c r="RNN984" t="s">
        <v>1319</v>
      </c>
      <c r="RNO984">
        <v>-756508</v>
      </c>
      <c r="RNP984" t="s">
        <v>619</v>
      </c>
      <c r="RNQ984" t="s">
        <v>619</v>
      </c>
      <c r="RNR984" t="s">
        <v>619</v>
      </c>
      <c r="RNS984" t="s">
        <v>619</v>
      </c>
      <c r="RXJ984" t="s">
        <v>1319</v>
      </c>
      <c r="RXK984">
        <v>-756508</v>
      </c>
      <c r="RXL984" t="s">
        <v>619</v>
      </c>
      <c r="RXM984" t="s">
        <v>619</v>
      </c>
      <c r="RXN984" t="s">
        <v>619</v>
      </c>
      <c r="RXO984" t="s">
        <v>619</v>
      </c>
      <c r="SHF984" t="s">
        <v>1319</v>
      </c>
      <c r="SHG984">
        <v>-756508</v>
      </c>
      <c r="SHH984" t="s">
        <v>619</v>
      </c>
      <c r="SHI984" t="s">
        <v>619</v>
      </c>
      <c r="SHJ984" t="s">
        <v>619</v>
      </c>
      <c r="SHK984" t="s">
        <v>619</v>
      </c>
      <c r="SRB984" t="s">
        <v>1319</v>
      </c>
      <c r="SRC984">
        <v>-756508</v>
      </c>
      <c r="SRD984" t="s">
        <v>619</v>
      </c>
      <c r="SRE984" t="s">
        <v>619</v>
      </c>
      <c r="SRF984" t="s">
        <v>619</v>
      </c>
      <c r="SRG984" t="s">
        <v>619</v>
      </c>
      <c r="TAX984" t="s">
        <v>1319</v>
      </c>
      <c r="TAY984">
        <v>-756508</v>
      </c>
      <c r="TAZ984" t="s">
        <v>619</v>
      </c>
      <c r="TBA984" t="s">
        <v>619</v>
      </c>
      <c r="TBB984" t="s">
        <v>619</v>
      </c>
      <c r="TBC984" t="s">
        <v>619</v>
      </c>
      <c r="TKT984" t="s">
        <v>1319</v>
      </c>
      <c r="TKU984">
        <v>-756508</v>
      </c>
      <c r="TKV984" t="s">
        <v>619</v>
      </c>
      <c r="TKW984" t="s">
        <v>619</v>
      </c>
      <c r="TKX984" t="s">
        <v>619</v>
      </c>
      <c r="TKY984" t="s">
        <v>619</v>
      </c>
      <c r="TUP984" t="s">
        <v>1319</v>
      </c>
      <c r="TUQ984">
        <v>-756508</v>
      </c>
      <c r="TUR984" t="s">
        <v>619</v>
      </c>
      <c r="TUS984" t="s">
        <v>619</v>
      </c>
      <c r="TUT984" t="s">
        <v>619</v>
      </c>
      <c r="TUU984" t="s">
        <v>619</v>
      </c>
      <c r="UEL984" t="s">
        <v>1319</v>
      </c>
      <c r="UEM984">
        <v>-756508</v>
      </c>
      <c r="UEN984" t="s">
        <v>619</v>
      </c>
      <c r="UEO984" t="s">
        <v>619</v>
      </c>
      <c r="UEP984" t="s">
        <v>619</v>
      </c>
      <c r="UEQ984" t="s">
        <v>619</v>
      </c>
      <c r="UOH984" t="s">
        <v>1319</v>
      </c>
      <c r="UOI984">
        <v>-756508</v>
      </c>
      <c r="UOJ984" t="s">
        <v>619</v>
      </c>
      <c r="UOK984" t="s">
        <v>619</v>
      </c>
      <c r="UOL984" t="s">
        <v>619</v>
      </c>
      <c r="UOM984" t="s">
        <v>619</v>
      </c>
      <c r="UYD984" t="s">
        <v>1319</v>
      </c>
      <c r="UYE984">
        <v>-756508</v>
      </c>
      <c r="UYF984" t="s">
        <v>619</v>
      </c>
      <c r="UYG984" t="s">
        <v>619</v>
      </c>
      <c r="UYH984" t="s">
        <v>619</v>
      </c>
      <c r="UYI984" t="s">
        <v>619</v>
      </c>
      <c r="VHZ984" t="s">
        <v>1319</v>
      </c>
      <c r="VIA984">
        <v>-756508</v>
      </c>
      <c r="VIB984" t="s">
        <v>619</v>
      </c>
      <c r="VIC984" t="s">
        <v>619</v>
      </c>
      <c r="VID984" t="s">
        <v>619</v>
      </c>
      <c r="VIE984" t="s">
        <v>619</v>
      </c>
      <c r="VRV984" t="s">
        <v>1319</v>
      </c>
      <c r="VRW984">
        <v>-756508</v>
      </c>
      <c r="VRX984" t="s">
        <v>619</v>
      </c>
      <c r="VRY984" t="s">
        <v>619</v>
      </c>
      <c r="VRZ984" t="s">
        <v>619</v>
      </c>
      <c r="VSA984" t="s">
        <v>619</v>
      </c>
      <c r="WBR984" t="s">
        <v>1319</v>
      </c>
      <c r="WBS984">
        <v>-756508</v>
      </c>
      <c r="WBT984" t="s">
        <v>619</v>
      </c>
      <c r="WBU984" t="s">
        <v>619</v>
      </c>
      <c r="WBV984" t="s">
        <v>619</v>
      </c>
      <c r="WBW984" t="s">
        <v>619</v>
      </c>
      <c r="WLN984" t="s">
        <v>1319</v>
      </c>
      <c r="WLO984">
        <v>-756508</v>
      </c>
      <c r="WLP984" t="s">
        <v>619</v>
      </c>
      <c r="WLQ984" t="s">
        <v>619</v>
      </c>
      <c r="WLR984" t="s">
        <v>619</v>
      </c>
      <c r="WLS984" t="s">
        <v>619</v>
      </c>
      <c r="WVJ984" t="s">
        <v>1319</v>
      </c>
      <c r="WVK984">
        <v>-756508</v>
      </c>
      <c r="WVL984" t="s">
        <v>619</v>
      </c>
      <c r="WVM984" t="s">
        <v>619</v>
      </c>
      <c r="WVN984" t="s">
        <v>619</v>
      </c>
      <c r="WVO984" t="s">
        <v>619</v>
      </c>
    </row>
    <row r="985" spans="1:775 1026:1799 2050:2823 3074:3847 4098:4871 5122:5895 6146:6919 7170:7943 8194:8967 9218:9991 10242:11015 11266:12039 12290:13063 13314:14087 14338:15111 15362:16135">
      <c r="A985" s="96" t="s">
        <v>1320</v>
      </c>
      <c r="B985" s="1507" t="s">
        <v>788</v>
      </c>
      <c r="C985" s="98">
        <v>0</v>
      </c>
      <c r="D985" s="100">
        <v>-681556</v>
      </c>
      <c r="E985" s="100">
        <v>237928</v>
      </c>
      <c r="F985" s="100">
        <v>-1717747</v>
      </c>
      <c r="G985" s="100">
        <v>-2303364</v>
      </c>
      <c r="H985" s="100"/>
      <c r="IX985" t="s">
        <v>1320</v>
      </c>
      <c r="IY985" t="s">
        <v>619</v>
      </c>
      <c r="IZ985">
        <v>-681556</v>
      </c>
      <c r="JA985">
        <v>237928</v>
      </c>
      <c r="JB985">
        <v>-1717747</v>
      </c>
      <c r="JC985">
        <v>-2303364</v>
      </c>
      <c r="ST985" t="s">
        <v>1320</v>
      </c>
      <c r="SU985" t="s">
        <v>619</v>
      </c>
      <c r="SV985">
        <v>-681556</v>
      </c>
      <c r="SW985">
        <v>237928</v>
      </c>
      <c r="SX985">
        <v>-1717747</v>
      </c>
      <c r="SY985">
        <v>-2303364</v>
      </c>
      <c r="ACP985" t="s">
        <v>1320</v>
      </c>
      <c r="ACQ985" t="s">
        <v>619</v>
      </c>
      <c r="ACR985">
        <v>-681556</v>
      </c>
      <c r="ACS985">
        <v>237928</v>
      </c>
      <c r="ACT985">
        <v>-1717747</v>
      </c>
      <c r="ACU985">
        <v>-2303364</v>
      </c>
      <c r="AML985" t="s">
        <v>1320</v>
      </c>
      <c r="AMM985" t="s">
        <v>619</v>
      </c>
      <c r="AMN985">
        <v>-681556</v>
      </c>
      <c r="AMO985">
        <v>237928</v>
      </c>
      <c r="AMP985">
        <v>-1717747</v>
      </c>
      <c r="AMQ985">
        <v>-2303364</v>
      </c>
      <c r="AWH985" t="s">
        <v>1320</v>
      </c>
      <c r="AWI985" t="s">
        <v>619</v>
      </c>
      <c r="AWJ985">
        <v>-681556</v>
      </c>
      <c r="AWK985">
        <v>237928</v>
      </c>
      <c r="AWL985">
        <v>-1717747</v>
      </c>
      <c r="AWM985">
        <v>-2303364</v>
      </c>
      <c r="BGD985" t="s">
        <v>1320</v>
      </c>
      <c r="BGE985" t="s">
        <v>619</v>
      </c>
      <c r="BGF985">
        <v>-681556</v>
      </c>
      <c r="BGG985">
        <v>237928</v>
      </c>
      <c r="BGH985">
        <v>-1717747</v>
      </c>
      <c r="BGI985">
        <v>-2303364</v>
      </c>
      <c r="BPZ985" t="s">
        <v>1320</v>
      </c>
      <c r="BQA985" t="s">
        <v>619</v>
      </c>
      <c r="BQB985">
        <v>-681556</v>
      </c>
      <c r="BQC985">
        <v>237928</v>
      </c>
      <c r="BQD985">
        <v>-1717747</v>
      </c>
      <c r="BQE985">
        <v>-2303364</v>
      </c>
      <c r="BZV985" t="s">
        <v>1320</v>
      </c>
      <c r="BZW985" t="s">
        <v>619</v>
      </c>
      <c r="BZX985">
        <v>-681556</v>
      </c>
      <c r="BZY985">
        <v>237928</v>
      </c>
      <c r="BZZ985">
        <v>-1717747</v>
      </c>
      <c r="CAA985">
        <v>-2303364</v>
      </c>
      <c r="CJR985" t="s">
        <v>1320</v>
      </c>
      <c r="CJS985" t="s">
        <v>619</v>
      </c>
      <c r="CJT985">
        <v>-681556</v>
      </c>
      <c r="CJU985">
        <v>237928</v>
      </c>
      <c r="CJV985">
        <v>-1717747</v>
      </c>
      <c r="CJW985">
        <v>-2303364</v>
      </c>
      <c r="CTN985" t="s">
        <v>1320</v>
      </c>
      <c r="CTO985" t="s">
        <v>619</v>
      </c>
      <c r="CTP985">
        <v>-681556</v>
      </c>
      <c r="CTQ985">
        <v>237928</v>
      </c>
      <c r="CTR985">
        <v>-1717747</v>
      </c>
      <c r="CTS985">
        <v>-2303364</v>
      </c>
      <c r="DDJ985" t="s">
        <v>1320</v>
      </c>
      <c r="DDK985" t="s">
        <v>619</v>
      </c>
      <c r="DDL985">
        <v>-681556</v>
      </c>
      <c r="DDM985">
        <v>237928</v>
      </c>
      <c r="DDN985">
        <v>-1717747</v>
      </c>
      <c r="DDO985">
        <v>-2303364</v>
      </c>
      <c r="DNF985" t="s">
        <v>1320</v>
      </c>
      <c r="DNG985" t="s">
        <v>619</v>
      </c>
      <c r="DNH985">
        <v>-681556</v>
      </c>
      <c r="DNI985">
        <v>237928</v>
      </c>
      <c r="DNJ985">
        <v>-1717747</v>
      </c>
      <c r="DNK985">
        <v>-2303364</v>
      </c>
      <c r="DXB985" t="s">
        <v>1320</v>
      </c>
      <c r="DXC985" t="s">
        <v>619</v>
      </c>
      <c r="DXD985">
        <v>-681556</v>
      </c>
      <c r="DXE985">
        <v>237928</v>
      </c>
      <c r="DXF985">
        <v>-1717747</v>
      </c>
      <c r="DXG985">
        <v>-2303364</v>
      </c>
      <c r="EGX985" t="s">
        <v>1320</v>
      </c>
      <c r="EGY985" t="s">
        <v>619</v>
      </c>
      <c r="EGZ985">
        <v>-681556</v>
      </c>
      <c r="EHA985">
        <v>237928</v>
      </c>
      <c r="EHB985">
        <v>-1717747</v>
      </c>
      <c r="EHC985">
        <v>-2303364</v>
      </c>
      <c r="EQT985" t="s">
        <v>1320</v>
      </c>
      <c r="EQU985" t="s">
        <v>619</v>
      </c>
      <c r="EQV985">
        <v>-681556</v>
      </c>
      <c r="EQW985">
        <v>237928</v>
      </c>
      <c r="EQX985">
        <v>-1717747</v>
      </c>
      <c r="EQY985">
        <v>-2303364</v>
      </c>
      <c r="FAP985" t="s">
        <v>1320</v>
      </c>
      <c r="FAQ985" t="s">
        <v>619</v>
      </c>
      <c r="FAR985">
        <v>-681556</v>
      </c>
      <c r="FAS985">
        <v>237928</v>
      </c>
      <c r="FAT985">
        <v>-1717747</v>
      </c>
      <c r="FAU985">
        <v>-2303364</v>
      </c>
      <c r="FKL985" t="s">
        <v>1320</v>
      </c>
      <c r="FKM985" t="s">
        <v>619</v>
      </c>
      <c r="FKN985">
        <v>-681556</v>
      </c>
      <c r="FKO985">
        <v>237928</v>
      </c>
      <c r="FKP985">
        <v>-1717747</v>
      </c>
      <c r="FKQ985">
        <v>-2303364</v>
      </c>
      <c r="FUH985" t="s">
        <v>1320</v>
      </c>
      <c r="FUI985" t="s">
        <v>619</v>
      </c>
      <c r="FUJ985">
        <v>-681556</v>
      </c>
      <c r="FUK985">
        <v>237928</v>
      </c>
      <c r="FUL985">
        <v>-1717747</v>
      </c>
      <c r="FUM985">
        <v>-2303364</v>
      </c>
      <c r="GED985" t="s">
        <v>1320</v>
      </c>
      <c r="GEE985" t="s">
        <v>619</v>
      </c>
      <c r="GEF985">
        <v>-681556</v>
      </c>
      <c r="GEG985">
        <v>237928</v>
      </c>
      <c r="GEH985">
        <v>-1717747</v>
      </c>
      <c r="GEI985">
        <v>-2303364</v>
      </c>
      <c r="GNZ985" t="s">
        <v>1320</v>
      </c>
      <c r="GOA985" t="s">
        <v>619</v>
      </c>
      <c r="GOB985">
        <v>-681556</v>
      </c>
      <c r="GOC985">
        <v>237928</v>
      </c>
      <c r="GOD985">
        <v>-1717747</v>
      </c>
      <c r="GOE985">
        <v>-2303364</v>
      </c>
      <c r="GXV985" t="s">
        <v>1320</v>
      </c>
      <c r="GXW985" t="s">
        <v>619</v>
      </c>
      <c r="GXX985">
        <v>-681556</v>
      </c>
      <c r="GXY985">
        <v>237928</v>
      </c>
      <c r="GXZ985">
        <v>-1717747</v>
      </c>
      <c r="GYA985">
        <v>-2303364</v>
      </c>
      <c r="HHR985" t="s">
        <v>1320</v>
      </c>
      <c r="HHS985" t="s">
        <v>619</v>
      </c>
      <c r="HHT985">
        <v>-681556</v>
      </c>
      <c r="HHU985">
        <v>237928</v>
      </c>
      <c r="HHV985">
        <v>-1717747</v>
      </c>
      <c r="HHW985">
        <v>-2303364</v>
      </c>
      <c r="HRN985" t="s">
        <v>1320</v>
      </c>
      <c r="HRO985" t="s">
        <v>619</v>
      </c>
      <c r="HRP985">
        <v>-681556</v>
      </c>
      <c r="HRQ985">
        <v>237928</v>
      </c>
      <c r="HRR985">
        <v>-1717747</v>
      </c>
      <c r="HRS985">
        <v>-2303364</v>
      </c>
      <c r="IBJ985" t="s">
        <v>1320</v>
      </c>
      <c r="IBK985" t="s">
        <v>619</v>
      </c>
      <c r="IBL985">
        <v>-681556</v>
      </c>
      <c r="IBM985">
        <v>237928</v>
      </c>
      <c r="IBN985">
        <v>-1717747</v>
      </c>
      <c r="IBO985">
        <v>-2303364</v>
      </c>
      <c r="ILF985" t="s">
        <v>1320</v>
      </c>
      <c r="ILG985" t="s">
        <v>619</v>
      </c>
      <c r="ILH985">
        <v>-681556</v>
      </c>
      <c r="ILI985">
        <v>237928</v>
      </c>
      <c r="ILJ985">
        <v>-1717747</v>
      </c>
      <c r="ILK985">
        <v>-2303364</v>
      </c>
      <c r="IVB985" t="s">
        <v>1320</v>
      </c>
      <c r="IVC985" t="s">
        <v>619</v>
      </c>
      <c r="IVD985">
        <v>-681556</v>
      </c>
      <c r="IVE985">
        <v>237928</v>
      </c>
      <c r="IVF985">
        <v>-1717747</v>
      </c>
      <c r="IVG985">
        <v>-2303364</v>
      </c>
      <c r="JEX985" t="s">
        <v>1320</v>
      </c>
      <c r="JEY985" t="s">
        <v>619</v>
      </c>
      <c r="JEZ985">
        <v>-681556</v>
      </c>
      <c r="JFA985">
        <v>237928</v>
      </c>
      <c r="JFB985">
        <v>-1717747</v>
      </c>
      <c r="JFC985">
        <v>-2303364</v>
      </c>
      <c r="JOT985" t="s">
        <v>1320</v>
      </c>
      <c r="JOU985" t="s">
        <v>619</v>
      </c>
      <c r="JOV985">
        <v>-681556</v>
      </c>
      <c r="JOW985">
        <v>237928</v>
      </c>
      <c r="JOX985">
        <v>-1717747</v>
      </c>
      <c r="JOY985">
        <v>-2303364</v>
      </c>
      <c r="JYP985" t="s">
        <v>1320</v>
      </c>
      <c r="JYQ985" t="s">
        <v>619</v>
      </c>
      <c r="JYR985">
        <v>-681556</v>
      </c>
      <c r="JYS985">
        <v>237928</v>
      </c>
      <c r="JYT985">
        <v>-1717747</v>
      </c>
      <c r="JYU985">
        <v>-2303364</v>
      </c>
      <c r="KIL985" t="s">
        <v>1320</v>
      </c>
      <c r="KIM985" t="s">
        <v>619</v>
      </c>
      <c r="KIN985">
        <v>-681556</v>
      </c>
      <c r="KIO985">
        <v>237928</v>
      </c>
      <c r="KIP985">
        <v>-1717747</v>
      </c>
      <c r="KIQ985">
        <v>-2303364</v>
      </c>
      <c r="KSH985" t="s">
        <v>1320</v>
      </c>
      <c r="KSI985" t="s">
        <v>619</v>
      </c>
      <c r="KSJ985">
        <v>-681556</v>
      </c>
      <c r="KSK985">
        <v>237928</v>
      </c>
      <c r="KSL985">
        <v>-1717747</v>
      </c>
      <c r="KSM985">
        <v>-2303364</v>
      </c>
      <c r="LCD985" t="s">
        <v>1320</v>
      </c>
      <c r="LCE985" t="s">
        <v>619</v>
      </c>
      <c r="LCF985">
        <v>-681556</v>
      </c>
      <c r="LCG985">
        <v>237928</v>
      </c>
      <c r="LCH985">
        <v>-1717747</v>
      </c>
      <c r="LCI985">
        <v>-2303364</v>
      </c>
      <c r="LLZ985" t="s">
        <v>1320</v>
      </c>
      <c r="LMA985" t="s">
        <v>619</v>
      </c>
      <c r="LMB985">
        <v>-681556</v>
      </c>
      <c r="LMC985">
        <v>237928</v>
      </c>
      <c r="LMD985">
        <v>-1717747</v>
      </c>
      <c r="LME985">
        <v>-2303364</v>
      </c>
      <c r="LVV985" t="s">
        <v>1320</v>
      </c>
      <c r="LVW985" t="s">
        <v>619</v>
      </c>
      <c r="LVX985">
        <v>-681556</v>
      </c>
      <c r="LVY985">
        <v>237928</v>
      </c>
      <c r="LVZ985">
        <v>-1717747</v>
      </c>
      <c r="LWA985">
        <v>-2303364</v>
      </c>
      <c r="MFR985" t="s">
        <v>1320</v>
      </c>
      <c r="MFS985" t="s">
        <v>619</v>
      </c>
      <c r="MFT985">
        <v>-681556</v>
      </c>
      <c r="MFU985">
        <v>237928</v>
      </c>
      <c r="MFV985">
        <v>-1717747</v>
      </c>
      <c r="MFW985">
        <v>-2303364</v>
      </c>
      <c r="MPN985" t="s">
        <v>1320</v>
      </c>
      <c r="MPO985" t="s">
        <v>619</v>
      </c>
      <c r="MPP985">
        <v>-681556</v>
      </c>
      <c r="MPQ985">
        <v>237928</v>
      </c>
      <c r="MPR985">
        <v>-1717747</v>
      </c>
      <c r="MPS985">
        <v>-2303364</v>
      </c>
      <c r="MZJ985" t="s">
        <v>1320</v>
      </c>
      <c r="MZK985" t="s">
        <v>619</v>
      </c>
      <c r="MZL985">
        <v>-681556</v>
      </c>
      <c r="MZM985">
        <v>237928</v>
      </c>
      <c r="MZN985">
        <v>-1717747</v>
      </c>
      <c r="MZO985">
        <v>-2303364</v>
      </c>
      <c r="NJF985" t="s">
        <v>1320</v>
      </c>
      <c r="NJG985" t="s">
        <v>619</v>
      </c>
      <c r="NJH985">
        <v>-681556</v>
      </c>
      <c r="NJI985">
        <v>237928</v>
      </c>
      <c r="NJJ985">
        <v>-1717747</v>
      </c>
      <c r="NJK985">
        <v>-2303364</v>
      </c>
      <c r="NTB985" t="s">
        <v>1320</v>
      </c>
      <c r="NTC985" t="s">
        <v>619</v>
      </c>
      <c r="NTD985">
        <v>-681556</v>
      </c>
      <c r="NTE985">
        <v>237928</v>
      </c>
      <c r="NTF985">
        <v>-1717747</v>
      </c>
      <c r="NTG985">
        <v>-2303364</v>
      </c>
      <c r="OCX985" t="s">
        <v>1320</v>
      </c>
      <c r="OCY985" t="s">
        <v>619</v>
      </c>
      <c r="OCZ985">
        <v>-681556</v>
      </c>
      <c r="ODA985">
        <v>237928</v>
      </c>
      <c r="ODB985">
        <v>-1717747</v>
      </c>
      <c r="ODC985">
        <v>-2303364</v>
      </c>
      <c r="OMT985" t="s">
        <v>1320</v>
      </c>
      <c r="OMU985" t="s">
        <v>619</v>
      </c>
      <c r="OMV985">
        <v>-681556</v>
      </c>
      <c r="OMW985">
        <v>237928</v>
      </c>
      <c r="OMX985">
        <v>-1717747</v>
      </c>
      <c r="OMY985">
        <v>-2303364</v>
      </c>
      <c r="OWP985" t="s">
        <v>1320</v>
      </c>
      <c r="OWQ985" t="s">
        <v>619</v>
      </c>
      <c r="OWR985">
        <v>-681556</v>
      </c>
      <c r="OWS985">
        <v>237928</v>
      </c>
      <c r="OWT985">
        <v>-1717747</v>
      </c>
      <c r="OWU985">
        <v>-2303364</v>
      </c>
      <c r="PGL985" t="s">
        <v>1320</v>
      </c>
      <c r="PGM985" t="s">
        <v>619</v>
      </c>
      <c r="PGN985">
        <v>-681556</v>
      </c>
      <c r="PGO985">
        <v>237928</v>
      </c>
      <c r="PGP985">
        <v>-1717747</v>
      </c>
      <c r="PGQ985">
        <v>-2303364</v>
      </c>
      <c r="PQH985" t="s">
        <v>1320</v>
      </c>
      <c r="PQI985" t="s">
        <v>619</v>
      </c>
      <c r="PQJ985">
        <v>-681556</v>
      </c>
      <c r="PQK985">
        <v>237928</v>
      </c>
      <c r="PQL985">
        <v>-1717747</v>
      </c>
      <c r="PQM985">
        <v>-2303364</v>
      </c>
      <c r="QAD985" t="s">
        <v>1320</v>
      </c>
      <c r="QAE985" t="s">
        <v>619</v>
      </c>
      <c r="QAF985">
        <v>-681556</v>
      </c>
      <c r="QAG985">
        <v>237928</v>
      </c>
      <c r="QAH985">
        <v>-1717747</v>
      </c>
      <c r="QAI985">
        <v>-2303364</v>
      </c>
      <c r="QJZ985" t="s">
        <v>1320</v>
      </c>
      <c r="QKA985" t="s">
        <v>619</v>
      </c>
      <c r="QKB985">
        <v>-681556</v>
      </c>
      <c r="QKC985">
        <v>237928</v>
      </c>
      <c r="QKD985">
        <v>-1717747</v>
      </c>
      <c r="QKE985">
        <v>-2303364</v>
      </c>
      <c r="QTV985" t="s">
        <v>1320</v>
      </c>
      <c r="QTW985" t="s">
        <v>619</v>
      </c>
      <c r="QTX985">
        <v>-681556</v>
      </c>
      <c r="QTY985">
        <v>237928</v>
      </c>
      <c r="QTZ985">
        <v>-1717747</v>
      </c>
      <c r="QUA985">
        <v>-2303364</v>
      </c>
      <c r="RDR985" t="s">
        <v>1320</v>
      </c>
      <c r="RDS985" t="s">
        <v>619</v>
      </c>
      <c r="RDT985">
        <v>-681556</v>
      </c>
      <c r="RDU985">
        <v>237928</v>
      </c>
      <c r="RDV985">
        <v>-1717747</v>
      </c>
      <c r="RDW985">
        <v>-2303364</v>
      </c>
      <c r="RNN985" t="s">
        <v>1320</v>
      </c>
      <c r="RNO985" t="s">
        <v>619</v>
      </c>
      <c r="RNP985">
        <v>-681556</v>
      </c>
      <c r="RNQ985">
        <v>237928</v>
      </c>
      <c r="RNR985">
        <v>-1717747</v>
      </c>
      <c r="RNS985">
        <v>-2303364</v>
      </c>
      <c r="RXJ985" t="s">
        <v>1320</v>
      </c>
      <c r="RXK985" t="s">
        <v>619</v>
      </c>
      <c r="RXL985">
        <v>-681556</v>
      </c>
      <c r="RXM985">
        <v>237928</v>
      </c>
      <c r="RXN985">
        <v>-1717747</v>
      </c>
      <c r="RXO985">
        <v>-2303364</v>
      </c>
      <c r="SHF985" t="s">
        <v>1320</v>
      </c>
      <c r="SHG985" t="s">
        <v>619</v>
      </c>
      <c r="SHH985">
        <v>-681556</v>
      </c>
      <c r="SHI985">
        <v>237928</v>
      </c>
      <c r="SHJ985">
        <v>-1717747</v>
      </c>
      <c r="SHK985">
        <v>-2303364</v>
      </c>
      <c r="SRB985" t="s">
        <v>1320</v>
      </c>
      <c r="SRC985" t="s">
        <v>619</v>
      </c>
      <c r="SRD985">
        <v>-681556</v>
      </c>
      <c r="SRE985">
        <v>237928</v>
      </c>
      <c r="SRF985">
        <v>-1717747</v>
      </c>
      <c r="SRG985">
        <v>-2303364</v>
      </c>
      <c r="TAX985" t="s">
        <v>1320</v>
      </c>
      <c r="TAY985" t="s">
        <v>619</v>
      </c>
      <c r="TAZ985">
        <v>-681556</v>
      </c>
      <c r="TBA985">
        <v>237928</v>
      </c>
      <c r="TBB985">
        <v>-1717747</v>
      </c>
      <c r="TBC985">
        <v>-2303364</v>
      </c>
      <c r="TKT985" t="s">
        <v>1320</v>
      </c>
      <c r="TKU985" t="s">
        <v>619</v>
      </c>
      <c r="TKV985">
        <v>-681556</v>
      </c>
      <c r="TKW985">
        <v>237928</v>
      </c>
      <c r="TKX985">
        <v>-1717747</v>
      </c>
      <c r="TKY985">
        <v>-2303364</v>
      </c>
      <c r="TUP985" t="s">
        <v>1320</v>
      </c>
      <c r="TUQ985" t="s">
        <v>619</v>
      </c>
      <c r="TUR985">
        <v>-681556</v>
      </c>
      <c r="TUS985">
        <v>237928</v>
      </c>
      <c r="TUT985">
        <v>-1717747</v>
      </c>
      <c r="TUU985">
        <v>-2303364</v>
      </c>
      <c r="UEL985" t="s">
        <v>1320</v>
      </c>
      <c r="UEM985" t="s">
        <v>619</v>
      </c>
      <c r="UEN985">
        <v>-681556</v>
      </c>
      <c r="UEO985">
        <v>237928</v>
      </c>
      <c r="UEP985">
        <v>-1717747</v>
      </c>
      <c r="UEQ985">
        <v>-2303364</v>
      </c>
      <c r="UOH985" t="s">
        <v>1320</v>
      </c>
      <c r="UOI985" t="s">
        <v>619</v>
      </c>
      <c r="UOJ985">
        <v>-681556</v>
      </c>
      <c r="UOK985">
        <v>237928</v>
      </c>
      <c r="UOL985">
        <v>-1717747</v>
      </c>
      <c r="UOM985">
        <v>-2303364</v>
      </c>
      <c r="UYD985" t="s">
        <v>1320</v>
      </c>
      <c r="UYE985" t="s">
        <v>619</v>
      </c>
      <c r="UYF985">
        <v>-681556</v>
      </c>
      <c r="UYG985">
        <v>237928</v>
      </c>
      <c r="UYH985">
        <v>-1717747</v>
      </c>
      <c r="UYI985">
        <v>-2303364</v>
      </c>
      <c r="VHZ985" t="s">
        <v>1320</v>
      </c>
      <c r="VIA985" t="s">
        <v>619</v>
      </c>
      <c r="VIB985">
        <v>-681556</v>
      </c>
      <c r="VIC985">
        <v>237928</v>
      </c>
      <c r="VID985">
        <v>-1717747</v>
      </c>
      <c r="VIE985">
        <v>-2303364</v>
      </c>
      <c r="VRV985" t="s">
        <v>1320</v>
      </c>
      <c r="VRW985" t="s">
        <v>619</v>
      </c>
      <c r="VRX985">
        <v>-681556</v>
      </c>
      <c r="VRY985">
        <v>237928</v>
      </c>
      <c r="VRZ985">
        <v>-1717747</v>
      </c>
      <c r="VSA985">
        <v>-2303364</v>
      </c>
      <c r="WBR985" t="s">
        <v>1320</v>
      </c>
      <c r="WBS985" t="s">
        <v>619</v>
      </c>
      <c r="WBT985">
        <v>-681556</v>
      </c>
      <c r="WBU985">
        <v>237928</v>
      </c>
      <c r="WBV985">
        <v>-1717747</v>
      </c>
      <c r="WBW985">
        <v>-2303364</v>
      </c>
      <c r="WLN985" t="s">
        <v>1320</v>
      </c>
      <c r="WLO985" t="s">
        <v>619</v>
      </c>
      <c r="WLP985">
        <v>-681556</v>
      </c>
      <c r="WLQ985">
        <v>237928</v>
      </c>
      <c r="WLR985">
        <v>-1717747</v>
      </c>
      <c r="WLS985">
        <v>-2303364</v>
      </c>
      <c r="WVJ985" t="s">
        <v>1320</v>
      </c>
      <c r="WVK985" t="s">
        <v>619</v>
      </c>
      <c r="WVL985">
        <v>-681556</v>
      </c>
      <c r="WVM985">
        <v>237928</v>
      </c>
      <c r="WVN985">
        <v>-1717747</v>
      </c>
      <c r="WVO985">
        <v>-2303364</v>
      </c>
    </row>
    <row r="986" spans="1:775 1026:1799 2050:2823 3074:3847 4098:4871 5122:5895 6146:6919 7170:7943 8194:8967 9218:9991 10242:11015 11266:12039 12290:13063 13314:14087 14338:15111 15362:16135">
      <c r="A986" s="96" t="s">
        <v>1366</v>
      </c>
      <c r="B986" s="1507" t="s">
        <v>696</v>
      </c>
      <c r="C986" s="98">
        <v>0</v>
      </c>
      <c r="D986" s="100">
        <v>10427</v>
      </c>
      <c r="E986" s="100">
        <v>5803</v>
      </c>
      <c r="F986" s="100">
        <v>1105</v>
      </c>
      <c r="G986" s="100">
        <v>148729</v>
      </c>
      <c r="H986" s="100"/>
      <c r="IX986" t="s">
        <v>1366</v>
      </c>
      <c r="IY986" t="s">
        <v>619</v>
      </c>
      <c r="IZ986">
        <v>10427</v>
      </c>
      <c r="JA986">
        <v>5803</v>
      </c>
      <c r="JB986">
        <v>1105</v>
      </c>
      <c r="JC986">
        <v>148729</v>
      </c>
      <c r="ST986" t="s">
        <v>1366</v>
      </c>
      <c r="SU986" t="s">
        <v>619</v>
      </c>
      <c r="SV986">
        <v>10427</v>
      </c>
      <c r="SW986">
        <v>5803</v>
      </c>
      <c r="SX986">
        <v>1105</v>
      </c>
      <c r="SY986">
        <v>148729</v>
      </c>
      <c r="ACP986" t="s">
        <v>1366</v>
      </c>
      <c r="ACQ986" t="s">
        <v>619</v>
      </c>
      <c r="ACR986">
        <v>10427</v>
      </c>
      <c r="ACS986">
        <v>5803</v>
      </c>
      <c r="ACT986">
        <v>1105</v>
      </c>
      <c r="ACU986">
        <v>148729</v>
      </c>
      <c r="AML986" t="s">
        <v>1366</v>
      </c>
      <c r="AMM986" t="s">
        <v>619</v>
      </c>
      <c r="AMN986">
        <v>10427</v>
      </c>
      <c r="AMO986">
        <v>5803</v>
      </c>
      <c r="AMP986">
        <v>1105</v>
      </c>
      <c r="AMQ986">
        <v>148729</v>
      </c>
      <c r="AWH986" t="s">
        <v>1366</v>
      </c>
      <c r="AWI986" t="s">
        <v>619</v>
      </c>
      <c r="AWJ986">
        <v>10427</v>
      </c>
      <c r="AWK986">
        <v>5803</v>
      </c>
      <c r="AWL986">
        <v>1105</v>
      </c>
      <c r="AWM986">
        <v>148729</v>
      </c>
      <c r="BGD986" t="s">
        <v>1366</v>
      </c>
      <c r="BGE986" t="s">
        <v>619</v>
      </c>
      <c r="BGF986">
        <v>10427</v>
      </c>
      <c r="BGG986">
        <v>5803</v>
      </c>
      <c r="BGH986">
        <v>1105</v>
      </c>
      <c r="BGI986">
        <v>148729</v>
      </c>
      <c r="BPZ986" t="s">
        <v>1366</v>
      </c>
      <c r="BQA986" t="s">
        <v>619</v>
      </c>
      <c r="BQB986">
        <v>10427</v>
      </c>
      <c r="BQC986">
        <v>5803</v>
      </c>
      <c r="BQD986">
        <v>1105</v>
      </c>
      <c r="BQE986">
        <v>148729</v>
      </c>
      <c r="BZV986" t="s">
        <v>1366</v>
      </c>
      <c r="BZW986" t="s">
        <v>619</v>
      </c>
      <c r="BZX986">
        <v>10427</v>
      </c>
      <c r="BZY986">
        <v>5803</v>
      </c>
      <c r="BZZ986">
        <v>1105</v>
      </c>
      <c r="CAA986">
        <v>148729</v>
      </c>
      <c r="CJR986" t="s">
        <v>1366</v>
      </c>
      <c r="CJS986" t="s">
        <v>619</v>
      </c>
      <c r="CJT986">
        <v>10427</v>
      </c>
      <c r="CJU986">
        <v>5803</v>
      </c>
      <c r="CJV986">
        <v>1105</v>
      </c>
      <c r="CJW986">
        <v>148729</v>
      </c>
      <c r="CTN986" t="s">
        <v>1366</v>
      </c>
      <c r="CTO986" t="s">
        <v>619</v>
      </c>
      <c r="CTP986">
        <v>10427</v>
      </c>
      <c r="CTQ986">
        <v>5803</v>
      </c>
      <c r="CTR986">
        <v>1105</v>
      </c>
      <c r="CTS986">
        <v>148729</v>
      </c>
      <c r="DDJ986" t="s">
        <v>1366</v>
      </c>
      <c r="DDK986" t="s">
        <v>619</v>
      </c>
      <c r="DDL986">
        <v>10427</v>
      </c>
      <c r="DDM986">
        <v>5803</v>
      </c>
      <c r="DDN986">
        <v>1105</v>
      </c>
      <c r="DDO986">
        <v>148729</v>
      </c>
      <c r="DNF986" t="s">
        <v>1366</v>
      </c>
      <c r="DNG986" t="s">
        <v>619</v>
      </c>
      <c r="DNH986">
        <v>10427</v>
      </c>
      <c r="DNI986">
        <v>5803</v>
      </c>
      <c r="DNJ986">
        <v>1105</v>
      </c>
      <c r="DNK986">
        <v>148729</v>
      </c>
      <c r="DXB986" t="s">
        <v>1366</v>
      </c>
      <c r="DXC986" t="s">
        <v>619</v>
      </c>
      <c r="DXD986">
        <v>10427</v>
      </c>
      <c r="DXE986">
        <v>5803</v>
      </c>
      <c r="DXF986">
        <v>1105</v>
      </c>
      <c r="DXG986">
        <v>148729</v>
      </c>
      <c r="EGX986" t="s">
        <v>1366</v>
      </c>
      <c r="EGY986" t="s">
        <v>619</v>
      </c>
      <c r="EGZ986">
        <v>10427</v>
      </c>
      <c r="EHA986">
        <v>5803</v>
      </c>
      <c r="EHB986">
        <v>1105</v>
      </c>
      <c r="EHC986">
        <v>148729</v>
      </c>
      <c r="EQT986" t="s">
        <v>1366</v>
      </c>
      <c r="EQU986" t="s">
        <v>619</v>
      </c>
      <c r="EQV986">
        <v>10427</v>
      </c>
      <c r="EQW986">
        <v>5803</v>
      </c>
      <c r="EQX986">
        <v>1105</v>
      </c>
      <c r="EQY986">
        <v>148729</v>
      </c>
      <c r="FAP986" t="s">
        <v>1366</v>
      </c>
      <c r="FAQ986" t="s">
        <v>619</v>
      </c>
      <c r="FAR986">
        <v>10427</v>
      </c>
      <c r="FAS986">
        <v>5803</v>
      </c>
      <c r="FAT986">
        <v>1105</v>
      </c>
      <c r="FAU986">
        <v>148729</v>
      </c>
      <c r="FKL986" t="s">
        <v>1366</v>
      </c>
      <c r="FKM986" t="s">
        <v>619</v>
      </c>
      <c r="FKN986">
        <v>10427</v>
      </c>
      <c r="FKO986">
        <v>5803</v>
      </c>
      <c r="FKP986">
        <v>1105</v>
      </c>
      <c r="FKQ986">
        <v>148729</v>
      </c>
      <c r="FUH986" t="s">
        <v>1366</v>
      </c>
      <c r="FUI986" t="s">
        <v>619</v>
      </c>
      <c r="FUJ986">
        <v>10427</v>
      </c>
      <c r="FUK986">
        <v>5803</v>
      </c>
      <c r="FUL986">
        <v>1105</v>
      </c>
      <c r="FUM986">
        <v>148729</v>
      </c>
      <c r="GED986" t="s">
        <v>1366</v>
      </c>
      <c r="GEE986" t="s">
        <v>619</v>
      </c>
      <c r="GEF986">
        <v>10427</v>
      </c>
      <c r="GEG986">
        <v>5803</v>
      </c>
      <c r="GEH986">
        <v>1105</v>
      </c>
      <c r="GEI986">
        <v>148729</v>
      </c>
      <c r="GNZ986" t="s">
        <v>1366</v>
      </c>
      <c r="GOA986" t="s">
        <v>619</v>
      </c>
      <c r="GOB986">
        <v>10427</v>
      </c>
      <c r="GOC986">
        <v>5803</v>
      </c>
      <c r="GOD986">
        <v>1105</v>
      </c>
      <c r="GOE986">
        <v>148729</v>
      </c>
      <c r="GXV986" t="s">
        <v>1366</v>
      </c>
      <c r="GXW986" t="s">
        <v>619</v>
      </c>
      <c r="GXX986">
        <v>10427</v>
      </c>
      <c r="GXY986">
        <v>5803</v>
      </c>
      <c r="GXZ986">
        <v>1105</v>
      </c>
      <c r="GYA986">
        <v>148729</v>
      </c>
      <c r="HHR986" t="s">
        <v>1366</v>
      </c>
      <c r="HHS986" t="s">
        <v>619</v>
      </c>
      <c r="HHT986">
        <v>10427</v>
      </c>
      <c r="HHU986">
        <v>5803</v>
      </c>
      <c r="HHV986">
        <v>1105</v>
      </c>
      <c r="HHW986">
        <v>148729</v>
      </c>
      <c r="HRN986" t="s">
        <v>1366</v>
      </c>
      <c r="HRO986" t="s">
        <v>619</v>
      </c>
      <c r="HRP986">
        <v>10427</v>
      </c>
      <c r="HRQ986">
        <v>5803</v>
      </c>
      <c r="HRR986">
        <v>1105</v>
      </c>
      <c r="HRS986">
        <v>148729</v>
      </c>
      <c r="IBJ986" t="s">
        <v>1366</v>
      </c>
      <c r="IBK986" t="s">
        <v>619</v>
      </c>
      <c r="IBL986">
        <v>10427</v>
      </c>
      <c r="IBM986">
        <v>5803</v>
      </c>
      <c r="IBN986">
        <v>1105</v>
      </c>
      <c r="IBO986">
        <v>148729</v>
      </c>
      <c r="ILF986" t="s">
        <v>1366</v>
      </c>
      <c r="ILG986" t="s">
        <v>619</v>
      </c>
      <c r="ILH986">
        <v>10427</v>
      </c>
      <c r="ILI986">
        <v>5803</v>
      </c>
      <c r="ILJ986">
        <v>1105</v>
      </c>
      <c r="ILK986">
        <v>148729</v>
      </c>
      <c r="IVB986" t="s">
        <v>1366</v>
      </c>
      <c r="IVC986" t="s">
        <v>619</v>
      </c>
      <c r="IVD986">
        <v>10427</v>
      </c>
      <c r="IVE986">
        <v>5803</v>
      </c>
      <c r="IVF986">
        <v>1105</v>
      </c>
      <c r="IVG986">
        <v>148729</v>
      </c>
      <c r="JEX986" t="s">
        <v>1366</v>
      </c>
      <c r="JEY986" t="s">
        <v>619</v>
      </c>
      <c r="JEZ986">
        <v>10427</v>
      </c>
      <c r="JFA986">
        <v>5803</v>
      </c>
      <c r="JFB986">
        <v>1105</v>
      </c>
      <c r="JFC986">
        <v>148729</v>
      </c>
      <c r="JOT986" t="s">
        <v>1366</v>
      </c>
      <c r="JOU986" t="s">
        <v>619</v>
      </c>
      <c r="JOV986">
        <v>10427</v>
      </c>
      <c r="JOW986">
        <v>5803</v>
      </c>
      <c r="JOX986">
        <v>1105</v>
      </c>
      <c r="JOY986">
        <v>148729</v>
      </c>
      <c r="JYP986" t="s">
        <v>1366</v>
      </c>
      <c r="JYQ986" t="s">
        <v>619</v>
      </c>
      <c r="JYR986">
        <v>10427</v>
      </c>
      <c r="JYS986">
        <v>5803</v>
      </c>
      <c r="JYT986">
        <v>1105</v>
      </c>
      <c r="JYU986">
        <v>148729</v>
      </c>
      <c r="KIL986" t="s">
        <v>1366</v>
      </c>
      <c r="KIM986" t="s">
        <v>619</v>
      </c>
      <c r="KIN986">
        <v>10427</v>
      </c>
      <c r="KIO986">
        <v>5803</v>
      </c>
      <c r="KIP986">
        <v>1105</v>
      </c>
      <c r="KIQ986">
        <v>148729</v>
      </c>
      <c r="KSH986" t="s">
        <v>1366</v>
      </c>
      <c r="KSI986" t="s">
        <v>619</v>
      </c>
      <c r="KSJ986">
        <v>10427</v>
      </c>
      <c r="KSK986">
        <v>5803</v>
      </c>
      <c r="KSL986">
        <v>1105</v>
      </c>
      <c r="KSM986">
        <v>148729</v>
      </c>
      <c r="LCD986" t="s">
        <v>1366</v>
      </c>
      <c r="LCE986" t="s">
        <v>619</v>
      </c>
      <c r="LCF986">
        <v>10427</v>
      </c>
      <c r="LCG986">
        <v>5803</v>
      </c>
      <c r="LCH986">
        <v>1105</v>
      </c>
      <c r="LCI986">
        <v>148729</v>
      </c>
      <c r="LLZ986" t="s">
        <v>1366</v>
      </c>
      <c r="LMA986" t="s">
        <v>619</v>
      </c>
      <c r="LMB986">
        <v>10427</v>
      </c>
      <c r="LMC986">
        <v>5803</v>
      </c>
      <c r="LMD986">
        <v>1105</v>
      </c>
      <c r="LME986">
        <v>148729</v>
      </c>
      <c r="LVV986" t="s">
        <v>1366</v>
      </c>
      <c r="LVW986" t="s">
        <v>619</v>
      </c>
      <c r="LVX986">
        <v>10427</v>
      </c>
      <c r="LVY986">
        <v>5803</v>
      </c>
      <c r="LVZ986">
        <v>1105</v>
      </c>
      <c r="LWA986">
        <v>148729</v>
      </c>
      <c r="MFR986" t="s">
        <v>1366</v>
      </c>
      <c r="MFS986" t="s">
        <v>619</v>
      </c>
      <c r="MFT986">
        <v>10427</v>
      </c>
      <c r="MFU986">
        <v>5803</v>
      </c>
      <c r="MFV986">
        <v>1105</v>
      </c>
      <c r="MFW986">
        <v>148729</v>
      </c>
      <c r="MPN986" t="s">
        <v>1366</v>
      </c>
      <c r="MPO986" t="s">
        <v>619</v>
      </c>
      <c r="MPP986">
        <v>10427</v>
      </c>
      <c r="MPQ986">
        <v>5803</v>
      </c>
      <c r="MPR986">
        <v>1105</v>
      </c>
      <c r="MPS986">
        <v>148729</v>
      </c>
      <c r="MZJ986" t="s">
        <v>1366</v>
      </c>
      <c r="MZK986" t="s">
        <v>619</v>
      </c>
      <c r="MZL986">
        <v>10427</v>
      </c>
      <c r="MZM986">
        <v>5803</v>
      </c>
      <c r="MZN986">
        <v>1105</v>
      </c>
      <c r="MZO986">
        <v>148729</v>
      </c>
      <c r="NJF986" t="s">
        <v>1366</v>
      </c>
      <c r="NJG986" t="s">
        <v>619</v>
      </c>
      <c r="NJH986">
        <v>10427</v>
      </c>
      <c r="NJI986">
        <v>5803</v>
      </c>
      <c r="NJJ986">
        <v>1105</v>
      </c>
      <c r="NJK986">
        <v>148729</v>
      </c>
      <c r="NTB986" t="s">
        <v>1366</v>
      </c>
      <c r="NTC986" t="s">
        <v>619</v>
      </c>
      <c r="NTD986">
        <v>10427</v>
      </c>
      <c r="NTE986">
        <v>5803</v>
      </c>
      <c r="NTF986">
        <v>1105</v>
      </c>
      <c r="NTG986">
        <v>148729</v>
      </c>
      <c r="OCX986" t="s">
        <v>1366</v>
      </c>
      <c r="OCY986" t="s">
        <v>619</v>
      </c>
      <c r="OCZ986">
        <v>10427</v>
      </c>
      <c r="ODA986">
        <v>5803</v>
      </c>
      <c r="ODB986">
        <v>1105</v>
      </c>
      <c r="ODC986">
        <v>148729</v>
      </c>
      <c r="OMT986" t="s">
        <v>1366</v>
      </c>
      <c r="OMU986" t="s">
        <v>619</v>
      </c>
      <c r="OMV986">
        <v>10427</v>
      </c>
      <c r="OMW986">
        <v>5803</v>
      </c>
      <c r="OMX986">
        <v>1105</v>
      </c>
      <c r="OMY986">
        <v>148729</v>
      </c>
      <c r="OWP986" t="s">
        <v>1366</v>
      </c>
      <c r="OWQ986" t="s">
        <v>619</v>
      </c>
      <c r="OWR986">
        <v>10427</v>
      </c>
      <c r="OWS986">
        <v>5803</v>
      </c>
      <c r="OWT986">
        <v>1105</v>
      </c>
      <c r="OWU986">
        <v>148729</v>
      </c>
      <c r="PGL986" t="s">
        <v>1366</v>
      </c>
      <c r="PGM986" t="s">
        <v>619</v>
      </c>
      <c r="PGN986">
        <v>10427</v>
      </c>
      <c r="PGO986">
        <v>5803</v>
      </c>
      <c r="PGP986">
        <v>1105</v>
      </c>
      <c r="PGQ986">
        <v>148729</v>
      </c>
      <c r="PQH986" t="s">
        <v>1366</v>
      </c>
      <c r="PQI986" t="s">
        <v>619</v>
      </c>
      <c r="PQJ986">
        <v>10427</v>
      </c>
      <c r="PQK986">
        <v>5803</v>
      </c>
      <c r="PQL986">
        <v>1105</v>
      </c>
      <c r="PQM986">
        <v>148729</v>
      </c>
      <c r="QAD986" t="s">
        <v>1366</v>
      </c>
      <c r="QAE986" t="s">
        <v>619</v>
      </c>
      <c r="QAF986">
        <v>10427</v>
      </c>
      <c r="QAG986">
        <v>5803</v>
      </c>
      <c r="QAH986">
        <v>1105</v>
      </c>
      <c r="QAI986">
        <v>148729</v>
      </c>
      <c r="QJZ986" t="s">
        <v>1366</v>
      </c>
      <c r="QKA986" t="s">
        <v>619</v>
      </c>
      <c r="QKB986">
        <v>10427</v>
      </c>
      <c r="QKC986">
        <v>5803</v>
      </c>
      <c r="QKD986">
        <v>1105</v>
      </c>
      <c r="QKE986">
        <v>148729</v>
      </c>
      <c r="QTV986" t="s">
        <v>1366</v>
      </c>
      <c r="QTW986" t="s">
        <v>619</v>
      </c>
      <c r="QTX986">
        <v>10427</v>
      </c>
      <c r="QTY986">
        <v>5803</v>
      </c>
      <c r="QTZ986">
        <v>1105</v>
      </c>
      <c r="QUA986">
        <v>148729</v>
      </c>
      <c r="RDR986" t="s">
        <v>1366</v>
      </c>
      <c r="RDS986" t="s">
        <v>619</v>
      </c>
      <c r="RDT986">
        <v>10427</v>
      </c>
      <c r="RDU986">
        <v>5803</v>
      </c>
      <c r="RDV986">
        <v>1105</v>
      </c>
      <c r="RDW986">
        <v>148729</v>
      </c>
      <c r="RNN986" t="s">
        <v>1366</v>
      </c>
      <c r="RNO986" t="s">
        <v>619</v>
      </c>
      <c r="RNP986">
        <v>10427</v>
      </c>
      <c r="RNQ986">
        <v>5803</v>
      </c>
      <c r="RNR986">
        <v>1105</v>
      </c>
      <c r="RNS986">
        <v>148729</v>
      </c>
      <c r="RXJ986" t="s">
        <v>1366</v>
      </c>
      <c r="RXK986" t="s">
        <v>619</v>
      </c>
      <c r="RXL986">
        <v>10427</v>
      </c>
      <c r="RXM986">
        <v>5803</v>
      </c>
      <c r="RXN986">
        <v>1105</v>
      </c>
      <c r="RXO986">
        <v>148729</v>
      </c>
      <c r="SHF986" t="s">
        <v>1366</v>
      </c>
      <c r="SHG986" t="s">
        <v>619</v>
      </c>
      <c r="SHH986">
        <v>10427</v>
      </c>
      <c r="SHI986">
        <v>5803</v>
      </c>
      <c r="SHJ986">
        <v>1105</v>
      </c>
      <c r="SHK986">
        <v>148729</v>
      </c>
      <c r="SRB986" t="s">
        <v>1366</v>
      </c>
      <c r="SRC986" t="s">
        <v>619</v>
      </c>
      <c r="SRD986">
        <v>10427</v>
      </c>
      <c r="SRE986">
        <v>5803</v>
      </c>
      <c r="SRF986">
        <v>1105</v>
      </c>
      <c r="SRG986">
        <v>148729</v>
      </c>
      <c r="TAX986" t="s">
        <v>1366</v>
      </c>
      <c r="TAY986" t="s">
        <v>619</v>
      </c>
      <c r="TAZ986">
        <v>10427</v>
      </c>
      <c r="TBA986">
        <v>5803</v>
      </c>
      <c r="TBB986">
        <v>1105</v>
      </c>
      <c r="TBC986">
        <v>148729</v>
      </c>
      <c r="TKT986" t="s">
        <v>1366</v>
      </c>
      <c r="TKU986" t="s">
        <v>619</v>
      </c>
      <c r="TKV986">
        <v>10427</v>
      </c>
      <c r="TKW986">
        <v>5803</v>
      </c>
      <c r="TKX986">
        <v>1105</v>
      </c>
      <c r="TKY986">
        <v>148729</v>
      </c>
      <c r="TUP986" t="s">
        <v>1366</v>
      </c>
      <c r="TUQ986" t="s">
        <v>619</v>
      </c>
      <c r="TUR986">
        <v>10427</v>
      </c>
      <c r="TUS986">
        <v>5803</v>
      </c>
      <c r="TUT986">
        <v>1105</v>
      </c>
      <c r="TUU986">
        <v>148729</v>
      </c>
      <c r="UEL986" t="s">
        <v>1366</v>
      </c>
      <c r="UEM986" t="s">
        <v>619</v>
      </c>
      <c r="UEN986">
        <v>10427</v>
      </c>
      <c r="UEO986">
        <v>5803</v>
      </c>
      <c r="UEP986">
        <v>1105</v>
      </c>
      <c r="UEQ986">
        <v>148729</v>
      </c>
      <c r="UOH986" t="s">
        <v>1366</v>
      </c>
      <c r="UOI986" t="s">
        <v>619</v>
      </c>
      <c r="UOJ986">
        <v>10427</v>
      </c>
      <c r="UOK986">
        <v>5803</v>
      </c>
      <c r="UOL986">
        <v>1105</v>
      </c>
      <c r="UOM986">
        <v>148729</v>
      </c>
      <c r="UYD986" t="s">
        <v>1366</v>
      </c>
      <c r="UYE986" t="s">
        <v>619</v>
      </c>
      <c r="UYF986">
        <v>10427</v>
      </c>
      <c r="UYG986">
        <v>5803</v>
      </c>
      <c r="UYH986">
        <v>1105</v>
      </c>
      <c r="UYI986">
        <v>148729</v>
      </c>
      <c r="VHZ986" t="s">
        <v>1366</v>
      </c>
      <c r="VIA986" t="s">
        <v>619</v>
      </c>
      <c r="VIB986">
        <v>10427</v>
      </c>
      <c r="VIC986">
        <v>5803</v>
      </c>
      <c r="VID986">
        <v>1105</v>
      </c>
      <c r="VIE986">
        <v>148729</v>
      </c>
      <c r="VRV986" t="s">
        <v>1366</v>
      </c>
      <c r="VRW986" t="s">
        <v>619</v>
      </c>
      <c r="VRX986">
        <v>10427</v>
      </c>
      <c r="VRY986">
        <v>5803</v>
      </c>
      <c r="VRZ986">
        <v>1105</v>
      </c>
      <c r="VSA986">
        <v>148729</v>
      </c>
      <c r="WBR986" t="s">
        <v>1366</v>
      </c>
      <c r="WBS986" t="s">
        <v>619</v>
      </c>
      <c r="WBT986">
        <v>10427</v>
      </c>
      <c r="WBU986">
        <v>5803</v>
      </c>
      <c r="WBV986">
        <v>1105</v>
      </c>
      <c r="WBW986">
        <v>148729</v>
      </c>
      <c r="WLN986" t="s">
        <v>1366</v>
      </c>
      <c r="WLO986" t="s">
        <v>619</v>
      </c>
      <c r="WLP986">
        <v>10427</v>
      </c>
      <c r="WLQ986">
        <v>5803</v>
      </c>
      <c r="WLR986">
        <v>1105</v>
      </c>
      <c r="WLS986">
        <v>148729</v>
      </c>
      <c r="WVJ986" t="s">
        <v>1366</v>
      </c>
      <c r="WVK986" t="s">
        <v>619</v>
      </c>
      <c r="WVL986">
        <v>10427</v>
      </c>
      <c r="WVM986">
        <v>5803</v>
      </c>
      <c r="WVN986">
        <v>1105</v>
      </c>
      <c r="WVO986">
        <v>148729</v>
      </c>
    </row>
    <row r="987" spans="1:775 1026:1799 2050:2823 3074:3847 4098:4871 5122:5895 6146:6919 7170:7943 8194:8967 9218:9991 10242:11015 11266:12039 12290:13063 13314:14087 14338:15111 15362:16135">
      <c r="A987" s="96" t="s">
        <v>789</v>
      </c>
      <c r="B987" s="1507" t="s">
        <v>696</v>
      </c>
      <c r="C987" s="100">
        <v>-1375862</v>
      </c>
      <c r="D987" s="100">
        <v>569163</v>
      </c>
      <c r="E987" s="98">
        <v>0</v>
      </c>
      <c r="F987" s="98">
        <v>0</v>
      </c>
      <c r="G987" s="98">
        <v>0</v>
      </c>
      <c r="H987" s="98"/>
      <c r="IX987" t="s">
        <v>789</v>
      </c>
      <c r="IY987">
        <v>-1375862</v>
      </c>
      <c r="IZ987">
        <v>569163</v>
      </c>
      <c r="JA987" t="s">
        <v>619</v>
      </c>
      <c r="JB987" t="s">
        <v>619</v>
      </c>
      <c r="JC987" t="s">
        <v>619</v>
      </c>
      <c r="ST987" t="s">
        <v>789</v>
      </c>
      <c r="SU987">
        <v>-1375862</v>
      </c>
      <c r="SV987">
        <v>569163</v>
      </c>
      <c r="SW987" t="s">
        <v>619</v>
      </c>
      <c r="SX987" t="s">
        <v>619</v>
      </c>
      <c r="SY987" t="s">
        <v>619</v>
      </c>
      <c r="ACP987" t="s">
        <v>789</v>
      </c>
      <c r="ACQ987">
        <v>-1375862</v>
      </c>
      <c r="ACR987">
        <v>569163</v>
      </c>
      <c r="ACS987" t="s">
        <v>619</v>
      </c>
      <c r="ACT987" t="s">
        <v>619</v>
      </c>
      <c r="ACU987" t="s">
        <v>619</v>
      </c>
      <c r="AML987" t="s">
        <v>789</v>
      </c>
      <c r="AMM987">
        <v>-1375862</v>
      </c>
      <c r="AMN987">
        <v>569163</v>
      </c>
      <c r="AMO987" t="s">
        <v>619</v>
      </c>
      <c r="AMP987" t="s">
        <v>619</v>
      </c>
      <c r="AMQ987" t="s">
        <v>619</v>
      </c>
      <c r="AWH987" t="s">
        <v>789</v>
      </c>
      <c r="AWI987">
        <v>-1375862</v>
      </c>
      <c r="AWJ987">
        <v>569163</v>
      </c>
      <c r="AWK987" t="s">
        <v>619</v>
      </c>
      <c r="AWL987" t="s">
        <v>619</v>
      </c>
      <c r="AWM987" t="s">
        <v>619</v>
      </c>
      <c r="BGD987" t="s">
        <v>789</v>
      </c>
      <c r="BGE987">
        <v>-1375862</v>
      </c>
      <c r="BGF987">
        <v>569163</v>
      </c>
      <c r="BGG987" t="s">
        <v>619</v>
      </c>
      <c r="BGH987" t="s">
        <v>619</v>
      </c>
      <c r="BGI987" t="s">
        <v>619</v>
      </c>
      <c r="BPZ987" t="s">
        <v>789</v>
      </c>
      <c r="BQA987">
        <v>-1375862</v>
      </c>
      <c r="BQB987">
        <v>569163</v>
      </c>
      <c r="BQC987" t="s">
        <v>619</v>
      </c>
      <c r="BQD987" t="s">
        <v>619</v>
      </c>
      <c r="BQE987" t="s">
        <v>619</v>
      </c>
      <c r="BZV987" t="s">
        <v>789</v>
      </c>
      <c r="BZW987">
        <v>-1375862</v>
      </c>
      <c r="BZX987">
        <v>569163</v>
      </c>
      <c r="BZY987" t="s">
        <v>619</v>
      </c>
      <c r="BZZ987" t="s">
        <v>619</v>
      </c>
      <c r="CAA987" t="s">
        <v>619</v>
      </c>
      <c r="CJR987" t="s">
        <v>789</v>
      </c>
      <c r="CJS987">
        <v>-1375862</v>
      </c>
      <c r="CJT987">
        <v>569163</v>
      </c>
      <c r="CJU987" t="s">
        <v>619</v>
      </c>
      <c r="CJV987" t="s">
        <v>619</v>
      </c>
      <c r="CJW987" t="s">
        <v>619</v>
      </c>
      <c r="CTN987" t="s">
        <v>789</v>
      </c>
      <c r="CTO987">
        <v>-1375862</v>
      </c>
      <c r="CTP987">
        <v>569163</v>
      </c>
      <c r="CTQ987" t="s">
        <v>619</v>
      </c>
      <c r="CTR987" t="s">
        <v>619</v>
      </c>
      <c r="CTS987" t="s">
        <v>619</v>
      </c>
      <c r="DDJ987" t="s">
        <v>789</v>
      </c>
      <c r="DDK987">
        <v>-1375862</v>
      </c>
      <c r="DDL987">
        <v>569163</v>
      </c>
      <c r="DDM987" t="s">
        <v>619</v>
      </c>
      <c r="DDN987" t="s">
        <v>619</v>
      </c>
      <c r="DDO987" t="s">
        <v>619</v>
      </c>
      <c r="DNF987" t="s">
        <v>789</v>
      </c>
      <c r="DNG987">
        <v>-1375862</v>
      </c>
      <c r="DNH987">
        <v>569163</v>
      </c>
      <c r="DNI987" t="s">
        <v>619</v>
      </c>
      <c r="DNJ987" t="s">
        <v>619</v>
      </c>
      <c r="DNK987" t="s">
        <v>619</v>
      </c>
      <c r="DXB987" t="s">
        <v>789</v>
      </c>
      <c r="DXC987">
        <v>-1375862</v>
      </c>
      <c r="DXD987">
        <v>569163</v>
      </c>
      <c r="DXE987" t="s">
        <v>619</v>
      </c>
      <c r="DXF987" t="s">
        <v>619</v>
      </c>
      <c r="DXG987" t="s">
        <v>619</v>
      </c>
      <c r="EGX987" t="s">
        <v>789</v>
      </c>
      <c r="EGY987">
        <v>-1375862</v>
      </c>
      <c r="EGZ987">
        <v>569163</v>
      </c>
      <c r="EHA987" t="s">
        <v>619</v>
      </c>
      <c r="EHB987" t="s">
        <v>619</v>
      </c>
      <c r="EHC987" t="s">
        <v>619</v>
      </c>
      <c r="EQT987" t="s">
        <v>789</v>
      </c>
      <c r="EQU987">
        <v>-1375862</v>
      </c>
      <c r="EQV987">
        <v>569163</v>
      </c>
      <c r="EQW987" t="s">
        <v>619</v>
      </c>
      <c r="EQX987" t="s">
        <v>619</v>
      </c>
      <c r="EQY987" t="s">
        <v>619</v>
      </c>
      <c r="FAP987" t="s">
        <v>789</v>
      </c>
      <c r="FAQ987">
        <v>-1375862</v>
      </c>
      <c r="FAR987">
        <v>569163</v>
      </c>
      <c r="FAS987" t="s">
        <v>619</v>
      </c>
      <c r="FAT987" t="s">
        <v>619</v>
      </c>
      <c r="FAU987" t="s">
        <v>619</v>
      </c>
      <c r="FKL987" t="s">
        <v>789</v>
      </c>
      <c r="FKM987">
        <v>-1375862</v>
      </c>
      <c r="FKN987">
        <v>569163</v>
      </c>
      <c r="FKO987" t="s">
        <v>619</v>
      </c>
      <c r="FKP987" t="s">
        <v>619</v>
      </c>
      <c r="FKQ987" t="s">
        <v>619</v>
      </c>
      <c r="FUH987" t="s">
        <v>789</v>
      </c>
      <c r="FUI987">
        <v>-1375862</v>
      </c>
      <c r="FUJ987">
        <v>569163</v>
      </c>
      <c r="FUK987" t="s">
        <v>619</v>
      </c>
      <c r="FUL987" t="s">
        <v>619</v>
      </c>
      <c r="FUM987" t="s">
        <v>619</v>
      </c>
      <c r="GED987" t="s">
        <v>789</v>
      </c>
      <c r="GEE987">
        <v>-1375862</v>
      </c>
      <c r="GEF987">
        <v>569163</v>
      </c>
      <c r="GEG987" t="s">
        <v>619</v>
      </c>
      <c r="GEH987" t="s">
        <v>619</v>
      </c>
      <c r="GEI987" t="s">
        <v>619</v>
      </c>
      <c r="GNZ987" t="s">
        <v>789</v>
      </c>
      <c r="GOA987">
        <v>-1375862</v>
      </c>
      <c r="GOB987">
        <v>569163</v>
      </c>
      <c r="GOC987" t="s">
        <v>619</v>
      </c>
      <c r="GOD987" t="s">
        <v>619</v>
      </c>
      <c r="GOE987" t="s">
        <v>619</v>
      </c>
      <c r="GXV987" t="s">
        <v>789</v>
      </c>
      <c r="GXW987">
        <v>-1375862</v>
      </c>
      <c r="GXX987">
        <v>569163</v>
      </c>
      <c r="GXY987" t="s">
        <v>619</v>
      </c>
      <c r="GXZ987" t="s">
        <v>619</v>
      </c>
      <c r="GYA987" t="s">
        <v>619</v>
      </c>
      <c r="HHR987" t="s">
        <v>789</v>
      </c>
      <c r="HHS987">
        <v>-1375862</v>
      </c>
      <c r="HHT987">
        <v>569163</v>
      </c>
      <c r="HHU987" t="s">
        <v>619</v>
      </c>
      <c r="HHV987" t="s">
        <v>619</v>
      </c>
      <c r="HHW987" t="s">
        <v>619</v>
      </c>
      <c r="HRN987" t="s">
        <v>789</v>
      </c>
      <c r="HRO987">
        <v>-1375862</v>
      </c>
      <c r="HRP987">
        <v>569163</v>
      </c>
      <c r="HRQ987" t="s">
        <v>619</v>
      </c>
      <c r="HRR987" t="s">
        <v>619</v>
      </c>
      <c r="HRS987" t="s">
        <v>619</v>
      </c>
      <c r="IBJ987" t="s">
        <v>789</v>
      </c>
      <c r="IBK987">
        <v>-1375862</v>
      </c>
      <c r="IBL987">
        <v>569163</v>
      </c>
      <c r="IBM987" t="s">
        <v>619</v>
      </c>
      <c r="IBN987" t="s">
        <v>619</v>
      </c>
      <c r="IBO987" t="s">
        <v>619</v>
      </c>
      <c r="ILF987" t="s">
        <v>789</v>
      </c>
      <c r="ILG987">
        <v>-1375862</v>
      </c>
      <c r="ILH987">
        <v>569163</v>
      </c>
      <c r="ILI987" t="s">
        <v>619</v>
      </c>
      <c r="ILJ987" t="s">
        <v>619</v>
      </c>
      <c r="ILK987" t="s">
        <v>619</v>
      </c>
      <c r="IVB987" t="s">
        <v>789</v>
      </c>
      <c r="IVC987">
        <v>-1375862</v>
      </c>
      <c r="IVD987">
        <v>569163</v>
      </c>
      <c r="IVE987" t="s">
        <v>619</v>
      </c>
      <c r="IVF987" t="s">
        <v>619</v>
      </c>
      <c r="IVG987" t="s">
        <v>619</v>
      </c>
      <c r="JEX987" t="s">
        <v>789</v>
      </c>
      <c r="JEY987">
        <v>-1375862</v>
      </c>
      <c r="JEZ987">
        <v>569163</v>
      </c>
      <c r="JFA987" t="s">
        <v>619</v>
      </c>
      <c r="JFB987" t="s">
        <v>619</v>
      </c>
      <c r="JFC987" t="s">
        <v>619</v>
      </c>
      <c r="JOT987" t="s">
        <v>789</v>
      </c>
      <c r="JOU987">
        <v>-1375862</v>
      </c>
      <c r="JOV987">
        <v>569163</v>
      </c>
      <c r="JOW987" t="s">
        <v>619</v>
      </c>
      <c r="JOX987" t="s">
        <v>619</v>
      </c>
      <c r="JOY987" t="s">
        <v>619</v>
      </c>
      <c r="JYP987" t="s">
        <v>789</v>
      </c>
      <c r="JYQ987">
        <v>-1375862</v>
      </c>
      <c r="JYR987">
        <v>569163</v>
      </c>
      <c r="JYS987" t="s">
        <v>619</v>
      </c>
      <c r="JYT987" t="s">
        <v>619</v>
      </c>
      <c r="JYU987" t="s">
        <v>619</v>
      </c>
      <c r="KIL987" t="s">
        <v>789</v>
      </c>
      <c r="KIM987">
        <v>-1375862</v>
      </c>
      <c r="KIN987">
        <v>569163</v>
      </c>
      <c r="KIO987" t="s">
        <v>619</v>
      </c>
      <c r="KIP987" t="s">
        <v>619</v>
      </c>
      <c r="KIQ987" t="s">
        <v>619</v>
      </c>
      <c r="KSH987" t="s">
        <v>789</v>
      </c>
      <c r="KSI987">
        <v>-1375862</v>
      </c>
      <c r="KSJ987">
        <v>569163</v>
      </c>
      <c r="KSK987" t="s">
        <v>619</v>
      </c>
      <c r="KSL987" t="s">
        <v>619</v>
      </c>
      <c r="KSM987" t="s">
        <v>619</v>
      </c>
      <c r="LCD987" t="s">
        <v>789</v>
      </c>
      <c r="LCE987">
        <v>-1375862</v>
      </c>
      <c r="LCF987">
        <v>569163</v>
      </c>
      <c r="LCG987" t="s">
        <v>619</v>
      </c>
      <c r="LCH987" t="s">
        <v>619</v>
      </c>
      <c r="LCI987" t="s">
        <v>619</v>
      </c>
      <c r="LLZ987" t="s">
        <v>789</v>
      </c>
      <c r="LMA987">
        <v>-1375862</v>
      </c>
      <c r="LMB987">
        <v>569163</v>
      </c>
      <c r="LMC987" t="s">
        <v>619</v>
      </c>
      <c r="LMD987" t="s">
        <v>619</v>
      </c>
      <c r="LME987" t="s">
        <v>619</v>
      </c>
      <c r="LVV987" t="s">
        <v>789</v>
      </c>
      <c r="LVW987">
        <v>-1375862</v>
      </c>
      <c r="LVX987">
        <v>569163</v>
      </c>
      <c r="LVY987" t="s">
        <v>619</v>
      </c>
      <c r="LVZ987" t="s">
        <v>619</v>
      </c>
      <c r="LWA987" t="s">
        <v>619</v>
      </c>
      <c r="MFR987" t="s">
        <v>789</v>
      </c>
      <c r="MFS987">
        <v>-1375862</v>
      </c>
      <c r="MFT987">
        <v>569163</v>
      </c>
      <c r="MFU987" t="s">
        <v>619</v>
      </c>
      <c r="MFV987" t="s">
        <v>619</v>
      </c>
      <c r="MFW987" t="s">
        <v>619</v>
      </c>
      <c r="MPN987" t="s">
        <v>789</v>
      </c>
      <c r="MPO987">
        <v>-1375862</v>
      </c>
      <c r="MPP987">
        <v>569163</v>
      </c>
      <c r="MPQ987" t="s">
        <v>619</v>
      </c>
      <c r="MPR987" t="s">
        <v>619</v>
      </c>
      <c r="MPS987" t="s">
        <v>619</v>
      </c>
      <c r="MZJ987" t="s">
        <v>789</v>
      </c>
      <c r="MZK987">
        <v>-1375862</v>
      </c>
      <c r="MZL987">
        <v>569163</v>
      </c>
      <c r="MZM987" t="s">
        <v>619</v>
      </c>
      <c r="MZN987" t="s">
        <v>619</v>
      </c>
      <c r="MZO987" t="s">
        <v>619</v>
      </c>
      <c r="NJF987" t="s">
        <v>789</v>
      </c>
      <c r="NJG987">
        <v>-1375862</v>
      </c>
      <c r="NJH987">
        <v>569163</v>
      </c>
      <c r="NJI987" t="s">
        <v>619</v>
      </c>
      <c r="NJJ987" t="s">
        <v>619</v>
      </c>
      <c r="NJK987" t="s">
        <v>619</v>
      </c>
      <c r="NTB987" t="s">
        <v>789</v>
      </c>
      <c r="NTC987">
        <v>-1375862</v>
      </c>
      <c r="NTD987">
        <v>569163</v>
      </c>
      <c r="NTE987" t="s">
        <v>619</v>
      </c>
      <c r="NTF987" t="s">
        <v>619</v>
      </c>
      <c r="NTG987" t="s">
        <v>619</v>
      </c>
      <c r="OCX987" t="s">
        <v>789</v>
      </c>
      <c r="OCY987">
        <v>-1375862</v>
      </c>
      <c r="OCZ987">
        <v>569163</v>
      </c>
      <c r="ODA987" t="s">
        <v>619</v>
      </c>
      <c r="ODB987" t="s">
        <v>619</v>
      </c>
      <c r="ODC987" t="s">
        <v>619</v>
      </c>
      <c r="OMT987" t="s">
        <v>789</v>
      </c>
      <c r="OMU987">
        <v>-1375862</v>
      </c>
      <c r="OMV987">
        <v>569163</v>
      </c>
      <c r="OMW987" t="s">
        <v>619</v>
      </c>
      <c r="OMX987" t="s">
        <v>619</v>
      </c>
      <c r="OMY987" t="s">
        <v>619</v>
      </c>
      <c r="OWP987" t="s">
        <v>789</v>
      </c>
      <c r="OWQ987">
        <v>-1375862</v>
      </c>
      <c r="OWR987">
        <v>569163</v>
      </c>
      <c r="OWS987" t="s">
        <v>619</v>
      </c>
      <c r="OWT987" t="s">
        <v>619</v>
      </c>
      <c r="OWU987" t="s">
        <v>619</v>
      </c>
      <c r="PGL987" t="s">
        <v>789</v>
      </c>
      <c r="PGM987">
        <v>-1375862</v>
      </c>
      <c r="PGN987">
        <v>569163</v>
      </c>
      <c r="PGO987" t="s">
        <v>619</v>
      </c>
      <c r="PGP987" t="s">
        <v>619</v>
      </c>
      <c r="PGQ987" t="s">
        <v>619</v>
      </c>
      <c r="PQH987" t="s">
        <v>789</v>
      </c>
      <c r="PQI987">
        <v>-1375862</v>
      </c>
      <c r="PQJ987">
        <v>569163</v>
      </c>
      <c r="PQK987" t="s">
        <v>619</v>
      </c>
      <c r="PQL987" t="s">
        <v>619</v>
      </c>
      <c r="PQM987" t="s">
        <v>619</v>
      </c>
      <c r="QAD987" t="s">
        <v>789</v>
      </c>
      <c r="QAE987">
        <v>-1375862</v>
      </c>
      <c r="QAF987">
        <v>569163</v>
      </c>
      <c r="QAG987" t="s">
        <v>619</v>
      </c>
      <c r="QAH987" t="s">
        <v>619</v>
      </c>
      <c r="QAI987" t="s">
        <v>619</v>
      </c>
      <c r="QJZ987" t="s">
        <v>789</v>
      </c>
      <c r="QKA987">
        <v>-1375862</v>
      </c>
      <c r="QKB987">
        <v>569163</v>
      </c>
      <c r="QKC987" t="s">
        <v>619</v>
      </c>
      <c r="QKD987" t="s">
        <v>619</v>
      </c>
      <c r="QKE987" t="s">
        <v>619</v>
      </c>
      <c r="QTV987" t="s">
        <v>789</v>
      </c>
      <c r="QTW987">
        <v>-1375862</v>
      </c>
      <c r="QTX987">
        <v>569163</v>
      </c>
      <c r="QTY987" t="s">
        <v>619</v>
      </c>
      <c r="QTZ987" t="s">
        <v>619</v>
      </c>
      <c r="QUA987" t="s">
        <v>619</v>
      </c>
      <c r="RDR987" t="s">
        <v>789</v>
      </c>
      <c r="RDS987">
        <v>-1375862</v>
      </c>
      <c r="RDT987">
        <v>569163</v>
      </c>
      <c r="RDU987" t="s">
        <v>619</v>
      </c>
      <c r="RDV987" t="s">
        <v>619</v>
      </c>
      <c r="RDW987" t="s">
        <v>619</v>
      </c>
      <c r="RNN987" t="s">
        <v>789</v>
      </c>
      <c r="RNO987">
        <v>-1375862</v>
      </c>
      <c r="RNP987">
        <v>569163</v>
      </c>
      <c r="RNQ987" t="s">
        <v>619</v>
      </c>
      <c r="RNR987" t="s">
        <v>619</v>
      </c>
      <c r="RNS987" t="s">
        <v>619</v>
      </c>
      <c r="RXJ987" t="s">
        <v>789</v>
      </c>
      <c r="RXK987">
        <v>-1375862</v>
      </c>
      <c r="RXL987">
        <v>569163</v>
      </c>
      <c r="RXM987" t="s">
        <v>619</v>
      </c>
      <c r="RXN987" t="s">
        <v>619</v>
      </c>
      <c r="RXO987" t="s">
        <v>619</v>
      </c>
      <c r="SHF987" t="s">
        <v>789</v>
      </c>
      <c r="SHG987">
        <v>-1375862</v>
      </c>
      <c r="SHH987">
        <v>569163</v>
      </c>
      <c r="SHI987" t="s">
        <v>619</v>
      </c>
      <c r="SHJ987" t="s">
        <v>619</v>
      </c>
      <c r="SHK987" t="s">
        <v>619</v>
      </c>
      <c r="SRB987" t="s">
        <v>789</v>
      </c>
      <c r="SRC987">
        <v>-1375862</v>
      </c>
      <c r="SRD987">
        <v>569163</v>
      </c>
      <c r="SRE987" t="s">
        <v>619</v>
      </c>
      <c r="SRF987" t="s">
        <v>619</v>
      </c>
      <c r="SRG987" t="s">
        <v>619</v>
      </c>
      <c r="TAX987" t="s">
        <v>789</v>
      </c>
      <c r="TAY987">
        <v>-1375862</v>
      </c>
      <c r="TAZ987">
        <v>569163</v>
      </c>
      <c r="TBA987" t="s">
        <v>619</v>
      </c>
      <c r="TBB987" t="s">
        <v>619</v>
      </c>
      <c r="TBC987" t="s">
        <v>619</v>
      </c>
      <c r="TKT987" t="s">
        <v>789</v>
      </c>
      <c r="TKU987">
        <v>-1375862</v>
      </c>
      <c r="TKV987">
        <v>569163</v>
      </c>
      <c r="TKW987" t="s">
        <v>619</v>
      </c>
      <c r="TKX987" t="s">
        <v>619</v>
      </c>
      <c r="TKY987" t="s">
        <v>619</v>
      </c>
      <c r="TUP987" t="s">
        <v>789</v>
      </c>
      <c r="TUQ987">
        <v>-1375862</v>
      </c>
      <c r="TUR987">
        <v>569163</v>
      </c>
      <c r="TUS987" t="s">
        <v>619</v>
      </c>
      <c r="TUT987" t="s">
        <v>619</v>
      </c>
      <c r="TUU987" t="s">
        <v>619</v>
      </c>
      <c r="UEL987" t="s">
        <v>789</v>
      </c>
      <c r="UEM987">
        <v>-1375862</v>
      </c>
      <c r="UEN987">
        <v>569163</v>
      </c>
      <c r="UEO987" t="s">
        <v>619</v>
      </c>
      <c r="UEP987" t="s">
        <v>619</v>
      </c>
      <c r="UEQ987" t="s">
        <v>619</v>
      </c>
      <c r="UOH987" t="s">
        <v>789</v>
      </c>
      <c r="UOI987">
        <v>-1375862</v>
      </c>
      <c r="UOJ987">
        <v>569163</v>
      </c>
      <c r="UOK987" t="s">
        <v>619</v>
      </c>
      <c r="UOL987" t="s">
        <v>619</v>
      </c>
      <c r="UOM987" t="s">
        <v>619</v>
      </c>
      <c r="UYD987" t="s">
        <v>789</v>
      </c>
      <c r="UYE987">
        <v>-1375862</v>
      </c>
      <c r="UYF987">
        <v>569163</v>
      </c>
      <c r="UYG987" t="s">
        <v>619</v>
      </c>
      <c r="UYH987" t="s">
        <v>619</v>
      </c>
      <c r="UYI987" t="s">
        <v>619</v>
      </c>
      <c r="VHZ987" t="s">
        <v>789</v>
      </c>
      <c r="VIA987">
        <v>-1375862</v>
      </c>
      <c r="VIB987">
        <v>569163</v>
      </c>
      <c r="VIC987" t="s">
        <v>619</v>
      </c>
      <c r="VID987" t="s">
        <v>619</v>
      </c>
      <c r="VIE987" t="s">
        <v>619</v>
      </c>
      <c r="VRV987" t="s">
        <v>789</v>
      </c>
      <c r="VRW987">
        <v>-1375862</v>
      </c>
      <c r="VRX987">
        <v>569163</v>
      </c>
      <c r="VRY987" t="s">
        <v>619</v>
      </c>
      <c r="VRZ987" t="s">
        <v>619</v>
      </c>
      <c r="VSA987" t="s">
        <v>619</v>
      </c>
      <c r="WBR987" t="s">
        <v>789</v>
      </c>
      <c r="WBS987">
        <v>-1375862</v>
      </c>
      <c r="WBT987">
        <v>569163</v>
      </c>
      <c r="WBU987" t="s">
        <v>619</v>
      </c>
      <c r="WBV987" t="s">
        <v>619</v>
      </c>
      <c r="WBW987" t="s">
        <v>619</v>
      </c>
      <c r="WLN987" t="s">
        <v>789</v>
      </c>
      <c r="WLO987">
        <v>-1375862</v>
      </c>
      <c r="WLP987">
        <v>569163</v>
      </c>
      <c r="WLQ987" t="s">
        <v>619</v>
      </c>
      <c r="WLR987" t="s">
        <v>619</v>
      </c>
      <c r="WLS987" t="s">
        <v>619</v>
      </c>
      <c r="WVJ987" t="s">
        <v>789</v>
      </c>
      <c r="WVK987">
        <v>-1375862</v>
      </c>
      <c r="WVL987">
        <v>569163</v>
      </c>
      <c r="WVM987" t="s">
        <v>619</v>
      </c>
      <c r="WVN987" t="s">
        <v>619</v>
      </c>
      <c r="WVO987" t="s">
        <v>619</v>
      </c>
    </row>
    <row r="988" spans="1:775 1026:1799 2050:2823 3074:3847 4098:4871 5122:5895 6146:6919 7170:7943 8194:8967 9218:9991 10242:11015 11266:12039 12290:13063 13314:14087 14338:15111 15362:16135">
      <c r="A988" s="96" t="s">
        <v>696</v>
      </c>
      <c r="B988" s="1507" t="s">
        <v>696</v>
      </c>
      <c r="C988" s="98">
        <v>0</v>
      </c>
      <c r="D988" s="98">
        <v>0</v>
      </c>
      <c r="E988" s="100">
        <v>-197828</v>
      </c>
      <c r="F988" s="100">
        <v>-990550</v>
      </c>
      <c r="G988" s="100">
        <v>-6257514</v>
      </c>
      <c r="H988" s="100"/>
      <c r="IX988" t="s">
        <v>696</v>
      </c>
      <c r="IY988" t="s">
        <v>619</v>
      </c>
      <c r="IZ988" t="s">
        <v>619</v>
      </c>
      <c r="JA988">
        <v>-197828</v>
      </c>
      <c r="JB988">
        <v>-990550</v>
      </c>
      <c r="JC988">
        <v>-6257514</v>
      </c>
      <c r="ST988" t="s">
        <v>696</v>
      </c>
      <c r="SU988" t="s">
        <v>619</v>
      </c>
      <c r="SV988" t="s">
        <v>619</v>
      </c>
      <c r="SW988">
        <v>-197828</v>
      </c>
      <c r="SX988">
        <v>-990550</v>
      </c>
      <c r="SY988">
        <v>-6257514</v>
      </c>
      <c r="ACP988" t="s">
        <v>696</v>
      </c>
      <c r="ACQ988" t="s">
        <v>619</v>
      </c>
      <c r="ACR988" t="s">
        <v>619</v>
      </c>
      <c r="ACS988">
        <v>-197828</v>
      </c>
      <c r="ACT988">
        <v>-990550</v>
      </c>
      <c r="ACU988">
        <v>-6257514</v>
      </c>
      <c r="AML988" t="s">
        <v>696</v>
      </c>
      <c r="AMM988" t="s">
        <v>619</v>
      </c>
      <c r="AMN988" t="s">
        <v>619</v>
      </c>
      <c r="AMO988">
        <v>-197828</v>
      </c>
      <c r="AMP988">
        <v>-990550</v>
      </c>
      <c r="AMQ988">
        <v>-6257514</v>
      </c>
      <c r="AWH988" t="s">
        <v>696</v>
      </c>
      <c r="AWI988" t="s">
        <v>619</v>
      </c>
      <c r="AWJ988" t="s">
        <v>619</v>
      </c>
      <c r="AWK988">
        <v>-197828</v>
      </c>
      <c r="AWL988">
        <v>-990550</v>
      </c>
      <c r="AWM988">
        <v>-6257514</v>
      </c>
      <c r="BGD988" t="s">
        <v>696</v>
      </c>
      <c r="BGE988" t="s">
        <v>619</v>
      </c>
      <c r="BGF988" t="s">
        <v>619</v>
      </c>
      <c r="BGG988">
        <v>-197828</v>
      </c>
      <c r="BGH988">
        <v>-990550</v>
      </c>
      <c r="BGI988">
        <v>-6257514</v>
      </c>
      <c r="BPZ988" t="s">
        <v>696</v>
      </c>
      <c r="BQA988" t="s">
        <v>619</v>
      </c>
      <c r="BQB988" t="s">
        <v>619</v>
      </c>
      <c r="BQC988">
        <v>-197828</v>
      </c>
      <c r="BQD988">
        <v>-990550</v>
      </c>
      <c r="BQE988">
        <v>-6257514</v>
      </c>
      <c r="BZV988" t="s">
        <v>696</v>
      </c>
      <c r="BZW988" t="s">
        <v>619</v>
      </c>
      <c r="BZX988" t="s">
        <v>619</v>
      </c>
      <c r="BZY988">
        <v>-197828</v>
      </c>
      <c r="BZZ988">
        <v>-990550</v>
      </c>
      <c r="CAA988">
        <v>-6257514</v>
      </c>
      <c r="CJR988" t="s">
        <v>696</v>
      </c>
      <c r="CJS988" t="s">
        <v>619</v>
      </c>
      <c r="CJT988" t="s">
        <v>619</v>
      </c>
      <c r="CJU988">
        <v>-197828</v>
      </c>
      <c r="CJV988">
        <v>-990550</v>
      </c>
      <c r="CJW988">
        <v>-6257514</v>
      </c>
      <c r="CTN988" t="s">
        <v>696</v>
      </c>
      <c r="CTO988" t="s">
        <v>619</v>
      </c>
      <c r="CTP988" t="s">
        <v>619</v>
      </c>
      <c r="CTQ988">
        <v>-197828</v>
      </c>
      <c r="CTR988">
        <v>-990550</v>
      </c>
      <c r="CTS988">
        <v>-6257514</v>
      </c>
      <c r="DDJ988" t="s">
        <v>696</v>
      </c>
      <c r="DDK988" t="s">
        <v>619</v>
      </c>
      <c r="DDL988" t="s">
        <v>619</v>
      </c>
      <c r="DDM988">
        <v>-197828</v>
      </c>
      <c r="DDN988">
        <v>-990550</v>
      </c>
      <c r="DDO988">
        <v>-6257514</v>
      </c>
      <c r="DNF988" t="s">
        <v>696</v>
      </c>
      <c r="DNG988" t="s">
        <v>619</v>
      </c>
      <c r="DNH988" t="s">
        <v>619</v>
      </c>
      <c r="DNI988">
        <v>-197828</v>
      </c>
      <c r="DNJ988">
        <v>-990550</v>
      </c>
      <c r="DNK988">
        <v>-6257514</v>
      </c>
      <c r="DXB988" t="s">
        <v>696</v>
      </c>
      <c r="DXC988" t="s">
        <v>619</v>
      </c>
      <c r="DXD988" t="s">
        <v>619</v>
      </c>
      <c r="DXE988">
        <v>-197828</v>
      </c>
      <c r="DXF988">
        <v>-990550</v>
      </c>
      <c r="DXG988">
        <v>-6257514</v>
      </c>
      <c r="EGX988" t="s">
        <v>696</v>
      </c>
      <c r="EGY988" t="s">
        <v>619</v>
      </c>
      <c r="EGZ988" t="s">
        <v>619</v>
      </c>
      <c r="EHA988">
        <v>-197828</v>
      </c>
      <c r="EHB988">
        <v>-990550</v>
      </c>
      <c r="EHC988">
        <v>-6257514</v>
      </c>
      <c r="EQT988" t="s">
        <v>696</v>
      </c>
      <c r="EQU988" t="s">
        <v>619</v>
      </c>
      <c r="EQV988" t="s">
        <v>619</v>
      </c>
      <c r="EQW988">
        <v>-197828</v>
      </c>
      <c r="EQX988">
        <v>-990550</v>
      </c>
      <c r="EQY988">
        <v>-6257514</v>
      </c>
      <c r="FAP988" t="s">
        <v>696</v>
      </c>
      <c r="FAQ988" t="s">
        <v>619</v>
      </c>
      <c r="FAR988" t="s">
        <v>619</v>
      </c>
      <c r="FAS988">
        <v>-197828</v>
      </c>
      <c r="FAT988">
        <v>-990550</v>
      </c>
      <c r="FAU988">
        <v>-6257514</v>
      </c>
      <c r="FKL988" t="s">
        <v>696</v>
      </c>
      <c r="FKM988" t="s">
        <v>619</v>
      </c>
      <c r="FKN988" t="s">
        <v>619</v>
      </c>
      <c r="FKO988">
        <v>-197828</v>
      </c>
      <c r="FKP988">
        <v>-990550</v>
      </c>
      <c r="FKQ988">
        <v>-6257514</v>
      </c>
      <c r="FUH988" t="s">
        <v>696</v>
      </c>
      <c r="FUI988" t="s">
        <v>619</v>
      </c>
      <c r="FUJ988" t="s">
        <v>619</v>
      </c>
      <c r="FUK988">
        <v>-197828</v>
      </c>
      <c r="FUL988">
        <v>-990550</v>
      </c>
      <c r="FUM988">
        <v>-6257514</v>
      </c>
      <c r="GED988" t="s">
        <v>696</v>
      </c>
      <c r="GEE988" t="s">
        <v>619</v>
      </c>
      <c r="GEF988" t="s">
        <v>619</v>
      </c>
      <c r="GEG988">
        <v>-197828</v>
      </c>
      <c r="GEH988">
        <v>-990550</v>
      </c>
      <c r="GEI988">
        <v>-6257514</v>
      </c>
      <c r="GNZ988" t="s">
        <v>696</v>
      </c>
      <c r="GOA988" t="s">
        <v>619</v>
      </c>
      <c r="GOB988" t="s">
        <v>619</v>
      </c>
      <c r="GOC988">
        <v>-197828</v>
      </c>
      <c r="GOD988">
        <v>-990550</v>
      </c>
      <c r="GOE988">
        <v>-6257514</v>
      </c>
      <c r="GXV988" t="s">
        <v>696</v>
      </c>
      <c r="GXW988" t="s">
        <v>619</v>
      </c>
      <c r="GXX988" t="s">
        <v>619</v>
      </c>
      <c r="GXY988">
        <v>-197828</v>
      </c>
      <c r="GXZ988">
        <v>-990550</v>
      </c>
      <c r="GYA988">
        <v>-6257514</v>
      </c>
      <c r="HHR988" t="s">
        <v>696</v>
      </c>
      <c r="HHS988" t="s">
        <v>619</v>
      </c>
      <c r="HHT988" t="s">
        <v>619</v>
      </c>
      <c r="HHU988">
        <v>-197828</v>
      </c>
      <c r="HHV988">
        <v>-990550</v>
      </c>
      <c r="HHW988">
        <v>-6257514</v>
      </c>
      <c r="HRN988" t="s">
        <v>696</v>
      </c>
      <c r="HRO988" t="s">
        <v>619</v>
      </c>
      <c r="HRP988" t="s">
        <v>619</v>
      </c>
      <c r="HRQ988">
        <v>-197828</v>
      </c>
      <c r="HRR988">
        <v>-990550</v>
      </c>
      <c r="HRS988">
        <v>-6257514</v>
      </c>
      <c r="IBJ988" t="s">
        <v>696</v>
      </c>
      <c r="IBK988" t="s">
        <v>619</v>
      </c>
      <c r="IBL988" t="s">
        <v>619</v>
      </c>
      <c r="IBM988">
        <v>-197828</v>
      </c>
      <c r="IBN988">
        <v>-990550</v>
      </c>
      <c r="IBO988">
        <v>-6257514</v>
      </c>
      <c r="ILF988" t="s">
        <v>696</v>
      </c>
      <c r="ILG988" t="s">
        <v>619</v>
      </c>
      <c r="ILH988" t="s">
        <v>619</v>
      </c>
      <c r="ILI988">
        <v>-197828</v>
      </c>
      <c r="ILJ988">
        <v>-990550</v>
      </c>
      <c r="ILK988">
        <v>-6257514</v>
      </c>
      <c r="IVB988" t="s">
        <v>696</v>
      </c>
      <c r="IVC988" t="s">
        <v>619</v>
      </c>
      <c r="IVD988" t="s">
        <v>619</v>
      </c>
      <c r="IVE988">
        <v>-197828</v>
      </c>
      <c r="IVF988">
        <v>-990550</v>
      </c>
      <c r="IVG988">
        <v>-6257514</v>
      </c>
      <c r="JEX988" t="s">
        <v>696</v>
      </c>
      <c r="JEY988" t="s">
        <v>619</v>
      </c>
      <c r="JEZ988" t="s">
        <v>619</v>
      </c>
      <c r="JFA988">
        <v>-197828</v>
      </c>
      <c r="JFB988">
        <v>-990550</v>
      </c>
      <c r="JFC988">
        <v>-6257514</v>
      </c>
      <c r="JOT988" t="s">
        <v>696</v>
      </c>
      <c r="JOU988" t="s">
        <v>619</v>
      </c>
      <c r="JOV988" t="s">
        <v>619</v>
      </c>
      <c r="JOW988">
        <v>-197828</v>
      </c>
      <c r="JOX988">
        <v>-990550</v>
      </c>
      <c r="JOY988">
        <v>-6257514</v>
      </c>
      <c r="JYP988" t="s">
        <v>696</v>
      </c>
      <c r="JYQ988" t="s">
        <v>619</v>
      </c>
      <c r="JYR988" t="s">
        <v>619</v>
      </c>
      <c r="JYS988">
        <v>-197828</v>
      </c>
      <c r="JYT988">
        <v>-990550</v>
      </c>
      <c r="JYU988">
        <v>-6257514</v>
      </c>
      <c r="KIL988" t="s">
        <v>696</v>
      </c>
      <c r="KIM988" t="s">
        <v>619</v>
      </c>
      <c r="KIN988" t="s">
        <v>619</v>
      </c>
      <c r="KIO988">
        <v>-197828</v>
      </c>
      <c r="KIP988">
        <v>-990550</v>
      </c>
      <c r="KIQ988">
        <v>-6257514</v>
      </c>
      <c r="KSH988" t="s">
        <v>696</v>
      </c>
      <c r="KSI988" t="s">
        <v>619</v>
      </c>
      <c r="KSJ988" t="s">
        <v>619</v>
      </c>
      <c r="KSK988">
        <v>-197828</v>
      </c>
      <c r="KSL988">
        <v>-990550</v>
      </c>
      <c r="KSM988">
        <v>-6257514</v>
      </c>
      <c r="LCD988" t="s">
        <v>696</v>
      </c>
      <c r="LCE988" t="s">
        <v>619</v>
      </c>
      <c r="LCF988" t="s">
        <v>619</v>
      </c>
      <c r="LCG988">
        <v>-197828</v>
      </c>
      <c r="LCH988">
        <v>-990550</v>
      </c>
      <c r="LCI988">
        <v>-6257514</v>
      </c>
      <c r="LLZ988" t="s">
        <v>696</v>
      </c>
      <c r="LMA988" t="s">
        <v>619</v>
      </c>
      <c r="LMB988" t="s">
        <v>619</v>
      </c>
      <c r="LMC988">
        <v>-197828</v>
      </c>
      <c r="LMD988">
        <v>-990550</v>
      </c>
      <c r="LME988">
        <v>-6257514</v>
      </c>
      <c r="LVV988" t="s">
        <v>696</v>
      </c>
      <c r="LVW988" t="s">
        <v>619</v>
      </c>
      <c r="LVX988" t="s">
        <v>619</v>
      </c>
      <c r="LVY988">
        <v>-197828</v>
      </c>
      <c r="LVZ988">
        <v>-990550</v>
      </c>
      <c r="LWA988">
        <v>-6257514</v>
      </c>
      <c r="MFR988" t="s">
        <v>696</v>
      </c>
      <c r="MFS988" t="s">
        <v>619</v>
      </c>
      <c r="MFT988" t="s">
        <v>619</v>
      </c>
      <c r="MFU988">
        <v>-197828</v>
      </c>
      <c r="MFV988">
        <v>-990550</v>
      </c>
      <c r="MFW988">
        <v>-6257514</v>
      </c>
      <c r="MPN988" t="s">
        <v>696</v>
      </c>
      <c r="MPO988" t="s">
        <v>619</v>
      </c>
      <c r="MPP988" t="s">
        <v>619</v>
      </c>
      <c r="MPQ988">
        <v>-197828</v>
      </c>
      <c r="MPR988">
        <v>-990550</v>
      </c>
      <c r="MPS988">
        <v>-6257514</v>
      </c>
      <c r="MZJ988" t="s">
        <v>696</v>
      </c>
      <c r="MZK988" t="s">
        <v>619</v>
      </c>
      <c r="MZL988" t="s">
        <v>619</v>
      </c>
      <c r="MZM988">
        <v>-197828</v>
      </c>
      <c r="MZN988">
        <v>-990550</v>
      </c>
      <c r="MZO988">
        <v>-6257514</v>
      </c>
      <c r="NJF988" t="s">
        <v>696</v>
      </c>
      <c r="NJG988" t="s">
        <v>619</v>
      </c>
      <c r="NJH988" t="s">
        <v>619</v>
      </c>
      <c r="NJI988">
        <v>-197828</v>
      </c>
      <c r="NJJ988">
        <v>-990550</v>
      </c>
      <c r="NJK988">
        <v>-6257514</v>
      </c>
      <c r="NTB988" t="s">
        <v>696</v>
      </c>
      <c r="NTC988" t="s">
        <v>619</v>
      </c>
      <c r="NTD988" t="s">
        <v>619</v>
      </c>
      <c r="NTE988">
        <v>-197828</v>
      </c>
      <c r="NTF988">
        <v>-990550</v>
      </c>
      <c r="NTG988">
        <v>-6257514</v>
      </c>
      <c r="OCX988" t="s">
        <v>696</v>
      </c>
      <c r="OCY988" t="s">
        <v>619</v>
      </c>
      <c r="OCZ988" t="s">
        <v>619</v>
      </c>
      <c r="ODA988">
        <v>-197828</v>
      </c>
      <c r="ODB988">
        <v>-990550</v>
      </c>
      <c r="ODC988">
        <v>-6257514</v>
      </c>
      <c r="OMT988" t="s">
        <v>696</v>
      </c>
      <c r="OMU988" t="s">
        <v>619</v>
      </c>
      <c r="OMV988" t="s">
        <v>619</v>
      </c>
      <c r="OMW988">
        <v>-197828</v>
      </c>
      <c r="OMX988">
        <v>-990550</v>
      </c>
      <c r="OMY988">
        <v>-6257514</v>
      </c>
      <c r="OWP988" t="s">
        <v>696</v>
      </c>
      <c r="OWQ988" t="s">
        <v>619</v>
      </c>
      <c r="OWR988" t="s">
        <v>619</v>
      </c>
      <c r="OWS988">
        <v>-197828</v>
      </c>
      <c r="OWT988">
        <v>-990550</v>
      </c>
      <c r="OWU988">
        <v>-6257514</v>
      </c>
      <c r="PGL988" t="s">
        <v>696</v>
      </c>
      <c r="PGM988" t="s">
        <v>619</v>
      </c>
      <c r="PGN988" t="s">
        <v>619</v>
      </c>
      <c r="PGO988">
        <v>-197828</v>
      </c>
      <c r="PGP988">
        <v>-990550</v>
      </c>
      <c r="PGQ988">
        <v>-6257514</v>
      </c>
      <c r="PQH988" t="s">
        <v>696</v>
      </c>
      <c r="PQI988" t="s">
        <v>619</v>
      </c>
      <c r="PQJ988" t="s">
        <v>619</v>
      </c>
      <c r="PQK988">
        <v>-197828</v>
      </c>
      <c r="PQL988">
        <v>-990550</v>
      </c>
      <c r="PQM988">
        <v>-6257514</v>
      </c>
      <c r="QAD988" t="s">
        <v>696</v>
      </c>
      <c r="QAE988" t="s">
        <v>619</v>
      </c>
      <c r="QAF988" t="s">
        <v>619</v>
      </c>
      <c r="QAG988">
        <v>-197828</v>
      </c>
      <c r="QAH988">
        <v>-990550</v>
      </c>
      <c r="QAI988">
        <v>-6257514</v>
      </c>
      <c r="QJZ988" t="s">
        <v>696</v>
      </c>
      <c r="QKA988" t="s">
        <v>619</v>
      </c>
      <c r="QKB988" t="s">
        <v>619</v>
      </c>
      <c r="QKC988">
        <v>-197828</v>
      </c>
      <c r="QKD988">
        <v>-990550</v>
      </c>
      <c r="QKE988">
        <v>-6257514</v>
      </c>
      <c r="QTV988" t="s">
        <v>696</v>
      </c>
      <c r="QTW988" t="s">
        <v>619</v>
      </c>
      <c r="QTX988" t="s">
        <v>619</v>
      </c>
      <c r="QTY988">
        <v>-197828</v>
      </c>
      <c r="QTZ988">
        <v>-990550</v>
      </c>
      <c r="QUA988">
        <v>-6257514</v>
      </c>
      <c r="RDR988" t="s">
        <v>696</v>
      </c>
      <c r="RDS988" t="s">
        <v>619</v>
      </c>
      <c r="RDT988" t="s">
        <v>619</v>
      </c>
      <c r="RDU988">
        <v>-197828</v>
      </c>
      <c r="RDV988">
        <v>-990550</v>
      </c>
      <c r="RDW988">
        <v>-6257514</v>
      </c>
      <c r="RNN988" t="s">
        <v>696</v>
      </c>
      <c r="RNO988" t="s">
        <v>619</v>
      </c>
      <c r="RNP988" t="s">
        <v>619</v>
      </c>
      <c r="RNQ988">
        <v>-197828</v>
      </c>
      <c r="RNR988">
        <v>-990550</v>
      </c>
      <c r="RNS988">
        <v>-6257514</v>
      </c>
      <c r="RXJ988" t="s">
        <v>696</v>
      </c>
      <c r="RXK988" t="s">
        <v>619</v>
      </c>
      <c r="RXL988" t="s">
        <v>619</v>
      </c>
      <c r="RXM988">
        <v>-197828</v>
      </c>
      <c r="RXN988">
        <v>-990550</v>
      </c>
      <c r="RXO988">
        <v>-6257514</v>
      </c>
      <c r="SHF988" t="s">
        <v>696</v>
      </c>
      <c r="SHG988" t="s">
        <v>619</v>
      </c>
      <c r="SHH988" t="s">
        <v>619</v>
      </c>
      <c r="SHI988">
        <v>-197828</v>
      </c>
      <c r="SHJ988">
        <v>-990550</v>
      </c>
      <c r="SHK988">
        <v>-6257514</v>
      </c>
      <c r="SRB988" t="s">
        <v>696</v>
      </c>
      <c r="SRC988" t="s">
        <v>619</v>
      </c>
      <c r="SRD988" t="s">
        <v>619</v>
      </c>
      <c r="SRE988">
        <v>-197828</v>
      </c>
      <c r="SRF988">
        <v>-990550</v>
      </c>
      <c r="SRG988">
        <v>-6257514</v>
      </c>
      <c r="TAX988" t="s">
        <v>696</v>
      </c>
      <c r="TAY988" t="s">
        <v>619</v>
      </c>
      <c r="TAZ988" t="s">
        <v>619</v>
      </c>
      <c r="TBA988">
        <v>-197828</v>
      </c>
      <c r="TBB988">
        <v>-990550</v>
      </c>
      <c r="TBC988">
        <v>-6257514</v>
      </c>
      <c r="TKT988" t="s">
        <v>696</v>
      </c>
      <c r="TKU988" t="s">
        <v>619</v>
      </c>
      <c r="TKV988" t="s">
        <v>619</v>
      </c>
      <c r="TKW988">
        <v>-197828</v>
      </c>
      <c r="TKX988">
        <v>-990550</v>
      </c>
      <c r="TKY988">
        <v>-6257514</v>
      </c>
      <c r="TUP988" t="s">
        <v>696</v>
      </c>
      <c r="TUQ988" t="s">
        <v>619</v>
      </c>
      <c r="TUR988" t="s">
        <v>619</v>
      </c>
      <c r="TUS988">
        <v>-197828</v>
      </c>
      <c r="TUT988">
        <v>-990550</v>
      </c>
      <c r="TUU988">
        <v>-6257514</v>
      </c>
      <c r="UEL988" t="s">
        <v>696</v>
      </c>
      <c r="UEM988" t="s">
        <v>619</v>
      </c>
      <c r="UEN988" t="s">
        <v>619</v>
      </c>
      <c r="UEO988">
        <v>-197828</v>
      </c>
      <c r="UEP988">
        <v>-990550</v>
      </c>
      <c r="UEQ988">
        <v>-6257514</v>
      </c>
      <c r="UOH988" t="s">
        <v>696</v>
      </c>
      <c r="UOI988" t="s">
        <v>619</v>
      </c>
      <c r="UOJ988" t="s">
        <v>619</v>
      </c>
      <c r="UOK988">
        <v>-197828</v>
      </c>
      <c r="UOL988">
        <v>-990550</v>
      </c>
      <c r="UOM988">
        <v>-6257514</v>
      </c>
      <c r="UYD988" t="s">
        <v>696</v>
      </c>
      <c r="UYE988" t="s">
        <v>619</v>
      </c>
      <c r="UYF988" t="s">
        <v>619</v>
      </c>
      <c r="UYG988">
        <v>-197828</v>
      </c>
      <c r="UYH988">
        <v>-990550</v>
      </c>
      <c r="UYI988">
        <v>-6257514</v>
      </c>
      <c r="VHZ988" t="s">
        <v>696</v>
      </c>
      <c r="VIA988" t="s">
        <v>619</v>
      </c>
      <c r="VIB988" t="s">
        <v>619</v>
      </c>
      <c r="VIC988">
        <v>-197828</v>
      </c>
      <c r="VID988">
        <v>-990550</v>
      </c>
      <c r="VIE988">
        <v>-6257514</v>
      </c>
      <c r="VRV988" t="s">
        <v>696</v>
      </c>
      <c r="VRW988" t="s">
        <v>619</v>
      </c>
      <c r="VRX988" t="s">
        <v>619</v>
      </c>
      <c r="VRY988">
        <v>-197828</v>
      </c>
      <c r="VRZ988">
        <v>-990550</v>
      </c>
      <c r="VSA988">
        <v>-6257514</v>
      </c>
      <c r="WBR988" t="s">
        <v>696</v>
      </c>
      <c r="WBS988" t="s">
        <v>619</v>
      </c>
      <c r="WBT988" t="s">
        <v>619</v>
      </c>
      <c r="WBU988">
        <v>-197828</v>
      </c>
      <c r="WBV988">
        <v>-990550</v>
      </c>
      <c r="WBW988">
        <v>-6257514</v>
      </c>
      <c r="WLN988" t="s">
        <v>696</v>
      </c>
      <c r="WLO988" t="s">
        <v>619</v>
      </c>
      <c r="WLP988" t="s">
        <v>619</v>
      </c>
      <c r="WLQ988">
        <v>-197828</v>
      </c>
      <c r="WLR988">
        <v>-990550</v>
      </c>
      <c r="WLS988">
        <v>-6257514</v>
      </c>
      <c r="WVJ988" t="s">
        <v>696</v>
      </c>
      <c r="WVK988" t="s">
        <v>619</v>
      </c>
      <c r="WVL988" t="s">
        <v>619</v>
      </c>
      <c r="WVM988">
        <v>-197828</v>
      </c>
      <c r="WVN988">
        <v>-990550</v>
      </c>
      <c r="WVO988">
        <v>-6257514</v>
      </c>
    </row>
    <row r="989" spans="1:775 1026:1799 2050:2823 3074:3847 4098:4871 5122:5895 6146:6919 7170:7943 8194:8967 9218:9991 10242:11015 11266:12039 12290:13063 13314:14087 14338:15111 15362:16135">
      <c r="A989" s="96" t="s">
        <v>1367</v>
      </c>
      <c r="B989" s="1265" t="s">
        <v>724</v>
      </c>
      <c r="C989" s="100">
        <v>2635742</v>
      </c>
      <c r="D989" s="100">
        <v>241646</v>
      </c>
      <c r="E989" s="100">
        <v>3256552</v>
      </c>
      <c r="F989" s="100">
        <v>6260311</v>
      </c>
      <c r="G989" s="100">
        <v>11650850</v>
      </c>
      <c r="H989" s="100"/>
      <c r="IX989" t="s">
        <v>1367</v>
      </c>
      <c r="IY989">
        <v>2635742</v>
      </c>
      <c r="IZ989">
        <v>241646</v>
      </c>
      <c r="JA989">
        <v>3256552</v>
      </c>
      <c r="JB989">
        <v>6260311</v>
      </c>
      <c r="JC989">
        <v>11650850</v>
      </c>
      <c r="ST989" t="s">
        <v>1367</v>
      </c>
      <c r="SU989">
        <v>2635742</v>
      </c>
      <c r="SV989">
        <v>241646</v>
      </c>
      <c r="SW989">
        <v>3256552</v>
      </c>
      <c r="SX989">
        <v>6260311</v>
      </c>
      <c r="SY989">
        <v>11650850</v>
      </c>
      <c r="ACP989" t="s">
        <v>1367</v>
      </c>
      <c r="ACQ989">
        <v>2635742</v>
      </c>
      <c r="ACR989">
        <v>241646</v>
      </c>
      <c r="ACS989">
        <v>3256552</v>
      </c>
      <c r="ACT989">
        <v>6260311</v>
      </c>
      <c r="ACU989">
        <v>11650850</v>
      </c>
      <c r="AML989" t="s">
        <v>1367</v>
      </c>
      <c r="AMM989">
        <v>2635742</v>
      </c>
      <c r="AMN989">
        <v>241646</v>
      </c>
      <c r="AMO989">
        <v>3256552</v>
      </c>
      <c r="AMP989">
        <v>6260311</v>
      </c>
      <c r="AMQ989">
        <v>11650850</v>
      </c>
      <c r="AWH989" t="s">
        <v>1367</v>
      </c>
      <c r="AWI989">
        <v>2635742</v>
      </c>
      <c r="AWJ989">
        <v>241646</v>
      </c>
      <c r="AWK989">
        <v>3256552</v>
      </c>
      <c r="AWL989">
        <v>6260311</v>
      </c>
      <c r="AWM989">
        <v>11650850</v>
      </c>
      <c r="BGD989" t="s">
        <v>1367</v>
      </c>
      <c r="BGE989">
        <v>2635742</v>
      </c>
      <c r="BGF989">
        <v>241646</v>
      </c>
      <c r="BGG989">
        <v>3256552</v>
      </c>
      <c r="BGH989">
        <v>6260311</v>
      </c>
      <c r="BGI989">
        <v>11650850</v>
      </c>
      <c r="BPZ989" t="s">
        <v>1367</v>
      </c>
      <c r="BQA989">
        <v>2635742</v>
      </c>
      <c r="BQB989">
        <v>241646</v>
      </c>
      <c r="BQC989">
        <v>3256552</v>
      </c>
      <c r="BQD989">
        <v>6260311</v>
      </c>
      <c r="BQE989">
        <v>11650850</v>
      </c>
      <c r="BZV989" t="s">
        <v>1367</v>
      </c>
      <c r="BZW989">
        <v>2635742</v>
      </c>
      <c r="BZX989">
        <v>241646</v>
      </c>
      <c r="BZY989">
        <v>3256552</v>
      </c>
      <c r="BZZ989">
        <v>6260311</v>
      </c>
      <c r="CAA989">
        <v>11650850</v>
      </c>
      <c r="CJR989" t="s">
        <v>1367</v>
      </c>
      <c r="CJS989">
        <v>2635742</v>
      </c>
      <c r="CJT989">
        <v>241646</v>
      </c>
      <c r="CJU989">
        <v>3256552</v>
      </c>
      <c r="CJV989">
        <v>6260311</v>
      </c>
      <c r="CJW989">
        <v>11650850</v>
      </c>
      <c r="CTN989" t="s">
        <v>1367</v>
      </c>
      <c r="CTO989">
        <v>2635742</v>
      </c>
      <c r="CTP989">
        <v>241646</v>
      </c>
      <c r="CTQ989">
        <v>3256552</v>
      </c>
      <c r="CTR989">
        <v>6260311</v>
      </c>
      <c r="CTS989">
        <v>11650850</v>
      </c>
      <c r="DDJ989" t="s">
        <v>1367</v>
      </c>
      <c r="DDK989">
        <v>2635742</v>
      </c>
      <c r="DDL989">
        <v>241646</v>
      </c>
      <c r="DDM989">
        <v>3256552</v>
      </c>
      <c r="DDN989">
        <v>6260311</v>
      </c>
      <c r="DDO989">
        <v>11650850</v>
      </c>
      <c r="DNF989" t="s">
        <v>1367</v>
      </c>
      <c r="DNG989">
        <v>2635742</v>
      </c>
      <c r="DNH989">
        <v>241646</v>
      </c>
      <c r="DNI989">
        <v>3256552</v>
      </c>
      <c r="DNJ989">
        <v>6260311</v>
      </c>
      <c r="DNK989">
        <v>11650850</v>
      </c>
      <c r="DXB989" t="s">
        <v>1367</v>
      </c>
      <c r="DXC989">
        <v>2635742</v>
      </c>
      <c r="DXD989">
        <v>241646</v>
      </c>
      <c r="DXE989">
        <v>3256552</v>
      </c>
      <c r="DXF989">
        <v>6260311</v>
      </c>
      <c r="DXG989">
        <v>11650850</v>
      </c>
      <c r="EGX989" t="s">
        <v>1367</v>
      </c>
      <c r="EGY989">
        <v>2635742</v>
      </c>
      <c r="EGZ989">
        <v>241646</v>
      </c>
      <c r="EHA989">
        <v>3256552</v>
      </c>
      <c r="EHB989">
        <v>6260311</v>
      </c>
      <c r="EHC989">
        <v>11650850</v>
      </c>
      <c r="EQT989" t="s">
        <v>1367</v>
      </c>
      <c r="EQU989">
        <v>2635742</v>
      </c>
      <c r="EQV989">
        <v>241646</v>
      </c>
      <c r="EQW989">
        <v>3256552</v>
      </c>
      <c r="EQX989">
        <v>6260311</v>
      </c>
      <c r="EQY989">
        <v>11650850</v>
      </c>
      <c r="FAP989" t="s">
        <v>1367</v>
      </c>
      <c r="FAQ989">
        <v>2635742</v>
      </c>
      <c r="FAR989">
        <v>241646</v>
      </c>
      <c r="FAS989">
        <v>3256552</v>
      </c>
      <c r="FAT989">
        <v>6260311</v>
      </c>
      <c r="FAU989">
        <v>11650850</v>
      </c>
      <c r="FKL989" t="s">
        <v>1367</v>
      </c>
      <c r="FKM989">
        <v>2635742</v>
      </c>
      <c r="FKN989">
        <v>241646</v>
      </c>
      <c r="FKO989">
        <v>3256552</v>
      </c>
      <c r="FKP989">
        <v>6260311</v>
      </c>
      <c r="FKQ989">
        <v>11650850</v>
      </c>
      <c r="FUH989" t="s">
        <v>1367</v>
      </c>
      <c r="FUI989">
        <v>2635742</v>
      </c>
      <c r="FUJ989">
        <v>241646</v>
      </c>
      <c r="FUK989">
        <v>3256552</v>
      </c>
      <c r="FUL989">
        <v>6260311</v>
      </c>
      <c r="FUM989">
        <v>11650850</v>
      </c>
      <c r="GED989" t="s">
        <v>1367</v>
      </c>
      <c r="GEE989">
        <v>2635742</v>
      </c>
      <c r="GEF989">
        <v>241646</v>
      </c>
      <c r="GEG989">
        <v>3256552</v>
      </c>
      <c r="GEH989">
        <v>6260311</v>
      </c>
      <c r="GEI989">
        <v>11650850</v>
      </c>
      <c r="GNZ989" t="s">
        <v>1367</v>
      </c>
      <c r="GOA989">
        <v>2635742</v>
      </c>
      <c r="GOB989">
        <v>241646</v>
      </c>
      <c r="GOC989">
        <v>3256552</v>
      </c>
      <c r="GOD989">
        <v>6260311</v>
      </c>
      <c r="GOE989">
        <v>11650850</v>
      </c>
      <c r="GXV989" t="s">
        <v>1367</v>
      </c>
      <c r="GXW989">
        <v>2635742</v>
      </c>
      <c r="GXX989">
        <v>241646</v>
      </c>
      <c r="GXY989">
        <v>3256552</v>
      </c>
      <c r="GXZ989">
        <v>6260311</v>
      </c>
      <c r="GYA989">
        <v>11650850</v>
      </c>
      <c r="HHR989" t="s">
        <v>1367</v>
      </c>
      <c r="HHS989">
        <v>2635742</v>
      </c>
      <c r="HHT989">
        <v>241646</v>
      </c>
      <c r="HHU989">
        <v>3256552</v>
      </c>
      <c r="HHV989">
        <v>6260311</v>
      </c>
      <c r="HHW989">
        <v>11650850</v>
      </c>
      <c r="HRN989" t="s">
        <v>1367</v>
      </c>
      <c r="HRO989">
        <v>2635742</v>
      </c>
      <c r="HRP989">
        <v>241646</v>
      </c>
      <c r="HRQ989">
        <v>3256552</v>
      </c>
      <c r="HRR989">
        <v>6260311</v>
      </c>
      <c r="HRS989">
        <v>11650850</v>
      </c>
      <c r="IBJ989" t="s">
        <v>1367</v>
      </c>
      <c r="IBK989">
        <v>2635742</v>
      </c>
      <c r="IBL989">
        <v>241646</v>
      </c>
      <c r="IBM989">
        <v>3256552</v>
      </c>
      <c r="IBN989">
        <v>6260311</v>
      </c>
      <c r="IBO989">
        <v>11650850</v>
      </c>
      <c r="ILF989" t="s">
        <v>1367</v>
      </c>
      <c r="ILG989">
        <v>2635742</v>
      </c>
      <c r="ILH989">
        <v>241646</v>
      </c>
      <c r="ILI989">
        <v>3256552</v>
      </c>
      <c r="ILJ989">
        <v>6260311</v>
      </c>
      <c r="ILK989">
        <v>11650850</v>
      </c>
      <c r="IVB989" t="s">
        <v>1367</v>
      </c>
      <c r="IVC989">
        <v>2635742</v>
      </c>
      <c r="IVD989">
        <v>241646</v>
      </c>
      <c r="IVE989">
        <v>3256552</v>
      </c>
      <c r="IVF989">
        <v>6260311</v>
      </c>
      <c r="IVG989">
        <v>11650850</v>
      </c>
      <c r="JEX989" t="s">
        <v>1367</v>
      </c>
      <c r="JEY989">
        <v>2635742</v>
      </c>
      <c r="JEZ989">
        <v>241646</v>
      </c>
      <c r="JFA989">
        <v>3256552</v>
      </c>
      <c r="JFB989">
        <v>6260311</v>
      </c>
      <c r="JFC989">
        <v>11650850</v>
      </c>
      <c r="JOT989" t="s">
        <v>1367</v>
      </c>
      <c r="JOU989">
        <v>2635742</v>
      </c>
      <c r="JOV989">
        <v>241646</v>
      </c>
      <c r="JOW989">
        <v>3256552</v>
      </c>
      <c r="JOX989">
        <v>6260311</v>
      </c>
      <c r="JOY989">
        <v>11650850</v>
      </c>
      <c r="JYP989" t="s">
        <v>1367</v>
      </c>
      <c r="JYQ989">
        <v>2635742</v>
      </c>
      <c r="JYR989">
        <v>241646</v>
      </c>
      <c r="JYS989">
        <v>3256552</v>
      </c>
      <c r="JYT989">
        <v>6260311</v>
      </c>
      <c r="JYU989">
        <v>11650850</v>
      </c>
      <c r="KIL989" t="s">
        <v>1367</v>
      </c>
      <c r="KIM989">
        <v>2635742</v>
      </c>
      <c r="KIN989">
        <v>241646</v>
      </c>
      <c r="KIO989">
        <v>3256552</v>
      </c>
      <c r="KIP989">
        <v>6260311</v>
      </c>
      <c r="KIQ989">
        <v>11650850</v>
      </c>
      <c r="KSH989" t="s">
        <v>1367</v>
      </c>
      <c r="KSI989">
        <v>2635742</v>
      </c>
      <c r="KSJ989">
        <v>241646</v>
      </c>
      <c r="KSK989">
        <v>3256552</v>
      </c>
      <c r="KSL989">
        <v>6260311</v>
      </c>
      <c r="KSM989">
        <v>11650850</v>
      </c>
      <c r="LCD989" t="s">
        <v>1367</v>
      </c>
      <c r="LCE989">
        <v>2635742</v>
      </c>
      <c r="LCF989">
        <v>241646</v>
      </c>
      <c r="LCG989">
        <v>3256552</v>
      </c>
      <c r="LCH989">
        <v>6260311</v>
      </c>
      <c r="LCI989">
        <v>11650850</v>
      </c>
      <c r="LLZ989" t="s">
        <v>1367</v>
      </c>
      <c r="LMA989">
        <v>2635742</v>
      </c>
      <c r="LMB989">
        <v>241646</v>
      </c>
      <c r="LMC989">
        <v>3256552</v>
      </c>
      <c r="LMD989">
        <v>6260311</v>
      </c>
      <c r="LME989">
        <v>11650850</v>
      </c>
      <c r="LVV989" t="s">
        <v>1367</v>
      </c>
      <c r="LVW989">
        <v>2635742</v>
      </c>
      <c r="LVX989">
        <v>241646</v>
      </c>
      <c r="LVY989">
        <v>3256552</v>
      </c>
      <c r="LVZ989">
        <v>6260311</v>
      </c>
      <c r="LWA989">
        <v>11650850</v>
      </c>
      <c r="MFR989" t="s">
        <v>1367</v>
      </c>
      <c r="MFS989">
        <v>2635742</v>
      </c>
      <c r="MFT989">
        <v>241646</v>
      </c>
      <c r="MFU989">
        <v>3256552</v>
      </c>
      <c r="MFV989">
        <v>6260311</v>
      </c>
      <c r="MFW989">
        <v>11650850</v>
      </c>
      <c r="MPN989" t="s">
        <v>1367</v>
      </c>
      <c r="MPO989">
        <v>2635742</v>
      </c>
      <c r="MPP989">
        <v>241646</v>
      </c>
      <c r="MPQ989">
        <v>3256552</v>
      </c>
      <c r="MPR989">
        <v>6260311</v>
      </c>
      <c r="MPS989">
        <v>11650850</v>
      </c>
      <c r="MZJ989" t="s">
        <v>1367</v>
      </c>
      <c r="MZK989">
        <v>2635742</v>
      </c>
      <c r="MZL989">
        <v>241646</v>
      </c>
      <c r="MZM989">
        <v>3256552</v>
      </c>
      <c r="MZN989">
        <v>6260311</v>
      </c>
      <c r="MZO989">
        <v>11650850</v>
      </c>
      <c r="NJF989" t="s">
        <v>1367</v>
      </c>
      <c r="NJG989">
        <v>2635742</v>
      </c>
      <c r="NJH989">
        <v>241646</v>
      </c>
      <c r="NJI989">
        <v>3256552</v>
      </c>
      <c r="NJJ989">
        <v>6260311</v>
      </c>
      <c r="NJK989">
        <v>11650850</v>
      </c>
      <c r="NTB989" t="s">
        <v>1367</v>
      </c>
      <c r="NTC989">
        <v>2635742</v>
      </c>
      <c r="NTD989">
        <v>241646</v>
      </c>
      <c r="NTE989">
        <v>3256552</v>
      </c>
      <c r="NTF989">
        <v>6260311</v>
      </c>
      <c r="NTG989">
        <v>11650850</v>
      </c>
      <c r="OCX989" t="s">
        <v>1367</v>
      </c>
      <c r="OCY989">
        <v>2635742</v>
      </c>
      <c r="OCZ989">
        <v>241646</v>
      </c>
      <c r="ODA989">
        <v>3256552</v>
      </c>
      <c r="ODB989">
        <v>6260311</v>
      </c>
      <c r="ODC989">
        <v>11650850</v>
      </c>
      <c r="OMT989" t="s">
        <v>1367</v>
      </c>
      <c r="OMU989">
        <v>2635742</v>
      </c>
      <c r="OMV989">
        <v>241646</v>
      </c>
      <c r="OMW989">
        <v>3256552</v>
      </c>
      <c r="OMX989">
        <v>6260311</v>
      </c>
      <c r="OMY989">
        <v>11650850</v>
      </c>
      <c r="OWP989" t="s">
        <v>1367</v>
      </c>
      <c r="OWQ989">
        <v>2635742</v>
      </c>
      <c r="OWR989">
        <v>241646</v>
      </c>
      <c r="OWS989">
        <v>3256552</v>
      </c>
      <c r="OWT989">
        <v>6260311</v>
      </c>
      <c r="OWU989">
        <v>11650850</v>
      </c>
      <c r="PGL989" t="s">
        <v>1367</v>
      </c>
      <c r="PGM989">
        <v>2635742</v>
      </c>
      <c r="PGN989">
        <v>241646</v>
      </c>
      <c r="PGO989">
        <v>3256552</v>
      </c>
      <c r="PGP989">
        <v>6260311</v>
      </c>
      <c r="PGQ989">
        <v>11650850</v>
      </c>
      <c r="PQH989" t="s">
        <v>1367</v>
      </c>
      <c r="PQI989">
        <v>2635742</v>
      </c>
      <c r="PQJ989">
        <v>241646</v>
      </c>
      <c r="PQK989">
        <v>3256552</v>
      </c>
      <c r="PQL989">
        <v>6260311</v>
      </c>
      <c r="PQM989">
        <v>11650850</v>
      </c>
      <c r="QAD989" t="s">
        <v>1367</v>
      </c>
      <c r="QAE989">
        <v>2635742</v>
      </c>
      <c r="QAF989">
        <v>241646</v>
      </c>
      <c r="QAG989">
        <v>3256552</v>
      </c>
      <c r="QAH989">
        <v>6260311</v>
      </c>
      <c r="QAI989">
        <v>11650850</v>
      </c>
      <c r="QJZ989" t="s">
        <v>1367</v>
      </c>
      <c r="QKA989">
        <v>2635742</v>
      </c>
      <c r="QKB989">
        <v>241646</v>
      </c>
      <c r="QKC989">
        <v>3256552</v>
      </c>
      <c r="QKD989">
        <v>6260311</v>
      </c>
      <c r="QKE989">
        <v>11650850</v>
      </c>
      <c r="QTV989" t="s">
        <v>1367</v>
      </c>
      <c r="QTW989">
        <v>2635742</v>
      </c>
      <c r="QTX989">
        <v>241646</v>
      </c>
      <c r="QTY989">
        <v>3256552</v>
      </c>
      <c r="QTZ989">
        <v>6260311</v>
      </c>
      <c r="QUA989">
        <v>11650850</v>
      </c>
      <c r="RDR989" t="s">
        <v>1367</v>
      </c>
      <c r="RDS989">
        <v>2635742</v>
      </c>
      <c r="RDT989">
        <v>241646</v>
      </c>
      <c r="RDU989">
        <v>3256552</v>
      </c>
      <c r="RDV989">
        <v>6260311</v>
      </c>
      <c r="RDW989">
        <v>11650850</v>
      </c>
      <c r="RNN989" t="s">
        <v>1367</v>
      </c>
      <c r="RNO989">
        <v>2635742</v>
      </c>
      <c r="RNP989">
        <v>241646</v>
      </c>
      <c r="RNQ989">
        <v>3256552</v>
      </c>
      <c r="RNR989">
        <v>6260311</v>
      </c>
      <c r="RNS989">
        <v>11650850</v>
      </c>
      <c r="RXJ989" t="s">
        <v>1367</v>
      </c>
      <c r="RXK989">
        <v>2635742</v>
      </c>
      <c r="RXL989">
        <v>241646</v>
      </c>
      <c r="RXM989">
        <v>3256552</v>
      </c>
      <c r="RXN989">
        <v>6260311</v>
      </c>
      <c r="RXO989">
        <v>11650850</v>
      </c>
      <c r="SHF989" t="s">
        <v>1367</v>
      </c>
      <c r="SHG989">
        <v>2635742</v>
      </c>
      <c r="SHH989">
        <v>241646</v>
      </c>
      <c r="SHI989">
        <v>3256552</v>
      </c>
      <c r="SHJ989">
        <v>6260311</v>
      </c>
      <c r="SHK989">
        <v>11650850</v>
      </c>
      <c r="SRB989" t="s">
        <v>1367</v>
      </c>
      <c r="SRC989">
        <v>2635742</v>
      </c>
      <c r="SRD989">
        <v>241646</v>
      </c>
      <c r="SRE989">
        <v>3256552</v>
      </c>
      <c r="SRF989">
        <v>6260311</v>
      </c>
      <c r="SRG989">
        <v>11650850</v>
      </c>
      <c r="TAX989" t="s">
        <v>1367</v>
      </c>
      <c r="TAY989">
        <v>2635742</v>
      </c>
      <c r="TAZ989">
        <v>241646</v>
      </c>
      <c r="TBA989">
        <v>3256552</v>
      </c>
      <c r="TBB989">
        <v>6260311</v>
      </c>
      <c r="TBC989">
        <v>11650850</v>
      </c>
      <c r="TKT989" t="s">
        <v>1367</v>
      </c>
      <c r="TKU989">
        <v>2635742</v>
      </c>
      <c r="TKV989">
        <v>241646</v>
      </c>
      <c r="TKW989">
        <v>3256552</v>
      </c>
      <c r="TKX989">
        <v>6260311</v>
      </c>
      <c r="TKY989">
        <v>11650850</v>
      </c>
      <c r="TUP989" t="s">
        <v>1367</v>
      </c>
      <c r="TUQ989">
        <v>2635742</v>
      </c>
      <c r="TUR989">
        <v>241646</v>
      </c>
      <c r="TUS989">
        <v>3256552</v>
      </c>
      <c r="TUT989">
        <v>6260311</v>
      </c>
      <c r="TUU989">
        <v>11650850</v>
      </c>
      <c r="UEL989" t="s">
        <v>1367</v>
      </c>
      <c r="UEM989">
        <v>2635742</v>
      </c>
      <c r="UEN989">
        <v>241646</v>
      </c>
      <c r="UEO989">
        <v>3256552</v>
      </c>
      <c r="UEP989">
        <v>6260311</v>
      </c>
      <c r="UEQ989">
        <v>11650850</v>
      </c>
      <c r="UOH989" t="s">
        <v>1367</v>
      </c>
      <c r="UOI989">
        <v>2635742</v>
      </c>
      <c r="UOJ989">
        <v>241646</v>
      </c>
      <c r="UOK989">
        <v>3256552</v>
      </c>
      <c r="UOL989">
        <v>6260311</v>
      </c>
      <c r="UOM989">
        <v>11650850</v>
      </c>
      <c r="UYD989" t="s">
        <v>1367</v>
      </c>
      <c r="UYE989">
        <v>2635742</v>
      </c>
      <c r="UYF989">
        <v>241646</v>
      </c>
      <c r="UYG989">
        <v>3256552</v>
      </c>
      <c r="UYH989">
        <v>6260311</v>
      </c>
      <c r="UYI989">
        <v>11650850</v>
      </c>
      <c r="VHZ989" t="s">
        <v>1367</v>
      </c>
      <c r="VIA989">
        <v>2635742</v>
      </c>
      <c r="VIB989">
        <v>241646</v>
      </c>
      <c r="VIC989">
        <v>3256552</v>
      </c>
      <c r="VID989">
        <v>6260311</v>
      </c>
      <c r="VIE989">
        <v>11650850</v>
      </c>
      <c r="VRV989" t="s">
        <v>1367</v>
      </c>
      <c r="VRW989">
        <v>2635742</v>
      </c>
      <c r="VRX989">
        <v>241646</v>
      </c>
      <c r="VRY989">
        <v>3256552</v>
      </c>
      <c r="VRZ989">
        <v>6260311</v>
      </c>
      <c r="VSA989">
        <v>11650850</v>
      </c>
      <c r="WBR989" t="s">
        <v>1367</v>
      </c>
      <c r="WBS989">
        <v>2635742</v>
      </c>
      <c r="WBT989">
        <v>241646</v>
      </c>
      <c r="WBU989">
        <v>3256552</v>
      </c>
      <c r="WBV989">
        <v>6260311</v>
      </c>
      <c r="WBW989">
        <v>11650850</v>
      </c>
      <c r="WLN989" t="s">
        <v>1367</v>
      </c>
      <c r="WLO989">
        <v>2635742</v>
      </c>
      <c r="WLP989">
        <v>241646</v>
      </c>
      <c r="WLQ989">
        <v>3256552</v>
      </c>
      <c r="WLR989">
        <v>6260311</v>
      </c>
      <c r="WLS989">
        <v>11650850</v>
      </c>
      <c r="WVJ989" t="s">
        <v>1367</v>
      </c>
      <c r="WVK989">
        <v>2635742</v>
      </c>
      <c r="WVL989">
        <v>241646</v>
      </c>
      <c r="WVM989">
        <v>3256552</v>
      </c>
      <c r="WVN989">
        <v>6260311</v>
      </c>
      <c r="WVO989">
        <v>11650850</v>
      </c>
    </row>
    <row r="990" spans="1:775 1026:1799 2050:2823 3074:3847 4098:4871 5122:5895 6146:6919 7170:7943 8194:8967 9218:9991 10242:11015 11266:12039 12290:13063 13314:14087 14338:15111 15362:16135">
      <c r="A990" s="96" t="s">
        <v>919</v>
      </c>
      <c r="B990" s="1265" t="s">
        <v>724</v>
      </c>
      <c r="C990" s="100">
        <v>21398</v>
      </c>
      <c r="D990" s="100">
        <v>-7948</v>
      </c>
      <c r="E990" s="100">
        <v>130542</v>
      </c>
      <c r="F990" s="100">
        <v>446984</v>
      </c>
      <c r="G990" s="100">
        <v>-341592</v>
      </c>
      <c r="H990" s="100"/>
      <c r="IX990" t="s">
        <v>919</v>
      </c>
      <c r="IY990">
        <v>21398</v>
      </c>
      <c r="IZ990">
        <v>-7948</v>
      </c>
      <c r="JA990">
        <v>130542</v>
      </c>
      <c r="JB990">
        <v>446984</v>
      </c>
      <c r="JC990">
        <v>-341592</v>
      </c>
      <c r="ST990" t="s">
        <v>919</v>
      </c>
      <c r="SU990">
        <v>21398</v>
      </c>
      <c r="SV990">
        <v>-7948</v>
      </c>
      <c r="SW990">
        <v>130542</v>
      </c>
      <c r="SX990">
        <v>446984</v>
      </c>
      <c r="SY990">
        <v>-341592</v>
      </c>
      <c r="ACP990" t="s">
        <v>919</v>
      </c>
      <c r="ACQ990">
        <v>21398</v>
      </c>
      <c r="ACR990">
        <v>-7948</v>
      </c>
      <c r="ACS990">
        <v>130542</v>
      </c>
      <c r="ACT990">
        <v>446984</v>
      </c>
      <c r="ACU990">
        <v>-341592</v>
      </c>
      <c r="AML990" t="s">
        <v>919</v>
      </c>
      <c r="AMM990">
        <v>21398</v>
      </c>
      <c r="AMN990">
        <v>-7948</v>
      </c>
      <c r="AMO990">
        <v>130542</v>
      </c>
      <c r="AMP990">
        <v>446984</v>
      </c>
      <c r="AMQ990">
        <v>-341592</v>
      </c>
      <c r="AWH990" t="s">
        <v>919</v>
      </c>
      <c r="AWI990">
        <v>21398</v>
      </c>
      <c r="AWJ990">
        <v>-7948</v>
      </c>
      <c r="AWK990">
        <v>130542</v>
      </c>
      <c r="AWL990">
        <v>446984</v>
      </c>
      <c r="AWM990">
        <v>-341592</v>
      </c>
      <c r="BGD990" t="s">
        <v>919</v>
      </c>
      <c r="BGE990">
        <v>21398</v>
      </c>
      <c r="BGF990">
        <v>-7948</v>
      </c>
      <c r="BGG990">
        <v>130542</v>
      </c>
      <c r="BGH990">
        <v>446984</v>
      </c>
      <c r="BGI990">
        <v>-341592</v>
      </c>
      <c r="BPZ990" t="s">
        <v>919</v>
      </c>
      <c r="BQA990">
        <v>21398</v>
      </c>
      <c r="BQB990">
        <v>-7948</v>
      </c>
      <c r="BQC990">
        <v>130542</v>
      </c>
      <c r="BQD990">
        <v>446984</v>
      </c>
      <c r="BQE990">
        <v>-341592</v>
      </c>
      <c r="BZV990" t="s">
        <v>919</v>
      </c>
      <c r="BZW990">
        <v>21398</v>
      </c>
      <c r="BZX990">
        <v>-7948</v>
      </c>
      <c r="BZY990">
        <v>130542</v>
      </c>
      <c r="BZZ990">
        <v>446984</v>
      </c>
      <c r="CAA990">
        <v>-341592</v>
      </c>
      <c r="CJR990" t="s">
        <v>919</v>
      </c>
      <c r="CJS990">
        <v>21398</v>
      </c>
      <c r="CJT990">
        <v>-7948</v>
      </c>
      <c r="CJU990">
        <v>130542</v>
      </c>
      <c r="CJV990">
        <v>446984</v>
      </c>
      <c r="CJW990">
        <v>-341592</v>
      </c>
      <c r="CTN990" t="s">
        <v>919</v>
      </c>
      <c r="CTO990">
        <v>21398</v>
      </c>
      <c r="CTP990">
        <v>-7948</v>
      </c>
      <c r="CTQ990">
        <v>130542</v>
      </c>
      <c r="CTR990">
        <v>446984</v>
      </c>
      <c r="CTS990">
        <v>-341592</v>
      </c>
      <c r="DDJ990" t="s">
        <v>919</v>
      </c>
      <c r="DDK990">
        <v>21398</v>
      </c>
      <c r="DDL990">
        <v>-7948</v>
      </c>
      <c r="DDM990">
        <v>130542</v>
      </c>
      <c r="DDN990">
        <v>446984</v>
      </c>
      <c r="DDO990">
        <v>-341592</v>
      </c>
      <c r="DNF990" t="s">
        <v>919</v>
      </c>
      <c r="DNG990">
        <v>21398</v>
      </c>
      <c r="DNH990">
        <v>-7948</v>
      </c>
      <c r="DNI990">
        <v>130542</v>
      </c>
      <c r="DNJ990">
        <v>446984</v>
      </c>
      <c r="DNK990">
        <v>-341592</v>
      </c>
      <c r="DXB990" t="s">
        <v>919</v>
      </c>
      <c r="DXC990">
        <v>21398</v>
      </c>
      <c r="DXD990">
        <v>-7948</v>
      </c>
      <c r="DXE990">
        <v>130542</v>
      </c>
      <c r="DXF990">
        <v>446984</v>
      </c>
      <c r="DXG990">
        <v>-341592</v>
      </c>
      <c r="EGX990" t="s">
        <v>919</v>
      </c>
      <c r="EGY990">
        <v>21398</v>
      </c>
      <c r="EGZ990">
        <v>-7948</v>
      </c>
      <c r="EHA990">
        <v>130542</v>
      </c>
      <c r="EHB990">
        <v>446984</v>
      </c>
      <c r="EHC990">
        <v>-341592</v>
      </c>
      <c r="EQT990" t="s">
        <v>919</v>
      </c>
      <c r="EQU990">
        <v>21398</v>
      </c>
      <c r="EQV990">
        <v>-7948</v>
      </c>
      <c r="EQW990">
        <v>130542</v>
      </c>
      <c r="EQX990">
        <v>446984</v>
      </c>
      <c r="EQY990">
        <v>-341592</v>
      </c>
      <c r="FAP990" t="s">
        <v>919</v>
      </c>
      <c r="FAQ990">
        <v>21398</v>
      </c>
      <c r="FAR990">
        <v>-7948</v>
      </c>
      <c r="FAS990">
        <v>130542</v>
      </c>
      <c r="FAT990">
        <v>446984</v>
      </c>
      <c r="FAU990">
        <v>-341592</v>
      </c>
      <c r="FKL990" t="s">
        <v>919</v>
      </c>
      <c r="FKM990">
        <v>21398</v>
      </c>
      <c r="FKN990">
        <v>-7948</v>
      </c>
      <c r="FKO990">
        <v>130542</v>
      </c>
      <c r="FKP990">
        <v>446984</v>
      </c>
      <c r="FKQ990">
        <v>-341592</v>
      </c>
      <c r="FUH990" t="s">
        <v>919</v>
      </c>
      <c r="FUI990">
        <v>21398</v>
      </c>
      <c r="FUJ990">
        <v>-7948</v>
      </c>
      <c r="FUK990">
        <v>130542</v>
      </c>
      <c r="FUL990">
        <v>446984</v>
      </c>
      <c r="FUM990">
        <v>-341592</v>
      </c>
      <c r="GED990" t="s">
        <v>919</v>
      </c>
      <c r="GEE990">
        <v>21398</v>
      </c>
      <c r="GEF990">
        <v>-7948</v>
      </c>
      <c r="GEG990">
        <v>130542</v>
      </c>
      <c r="GEH990">
        <v>446984</v>
      </c>
      <c r="GEI990">
        <v>-341592</v>
      </c>
      <c r="GNZ990" t="s">
        <v>919</v>
      </c>
      <c r="GOA990">
        <v>21398</v>
      </c>
      <c r="GOB990">
        <v>-7948</v>
      </c>
      <c r="GOC990">
        <v>130542</v>
      </c>
      <c r="GOD990">
        <v>446984</v>
      </c>
      <c r="GOE990">
        <v>-341592</v>
      </c>
      <c r="GXV990" t="s">
        <v>919</v>
      </c>
      <c r="GXW990">
        <v>21398</v>
      </c>
      <c r="GXX990">
        <v>-7948</v>
      </c>
      <c r="GXY990">
        <v>130542</v>
      </c>
      <c r="GXZ990">
        <v>446984</v>
      </c>
      <c r="GYA990">
        <v>-341592</v>
      </c>
      <c r="HHR990" t="s">
        <v>919</v>
      </c>
      <c r="HHS990">
        <v>21398</v>
      </c>
      <c r="HHT990">
        <v>-7948</v>
      </c>
      <c r="HHU990">
        <v>130542</v>
      </c>
      <c r="HHV990">
        <v>446984</v>
      </c>
      <c r="HHW990">
        <v>-341592</v>
      </c>
      <c r="HRN990" t="s">
        <v>919</v>
      </c>
      <c r="HRO990">
        <v>21398</v>
      </c>
      <c r="HRP990">
        <v>-7948</v>
      </c>
      <c r="HRQ990">
        <v>130542</v>
      </c>
      <c r="HRR990">
        <v>446984</v>
      </c>
      <c r="HRS990">
        <v>-341592</v>
      </c>
      <c r="IBJ990" t="s">
        <v>919</v>
      </c>
      <c r="IBK990">
        <v>21398</v>
      </c>
      <c r="IBL990">
        <v>-7948</v>
      </c>
      <c r="IBM990">
        <v>130542</v>
      </c>
      <c r="IBN990">
        <v>446984</v>
      </c>
      <c r="IBO990">
        <v>-341592</v>
      </c>
      <c r="ILF990" t="s">
        <v>919</v>
      </c>
      <c r="ILG990">
        <v>21398</v>
      </c>
      <c r="ILH990">
        <v>-7948</v>
      </c>
      <c r="ILI990">
        <v>130542</v>
      </c>
      <c r="ILJ990">
        <v>446984</v>
      </c>
      <c r="ILK990">
        <v>-341592</v>
      </c>
      <c r="IVB990" t="s">
        <v>919</v>
      </c>
      <c r="IVC990">
        <v>21398</v>
      </c>
      <c r="IVD990">
        <v>-7948</v>
      </c>
      <c r="IVE990">
        <v>130542</v>
      </c>
      <c r="IVF990">
        <v>446984</v>
      </c>
      <c r="IVG990">
        <v>-341592</v>
      </c>
      <c r="JEX990" t="s">
        <v>919</v>
      </c>
      <c r="JEY990">
        <v>21398</v>
      </c>
      <c r="JEZ990">
        <v>-7948</v>
      </c>
      <c r="JFA990">
        <v>130542</v>
      </c>
      <c r="JFB990">
        <v>446984</v>
      </c>
      <c r="JFC990">
        <v>-341592</v>
      </c>
      <c r="JOT990" t="s">
        <v>919</v>
      </c>
      <c r="JOU990">
        <v>21398</v>
      </c>
      <c r="JOV990">
        <v>-7948</v>
      </c>
      <c r="JOW990">
        <v>130542</v>
      </c>
      <c r="JOX990">
        <v>446984</v>
      </c>
      <c r="JOY990">
        <v>-341592</v>
      </c>
      <c r="JYP990" t="s">
        <v>919</v>
      </c>
      <c r="JYQ990">
        <v>21398</v>
      </c>
      <c r="JYR990">
        <v>-7948</v>
      </c>
      <c r="JYS990">
        <v>130542</v>
      </c>
      <c r="JYT990">
        <v>446984</v>
      </c>
      <c r="JYU990">
        <v>-341592</v>
      </c>
      <c r="KIL990" t="s">
        <v>919</v>
      </c>
      <c r="KIM990">
        <v>21398</v>
      </c>
      <c r="KIN990">
        <v>-7948</v>
      </c>
      <c r="KIO990">
        <v>130542</v>
      </c>
      <c r="KIP990">
        <v>446984</v>
      </c>
      <c r="KIQ990">
        <v>-341592</v>
      </c>
      <c r="KSH990" t="s">
        <v>919</v>
      </c>
      <c r="KSI990">
        <v>21398</v>
      </c>
      <c r="KSJ990">
        <v>-7948</v>
      </c>
      <c r="KSK990">
        <v>130542</v>
      </c>
      <c r="KSL990">
        <v>446984</v>
      </c>
      <c r="KSM990">
        <v>-341592</v>
      </c>
      <c r="LCD990" t="s">
        <v>919</v>
      </c>
      <c r="LCE990">
        <v>21398</v>
      </c>
      <c r="LCF990">
        <v>-7948</v>
      </c>
      <c r="LCG990">
        <v>130542</v>
      </c>
      <c r="LCH990">
        <v>446984</v>
      </c>
      <c r="LCI990">
        <v>-341592</v>
      </c>
      <c r="LLZ990" t="s">
        <v>919</v>
      </c>
      <c r="LMA990">
        <v>21398</v>
      </c>
      <c r="LMB990">
        <v>-7948</v>
      </c>
      <c r="LMC990">
        <v>130542</v>
      </c>
      <c r="LMD990">
        <v>446984</v>
      </c>
      <c r="LME990">
        <v>-341592</v>
      </c>
      <c r="LVV990" t="s">
        <v>919</v>
      </c>
      <c r="LVW990">
        <v>21398</v>
      </c>
      <c r="LVX990">
        <v>-7948</v>
      </c>
      <c r="LVY990">
        <v>130542</v>
      </c>
      <c r="LVZ990">
        <v>446984</v>
      </c>
      <c r="LWA990">
        <v>-341592</v>
      </c>
      <c r="MFR990" t="s">
        <v>919</v>
      </c>
      <c r="MFS990">
        <v>21398</v>
      </c>
      <c r="MFT990">
        <v>-7948</v>
      </c>
      <c r="MFU990">
        <v>130542</v>
      </c>
      <c r="MFV990">
        <v>446984</v>
      </c>
      <c r="MFW990">
        <v>-341592</v>
      </c>
      <c r="MPN990" t="s">
        <v>919</v>
      </c>
      <c r="MPO990">
        <v>21398</v>
      </c>
      <c r="MPP990">
        <v>-7948</v>
      </c>
      <c r="MPQ990">
        <v>130542</v>
      </c>
      <c r="MPR990">
        <v>446984</v>
      </c>
      <c r="MPS990">
        <v>-341592</v>
      </c>
      <c r="MZJ990" t="s">
        <v>919</v>
      </c>
      <c r="MZK990">
        <v>21398</v>
      </c>
      <c r="MZL990">
        <v>-7948</v>
      </c>
      <c r="MZM990">
        <v>130542</v>
      </c>
      <c r="MZN990">
        <v>446984</v>
      </c>
      <c r="MZO990">
        <v>-341592</v>
      </c>
      <c r="NJF990" t="s">
        <v>919</v>
      </c>
      <c r="NJG990">
        <v>21398</v>
      </c>
      <c r="NJH990">
        <v>-7948</v>
      </c>
      <c r="NJI990">
        <v>130542</v>
      </c>
      <c r="NJJ990">
        <v>446984</v>
      </c>
      <c r="NJK990">
        <v>-341592</v>
      </c>
      <c r="NTB990" t="s">
        <v>919</v>
      </c>
      <c r="NTC990">
        <v>21398</v>
      </c>
      <c r="NTD990">
        <v>-7948</v>
      </c>
      <c r="NTE990">
        <v>130542</v>
      </c>
      <c r="NTF990">
        <v>446984</v>
      </c>
      <c r="NTG990">
        <v>-341592</v>
      </c>
      <c r="OCX990" t="s">
        <v>919</v>
      </c>
      <c r="OCY990">
        <v>21398</v>
      </c>
      <c r="OCZ990">
        <v>-7948</v>
      </c>
      <c r="ODA990">
        <v>130542</v>
      </c>
      <c r="ODB990">
        <v>446984</v>
      </c>
      <c r="ODC990">
        <v>-341592</v>
      </c>
      <c r="OMT990" t="s">
        <v>919</v>
      </c>
      <c r="OMU990">
        <v>21398</v>
      </c>
      <c r="OMV990">
        <v>-7948</v>
      </c>
      <c r="OMW990">
        <v>130542</v>
      </c>
      <c r="OMX990">
        <v>446984</v>
      </c>
      <c r="OMY990">
        <v>-341592</v>
      </c>
      <c r="OWP990" t="s">
        <v>919</v>
      </c>
      <c r="OWQ990">
        <v>21398</v>
      </c>
      <c r="OWR990">
        <v>-7948</v>
      </c>
      <c r="OWS990">
        <v>130542</v>
      </c>
      <c r="OWT990">
        <v>446984</v>
      </c>
      <c r="OWU990">
        <v>-341592</v>
      </c>
      <c r="PGL990" t="s">
        <v>919</v>
      </c>
      <c r="PGM990">
        <v>21398</v>
      </c>
      <c r="PGN990">
        <v>-7948</v>
      </c>
      <c r="PGO990">
        <v>130542</v>
      </c>
      <c r="PGP990">
        <v>446984</v>
      </c>
      <c r="PGQ990">
        <v>-341592</v>
      </c>
      <c r="PQH990" t="s">
        <v>919</v>
      </c>
      <c r="PQI990">
        <v>21398</v>
      </c>
      <c r="PQJ990">
        <v>-7948</v>
      </c>
      <c r="PQK990">
        <v>130542</v>
      </c>
      <c r="PQL990">
        <v>446984</v>
      </c>
      <c r="PQM990">
        <v>-341592</v>
      </c>
      <c r="QAD990" t="s">
        <v>919</v>
      </c>
      <c r="QAE990">
        <v>21398</v>
      </c>
      <c r="QAF990">
        <v>-7948</v>
      </c>
      <c r="QAG990">
        <v>130542</v>
      </c>
      <c r="QAH990">
        <v>446984</v>
      </c>
      <c r="QAI990">
        <v>-341592</v>
      </c>
      <c r="QJZ990" t="s">
        <v>919</v>
      </c>
      <c r="QKA990">
        <v>21398</v>
      </c>
      <c r="QKB990">
        <v>-7948</v>
      </c>
      <c r="QKC990">
        <v>130542</v>
      </c>
      <c r="QKD990">
        <v>446984</v>
      </c>
      <c r="QKE990">
        <v>-341592</v>
      </c>
      <c r="QTV990" t="s">
        <v>919</v>
      </c>
      <c r="QTW990">
        <v>21398</v>
      </c>
      <c r="QTX990">
        <v>-7948</v>
      </c>
      <c r="QTY990">
        <v>130542</v>
      </c>
      <c r="QTZ990">
        <v>446984</v>
      </c>
      <c r="QUA990">
        <v>-341592</v>
      </c>
      <c r="RDR990" t="s">
        <v>919</v>
      </c>
      <c r="RDS990">
        <v>21398</v>
      </c>
      <c r="RDT990">
        <v>-7948</v>
      </c>
      <c r="RDU990">
        <v>130542</v>
      </c>
      <c r="RDV990">
        <v>446984</v>
      </c>
      <c r="RDW990">
        <v>-341592</v>
      </c>
      <c r="RNN990" t="s">
        <v>919</v>
      </c>
      <c r="RNO990">
        <v>21398</v>
      </c>
      <c r="RNP990">
        <v>-7948</v>
      </c>
      <c r="RNQ990">
        <v>130542</v>
      </c>
      <c r="RNR990">
        <v>446984</v>
      </c>
      <c r="RNS990">
        <v>-341592</v>
      </c>
      <c r="RXJ990" t="s">
        <v>919</v>
      </c>
      <c r="RXK990">
        <v>21398</v>
      </c>
      <c r="RXL990">
        <v>-7948</v>
      </c>
      <c r="RXM990">
        <v>130542</v>
      </c>
      <c r="RXN990">
        <v>446984</v>
      </c>
      <c r="RXO990">
        <v>-341592</v>
      </c>
      <c r="SHF990" t="s">
        <v>919</v>
      </c>
      <c r="SHG990">
        <v>21398</v>
      </c>
      <c r="SHH990">
        <v>-7948</v>
      </c>
      <c r="SHI990">
        <v>130542</v>
      </c>
      <c r="SHJ990">
        <v>446984</v>
      </c>
      <c r="SHK990">
        <v>-341592</v>
      </c>
      <c r="SRB990" t="s">
        <v>919</v>
      </c>
      <c r="SRC990">
        <v>21398</v>
      </c>
      <c r="SRD990">
        <v>-7948</v>
      </c>
      <c r="SRE990">
        <v>130542</v>
      </c>
      <c r="SRF990">
        <v>446984</v>
      </c>
      <c r="SRG990">
        <v>-341592</v>
      </c>
      <c r="TAX990" t="s">
        <v>919</v>
      </c>
      <c r="TAY990">
        <v>21398</v>
      </c>
      <c r="TAZ990">
        <v>-7948</v>
      </c>
      <c r="TBA990">
        <v>130542</v>
      </c>
      <c r="TBB990">
        <v>446984</v>
      </c>
      <c r="TBC990">
        <v>-341592</v>
      </c>
      <c r="TKT990" t="s">
        <v>919</v>
      </c>
      <c r="TKU990">
        <v>21398</v>
      </c>
      <c r="TKV990">
        <v>-7948</v>
      </c>
      <c r="TKW990">
        <v>130542</v>
      </c>
      <c r="TKX990">
        <v>446984</v>
      </c>
      <c r="TKY990">
        <v>-341592</v>
      </c>
      <c r="TUP990" t="s">
        <v>919</v>
      </c>
      <c r="TUQ990">
        <v>21398</v>
      </c>
      <c r="TUR990">
        <v>-7948</v>
      </c>
      <c r="TUS990">
        <v>130542</v>
      </c>
      <c r="TUT990">
        <v>446984</v>
      </c>
      <c r="TUU990">
        <v>-341592</v>
      </c>
      <c r="UEL990" t="s">
        <v>919</v>
      </c>
      <c r="UEM990">
        <v>21398</v>
      </c>
      <c r="UEN990">
        <v>-7948</v>
      </c>
      <c r="UEO990">
        <v>130542</v>
      </c>
      <c r="UEP990">
        <v>446984</v>
      </c>
      <c r="UEQ990">
        <v>-341592</v>
      </c>
      <c r="UOH990" t="s">
        <v>919</v>
      </c>
      <c r="UOI990">
        <v>21398</v>
      </c>
      <c r="UOJ990">
        <v>-7948</v>
      </c>
      <c r="UOK990">
        <v>130542</v>
      </c>
      <c r="UOL990">
        <v>446984</v>
      </c>
      <c r="UOM990">
        <v>-341592</v>
      </c>
      <c r="UYD990" t="s">
        <v>919</v>
      </c>
      <c r="UYE990">
        <v>21398</v>
      </c>
      <c r="UYF990">
        <v>-7948</v>
      </c>
      <c r="UYG990">
        <v>130542</v>
      </c>
      <c r="UYH990">
        <v>446984</v>
      </c>
      <c r="UYI990">
        <v>-341592</v>
      </c>
      <c r="VHZ990" t="s">
        <v>919</v>
      </c>
      <c r="VIA990">
        <v>21398</v>
      </c>
      <c r="VIB990">
        <v>-7948</v>
      </c>
      <c r="VIC990">
        <v>130542</v>
      </c>
      <c r="VID990">
        <v>446984</v>
      </c>
      <c r="VIE990">
        <v>-341592</v>
      </c>
      <c r="VRV990" t="s">
        <v>919</v>
      </c>
      <c r="VRW990">
        <v>21398</v>
      </c>
      <c r="VRX990">
        <v>-7948</v>
      </c>
      <c r="VRY990">
        <v>130542</v>
      </c>
      <c r="VRZ990">
        <v>446984</v>
      </c>
      <c r="VSA990">
        <v>-341592</v>
      </c>
      <c r="WBR990" t="s">
        <v>919</v>
      </c>
      <c r="WBS990">
        <v>21398</v>
      </c>
      <c r="WBT990">
        <v>-7948</v>
      </c>
      <c r="WBU990">
        <v>130542</v>
      </c>
      <c r="WBV990">
        <v>446984</v>
      </c>
      <c r="WBW990">
        <v>-341592</v>
      </c>
      <c r="WLN990" t="s">
        <v>919</v>
      </c>
      <c r="WLO990">
        <v>21398</v>
      </c>
      <c r="WLP990">
        <v>-7948</v>
      </c>
      <c r="WLQ990">
        <v>130542</v>
      </c>
      <c r="WLR990">
        <v>446984</v>
      </c>
      <c r="WLS990">
        <v>-341592</v>
      </c>
      <c r="WVJ990" t="s">
        <v>919</v>
      </c>
      <c r="WVK990">
        <v>21398</v>
      </c>
      <c r="WVL990">
        <v>-7948</v>
      </c>
      <c r="WVM990">
        <v>130542</v>
      </c>
      <c r="WVN990">
        <v>446984</v>
      </c>
      <c r="WVO990">
        <v>-341592</v>
      </c>
    </row>
    <row r="991" spans="1:775 1026:1799 2050:2823 3074:3847 4098:4871 5122:5895 6146:6919 7170:7943 8194:8967 9218:9991 10242:11015 11266:12039 12290:13063 13314:14087 14338:15111 15362:16135">
      <c r="A991" s="96" t="s">
        <v>1322</v>
      </c>
      <c r="B991" s="1265" t="s">
        <v>1069</v>
      </c>
      <c r="C991" s="100">
        <v>24416</v>
      </c>
      <c r="D991" s="100">
        <v>9323</v>
      </c>
      <c r="E991" s="100">
        <v>-119128</v>
      </c>
      <c r="F991" s="100">
        <v>-1444122</v>
      </c>
      <c r="G991" s="100">
        <v>167692</v>
      </c>
      <c r="H991" s="100"/>
      <c r="IX991" t="s">
        <v>1322</v>
      </c>
      <c r="IY991">
        <v>24416</v>
      </c>
      <c r="IZ991">
        <v>9323</v>
      </c>
      <c r="JA991">
        <v>-119128</v>
      </c>
      <c r="JB991">
        <v>-1444122</v>
      </c>
      <c r="JC991">
        <v>167692</v>
      </c>
      <c r="ST991" t="s">
        <v>1322</v>
      </c>
      <c r="SU991">
        <v>24416</v>
      </c>
      <c r="SV991">
        <v>9323</v>
      </c>
      <c r="SW991">
        <v>-119128</v>
      </c>
      <c r="SX991">
        <v>-1444122</v>
      </c>
      <c r="SY991">
        <v>167692</v>
      </c>
      <c r="ACP991" t="s">
        <v>1322</v>
      </c>
      <c r="ACQ991">
        <v>24416</v>
      </c>
      <c r="ACR991">
        <v>9323</v>
      </c>
      <c r="ACS991">
        <v>-119128</v>
      </c>
      <c r="ACT991">
        <v>-1444122</v>
      </c>
      <c r="ACU991">
        <v>167692</v>
      </c>
      <c r="AML991" t="s">
        <v>1322</v>
      </c>
      <c r="AMM991">
        <v>24416</v>
      </c>
      <c r="AMN991">
        <v>9323</v>
      </c>
      <c r="AMO991">
        <v>-119128</v>
      </c>
      <c r="AMP991">
        <v>-1444122</v>
      </c>
      <c r="AMQ991">
        <v>167692</v>
      </c>
      <c r="AWH991" t="s">
        <v>1322</v>
      </c>
      <c r="AWI991">
        <v>24416</v>
      </c>
      <c r="AWJ991">
        <v>9323</v>
      </c>
      <c r="AWK991">
        <v>-119128</v>
      </c>
      <c r="AWL991">
        <v>-1444122</v>
      </c>
      <c r="AWM991">
        <v>167692</v>
      </c>
      <c r="BGD991" t="s">
        <v>1322</v>
      </c>
      <c r="BGE991">
        <v>24416</v>
      </c>
      <c r="BGF991">
        <v>9323</v>
      </c>
      <c r="BGG991">
        <v>-119128</v>
      </c>
      <c r="BGH991">
        <v>-1444122</v>
      </c>
      <c r="BGI991">
        <v>167692</v>
      </c>
      <c r="BPZ991" t="s">
        <v>1322</v>
      </c>
      <c r="BQA991">
        <v>24416</v>
      </c>
      <c r="BQB991">
        <v>9323</v>
      </c>
      <c r="BQC991">
        <v>-119128</v>
      </c>
      <c r="BQD991">
        <v>-1444122</v>
      </c>
      <c r="BQE991">
        <v>167692</v>
      </c>
      <c r="BZV991" t="s">
        <v>1322</v>
      </c>
      <c r="BZW991">
        <v>24416</v>
      </c>
      <c r="BZX991">
        <v>9323</v>
      </c>
      <c r="BZY991">
        <v>-119128</v>
      </c>
      <c r="BZZ991">
        <v>-1444122</v>
      </c>
      <c r="CAA991">
        <v>167692</v>
      </c>
      <c r="CJR991" t="s">
        <v>1322</v>
      </c>
      <c r="CJS991">
        <v>24416</v>
      </c>
      <c r="CJT991">
        <v>9323</v>
      </c>
      <c r="CJU991">
        <v>-119128</v>
      </c>
      <c r="CJV991">
        <v>-1444122</v>
      </c>
      <c r="CJW991">
        <v>167692</v>
      </c>
      <c r="CTN991" t="s">
        <v>1322</v>
      </c>
      <c r="CTO991">
        <v>24416</v>
      </c>
      <c r="CTP991">
        <v>9323</v>
      </c>
      <c r="CTQ991">
        <v>-119128</v>
      </c>
      <c r="CTR991">
        <v>-1444122</v>
      </c>
      <c r="CTS991">
        <v>167692</v>
      </c>
      <c r="DDJ991" t="s">
        <v>1322</v>
      </c>
      <c r="DDK991">
        <v>24416</v>
      </c>
      <c r="DDL991">
        <v>9323</v>
      </c>
      <c r="DDM991">
        <v>-119128</v>
      </c>
      <c r="DDN991">
        <v>-1444122</v>
      </c>
      <c r="DDO991">
        <v>167692</v>
      </c>
      <c r="DNF991" t="s">
        <v>1322</v>
      </c>
      <c r="DNG991">
        <v>24416</v>
      </c>
      <c r="DNH991">
        <v>9323</v>
      </c>
      <c r="DNI991">
        <v>-119128</v>
      </c>
      <c r="DNJ991">
        <v>-1444122</v>
      </c>
      <c r="DNK991">
        <v>167692</v>
      </c>
      <c r="DXB991" t="s">
        <v>1322</v>
      </c>
      <c r="DXC991">
        <v>24416</v>
      </c>
      <c r="DXD991">
        <v>9323</v>
      </c>
      <c r="DXE991">
        <v>-119128</v>
      </c>
      <c r="DXF991">
        <v>-1444122</v>
      </c>
      <c r="DXG991">
        <v>167692</v>
      </c>
      <c r="EGX991" t="s">
        <v>1322</v>
      </c>
      <c r="EGY991">
        <v>24416</v>
      </c>
      <c r="EGZ991">
        <v>9323</v>
      </c>
      <c r="EHA991">
        <v>-119128</v>
      </c>
      <c r="EHB991">
        <v>-1444122</v>
      </c>
      <c r="EHC991">
        <v>167692</v>
      </c>
      <c r="EQT991" t="s">
        <v>1322</v>
      </c>
      <c r="EQU991">
        <v>24416</v>
      </c>
      <c r="EQV991">
        <v>9323</v>
      </c>
      <c r="EQW991">
        <v>-119128</v>
      </c>
      <c r="EQX991">
        <v>-1444122</v>
      </c>
      <c r="EQY991">
        <v>167692</v>
      </c>
      <c r="FAP991" t="s">
        <v>1322</v>
      </c>
      <c r="FAQ991">
        <v>24416</v>
      </c>
      <c r="FAR991">
        <v>9323</v>
      </c>
      <c r="FAS991">
        <v>-119128</v>
      </c>
      <c r="FAT991">
        <v>-1444122</v>
      </c>
      <c r="FAU991">
        <v>167692</v>
      </c>
      <c r="FKL991" t="s">
        <v>1322</v>
      </c>
      <c r="FKM991">
        <v>24416</v>
      </c>
      <c r="FKN991">
        <v>9323</v>
      </c>
      <c r="FKO991">
        <v>-119128</v>
      </c>
      <c r="FKP991">
        <v>-1444122</v>
      </c>
      <c r="FKQ991">
        <v>167692</v>
      </c>
      <c r="FUH991" t="s">
        <v>1322</v>
      </c>
      <c r="FUI991">
        <v>24416</v>
      </c>
      <c r="FUJ991">
        <v>9323</v>
      </c>
      <c r="FUK991">
        <v>-119128</v>
      </c>
      <c r="FUL991">
        <v>-1444122</v>
      </c>
      <c r="FUM991">
        <v>167692</v>
      </c>
      <c r="GED991" t="s">
        <v>1322</v>
      </c>
      <c r="GEE991">
        <v>24416</v>
      </c>
      <c r="GEF991">
        <v>9323</v>
      </c>
      <c r="GEG991">
        <v>-119128</v>
      </c>
      <c r="GEH991">
        <v>-1444122</v>
      </c>
      <c r="GEI991">
        <v>167692</v>
      </c>
      <c r="GNZ991" t="s">
        <v>1322</v>
      </c>
      <c r="GOA991">
        <v>24416</v>
      </c>
      <c r="GOB991">
        <v>9323</v>
      </c>
      <c r="GOC991">
        <v>-119128</v>
      </c>
      <c r="GOD991">
        <v>-1444122</v>
      </c>
      <c r="GOE991">
        <v>167692</v>
      </c>
      <c r="GXV991" t="s">
        <v>1322</v>
      </c>
      <c r="GXW991">
        <v>24416</v>
      </c>
      <c r="GXX991">
        <v>9323</v>
      </c>
      <c r="GXY991">
        <v>-119128</v>
      </c>
      <c r="GXZ991">
        <v>-1444122</v>
      </c>
      <c r="GYA991">
        <v>167692</v>
      </c>
      <c r="HHR991" t="s">
        <v>1322</v>
      </c>
      <c r="HHS991">
        <v>24416</v>
      </c>
      <c r="HHT991">
        <v>9323</v>
      </c>
      <c r="HHU991">
        <v>-119128</v>
      </c>
      <c r="HHV991">
        <v>-1444122</v>
      </c>
      <c r="HHW991">
        <v>167692</v>
      </c>
      <c r="HRN991" t="s">
        <v>1322</v>
      </c>
      <c r="HRO991">
        <v>24416</v>
      </c>
      <c r="HRP991">
        <v>9323</v>
      </c>
      <c r="HRQ991">
        <v>-119128</v>
      </c>
      <c r="HRR991">
        <v>-1444122</v>
      </c>
      <c r="HRS991">
        <v>167692</v>
      </c>
      <c r="IBJ991" t="s">
        <v>1322</v>
      </c>
      <c r="IBK991">
        <v>24416</v>
      </c>
      <c r="IBL991">
        <v>9323</v>
      </c>
      <c r="IBM991">
        <v>-119128</v>
      </c>
      <c r="IBN991">
        <v>-1444122</v>
      </c>
      <c r="IBO991">
        <v>167692</v>
      </c>
      <c r="ILF991" t="s">
        <v>1322</v>
      </c>
      <c r="ILG991">
        <v>24416</v>
      </c>
      <c r="ILH991">
        <v>9323</v>
      </c>
      <c r="ILI991">
        <v>-119128</v>
      </c>
      <c r="ILJ991">
        <v>-1444122</v>
      </c>
      <c r="ILK991">
        <v>167692</v>
      </c>
      <c r="IVB991" t="s">
        <v>1322</v>
      </c>
      <c r="IVC991">
        <v>24416</v>
      </c>
      <c r="IVD991">
        <v>9323</v>
      </c>
      <c r="IVE991">
        <v>-119128</v>
      </c>
      <c r="IVF991">
        <v>-1444122</v>
      </c>
      <c r="IVG991">
        <v>167692</v>
      </c>
      <c r="JEX991" t="s">
        <v>1322</v>
      </c>
      <c r="JEY991">
        <v>24416</v>
      </c>
      <c r="JEZ991">
        <v>9323</v>
      </c>
      <c r="JFA991">
        <v>-119128</v>
      </c>
      <c r="JFB991">
        <v>-1444122</v>
      </c>
      <c r="JFC991">
        <v>167692</v>
      </c>
      <c r="JOT991" t="s">
        <v>1322</v>
      </c>
      <c r="JOU991">
        <v>24416</v>
      </c>
      <c r="JOV991">
        <v>9323</v>
      </c>
      <c r="JOW991">
        <v>-119128</v>
      </c>
      <c r="JOX991">
        <v>-1444122</v>
      </c>
      <c r="JOY991">
        <v>167692</v>
      </c>
      <c r="JYP991" t="s">
        <v>1322</v>
      </c>
      <c r="JYQ991">
        <v>24416</v>
      </c>
      <c r="JYR991">
        <v>9323</v>
      </c>
      <c r="JYS991">
        <v>-119128</v>
      </c>
      <c r="JYT991">
        <v>-1444122</v>
      </c>
      <c r="JYU991">
        <v>167692</v>
      </c>
      <c r="KIL991" t="s">
        <v>1322</v>
      </c>
      <c r="KIM991">
        <v>24416</v>
      </c>
      <c r="KIN991">
        <v>9323</v>
      </c>
      <c r="KIO991">
        <v>-119128</v>
      </c>
      <c r="KIP991">
        <v>-1444122</v>
      </c>
      <c r="KIQ991">
        <v>167692</v>
      </c>
      <c r="KSH991" t="s">
        <v>1322</v>
      </c>
      <c r="KSI991">
        <v>24416</v>
      </c>
      <c r="KSJ991">
        <v>9323</v>
      </c>
      <c r="KSK991">
        <v>-119128</v>
      </c>
      <c r="KSL991">
        <v>-1444122</v>
      </c>
      <c r="KSM991">
        <v>167692</v>
      </c>
      <c r="LCD991" t="s">
        <v>1322</v>
      </c>
      <c r="LCE991">
        <v>24416</v>
      </c>
      <c r="LCF991">
        <v>9323</v>
      </c>
      <c r="LCG991">
        <v>-119128</v>
      </c>
      <c r="LCH991">
        <v>-1444122</v>
      </c>
      <c r="LCI991">
        <v>167692</v>
      </c>
      <c r="LLZ991" t="s">
        <v>1322</v>
      </c>
      <c r="LMA991">
        <v>24416</v>
      </c>
      <c r="LMB991">
        <v>9323</v>
      </c>
      <c r="LMC991">
        <v>-119128</v>
      </c>
      <c r="LMD991">
        <v>-1444122</v>
      </c>
      <c r="LME991">
        <v>167692</v>
      </c>
      <c r="LVV991" t="s">
        <v>1322</v>
      </c>
      <c r="LVW991">
        <v>24416</v>
      </c>
      <c r="LVX991">
        <v>9323</v>
      </c>
      <c r="LVY991">
        <v>-119128</v>
      </c>
      <c r="LVZ991">
        <v>-1444122</v>
      </c>
      <c r="LWA991">
        <v>167692</v>
      </c>
      <c r="MFR991" t="s">
        <v>1322</v>
      </c>
      <c r="MFS991">
        <v>24416</v>
      </c>
      <c r="MFT991">
        <v>9323</v>
      </c>
      <c r="MFU991">
        <v>-119128</v>
      </c>
      <c r="MFV991">
        <v>-1444122</v>
      </c>
      <c r="MFW991">
        <v>167692</v>
      </c>
      <c r="MPN991" t="s">
        <v>1322</v>
      </c>
      <c r="MPO991">
        <v>24416</v>
      </c>
      <c r="MPP991">
        <v>9323</v>
      </c>
      <c r="MPQ991">
        <v>-119128</v>
      </c>
      <c r="MPR991">
        <v>-1444122</v>
      </c>
      <c r="MPS991">
        <v>167692</v>
      </c>
      <c r="MZJ991" t="s">
        <v>1322</v>
      </c>
      <c r="MZK991">
        <v>24416</v>
      </c>
      <c r="MZL991">
        <v>9323</v>
      </c>
      <c r="MZM991">
        <v>-119128</v>
      </c>
      <c r="MZN991">
        <v>-1444122</v>
      </c>
      <c r="MZO991">
        <v>167692</v>
      </c>
      <c r="NJF991" t="s">
        <v>1322</v>
      </c>
      <c r="NJG991">
        <v>24416</v>
      </c>
      <c r="NJH991">
        <v>9323</v>
      </c>
      <c r="NJI991">
        <v>-119128</v>
      </c>
      <c r="NJJ991">
        <v>-1444122</v>
      </c>
      <c r="NJK991">
        <v>167692</v>
      </c>
      <c r="NTB991" t="s">
        <v>1322</v>
      </c>
      <c r="NTC991">
        <v>24416</v>
      </c>
      <c r="NTD991">
        <v>9323</v>
      </c>
      <c r="NTE991">
        <v>-119128</v>
      </c>
      <c r="NTF991">
        <v>-1444122</v>
      </c>
      <c r="NTG991">
        <v>167692</v>
      </c>
      <c r="OCX991" t="s">
        <v>1322</v>
      </c>
      <c r="OCY991">
        <v>24416</v>
      </c>
      <c r="OCZ991">
        <v>9323</v>
      </c>
      <c r="ODA991">
        <v>-119128</v>
      </c>
      <c r="ODB991">
        <v>-1444122</v>
      </c>
      <c r="ODC991">
        <v>167692</v>
      </c>
      <c r="OMT991" t="s">
        <v>1322</v>
      </c>
      <c r="OMU991">
        <v>24416</v>
      </c>
      <c r="OMV991">
        <v>9323</v>
      </c>
      <c r="OMW991">
        <v>-119128</v>
      </c>
      <c r="OMX991">
        <v>-1444122</v>
      </c>
      <c r="OMY991">
        <v>167692</v>
      </c>
      <c r="OWP991" t="s">
        <v>1322</v>
      </c>
      <c r="OWQ991">
        <v>24416</v>
      </c>
      <c r="OWR991">
        <v>9323</v>
      </c>
      <c r="OWS991">
        <v>-119128</v>
      </c>
      <c r="OWT991">
        <v>-1444122</v>
      </c>
      <c r="OWU991">
        <v>167692</v>
      </c>
      <c r="PGL991" t="s">
        <v>1322</v>
      </c>
      <c r="PGM991">
        <v>24416</v>
      </c>
      <c r="PGN991">
        <v>9323</v>
      </c>
      <c r="PGO991">
        <v>-119128</v>
      </c>
      <c r="PGP991">
        <v>-1444122</v>
      </c>
      <c r="PGQ991">
        <v>167692</v>
      </c>
      <c r="PQH991" t="s">
        <v>1322</v>
      </c>
      <c r="PQI991">
        <v>24416</v>
      </c>
      <c r="PQJ991">
        <v>9323</v>
      </c>
      <c r="PQK991">
        <v>-119128</v>
      </c>
      <c r="PQL991">
        <v>-1444122</v>
      </c>
      <c r="PQM991">
        <v>167692</v>
      </c>
      <c r="QAD991" t="s">
        <v>1322</v>
      </c>
      <c r="QAE991">
        <v>24416</v>
      </c>
      <c r="QAF991">
        <v>9323</v>
      </c>
      <c r="QAG991">
        <v>-119128</v>
      </c>
      <c r="QAH991">
        <v>-1444122</v>
      </c>
      <c r="QAI991">
        <v>167692</v>
      </c>
      <c r="QJZ991" t="s">
        <v>1322</v>
      </c>
      <c r="QKA991">
        <v>24416</v>
      </c>
      <c r="QKB991">
        <v>9323</v>
      </c>
      <c r="QKC991">
        <v>-119128</v>
      </c>
      <c r="QKD991">
        <v>-1444122</v>
      </c>
      <c r="QKE991">
        <v>167692</v>
      </c>
      <c r="QTV991" t="s">
        <v>1322</v>
      </c>
      <c r="QTW991">
        <v>24416</v>
      </c>
      <c r="QTX991">
        <v>9323</v>
      </c>
      <c r="QTY991">
        <v>-119128</v>
      </c>
      <c r="QTZ991">
        <v>-1444122</v>
      </c>
      <c r="QUA991">
        <v>167692</v>
      </c>
      <c r="RDR991" t="s">
        <v>1322</v>
      </c>
      <c r="RDS991">
        <v>24416</v>
      </c>
      <c r="RDT991">
        <v>9323</v>
      </c>
      <c r="RDU991">
        <v>-119128</v>
      </c>
      <c r="RDV991">
        <v>-1444122</v>
      </c>
      <c r="RDW991">
        <v>167692</v>
      </c>
      <c r="RNN991" t="s">
        <v>1322</v>
      </c>
      <c r="RNO991">
        <v>24416</v>
      </c>
      <c r="RNP991">
        <v>9323</v>
      </c>
      <c r="RNQ991">
        <v>-119128</v>
      </c>
      <c r="RNR991">
        <v>-1444122</v>
      </c>
      <c r="RNS991">
        <v>167692</v>
      </c>
      <c r="RXJ991" t="s">
        <v>1322</v>
      </c>
      <c r="RXK991">
        <v>24416</v>
      </c>
      <c r="RXL991">
        <v>9323</v>
      </c>
      <c r="RXM991">
        <v>-119128</v>
      </c>
      <c r="RXN991">
        <v>-1444122</v>
      </c>
      <c r="RXO991">
        <v>167692</v>
      </c>
      <c r="SHF991" t="s">
        <v>1322</v>
      </c>
      <c r="SHG991">
        <v>24416</v>
      </c>
      <c r="SHH991">
        <v>9323</v>
      </c>
      <c r="SHI991">
        <v>-119128</v>
      </c>
      <c r="SHJ991">
        <v>-1444122</v>
      </c>
      <c r="SHK991">
        <v>167692</v>
      </c>
      <c r="SRB991" t="s">
        <v>1322</v>
      </c>
      <c r="SRC991">
        <v>24416</v>
      </c>
      <c r="SRD991">
        <v>9323</v>
      </c>
      <c r="SRE991">
        <v>-119128</v>
      </c>
      <c r="SRF991">
        <v>-1444122</v>
      </c>
      <c r="SRG991">
        <v>167692</v>
      </c>
      <c r="TAX991" t="s">
        <v>1322</v>
      </c>
      <c r="TAY991">
        <v>24416</v>
      </c>
      <c r="TAZ991">
        <v>9323</v>
      </c>
      <c r="TBA991">
        <v>-119128</v>
      </c>
      <c r="TBB991">
        <v>-1444122</v>
      </c>
      <c r="TBC991">
        <v>167692</v>
      </c>
      <c r="TKT991" t="s">
        <v>1322</v>
      </c>
      <c r="TKU991">
        <v>24416</v>
      </c>
      <c r="TKV991">
        <v>9323</v>
      </c>
      <c r="TKW991">
        <v>-119128</v>
      </c>
      <c r="TKX991">
        <v>-1444122</v>
      </c>
      <c r="TKY991">
        <v>167692</v>
      </c>
      <c r="TUP991" t="s">
        <v>1322</v>
      </c>
      <c r="TUQ991">
        <v>24416</v>
      </c>
      <c r="TUR991">
        <v>9323</v>
      </c>
      <c r="TUS991">
        <v>-119128</v>
      </c>
      <c r="TUT991">
        <v>-1444122</v>
      </c>
      <c r="TUU991">
        <v>167692</v>
      </c>
      <c r="UEL991" t="s">
        <v>1322</v>
      </c>
      <c r="UEM991">
        <v>24416</v>
      </c>
      <c r="UEN991">
        <v>9323</v>
      </c>
      <c r="UEO991">
        <v>-119128</v>
      </c>
      <c r="UEP991">
        <v>-1444122</v>
      </c>
      <c r="UEQ991">
        <v>167692</v>
      </c>
      <c r="UOH991" t="s">
        <v>1322</v>
      </c>
      <c r="UOI991">
        <v>24416</v>
      </c>
      <c r="UOJ991">
        <v>9323</v>
      </c>
      <c r="UOK991">
        <v>-119128</v>
      </c>
      <c r="UOL991">
        <v>-1444122</v>
      </c>
      <c r="UOM991">
        <v>167692</v>
      </c>
      <c r="UYD991" t="s">
        <v>1322</v>
      </c>
      <c r="UYE991">
        <v>24416</v>
      </c>
      <c r="UYF991">
        <v>9323</v>
      </c>
      <c r="UYG991">
        <v>-119128</v>
      </c>
      <c r="UYH991">
        <v>-1444122</v>
      </c>
      <c r="UYI991">
        <v>167692</v>
      </c>
      <c r="VHZ991" t="s">
        <v>1322</v>
      </c>
      <c r="VIA991">
        <v>24416</v>
      </c>
      <c r="VIB991">
        <v>9323</v>
      </c>
      <c r="VIC991">
        <v>-119128</v>
      </c>
      <c r="VID991">
        <v>-1444122</v>
      </c>
      <c r="VIE991">
        <v>167692</v>
      </c>
      <c r="VRV991" t="s">
        <v>1322</v>
      </c>
      <c r="VRW991">
        <v>24416</v>
      </c>
      <c r="VRX991">
        <v>9323</v>
      </c>
      <c r="VRY991">
        <v>-119128</v>
      </c>
      <c r="VRZ991">
        <v>-1444122</v>
      </c>
      <c r="VSA991">
        <v>167692</v>
      </c>
      <c r="WBR991" t="s">
        <v>1322</v>
      </c>
      <c r="WBS991">
        <v>24416</v>
      </c>
      <c r="WBT991">
        <v>9323</v>
      </c>
      <c r="WBU991">
        <v>-119128</v>
      </c>
      <c r="WBV991">
        <v>-1444122</v>
      </c>
      <c r="WBW991">
        <v>167692</v>
      </c>
      <c r="WLN991" t="s">
        <v>1322</v>
      </c>
      <c r="WLO991">
        <v>24416</v>
      </c>
      <c r="WLP991">
        <v>9323</v>
      </c>
      <c r="WLQ991">
        <v>-119128</v>
      </c>
      <c r="WLR991">
        <v>-1444122</v>
      </c>
      <c r="WLS991">
        <v>167692</v>
      </c>
      <c r="WVJ991" t="s">
        <v>1322</v>
      </c>
      <c r="WVK991">
        <v>24416</v>
      </c>
      <c r="WVL991">
        <v>9323</v>
      </c>
      <c r="WVM991">
        <v>-119128</v>
      </c>
      <c r="WVN991">
        <v>-1444122</v>
      </c>
      <c r="WVO991">
        <v>167692</v>
      </c>
    </row>
    <row r="992" spans="1:775 1026:1799 2050:2823 3074:3847 4098:4871 5122:5895 6146:6919 7170:7943 8194:8967 9218:9991 10242:11015 11266:12039 12290:13063 13314:14087 14338:15111 15362:16135">
      <c r="A992" s="96" t="s">
        <v>1324</v>
      </c>
      <c r="B992" s="1265" t="s">
        <v>1069</v>
      </c>
      <c r="C992" s="100">
        <v>-835554</v>
      </c>
      <c r="D992" s="100">
        <v>-68051</v>
      </c>
      <c r="E992" s="100">
        <v>135441</v>
      </c>
      <c r="F992" s="100">
        <v>-38908</v>
      </c>
      <c r="G992" s="100">
        <v>-1239921</v>
      </c>
      <c r="H992" s="100"/>
      <c r="IX992" t="s">
        <v>1324</v>
      </c>
      <c r="IY992">
        <v>-835554</v>
      </c>
      <c r="IZ992">
        <v>-68051</v>
      </c>
      <c r="JA992">
        <v>135441</v>
      </c>
      <c r="JB992">
        <v>-38908</v>
      </c>
      <c r="JC992">
        <v>-1239921</v>
      </c>
      <c r="ST992" t="s">
        <v>1324</v>
      </c>
      <c r="SU992">
        <v>-835554</v>
      </c>
      <c r="SV992">
        <v>-68051</v>
      </c>
      <c r="SW992">
        <v>135441</v>
      </c>
      <c r="SX992">
        <v>-38908</v>
      </c>
      <c r="SY992">
        <v>-1239921</v>
      </c>
      <c r="ACP992" t="s">
        <v>1324</v>
      </c>
      <c r="ACQ992">
        <v>-835554</v>
      </c>
      <c r="ACR992">
        <v>-68051</v>
      </c>
      <c r="ACS992">
        <v>135441</v>
      </c>
      <c r="ACT992">
        <v>-38908</v>
      </c>
      <c r="ACU992">
        <v>-1239921</v>
      </c>
      <c r="AML992" t="s">
        <v>1324</v>
      </c>
      <c r="AMM992">
        <v>-835554</v>
      </c>
      <c r="AMN992">
        <v>-68051</v>
      </c>
      <c r="AMO992">
        <v>135441</v>
      </c>
      <c r="AMP992">
        <v>-38908</v>
      </c>
      <c r="AMQ992">
        <v>-1239921</v>
      </c>
      <c r="AWH992" t="s">
        <v>1324</v>
      </c>
      <c r="AWI992">
        <v>-835554</v>
      </c>
      <c r="AWJ992">
        <v>-68051</v>
      </c>
      <c r="AWK992">
        <v>135441</v>
      </c>
      <c r="AWL992">
        <v>-38908</v>
      </c>
      <c r="AWM992">
        <v>-1239921</v>
      </c>
      <c r="BGD992" t="s">
        <v>1324</v>
      </c>
      <c r="BGE992">
        <v>-835554</v>
      </c>
      <c r="BGF992">
        <v>-68051</v>
      </c>
      <c r="BGG992">
        <v>135441</v>
      </c>
      <c r="BGH992">
        <v>-38908</v>
      </c>
      <c r="BGI992">
        <v>-1239921</v>
      </c>
      <c r="BPZ992" t="s">
        <v>1324</v>
      </c>
      <c r="BQA992">
        <v>-835554</v>
      </c>
      <c r="BQB992">
        <v>-68051</v>
      </c>
      <c r="BQC992">
        <v>135441</v>
      </c>
      <c r="BQD992">
        <v>-38908</v>
      </c>
      <c r="BQE992">
        <v>-1239921</v>
      </c>
      <c r="BZV992" t="s">
        <v>1324</v>
      </c>
      <c r="BZW992">
        <v>-835554</v>
      </c>
      <c r="BZX992">
        <v>-68051</v>
      </c>
      <c r="BZY992">
        <v>135441</v>
      </c>
      <c r="BZZ992">
        <v>-38908</v>
      </c>
      <c r="CAA992">
        <v>-1239921</v>
      </c>
      <c r="CJR992" t="s">
        <v>1324</v>
      </c>
      <c r="CJS992">
        <v>-835554</v>
      </c>
      <c r="CJT992">
        <v>-68051</v>
      </c>
      <c r="CJU992">
        <v>135441</v>
      </c>
      <c r="CJV992">
        <v>-38908</v>
      </c>
      <c r="CJW992">
        <v>-1239921</v>
      </c>
      <c r="CTN992" t="s">
        <v>1324</v>
      </c>
      <c r="CTO992">
        <v>-835554</v>
      </c>
      <c r="CTP992">
        <v>-68051</v>
      </c>
      <c r="CTQ992">
        <v>135441</v>
      </c>
      <c r="CTR992">
        <v>-38908</v>
      </c>
      <c r="CTS992">
        <v>-1239921</v>
      </c>
      <c r="DDJ992" t="s">
        <v>1324</v>
      </c>
      <c r="DDK992">
        <v>-835554</v>
      </c>
      <c r="DDL992">
        <v>-68051</v>
      </c>
      <c r="DDM992">
        <v>135441</v>
      </c>
      <c r="DDN992">
        <v>-38908</v>
      </c>
      <c r="DDO992">
        <v>-1239921</v>
      </c>
      <c r="DNF992" t="s">
        <v>1324</v>
      </c>
      <c r="DNG992">
        <v>-835554</v>
      </c>
      <c r="DNH992">
        <v>-68051</v>
      </c>
      <c r="DNI992">
        <v>135441</v>
      </c>
      <c r="DNJ992">
        <v>-38908</v>
      </c>
      <c r="DNK992">
        <v>-1239921</v>
      </c>
      <c r="DXB992" t="s">
        <v>1324</v>
      </c>
      <c r="DXC992">
        <v>-835554</v>
      </c>
      <c r="DXD992">
        <v>-68051</v>
      </c>
      <c r="DXE992">
        <v>135441</v>
      </c>
      <c r="DXF992">
        <v>-38908</v>
      </c>
      <c r="DXG992">
        <v>-1239921</v>
      </c>
      <c r="EGX992" t="s">
        <v>1324</v>
      </c>
      <c r="EGY992">
        <v>-835554</v>
      </c>
      <c r="EGZ992">
        <v>-68051</v>
      </c>
      <c r="EHA992">
        <v>135441</v>
      </c>
      <c r="EHB992">
        <v>-38908</v>
      </c>
      <c r="EHC992">
        <v>-1239921</v>
      </c>
      <c r="EQT992" t="s">
        <v>1324</v>
      </c>
      <c r="EQU992">
        <v>-835554</v>
      </c>
      <c r="EQV992">
        <v>-68051</v>
      </c>
      <c r="EQW992">
        <v>135441</v>
      </c>
      <c r="EQX992">
        <v>-38908</v>
      </c>
      <c r="EQY992">
        <v>-1239921</v>
      </c>
      <c r="FAP992" t="s">
        <v>1324</v>
      </c>
      <c r="FAQ992">
        <v>-835554</v>
      </c>
      <c r="FAR992">
        <v>-68051</v>
      </c>
      <c r="FAS992">
        <v>135441</v>
      </c>
      <c r="FAT992">
        <v>-38908</v>
      </c>
      <c r="FAU992">
        <v>-1239921</v>
      </c>
      <c r="FKL992" t="s">
        <v>1324</v>
      </c>
      <c r="FKM992">
        <v>-835554</v>
      </c>
      <c r="FKN992">
        <v>-68051</v>
      </c>
      <c r="FKO992">
        <v>135441</v>
      </c>
      <c r="FKP992">
        <v>-38908</v>
      </c>
      <c r="FKQ992">
        <v>-1239921</v>
      </c>
      <c r="FUH992" t="s">
        <v>1324</v>
      </c>
      <c r="FUI992">
        <v>-835554</v>
      </c>
      <c r="FUJ992">
        <v>-68051</v>
      </c>
      <c r="FUK992">
        <v>135441</v>
      </c>
      <c r="FUL992">
        <v>-38908</v>
      </c>
      <c r="FUM992">
        <v>-1239921</v>
      </c>
      <c r="GED992" t="s">
        <v>1324</v>
      </c>
      <c r="GEE992">
        <v>-835554</v>
      </c>
      <c r="GEF992">
        <v>-68051</v>
      </c>
      <c r="GEG992">
        <v>135441</v>
      </c>
      <c r="GEH992">
        <v>-38908</v>
      </c>
      <c r="GEI992">
        <v>-1239921</v>
      </c>
      <c r="GNZ992" t="s">
        <v>1324</v>
      </c>
      <c r="GOA992">
        <v>-835554</v>
      </c>
      <c r="GOB992">
        <v>-68051</v>
      </c>
      <c r="GOC992">
        <v>135441</v>
      </c>
      <c r="GOD992">
        <v>-38908</v>
      </c>
      <c r="GOE992">
        <v>-1239921</v>
      </c>
      <c r="GXV992" t="s">
        <v>1324</v>
      </c>
      <c r="GXW992">
        <v>-835554</v>
      </c>
      <c r="GXX992">
        <v>-68051</v>
      </c>
      <c r="GXY992">
        <v>135441</v>
      </c>
      <c r="GXZ992">
        <v>-38908</v>
      </c>
      <c r="GYA992">
        <v>-1239921</v>
      </c>
      <c r="HHR992" t="s">
        <v>1324</v>
      </c>
      <c r="HHS992">
        <v>-835554</v>
      </c>
      <c r="HHT992">
        <v>-68051</v>
      </c>
      <c r="HHU992">
        <v>135441</v>
      </c>
      <c r="HHV992">
        <v>-38908</v>
      </c>
      <c r="HHW992">
        <v>-1239921</v>
      </c>
      <c r="HRN992" t="s">
        <v>1324</v>
      </c>
      <c r="HRO992">
        <v>-835554</v>
      </c>
      <c r="HRP992">
        <v>-68051</v>
      </c>
      <c r="HRQ992">
        <v>135441</v>
      </c>
      <c r="HRR992">
        <v>-38908</v>
      </c>
      <c r="HRS992">
        <v>-1239921</v>
      </c>
      <c r="IBJ992" t="s">
        <v>1324</v>
      </c>
      <c r="IBK992">
        <v>-835554</v>
      </c>
      <c r="IBL992">
        <v>-68051</v>
      </c>
      <c r="IBM992">
        <v>135441</v>
      </c>
      <c r="IBN992">
        <v>-38908</v>
      </c>
      <c r="IBO992">
        <v>-1239921</v>
      </c>
      <c r="ILF992" t="s">
        <v>1324</v>
      </c>
      <c r="ILG992">
        <v>-835554</v>
      </c>
      <c r="ILH992">
        <v>-68051</v>
      </c>
      <c r="ILI992">
        <v>135441</v>
      </c>
      <c r="ILJ992">
        <v>-38908</v>
      </c>
      <c r="ILK992">
        <v>-1239921</v>
      </c>
      <c r="IVB992" t="s">
        <v>1324</v>
      </c>
      <c r="IVC992">
        <v>-835554</v>
      </c>
      <c r="IVD992">
        <v>-68051</v>
      </c>
      <c r="IVE992">
        <v>135441</v>
      </c>
      <c r="IVF992">
        <v>-38908</v>
      </c>
      <c r="IVG992">
        <v>-1239921</v>
      </c>
      <c r="JEX992" t="s">
        <v>1324</v>
      </c>
      <c r="JEY992">
        <v>-835554</v>
      </c>
      <c r="JEZ992">
        <v>-68051</v>
      </c>
      <c r="JFA992">
        <v>135441</v>
      </c>
      <c r="JFB992">
        <v>-38908</v>
      </c>
      <c r="JFC992">
        <v>-1239921</v>
      </c>
      <c r="JOT992" t="s">
        <v>1324</v>
      </c>
      <c r="JOU992">
        <v>-835554</v>
      </c>
      <c r="JOV992">
        <v>-68051</v>
      </c>
      <c r="JOW992">
        <v>135441</v>
      </c>
      <c r="JOX992">
        <v>-38908</v>
      </c>
      <c r="JOY992">
        <v>-1239921</v>
      </c>
      <c r="JYP992" t="s">
        <v>1324</v>
      </c>
      <c r="JYQ992">
        <v>-835554</v>
      </c>
      <c r="JYR992">
        <v>-68051</v>
      </c>
      <c r="JYS992">
        <v>135441</v>
      </c>
      <c r="JYT992">
        <v>-38908</v>
      </c>
      <c r="JYU992">
        <v>-1239921</v>
      </c>
      <c r="KIL992" t="s">
        <v>1324</v>
      </c>
      <c r="KIM992">
        <v>-835554</v>
      </c>
      <c r="KIN992">
        <v>-68051</v>
      </c>
      <c r="KIO992">
        <v>135441</v>
      </c>
      <c r="KIP992">
        <v>-38908</v>
      </c>
      <c r="KIQ992">
        <v>-1239921</v>
      </c>
      <c r="KSH992" t="s">
        <v>1324</v>
      </c>
      <c r="KSI992">
        <v>-835554</v>
      </c>
      <c r="KSJ992">
        <v>-68051</v>
      </c>
      <c r="KSK992">
        <v>135441</v>
      </c>
      <c r="KSL992">
        <v>-38908</v>
      </c>
      <c r="KSM992">
        <v>-1239921</v>
      </c>
      <c r="LCD992" t="s">
        <v>1324</v>
      </c>
      <c r="LCE992">
        <v>-835554</v>
      </c>
      <c r="LCF992">
        <v>-68051</v>
      </c>
      <c r="LCG992">
        <v>135441</v>
      </c>
      <c r="LCH992">
        <v>-38908</v>
      </c>
      <c r="LCI992">
        <v>-1239921</v>
      </c>
      <c r="LLZ992" t="s">
        <v>1324</v>
      </c>
      <c r="LMA992">
        <v>-835554</v>
      </c>
      <c r="LMB992">
        <v>-68051</v>
      </c>
      <c r="LMC992">
        <v>135441</v>
      </c>
      <c r="LMD992">
        <v>-38908</v>
      </c>
      <c r="LME992">
        <v>-1239921</v>
      </c>
      <c r="LVV992" t="s">
        <v>1324</v>
      </c>
      <c r="LVW992">
        <v>-835554</v>
      </c>
      <c r="LVX992">
        <v>-68051</v>
      </c>
      <c r="LVY992">
        <v>135441</v>
      </c>
      <c r="LVZ992">
        <v>-38908</v>
      </c>
      <c r="LWA992">
        <v>-1239921</v>
      </c>
      <c r="MFR992" t="s">
        <v>1324</v>
      </c>
      <c r="MFS992">
        <v>-835554</v>
      </c>
      <c r="MFT992">
        <v>-68051</v>
      </c>
      <c r="MFU992">
        <v>135441</v>
      </c>
      <c r="MFV992">
        <v>-38908</v>
      </c>
      <c r="MFW992">
        <v>-1239921</v>
      </c>
      <c r="MPN992" t="s">
        <v>1324</v>
      </c>
      <c r="MPO992">
        <v>-835554</v>
      </c>
      <c r="MPP992">
        <v>-68051</v>
      </c>
      <c r="MPQ992">
        <v>135441</v>
      </c>
      <c r="MPR992">
        <v>-38908</v>
      </c>
      <c r="MPS992">
        <v>-1239921</v>
      </c>
      <c r="MZJ992" t="s">
        <v>1324</v>
      </c>
      <c r="MZK992">
        <v>-835554</v>
      </c>
      <c r="MZL992">
        <v>-68051</v>
      </c>
      <c r="MZM992">
        <v>135441</v>
      </c>
      <c r="MZN992">
        <v>-38908</v>
      </c>
      <c r="MZO992">
        <v>-1239921</v>
      </c>
      <c r="NJF992" t="s">
        <v>1324</v>
      </c>
      <c r="NJG992">
        <v>-835554</v>
      </c>
      <c r="NJH992">
        <v>-68051</v>
      </c>
      <c r="NJI992">
        <v>135441</v>
      </c>
      <c r="NJJ992">
        <v>-38908</v>
      </c>
      <c r="NJK992">
        <v>-1239921</v>
      </c>
      <c r="NTB992" t="s">
        <v>1324</v>
      </c>
      <c r="NTC992">
        <v>-835554</v>
      </c>
      <c r="NTD992">
        <v>-68051</v>
      </c>
      <c r="NTE992">
        <v>135441</v>
      </c>
      <c r="NTF992">
        <v>-38908</v>
      </c>
      <c r="NTG992">
        <v>-1239921</v>
      </c>
      <c r="OCX992" t="s">
        <v>1324</v>
      </c>
      <c r="OCY992">
        <v>-835554</v>
      </c>
      <c r="OCZ992">
        <v>-68051</v>
      </c>
      <c r="ODA992">
        <v>135441</v>
      </c>
      <c r="ODB992">
        <v>-38908</v>
      </c>
      <c r="ODC992">
        <v>-1239921</v>
      </c>
      <c r="OMT992" t="s">
        <v>1324</v>
      </c>
      <c r="OMU992">
        <v>-835554</v>
      </c>
      <c r="OMV992">
        <v>-68051</v>
      </c>
      <c r="OMW992">
        <v>135441</v>
      </c>
      <c r="OMX992">
        <v>-38908</v>
      </c>
      <c r="OMY992">
        <v>-1239921</v>
      </c>
      <c r="OWP992" t="s">
        <v>1324</v>
      </c>
      <c r="OWQ992">
        <v>-835554</v>
      </c>
      <c r="OWR992">
        <v>-68051</v>
      </c>
      <c r="OWS992">
        <v>135441</v>
      </c>
      <c r="OWT992">
        <v>-38908</v>
      </c>
      <c r="OWU992">
        <v>-1239921</v>
      </c>
      <c r="PGL992" t="s">
        <v>1324</v>
      </c>
      <c r="PGM992">
        <v>-835554</v>
      </c>
      <c r="PGN992">
        <v>-68051</v>
      </c>
      <c r="PGO992">
        <v>135441</v>
      </c>
      <c r="PGP992">
        <v>-38908</v>
      </c>
      <c r="PGQ992">
        <v>-1239921</v>
      </c>
      <c r="PQH992" t="s">
        <v>1324</v>
      </c>
      <c r="PQI992">
        <v>-835554</v>
      </c>
      <c r="PQJ992">
        <v>-68051</v>
      </c>
      <c r="PQK992">
        <v>135441</v>
      </c>
      <c r="PQL992">
        <v>-38908</v>
      </c>
      <c r="PQM992">
        <v>-1239921</v>
      </c>
      <c r="QAD992" t="s">
        <v>1324</v>
      </c>
      <c r="QAE992">
        <v>-835554</v>
      </c>
      <c r="QAF992">
        <v>-68051</v>
      </c>
      <c r="QAG992">
        <v>135441</v>
      </c>
      <c r="QAH992">
        <v>-38908</v>
      </c>
      <c r="QAI992">
        <v>-1239921</v>
      </c>
      <c r="QJZ992" t="s">
        <v>1324</v>
      </c>
      <c r="QKA992">
        <v>-835554</v>
      </c>
      <c r="QKB992">
        <v>-68051</v>
      </c>
      <c r="QKC992">
        <v>135441</v>
      </c>
      <c r="QKD992">
        <v>-38908</v>
      </c>
      <c r="QKE992">
        <v>-1239921</v>
      </c>
      <c r="QTV992" t="s">
        <v>1324</v>
      </c>
      <c r="QTW992">
        <v>-835554</v>
      </c>
      <c r="QTX992">
        <v>-68051</v>
      </c>
      <c r="QTY992">
        <v>135441</v>
      </c>
      <c r="QTZ992">
        <v>-38908</v>
      </c>
      <c r="QUA992">
        <v>-1239921</v>
      </c>
      <c r="RDR992" t="s">
        <v>1324</v>
      </c>
      <c r="RDS992">
        <v>-835554</v>
      </c>
      <c r="RDT992">
        <v>-68051</v>
      </c>
      <c r="RDU992">
        <v>135441</v>
      </c>
      <c r="RDV992">
        <v>-38908</v>
      </c>
      <c r="RDW992">
        <v>-1239921</v>
      </c>
      <c r="RNN992" t="s">
        <v>1324</v>
      </c>
      <c r="RNO992">
        <v>-835554</v>
      </c>
      <c r="RNP992">
        <v>-68051</v>
      </c>
      <c r="RNQ992">
        <v>135441</v>
      </c>
      <c r="RNR992">
        <v>-38908</v>
      </c>
      <c r="RNS992">
        <v>-1239921</v>
      </c>
      <c r="RXJ992" t="s">
        <v>1324</v>
      </c>
      <c r="RXK992">
        <v>-835554</v>
      </c>
      <c r="RXL992">
        <v>-68051</v>
      </c>
      <c r="RXM992">
        <v>135441</v>
      </c>
      <c r="RXN992">
        <v>-38908</v>
      </c>
      <c r="RXO992">
        <v>-1239921</v>
      </c>
      <c r="SHF992" t="s">
        <v>1324</v>
      </c>
      <c r="SHG992">
        <v>-835554</v>
      </c>
      <c r="SHH992">
        <v>-68051</v>
      </c>
      <c r="SHI992">
        <v>135441</v>
      </c>
      <c r="SHJ992">
        <v>-38908</v>
      </c>
      <c r="SHK992">
        <v>-1239921</v>
      </c>
      <c r="SRB992" t="s">
        <v>1324</v>
      </c>
      <c r="SRC992">
        <v>-835554</v>
      </c>
      <c r="SRD992">
        <v>-68051</v>
      </c>
      <c r="SRE992">
        <v>135441</v>
      </c>
      <c r="SRF992">
        <v>-38908</v>
      </c>
      <c r="SRG992">
        <v>-1239921</v>
      </c>
      <c r="TAX992" t="s">
        <v>1324</v>
      </c>
      <c r="TAY992">
        <v>-835554</v>
      </c>
      <c r="TAZ992">
        <v>-68051</v>
      </c>
      <c r="TBA992">
        <v>135441</v>
      </c>
      <c r="TBB992">
        <v>-38908</v>
      </c>
      <c r="TBC992">
        <v>-1239921</v>
      </c>
      <c r="TKT992" t="s">
        <v>1324</v>
      </c>
      <c r="TKU992">
        <v>-835554</v>
      </c>
      <c r="TKV992">
        <v>-68051</v>
      </c>
      <c r="TKW992">
        <v>135441</v>
      </c>
      <c r="TKX992">
        <v>-38908</v>
      </c>
      <c r="TKY992">
        <v>-1239921</v>
      </c>
      <c r="TUP992" t="s">
        <v>1324</v>
      </c>
      <c r="TUQ992">
        <v>-835554</v>
      </c>
      <c r="TUR992">
        <v>-68051</v>
      </c>
      <c r="TUS992">
        <v>135441</v>
      </c>
      <c r="TUT992">
        <v>-38908</v>
      </c>
      <c r="TUU992">
        <v>-1239921</v>
      </c>
      <c r="UEL992" t="s">
        <v>1324</v>
      </c>
      <c r="UEM992">
        <v>-835554</v>
      </c>
      <c r="UEN992">
        <v>-68051</v>
      </c>
      <c r="UEO992">
        <v>135441</v>
      </c>
      <c r="UEP992">
        <v>-38908</v>
      </c>
      <c r="UEQ992">
        <v>-1239921</v>
      </c>
      <c r="UOH992" t="s">
        <v>1324</v>
      </c>
      <c r="UOI992">
        <v>-835554</v>
      </c>
      <c r="UOJ992">
        <v>-68051</v>
      </c>
      <c r="UOK992">
        <v>135441</v>
      </c>
      <c r="UOL992">
        <v>-38908</v>
      </c>
      <c r="UOM992">
        <v>-1239921</v>
      </c>
      <c r="UYD992" t="s">
        <v>1324</v>
      </c>
      <c r="UYE992">
        <v>-835554</v>
      </c>
      <c r="UYF992">
        <v>-68051</v>
      </c>
      <c r="UYG992">
        <v>135441</v>
      </c>
      <c r="UYH992">
        <v>-38908</v>
      </c>
      <c r="UYI992">
        <v>-1239921</v>
      </c>
      <c r="VHZ992" t="s">
        <v>1324</v>
      </c>
      <c r="VIA992">
        <v>-835554</v>
      </c>
      <c r="VIB992">
        <v>-68051</v>
      </c>
      <c r="VIC992">
        <v>135441</v>
      </c>
      <c r="VID992">
        <v>-38908</v>
      </c>
      <c r="VIE992">
        <v>-1239921</v>
      </c>
      <c r="VRV992" t="s">
        <v>1324</v>
      </c>
      <c r="VRW992">
        <v>-835554</v>
      </c>
      <c r="VRX992">
        <v>-68051</v>
      </c>
      <c r="VRY992">
        <v>135441</v>
      </c>
      <c r="VRZ992">
        <v>-38908</v>
      </c>
      <c r="VSA992">
        <v>-1239921</v>
      </c>
      <c r="WBR992" t="s">
        <v>1324</v>
      </c>
      <c r="WBS992">
        <v>-835554</v>
      </c>
      <c r="WBT992">
        <v>-68051</v>
      </c>
      <c r="WBU992">
        <v>135441</v>
      </c>
      <c r="WBV992">
        <v>-38908</v>
      </c>
      <c r="WBW992">
        <v>-1239921</v>
      </c>
      <c r="WLN992" t="s">
        <v>1324</v>
      </c>
      <c r="WLO992">
        <v>-835554</v>
      </c>
      <c r="WLP992">
        <v>-68051</v>
      </c>
      <c r="WLQ992">
        <v>135441</v>
      </c>
      <c r="WLR992">
        <v>-38908</v>
      </c>
      <c r="WLS992">
        <v>-1239921</v>
      </c>
      <c r="WVJ992" t="s">
        <v>1324</v>
      </c>
      <c r="WVK992">
        <v>-835554</v>
      </c>
      <c r="WVL992">
        <v>-68051</v>
      </c>
      <c r="WVM992">
        <v>135441</v>
      </c>
      <c r="WVN992">
        <v>-38908</v>
      </c>
      <c r="WVO992">
        <v>-1239921</v>
      </c>
    </row>
    <row r="993" spans="1:775 1026:1799 2050:2823 3074:3847 4098:4871 5122:5895 6146:6919 7170:7943 8194:8967 9218:9991 10242:11015 11266:12039 12290:13063 13314:14087 14338:15111 15362:16135">
      <c r="A993" s="96" t="s">
        <v>734</v>
      </c>
      <c r="B993" s="1265" t="s">
        <v>1091</v>
      </c>
      <c r="C993" s="100">
        <v>193524</v>
      </c>
      <c r="D993" s="98">
        <v>0</v>
      </c>
      <c r="E993" s="98">
        <v>0</v>
      </c>
      <c r="F993" s="98">
        <v>0</v>
      </c>
      <c r="G993" s="98">
        <v>0</v>
      </c>
      <c r="H993" s="98"/>
      <c r="IX993" t="s">
        <v>734</v>
      </c>
      <c r="IY993">
        <v>193524</v>
      </c>
      <c r="IZ993" t="s">
        <v>619</v>
      </c>
      <c r="JA993" t="s">
        <v>619</v>
      </c>
      <c r="JB993" t="s">
        <v>619</v>
      </c>
      <c r="JC993" t="s">
        <v>619</v>
      </c>
      <c r="ST993" t="s">
        <v>734</v>
      </c>
      <c r="SU993">
        <v>193524</v>
      </c>
      <c r="SV993" t="s">
        <v>619</v>
      </c>
      <c r="SW993" t="s">
        <v>619</v>
      </c>
      <c r="SX993" t="s">
        <v>619</v>
      </c>
      <c r="SY993" t="s">
        <v>619</v>
      </c>
      <c r="ACP993" t="s">
        <v>734</v>
      </c>
      <c r="ACQ993">
        <v>193524</v>
      </c>
      <c r="ACR993" t="s">
        <v>619</v>
      </c>
      <c r="ACS993" t="s">
        <v>619</v>
      </c>
      <c r="ACT993" t="s">
        <v>619</v>
      </c>
      <c r="ACU993" t="s">
        <v>619</v>
      </c>
      <c r="AML993" t="s">
        <v>734</v>
      </c>
      <c r="AMM993">
        <v>193524</v>
      </c>
      <c r="AMN993" t="s">
        <v>619</v>
      </c>
      <c r="AMO993" t="s">
        <v>619</v>
      </c>
      <c r="AMP993" t="s">
        <v>619</v>
      </c>
      <c r="AMQ993" t="s">
        <v>619</v>
      </c>
      <c r="AWH993" t="s">
        <v>734</v>
      </c>
      <c r="AWI993">
        <v>193524</v>
      </c>
      <c r="AWJ993" t="s">
        <v>619</v>
      </c>
      <c r="AWK993" t="s">
        <v>619</v>
      </c>
      <c r="AWL993" t="s">
        <v>619</v>
      </c>
      <c r="AWM993" t="s">
        <v>619</v>
      </c>
      <c r="BGD993" t="s">
        <v>734</v>
      </c>
      <c r="BGE993">
        <v>193524</v>
      </c>
      <c r="BGF993" t="s">
        <v>619</v>
      </c>
      <c r="BGG993" t="s">
        <v>619</v>
      </c>
      <c r="BGH993" t="s">
        <v>619</v>
      </c>
      <c r="BGI993" t="s">
        <v>619</v>
      </c>
      <c r="BPZ993" t="s">
        <v>734</v>
      </c>
      <c r="BQA993">
        <v>193524</v>
      </c>
      <c r="BQB993" t="s">
        <v>619</v>
      </c>
      <c r="BQC993" t="s">
        <v>619</v>
      </c>
      <c r="BQD993" t="s">
        <v>619</v>
      </c>
      <c r="BQE993" t="s">
        <v>619</v>
      </c>
      <c r="BZV993" t="s">
        <v>734</v>
      </c>
      <c r="BZW993">
        <v>193524</v>
      </c>
      <c r="BZX993" t="s">
        <v>619</v>
      </c>
      <c r="BZY993" t="s">
        <v>619</v>
      </c>
      <c r="BZZ993" t="s">
        <v>619</v>
      </c>
      <c r="CAA993" t="s">
        <v>619</v>
      </c>
      <c r="CJR993" t="s">
        <v>734</v>
      </c>
      <c r="CJS993">
        <v>193524</v>
      </c>
      <c r="CJT993" t="s">
        <v>619</v>
      </c>
      <c r="CJU993" t="s">
        <v>619</v>
      </c>
      <c r="CJV993" t="s">
        <v>619</v>
      </c>
      <c r="CJW993" t="s">
        <v>619</v>
      </c>
      <c r="CTN993" t="s">
        <v>734</v>
      </c>
      <c r="CTO993">
        <v>193524</v>
      </c>
      <c r="CTP993" t="s">
        <v>619</v>
      </c>
      <c r="CTQ993" t="s">
        <v>619</v>
      </c>
      <c r="CTR993" t="s">
        <v>619</v>
      </c>
      <c r="CTS993" t="s">
        <v>619</v>
      </c>
      <c r="DDJ993" t="s">
        <v>734</v>
      </c>
      <c r="DDK993">
        <v>193524</v>
      </c>
      <c r="DDL993" t="s">
        <v>619</v>
      </c>
      <c r="DDM993" t="s">
        <v>619</v>
      </c>
      <c r="DDN993" t="s">
        <v>619</v>
      </c>
      <c r="DDO993" t="s">
        <v>619</v>
      </c>
      <c r="DNF993" t="s">
        <v>734</v>
      </c>
      <c r="DNG993">
        <v>193524</v>
      </c>
      <c r="DNH993" t="s">
        <v>619</v>
      </c>
      <c r="DNI993" t="s">
        <v>619</v>
      </c>
      <c r="DNJ993" t="s">
        <v>619</v>
      </c>
      <c r="DNK993" t="s">
        <v>619</v>
      </c>
      <c r="DXB993" t="s">
        <v>734</v>
      </c>
      <c r="DXC993">
        <v>193524</v>
      </c>
      <c r="DXD993" t="s">
        <v>619</v>
      </c>
      <c r="DXE993" t="s">
        <v>619</v>
      </c>
      <c r="DXF993" t="s">
        <v>619</v>
      </c>
      <c r="DXG993" t="s">
        <v>619</v>
      </c>
      <c r="EGX993" t="s">
        <v>734</v>
      </c>
      <c r="EGY993">
        <v>193524</v>
      </c>
      <c r="EGZ993" t="s">
        <v>619</v>
      </c>
      <c r="EHA993" t="s">
        <v>619</v>
      </c>
      <c r="EHB993" t="s">
        <v>619</v>
      </c>
      <c r="EHC993" t="s">
        <v>619</v>
      </c>
      <c r="EQT993" t="s">
        <v>734</v>
      </c>
      <c r="EQU993">
        <v>193524</v>
      </c>
      <c r="EQV993" t="s">
        <v>619</v>
      </c>
      <c r="EQW993" t="s">
        <v>619</v>
      </c>
      <c r="EQX993" t="s">
        <v>619</v>
      </c>
      <c r="EQY993" t="s">
        <v>619</v>
      </c>
      <c r="FAP993" t="s">
        <v>734</v>
      </c>
      <c r="FAQ993">
        <v>193524</v>
      </c>
      <c r="FAR993" t="s">
        <v>619</v>
      </c>
      <c r="FAS993" t="s">
        <v>619</v>
      </c>
      <c r="FAT993" t="s">
        <v>619</v>
      </c>
      <c r="FAU993" t="s">
        <v>619</v>
      </c>
      <c r="FKL993" t="s">
        <v>734</v>
      </c>
      <c r="FKM993">
        <v>193524</v>
      </c>
      <c r="FKN993" t="s">
        <v>619</v>
      </c>
      <c r="FKO993" t="s">
        <v>619</v>
      </c>
      <c r="FKP993" t="s">
        <v>619</v>
      </c>
      <c r="FKQ993" t="s">
        <v>619</v>
      </c>
      <c r="FUH993" t="s">
        <v>734</v>
      </c>
      <c r="FUI993">
        <v>193524</v>
      </c>
      <c r="FUJ993" t="s">
        <v>619</v>
      </c>
      <c r="FUK993" t="s">
        <v>619</v>
      </c>
      <c r="FUL993" t="s">
        <v>619</v>
      </c>
      <c r="FUM993" t="s">
        <v>619</v>
      </c>
      <c r="GED993" t="s">
        <v>734</v>
      </c>
      <c r="GEE993">
        <v>193524</v>
      </c>
      <c r="GEF993" t="s">
        <v>619</v>
      </c>
      <c r="GEG993" t="s">
        <v>619</v>
      </c>
      <c r="GEH993" t="s">
        <v>619</v>
      </c>
      <c r="GEI993" t="s">
        <v>619</v>
      </c>
      <c r="GNZ993" t="s">
        <v>734</v>
      </c>
      <c r="GOA993">
        <v>193524</v>
      </c>
      <c r="GOB993" t="s">
        <v>619</v>
      </c>
      <c r="GOC993" t="s">
        <v>619</v>
      </c>
      <c r="GOD993" t="s">
        <v>619</v>
      </c>
      <c r="GOE993" t="s">
        <v>619</v>
      </c>
      <c r="GXV993" t="s">
        <v>734</v>
      </c>
      <c r="GXW993">
        <v>193524</v>
      </c>
      <c r="GXX993" t="s">
        <v>619</v>
      </c>
      <c r="GXY993" t="s">
        <v>619</v>
      </c>
      <c r="GXZ993" t="s">
        <v>619</v>
      </c>
      <c r="GYA993" t="s">
        <v>619</v>
      </c>
      <c r="HHR993" t="s">
        <v>734</v>
      </c>
      <c r="HHS993">
        <v>193524</v>
      </c>
      <c r="HHT993" t="s">
        <v>619</v>
      </c>
      <c r="HHU993" t="s">
        <v>619</v>
      </c>
      <c r="HHV993" t="s">
        <v>619</v>
      </c>
      <c r="HHW993" t="s">
        <v>619</v>
      </c>
      <c r="HRN993" t="s">
        <v>734</v>
      </c>
      <c r="HRO993">
        <v>193524</v>
      </c>
      <c r="HRP993" t="s">
        <v>619</v>
      </c>
      <c r="HRQ993" t="s">
        <v>619</v>
      </c>
      <c r="HRR993" t="s">
        <v>619</v>
      </c>
      <c r="HRS993" t="s">
        <v>619</v>
      </c>
      <c r="IBJ993" t="s">
        <v>734</v>
      </c>
      <c r="IBK993">
        <v>193524</v>
      </c>
      <c r="IBL993" t="s">
        <v>619</v>
      </c>
      <c r="IBM993" t="s">
        <v>619</v>
      </c>
      <c r="IBN993" t="s">
        <v>619</v>
      </c>
      <c r="IBO993" t="s">
        <v>619</v>
      </c>
      <c r="ILF993" t="s">
        <v>734</v>
      </c>
      <c r="ILG993">
        <v>193524</v>
      </c>
      <c r="ILH993" t="s">
        <v>619</v>
      </c>
      <c r="ILI993" t="s">
        <v>619</v>
      </c>
      <c r="ILJ993" t="s">
        <v>619</v>
      </c>
      <c r="ILK993" t="s">
        <v>619</v>
      </c>
      <c r="IVB993" t="s">
        <v>734</v>
      </c>
      <c r="IVC993">
        <v>193524</v>
      </c>
      <c r="IVD993" t="s">
        <v>619</v>
      </c>
      <c r="IVE993" t="s">
        <v>619</v>
      </c>
      <c r="IVF993" t="s">
        <v>619</v>
      </c>
      <c r="IVG993" t="s">
        <v>619</v>
      </c>
      <c r="JEX993" t="s">
        <v>734</v>
      </c>
      <c r="JEY993">
        <v>193524</v>
      </c>
      <c r="JEZ993" t="s">
        <v>619</v>
      </c>
      <c r="JFA993" t="s">
        <v>619</v>
      </c>
      <c r="JFB993" t="s">
        <v>619</v>
      </c>
      <c r="JFC993" t="s">
        <v>619</v>
      </c>
      <c r="JOT993" t="s">
        <v>734</v>
      </c>
      <c r="JOU993">
        <v>193524</v>
      </c>
      <c r="JOV993" t="s">
        <v>619</v>
      </c>
      <c r="JOW993" t="s">
        <v>619</v>
      </c>
      <c r="JOX993" t="s">
        <v>619</v>
      </c>
      <c r="JOY993" t="s">
        <v>619</v>
      </c>
      <c r="JYP993" t="s">
        <v>734</v>
      </c>
      <c r="JYQ993">
        <v>193524</v>
      </c>
      <c r="JYR993" t="s">
        <v>619</v>
      </c>
      <c r="JYS993" t="s">
        <v>619</v>
      </c>
      <c r="JYT993" t="s">
        <v>619</v>
      </c>
      <c r="JYU993" t="s">
        <v>619</v>
      </c>
      <c r="KIL993" t="s">
        <v>734</v>
      </c>
      <c r="KIM993">
        <v>193524</v>
      </c>
      <c r="KIN993" t="s">
        <v>619</v>
      </c>
      <c r="KIO993" t="s">
        <v>619</v>
      </c>
      <c r="KIP993" t="s">
        <v>619</v>
      </c>
      <c r="KIQ993" t="s">
        <v>619</v>
      </c>
      <c r="KSH993" t="s">
        <v>734</v>
      </c>
      <c r="KSI993">
        <v>193524</v>
      </c>
      <c r="KSJ993" t="s">
        <v>619</v>
      </c>
      <c r="KSK993" t="s">
        <v>619</v>
      </c>
      <c r="KSL993" t="s">
        <v>619</v>
      </c>
      <c r="KSM993" t="s">
        <v>619</v>
      </c>
      <c r="LCD993" t="s">
        <v>734</v>
      </c>
      <c r="LCE993">
        <v>193524</v>
      </c>
      <c r="LCF993" t="s">
        <v>619</v>
      </c>
      <c r="LCG993" t="s">
        <v>619</v>
      </c>
      <c r="LCH993" t="s">
        <v>619</v>
      </c>
      <c r="LCI993" t="s">
        <v>619</v>
      </c>
      <c r="LLZ993" t="s">
        <v>734</v>
      </c>
      <c r="LMA993">
        <v>193524</v>
      </c>
      <c r="LMB993" t="s">
        <v>619</v>
      </c>
      <c r="LMC993" t="s">
        <v>619</v>
      </c>
      <c r="LMD993" t="s">
        <v>619</v>
      </c>
      <c r="LME993" t="s">
        <v>619</v>
      </c>
      <c r="LVV993" t="s">
        <v>734</v>
      </c>
      <c r="LVW993">
        <v>193524</v>
      </c>
      <c r="LVX993" t="s">
        <v>619</v>
      </c>
      <c r="LVY993" t="s">
        <v>619</v>
      </c>
      <c r="LVZ993" t="s">
        <v>619</v>
      </c>
      <c r="LWA993" t="s">
        <v>619</v>
      </c>
      <c r="MFR993" t="s">
        <v>734</v>
      </c>
      <c r="MFS993">
        <v>193524</v>
      </c>
      <c r="MFT993" t="s">
        <v>619</v>
      </c>
      <c r="MFU993" t="s">
        <v>619</v>
      </c>
      <c r="MFV993" t="s">
        <v>619</v>
      </c>
      <c r="MFW993" t="s">
        <v>619</v>
      </c>
      <c r="MPN993" t="s">
        <v>734</v>
      </c>
      <c r="MPO993">
        <v>193524</v>
      </c>
      <c r="MPP993" t="s">
        <v>619</v>
      </c>
      <c r="MPQ993" t="s">
        <v>619</v>
      </c>
      <c r="MPR993" t="s">
        <v>619</v>
      </c>
      <c r="MPS993" t="s">
        <v>619</v>
      </c>
      <c r="MZJ993" t="s">
        <v>734</v>
      </c>
      <c r="MZK993">
        <v>193524</v>
      </c>
      <c r="MZL993" t="s">
        <v>619</v>
      </c>
      <c r="MZM993" t="s">
        <v>619</v>
      </c>
      <c r="MZN993" t="s">
        <v>619</v>
      </c>
      <c r="MZO993" t="s">
        <v>619</v>
      </c>
      <c r="NJF993" t="s">
        <v>734</v>
      </c>
      <c r="NJG993">
        <v>193524</v>
      </c>
      <c r="NJH993" t="s">
        <v>619</v>
      </c>
      <c r="NJI993" t="s">
        <v>619</v>
      </c>
      <c r="NJJ993" t="s">
        <v>619</v>
      </c>
      <c r="NJK993" t="s">
        <v>619</v>
      </c>
      <c r="NTB993" t="s">
        <v>734</v>
      </c>
      <c r="NTC993">
        <v>193524</v>
      </c>
      <c r="NTD993" t="s">
        <v>619</v>
      </c>
      <c r="NTE993" t="s">
        <v>619</v>
      </c>
      <c r="NTF993" t="s">
        <v>619</v>
      </c>
      <c r="NTG993" t="s">
        <v>619</v>
      </c>
      <c r="OCX993" t="s">
        <v>734</v>
      </c>
      <c r="OCY993">
        <v>193524</v>
      </c>
      <c r="OCZ993" t="s">
        <v>619</v>
      </c>
      <c r="ODA993" t="s">
        <v>619</v>
      </c>
      <c r="ODB993" t="s">
        <v>619</v>
      </c>
      <c r="ODC993" t="s">
        <v>619</v>
      </c>
      <c r="OMT993" t="s">
        <v>734</v>
      </c>
      <c r="OMU993">
        <v>193524</v>
      </c>
      <c r="OMV993" t="s">
        <v>619</v>
      </c>
      <c r="OMW993" t="s">
        <v>619</v>
      </c>
      <c r="OMX993" t="s">
        <v>619</v>
      </c>
      <c r="OMY993" t="s">
        <v>619</v>
      </c>
      <c r="OWP993" t="s">
        <v>734</v>
      </c>
      <c r="OWQ993">
        <v>193524</v>
      </c>
      <c r="OWR993" t="s">
        <v>619</v>
      </c>
      <c r="OWS993" t="s">
        <v>619</v>
      </c>
      <c r="OWT993" t="s">
        <v>619</v>
      </c>
      <c r="OWU993" t="s">
        <v>619</v>
      </c>
      <c r="PGL993" t="s">
        <v>734</v>
      </c>
      <c r="PGM993">
        <v>193524</v>
      </c>
      <c r="PGN993" t="s">
        <v>619</v>
      </c>
      <c r="PGO993" t="s">
        <v>619</v>
      </c>
      <c r="PGP993" t="s">
        <v>619</v>
      </c>
      <c r="PGQ993" t="s">
        <v>619</v>
      </c>
      <c r="PQH993" t="s">
        <v>734</v>
      </c>
      <c r="PQI993">
        <v>193524</v>
      </c>
      <c r="PQJ993" t="s">
        <v>619</v>
      </c>
      <c r="PQK993" t="s">
        <v>619</v>
      </c>
      <c r="PQL993" t="s">
        <v>619</v>
      </c>
      <c r="PQM993" t="s">
        <v>619</v>
      </c>
      <c r="QAD993" t="s">
        <v>734</v>
      </c>
      <c r="QAE993">
        <v>193524</v>
      </c>
      <c r="QAF993" t="s">
        <v>619</v>
      </c>
      <c r="QAG993" t="s">
        <v>619</v>
      </c>
      <c r="QAH993" t="s">
        <v>619</v>
      </c>
      <c r="QAI993" t="s">
        <v>619</v>
      </c>
      <c r="QJZ993" t="s">
        <v>734</v>
      </c>
      <c r="QKA993">
        <v>193524</v>
      </c>
      <c r="QKB993" t="s">
        <v>619</v>
      </c>
      <c r="QKC993" t="s">
        <v>619</v>
      </c>
      <c r="QKD993" t="s">
        <v>619</v>
      </c>
      <c r="QKE993" t="s">
        <v>619</v>
      </c>
      <c r="QTV993" t="s">
        <v>734</v>
      </c>
      <c r="QTW993">
        <v>193524</v>
      </c>
      <c r="QTX993" t="s">
        <v>619</v>
      </c>
      <c r="QTY993" t="s">
        <v>619</v>
      </c>
      <c r="QTZ993" t="s">
        <v>619</v>
      </c>
      <c r="QUA993" t="s">
        <v>619</v>
      </c>
      <c r="RDR993" t="s">
        <v>734</v>
      </c>
      <c r="RDS993">
        <v>193524</v>
      </c>
      <c r="RDT993" t="s">
        <v>619</v>
      </c>
      <c r="RDU993" t="s">
        <v>619</v>
      </c>
      <c r="RDV993" t="s">
        <v>619</v>
      </c>
      <c r="RDW993" t="s">
        <v>619</v>
      </c>
      <c r="RNN993" t="s">
        <v>734</v>
      </c>
      <c r="RNO993">
        <v>193524</v>
      </c>
      <c r="RNP993" t="s">
        <v>619</v>
      </c>
      <c r="RNQ993" t="s">
        <v>619</v>
      </c>
      <c r="RNR993" t="s">
        <v>619</v>
      </c>
      <c r="RNS993" t="s">
        <v>619</v>
      </c>
      <c r="RXJ993" t="s">
        <v>734</v>
      </c>
      <c r="RXK993">
        <v>193524</v>
      </c>
      <c r="RXL993" t="s">
        <v>619</v>
      </c>
      <c r="RXM993" t="s">
        <v>619</v>
      </c>
      <c r="RXN993" t="s">
        <v>619</v>
      </c>
      <c r="RXO993" t="s">
        <v>619</v>
      </c>
      <c r="SHF993" t="s">
        <v>734</v>
      </c>
      <c r="SHG993">
        <v>193524</v>
      </c>
      <c r="SHH993" t="s">
        <v>619</v>
      </c>
      <c r="SHI993" t="s">
        <v>619</v>
      </c>
      <c r="SHJ993" t="s">
        <v>619</v>
      </c>
      <c r="SHK993" t="s">
        <v>619</v>
      </c>
      <c r="SRB993" t="s">
        <v>734</v>
      </c>
      <c r="SRC993">
        <v>193524</v>
      </c>
      <c r="SRD993" t="s">
        <v>619</v>
      </c>
      <c r="SRE993" t="s">
        <v>619</v>
      </c>
      <c r="SRF993" t="s">
        <v>619</v>
      </c>
      <c r="SRG993" t="s">
        <v>619</v>
      </c>
      <c r="TAX993" t="s">
        <v>734</v>
      </c>
      <c r="TAY993">
        <v>193524</v>
      </c>
      <c r="TAZ993" t="s">
        <v>619</v>
      </c>
      <c r="TBA993" t="s">
        <v>619</v>
      </c>
      <c r="TBB993" t="s">
        <v>619</v>
      </c>
      <c r="TBC993" t="s">
        <v>619</v>
      </c>
      <c r="TKT993" t="s">
        <v>734</v>
      </c>
      <c r="TKU993">
        <v>193524</v>
      </c>
      <c r="TKV993" t="s">
        <v>619</v>
      </c>
      <c r="TKW993" t="s">
        <v>619</v>
      </c>
      <c r="TKX993" t="s">
        <v>619</v>
      </c>
      <c r="TKY993" t="s">
        <v>619</v>
      </c>
      <c r="TUP993" t="s">
        <v>734</v>
      </c>
      <c r="TUQ993">
        <v>193524</v>
      </c>
      <c r="TUR993" t="s">
        <v>619</v>
      </c>
      <c r="TUS993" t="s">
        <v>619</v>
      </c>
      <c r="TUT993" t="s">
        <v>619</v>
      </c>
      <c r="TUU993" t="s">
        <v>619</v>
      </c>
      <c r="UEL993" t="s">
        <v>734</v>
      </c>
      <c r="UEM993">
        <v>193524</v>
      </c>
      <c r="UEN993" t="s">
        <v>619</v>
      </c>
      <c r="UEO993" t="s">
        <v>619</v>
      </c>
      <c r="UEP993" t="s">
        <v>619</v>
      </c>
      <c r="UEQ993" t="s">
        <v>619</v>
      </c>
      <c r="UOH993" t="s">
        <v>734</v>
      </c>
      <c r="UOI993">
        <v>193524</v>
      </c>
      <c r="UOJ993" t="s">
        <v>619</v>
      </c>
      <c r="UOK993" t="s">
        <v>619</v>
      </c>
      <c r="UOL993" t="s">
        <v>619</v>
      </c>
      <c r="UOM993" t="s">
        <v>619</v>
      </c>
      <c r="UYD993" t="s">
        <v>734</v>
      </c>
      <c r="UYE993">
        <v>193524</v>
      </c>
      <c r="UYF993" t="s">
        <v>619</v>
      </c>
      <c r="UYG993" t="s">
        <v>619</v>
      </c>
      <c r="UYH993" t="s">
        <v>619</v>
      </c>
      <c r="UYI993" t="s">
        <v>619</v>
      </c>
      <c r="VHZ993" t="s">
        <v>734</v>
      </c>
      <c r="VIA993">
        <v>193524</v>
      </c>
      <c r="VIB993" t="s">
        <v>619</v>
      </c>
      <c r="VIC993" t="s">
        <v>619</v>
      </c>
      <c r="VID993" t="s">
        <v>619</v>
      </c>
      <c r="VIE993" t="s">
        <v>619</v>
      </c>
      <c r="VRV993" t="s">
        <v>734</v>
      </c>
      <c r="VRW993">
        <v>193524</v>
      </c>
      <c r="VRX993" t="s">
        <v>619</v>
      </c>
      <c r="VRY993" t="s">
        <v>619</v>
      </c>
      <c r="VRZ993" t="s">
        <v>619</v>
      </c>
      <c r="VSA993" t="s">
        <v>619</v>
      </c>
      <c r="WBR993" t="s">
        <v>734</v>
      </c>
      <c r="WBS993">
        <v>193524</v>
      </c>
      <c r="WBT993" t="s">
        <v>619</v>
      </c>
      <c r="WBU993" t="s">
        <v>619</v>
      </c>
      <c r="WBV993" t="s">
        <v>619</v>
      </c>
      <c r="WBW993" t="s">
        <v>619</v>
      </c>
      <c r="WLN993" t="s">
        <v>734</v>
      </c>
      <c r="WLO993">
        <v>193524</v>
      </c>
      <c r="WLP993" t="s">
        <v>619</v>
      </c>
      <c r="WLQ993" t="s">
        <v>619</v>
      </c>
      <c r="WLR993" t="s">
        <v>619</v>
      </c>
      <c r="WLS993" t="s">
        <v>619</v>
      </c>
      <c r="WVJ993" t="s">
        <v>734</v>
      </c>
      <c r="WVK993">
        <v>193524</v>
      </c>
      <c r="WVL993" t="s">
        <v>619</v>
      </c>
      <c r="WVM993" t="s">
        <v>619</v>
      </c>
      <c r="WVN993" t="s">
        <v>619</v>
      </c>
      <c r="WVO993" t="s">
        <v>619</v>
      </c>
    </row>
    <row r="994" spans="1:775 1026:1799 2050:2823 3074:3847 4098:4871 5122:5895 6146:6919 7170:7943 8194:8967 9218:9991 10242:11015 11266:12039 12290:13063 13314:14087 14338:15111 15362:16135">
      <c r="A994" s="96" t="s">
        <v>1368</v>
      </c>
      <c r="B994" s="1265" t="s">
        <v>1091</v>
      </c>
      <c r="C994" s="100">
        <v>179514</v>
      </c>
      <c r="D994" s="100">
        <v>64347</v>
      </c>
      <c r="E994" s="100">
        <v>60673</v>
      </c>
      <c r="F994" s="100">
        <v>342597</v>
      </c>
      <c r="G994" s="100">
        <v>-299339</v>
      </c>
      <c r="H994" s="100"/>
      <c r="IX994" t="s">
        <v>1368</v>
      </c>
      <c r="IY994">
        <v>179514</v>
      </c>
      <c r="IZ994">
        <v>64347</v>
      </c>
      <c r="JA994">
        <v>60673</v>
      </c>
      <c r="JB994">
        <v>342597</v>
      </c>
      <c r="JC994">
        <v>-299339</v>
      </c>
      <c r="ST994" t="s">
        <v>1368</v>
      </c>
      <c r="SU994">
        <v>179514</v>
      </c>
      <c r="SV994">
        <v>64347</v>
      </c>
      <c r="SW994">
        <v>60673</v>
      </c>
      <c r="SX994">
        <v>342597</v>
      </c>
      <c r="SY994">
        <v>-299339</v>
      </c>
      <c r="ACP994" t="s">
        <v>1368</v>
      </c>
      <c r="ACQ994">
        <v>179514</v>
      </c>
      <c r="ACR994">
        <v>64347</v>
      </c>
      <c r="ACS994">
        <v>60673</v>
      </c>
      <c r="ACT994">
        <v>342597</v>
      </c>
      <c r="ACU994">
        <v>-299339</v>
      </c>
      <c r="AML994" t="s">
        <v>1368</v>
      </c>
      <c r="AMM994">
        <v>179514</v>
      </c>
      <c r="AMN994">
        <v>64347</v>
      </c>
      <c r="AMO994">
        <v>60673</v>
      </c>
      <c r="AMP994">
        <v>342597</v>
      </c>
      <c r="AMQ994">
        <v>-299339</v>
      </c>
      <c r="AWH994" t="s">
        <v>1368</v>
      </c>
      <c r="AWI994">
        <v>179514</v>
      </c>
      <c r="AWJ994">
        <v>64347</v>
      </c>
      <c r="AWK994">
        <v>60673</v>
      </c>
      <c r="AWL994">
        <v>342597</v>
      </c>
      <c r="AWM994">
        <v>-299339</v>
      </c>
      <c r="BGD994" t="s">
        <v>1368</v>
      </c>
      <c r="BGE994">
        <v>179514</v>
      </c>
      <c r="BGF994">
        <v>64347</v>
      </c>
      <c r="BGG994">
        <v>60673</v>
      </c>
      <c r="BGH994">
        <v>342597</v>
      </c>
      <c r="BGI994">
        <v>-299339</v>
      </c>
      <c r="BPZ994" t="s">
        <v>1368</v>
      </c>
      <c r="BQA994">
        <v>179514</v>
      </c>
      <c r="BQB994">
        <v>64347</v>
      </c>
      <c r="BQC994">
        <v>60673</v>
      </c>
      <c r="BQD994">
        <v>342597</v>
      </c>
      <c r="BQE994">
        <v>-299339</v>
      </c>
      <c r="BZV994" t="s">
        <v>1368</v>
      </c>
      <c r="BZW994">
        <v>179514</v>
      </c>
      <c r="BZX994">
        <v>64347</v>
      </c>
      <c r="BZY994">
        <v>60673</v>
      </c>
      <c r="BZZ994">
        <v>342597</v>
      </c>
      <c r="CAA994">
        <v>-299339</v>
      </c>
      <c r="CJR994" t="s">
        <v>1368</v>
      </c>
      <c r="CJS994">
        <v>179514</v>
      </c>
      <c r="CJT994">
        <v>64347</v>
      </c>
      <c r="CJU994">
        <v>60673</v>
      </c>
      <c r="CJV994">
        <v>342597</v>
      </c>
      <c r="CJW994">
        <v>-299339</v>
      </c>
      <c r="CTN994" t="s">
        <v>1368</v>
      </c>
      <c r="CTO994">
        <v>179514</v>
      </c>
      <c r="CTP994">
        <v>64347</v>
      </c>
      <c r="CTQ994">
        <v>60673</v>
      </c>
      <c r="CTR994">
        <v>342597</v>
      </c>
      <c r="CTS994">
        <v>-299339</v>
      </c>
      <c r="DDJ994" t="s">
        <v>1368</v>
      </c>
      <c r="DDK994">
        <v>179514</v>
      </c>
      <c r="DDL994">
        <v>64347</v>
      </c>
      <c r="DDM994">
        <v>60673</v>
      </c>
      <c r="DDN994">
        <v>342597</v>
      </c>
      <c r="DDO994">
        <v>-299339</v>
      </c>
      <c r="DNF994" t="s">
        <v>1368</v>
      </c>
      <c r="DNG994">
        <v>179514</v>
      </c>
      <c r="DNH994">
        <v>64347</v>
      </c>
      <c r="DNI994">
        <v>60673</v>
      </c>
      <c r="DNJ994">
        <v>342597</v>
      </c>
      <c r="DNK994">
        <v>-299339</v>
      </c>
      <c r="DXB994" t="s">
        <v>1368</v>
      </c>
      <c r="DXC994">
        <v>179514</v>
      </c>
      <c r="DXD994">
        <v>64347</v>
      </c>
      <c r="DXE994">
        <v>60673</v>
      </c>
      <c r="DXF994">
        <v>342597</v>
      </c>
      <c r="DXG994">
        <v>-299339</v>
      </c>
      <c r="EGX994" t="s">
        <v>1368</v>
      </c>
      <c r="EGY994">
        <v>179514</v>
      </c>
      <c r="EGZ994">
        <v>64347</v>
      </c>
      <c r="EHA994">
        <v>60673</v>
      </c>
      <c r="EHB994">
        <v>342597</v>
      </c>
      <c r="EHC994">
        <v>-299339</v>
      </c>
      <c r="EQT994" t="s">
        <v>1368</v>
      </c>
      <c r="EQU994">
        <v>179514</v>
      </c>
      <c r="EQV994">
        <v>64347</v>
      </c>
      <c r="EQW994">
        <v>60673</v>
      </c>
      <c r="EQX994">
        <v>342597</v>
      </c>
      <c r="EQY994">
        <v>-299339</v>
      </c>
      <c r="FAP994" t="s">
        <v>1368</v>
      </c>
      <c r="FAQ994">
        <v>179514</v>
      </c>
      <c r="FAR994">
        <v>64347</v>
      </c>
      <c r="FAS994">
        <v>60673</v>
      </c>
      <c r="FAT994">
        <v>342597</v>
      </c>
      <c r="FAU994">
        <v>-299339</v>
      </c>
      <c r="FKL994" t="s">
        <v>1368</v>
      </c>
      <c r="FKM994">
        <v>179514</v>
      </c>
      <c r="FKN994">
        <v>64347</v>
      </c>
      <c r="FKO994">
        <v>60673</v>
      </c>
      <c r="FKP994">
        <v>342597</v>
      </c>
      <c r="FKQ994">
        <v>-299339</v>
      </c>
      <c r="FUH994" t="s">
        <v>1368</v>
      </c>
      <c r="FUI994">
        <v>179514</v>
      </c>
      <c r="FUJ994">
        <v>64347</v>
      </c>
      <c r="FUK994">
        <v>60673</v>
      </c>
      <c r="FUL994">
        <v>342597</v>
      </c>
      <c r="FUM994">
        <v>-299339</v>
      </c>
      <c r="GED994" t="s">
        <v>1368</v>
      </c>
      <c r="GEE994">
        <v>179514</v>
      </c>
      <c r="GEF994">
        <v>64347</v>
      </c>
      <c r="GEG994">
        <v>60673</v>
      </c>
      <c r="GEH994">
        <v>342597</v>
      </c>
      <c r="GEI994">
        <v>-299339</v>
      </c>
      <c r="GNZ994" t="s">
        <v>1368</v>
      </c>
      <c r="GOA994">
        <v>179514</v>
      </c>
      <c r="GOB994">
        <v>64347</v>
      </c>
      <c r="GOC994">
        <v>60673</v>
      </c>
      <c r="GOD994">
        <v>342597</v>
      </c>
      <c r="GOE994">
        <v>-299339</v>
      </c>
      <c r="GXV994" t="s">
        <v>1368</v>
      </c>
      <c r="GXW994">
        <v>179514</v>
      </c>
      <c r="GXX994">
        <v>64347</v>
      </c>
      <c r="GXY994">
        <v>60673</v>
      </c>
      <c r="GXZ994">
        <v>342597</v>
      </c>
      <c r="GYA994">
        <v>-299339</v>
      </c>
      <c r="HHR994" t="s">
        <v>1368</v>
      </c>
      <c r="HHS994">
        <v>179514</v>
      </c>
      <c r="HHT994">
        <v>64347</v>
      </c>
      <c r="HHU994">
        <v>60673</v>
      </c>
      <c r="HHV994">
        <v>342597</v>
      </c>
      <c r="HHW994">
        <v>-299339</v>
      </c>
      <c r="HRN994" t="s">
        <v>1368</v>
      </c>
      <c r="HRO994">
        <v>179514</v>
      </c>
      <c r="HRP994">
        <v>64347</v>
      </c>
      <c r="HRQ994">
        <v>60673</v>
      </c>
      <c r="HRR994">
        <v>342597</v>
      </c>
      <c r="HRS994">
        <v>-299339</v>
      </c>
      <c r="IBJ994" t="s">
        <v>1368</v>
      </c>
      <c r="IBK994">
        <v>179514</v>
      </c>
      <c r="IBL994">
        <v>64347</v>
      </c>
      <c r="IBM994">
        <v>60673</v>
      </c>
      <c r="IBN994">
        <v>342597</v>
      </c>
      <c r="IBO994">
        <v>-299339</v>
      </c>
      <c r="ILF994" t="s">
        <v>1368</v>
      </c>
      <c r="ILG994">
        <v>179514</v>
      </c>
      <c r="ILH994">
        <v>64347</v>
      </c>
      <c r="ILI994">
        <v>60673</v>
      </c>
      <c r="ILJ994">
        <v>342597</v>
      </c>
      <c r="ILK994">
        <v>-299339</v>
      </c>
      <c r="IVB994" t="s">
        <v>1368</v>
      </c>
      <c r="IVC994">
        <v>179514</v>
      </c>
      <c r="IVD994">
        <v>64347</v>
      </c>
      <c r="IVE994">
        <v>60673</v>
      </c>
      <c r="IVF994">
        <v>342597</v>
      </c>
      <c r="IVG994">
        <v>-299339</v>
      </c>
      <c r="JEX994" t="s">
        <v>1368</v>
      </c>
      <c r="JEY994">
        <v>179514</v>
      </c>
      <c r="JEZ994">
        <v>64347</v>
      </c>
      <c r="JFA994">
        <v>60673</v>
      </c>
      <c r="JFB994">
        <v>342597</v>
      </c>
      <c r="JFC994">
        <v>-299339</v>
      </c>
      <c r="JOT994" t="s">
        <v>1368</v>
      </c>
      <c r="JOU994">
        <v>179514</v>
      </c>
      <c r="JOV994">
        <v>64347</v>
      </c>
      <c r="JOW994">
        <v>60673</v>
      </c>
      <c r="JOX994">
        <v>342597</v>
      </c>
      <c r="JOY994">
        <v>-299339</v>
      </c>
      <c r="JYP994" t="s">
        <v>1368</v>
      </c>
      <c r="JYQ994">
        <v>179514</v>
      </c>
      <c r="JYR994">
        <v>64347</v>
      </c>
      <c r="JYS994">
        <v>60673</v>
      </c>
      <c r="JYT994">
        <v>342597</v>
      </c>
      <c r="JYU994">
        <v>-299339</v>
      </c>
      <c r="KIL994" t="s">
        <v>1368</v>
      </c>
      <c r="KIM994">
        <v>179514</v>
      </c>
      <c r="KIN994">
        <v>64347</v>
      </c>
      <c r="KIO994">
        <v>60673</v>
      </c>
      <c r="KIP994">
        <v>342597</v>
      </c>
      <c r="KIQ994">
        <v>-299339</v>
      </c>
      <c r="KSH994" t="s">
        <v>1368</v>
      </c>
      <c r="KSI994">
        <v>179514</v>
      </c>
      <c r="KSJ994">
        <v>64347</v>
      </c>
      <c r="KSK994">
        <v>60673</v>
      </c>
      <c r="KSL994">
        <v>342597</v>
      </c>
      <c r="KSM994">
        <v>-299339</v>
      </c>
      <c r="LCD994" t="s">
        <v>1368</v>
      </c>
      <c r="LCE994">
        <v>179514</v>
      </c>
      <c r="LCF994">
        <v>64347</v>
      </c>
      <c r="LCG994">
        <v>60673</v>
      </c>
      <c r="LCH994">
        <v>342597</v>
      </c>
      <c r="LCI994">
        <v>-299339</v>
      </c>
      <c r="LLZ994" t="s">
        <v>1368</v>
      </c>
      <c r="LMA994">
        <v>179514</v>
      </c>
      <c r="LMB994">
        <v>64347</v>
      </c>
      <c r="LMC994">
        <v>60673</v>
      </c>
      <c r="LMD994">
        <v>342597</v>
      </c>
      <c r="LME994">
        <v>-299339</v>
      </c>
      <c r="LVV994" t="s">
        <v>1368</v>
      </c>
      <c r="LVW994">
        <v>179514</v>
      </c>
      <c r="LVX994">
        <v>64347</v>
      </c>
      <c r="LVY994">
        <v>60673</v>
      </c>
      <c r="LVZ994">
        <v>342597</v>
      </c>
      <c r="LWA994">
        <v>-299339</v>
      </c>
      <c r="MFR994" t="s">
        <v>1368</v>
      </c>
      <c r="MFS994">
        <v>179514</v>
      </c>
      <c r="MFT994">
        <v>64347</v>
      </c>
      <c r="MFU994">
        <v>60673</v>
      </c>
      <c r="MFV994">
        <v>342597</v>
      </c>
      <c r="MFW994">
        <v>-299339</v>
      </c>
      <c r="MPN994" t="s">
        <v>1368</v>
      </c>
      <c r="MPO994">
        <v>179514</v>
      </c>
      <c r="MPP994">
        <v>64347</v>
      </c>
      <c r="MPQ994">
        <v>60673</v>
      </c>
      <c r="MPR994">
        <v>342597</v>
      </c>
      <c r="MPS994">
        <v>-299339</v>
      </c>
      <c r="MZJ994" t="s">
        <v>1368</v>
      </c>
      <c r="MZK994">
        <v>179514</v>
      </c>
      <c r="MZL994">
        <v>64347</v>
      </c>
      <c r="MZM994">
        <v>60673</v>
      </c>
      <c r="MZN994">
        <v>342597</v>
      </c>
      <c r="MZO994">
        <v>-299339</v>
      </c>
      <c r="NJF994" t="s">
        <v>1368</v>
      </c>
      <c r="NJG994">
        <v>179514</v>
      </c>
      <c r="NJH994">
        <v>64347</v>
      </c>
      <c r="NJI994">
        <v>60673</v>
      </c>
      <c r="NJJ994">
        <v>342597</v>
      </c>
      <c r="NJK994">
        <v>-299339</v>
      </c>
      <c r="NTB994" t="s">
        <v>1368</v>
      </c>
      <c r="NTC994">
        <v>179514</v>
      </c>
      <c r="NTD994">
        <v>64347</v>
      </c>
      <c r="NTE994">
        <v>60673</v>
      </c>
      <c r="NTF994">
        <v>342597</v>
      </c>
      <c r="NTG994">
        <v>-299339</v>
      </c>
      <c r="OCX994" t="s">
        <v>1368</v>
      </c>
      <c r="OCY994">
        <v>179514</v>
      </c>
      <c r="OCZ994">
        <v>64347</v>
      </c>
      <c r="ODA994">
        <v>60673</v>
      </c>
      <c r="ODB994">
        <v>342597</v>
      </c>
      <c r="ODC994">
        <v>-299339</v>
      </c>
      <c r="OMT994" t="s">
        <v>1368</v>
      </c>
      <c r="OMU994">
        <v>179514</v>
      </c>
      <c r="OMV994">
        <v>64347</v>
      </c>
      <c r="OMW994">
        <v>60673</v>
      </c>
      <c r="OMX994">
        <v>342597</v>
      </c>
      <c r="OMY994">
        <v>-299339</v>
      </c>
      <c r="OWP994" t="s">
        <v>1368</v>
      </c>
      <c r="OWQ994">
        <v>179514</v>
      </c>
      <c r="OWR994">
        <v>64347</v>
      </c>
      <c r="OWS994">
        <v>60673</v>
      </c>
      <c r="OWT994">
        <v>342597</v>
      </c>
      <c r="OWU994">
        <v>-299339</v>
      </c>
      <c r="PGL994" t="s">
        <v>1368</v>
      </c>
      <c r="PGM994">
        <v>179514</v>
      </c>
      <c r="PGN994">
        <v>64347</v>
      </c>
      <c r="PGO994">
        <v>60673</v>
      </c>
      <c r="PGP994">
        <v>342597</v>
      </c>
      <c r="PGQ994">
        <v>-299339</v>
      </c>
      <c r="PQH994" t="s">
        <v>1368</v>
      </c>
      <c r="PQI994">
        <v>179514</v>
      </c>
      <c r="PQJ994">
        <v>64347</v>
      </c>
      <c r="PQK994">
        <v>60673</v>
      </c>
      <c r="PQL994">
        <v>342597</v>
      </c>
      <c r="PQM994">
        <v>-299339</v>
      </c>
      <c r="QAD994" t="s">
        <v>1368</v>
      </c>
      <c r="QAE994">
        <v>179514</v>
      </c>
      <c r="QAF994">
        <v>64347</v>
      </c>
      <c r="QAG994">
        <v>60673</v>
      </c>
      <c r="QAH994">
        <v>342597</v>
      </c>
      <c r="QAI994">
        <v>-299339</v>
      </c>
      <c r="QJZ994" t="s">
        <v>1368</v>
      </c>
      <c r="QKA994">
        <v>179514</v>
      </c>
      <c r="QKB994">
        <v>64347</v>
      </c>
      <c r="QKC994">
        <v>60673</v>
      </c>
      <c r="QKD994">
        <v>342597</v>
      </c>
      <c r="QKE994">
        <v>-299339</v>
      </c>
      <c r="QTV994" t="s">
        <v>1368</v>
      </c>
      <c r="QTW994">
        <v>179514</v>
      </c>
      <c r="QTX994">
        <v>64347</v>
      </c>
      <c r="QTY994">
        <v>60673</v>
      </c>
      <c r="QTZ994">
        <v>342597</v>
      </c>
      <c r="QUA994">
        <v>-299339</v>
      </c>
      <c r="RDR994" t="s">
        <v>1368</v>
      </c>
      <c r="RDS994">
        <v>179514</v>
      </c>
      <c r="RDT994">
        <v>64347</v>
      </c>
      <c r="RDU994">
        <v>60673</v>
      </c>
      <c r="RDV994">
        <v>342597</v>
      </c>
      <c r="RDW994">
        <v>-299339</v>
      </c>
      <c r="RNN994" t="s">
        <v>1368</v>
      </c>
      <c r="RNO994">
        <v>179514</v>
      </c>
      <c r="RNP994">
        <v>64347</v>
      </c>
      <c r="RNQ994">
        <v>60673</v>
      </c>
      <c r="RNR994">
        <v>342597</v>
      </c>
      <c r="RNS994">
        <v>-299339</v>
      </c>
      <c r="RXJ994" t="s">
        <v>1368</v>
      </c>
      <c r="RXK994">
        <v>179514</v>
      </c>
      <c r="RXL994">
        <v>64347</v>
      </c>
      <c r="RXM994">
        <v>60673</v>
      </c>
      <c r="RXN994">
        <v>342597</v>
      </c>
      <c r="RXO994">
        <v>-299339</v>
      </c>
      <c r="SHF994" t="s">
        <v>1368</v>
      </c>
      <c r="SHG994">
        <v>179514</v>
      </c>
      <c r="SHH994">
        <v>64347</v>
      </c>
      <c r="SHI994">
        <v>60673</v>
      </c>
      <c r="SHJ994">
        <v>342597</v>
      </c>
      <c r="SHK994">
        <v>-299339</v>
      </c>
      <c r="SRB994" t="s">
        <v>1368</v>
      </c>
      <c r="SRC994">
        <v>179514</v>
      </c>
      <c r="SRD994">
        <v>64347</v>
      </c>
      <c r="SRE994">
        <v>60673</v>
      </c>
      <c r="SRF994">
        <v>342597</v>
      </c>
      <c r="SRG994">
        <v>-299339</v>
      </c>
      <c r="TAX994" t="s">
        <v>1368</v>
      </c>
      <c r="TAY994">
        <v>179514</v>
      </c>
      <c r="TAZ994">
        <v>64347</v>
      </c>
      <c r="TBA994">
        <v>60673</v>
      </c>
      <c r="TBB994">
        <v>342597</v>
      </c>
      <c r="TBC994">
        <v>-299339</v>
      </c>
      <c r="TKT994" t="s">
        <v>1368</v>
      </c>
      <c r="TKU994">
        <v>179514</v>
      </c>
      <c r="TKV994">
        <v>64347</v>
      </c>
      <c r="TKW994">
        <v>60673</v>
      </c>
      <c r="TKX994">
        <v>342597</v>
      </c>
      <c r="TKY994">
        <v>-299339</v>
      </c>
      <c r="TUP994" t="s">
        <v>1368</v>
      </c>
      <c r="TUQ994">
        <v>179514</v>
      </c>
      <c r="TUR994">
        <v>64347</v>
      </c>
      <c r="TUS994">
        <v>60673</v>
      </c>
      <c r="TUT994">
        <v>342597</v>
      </c>
      <c r="TUU994">
        <v>-299339</v>
      </c>
      <c r="UEL994" t="s">
        <v>1368</v>
      </c>
      <c r="UEM994">
        <v>179514</v>
      </c>
      <c r="UEN994">
        <v>64347</v>
      </c>
      <c r="UEO994">
        <v>60673</v>
      </c>
      <c r="UEP994">
        <v>342597</v>
      </c>
      <c r="UEQ994">
        <v>-299339</v>
      </c>
      <c r="UOH994" t="s">
        <v>1368</v>
      </c>
      <c r="UOI994">
        <v>179514</v>
      </c>
      <c r="UOJ994">
        <v>64347</v>
      </c>
      <c r="UOK994">
        <v>60673</v>
      </c>
      <c r="UOL994">
        <v>342597</v>
      </c>
      <c r="UOM994">
        <v>-299339</v>
      </c>
      <c r="UYD994" t="s">
        <v>1368</v>
      </c>
      <c r="UYE994">
        <v>179514</v>
      </c>
      <c r="UYF994">
        <v>64347</v>
      </c>
      <c r="UYG994">
        <v>60673</v>
      </c>
      <c r="UYH994">
        <v>342597</v>
      </c>
      <c r="UYI994">
        <v>-299339</v>
      </c>
      <c r="VHZ994" t="s">
        <v>1368</v>
      </c>
      <c r="VIA994">
        <v>179514</v>
      </c>
      <c r="VIB994">
        <v>64347</v>
      </c>
      <c r="VIC994">
        <v>60673</v>
      </c>
      <c r="VID994">
        <v>342597</v>
      </c>
      <c r="VIE994">
        <v>-299339</v>
      </c>
      <c r="VRV994" t="s">
        <v>1368</v>
      </c>
      <c r="VRW994">
        <v>179514</v>
      </c>
      <c r="VRX994">
        <v>64347</v>
      </c>
      <c r="VRY994">
        <v>60673</v>
      </c>
      <c r="VRZ994">
        <v>342597</v>
      </c>
      <c r="VSA994">
        <v>-299339</v>
      </c>
      <c r="WBR994" t="s">
        <v>1368</v>
      </c>
      <c r="WBS994">
        <v>179514</v>
      </c>
      <c r="WBT994">
        <v>64347</v>
      </c>
      <c r="WBU994">
        <v>60673</v>
      </c>
      <c r="WBV994">
        <v>342597</v>
      </c>
      <c r="WBW994">
        <v>-299339</v>
      </c>
      <c r="WLN994" t="s">
        <v>1368</v>
      </c>
      <c r="WLO994">
        <v>179514</v>
      </c>
      <c r="WLP994">
        <v>64347</v>
      </c>
      <c r="WLQ994">
        <v>60673</v>
      </c>
      <c r="WLR994">
        <v>342597</v>
      </c>
      <c r="WLS994">
        <v>-299339</v>
      </c>
      <c r="WVJ994" t="s">
        <v>1368</v>
      </c>
      <c r="WVK994">
        <v>179514</v>
      </c>
      <c r="WVL994">
        <v>64347</v>
      </c>
      <c r="WVM994">
        <v>60673</v>
      </c>
      <c r="WVN994">
        <v>342597</v>
      </c>
      <c r="WVO994">
        <v>-299339</v>
      </c>
    </row>
    <row r="995" spans="1:775 1026:1799 2050:2823 3074:3847 4098:4871 5122:5895 6146:6919 7170:7943 8194:8967 9218:9991 10242:11015 11266:12039 12290:13063 13314:14087 14338:15111 15362:16135">
      <c r="A995" s="96" t="s">
        <v>1335</v>
      </c>
      <c r="B995" s="1265" t="s">
        <v>1091</v>
      </c>
      <c r="C995" s="100">
        <v>1360510</v>
      </c>
      <c r="D995" s="100">
        <v>658895</v>
      </c>
      <c r="E995" s="100">
        <v>836511</v>
      </c>
      <c r="F995" s="100">
        <v>2485101</v>
      </c>
      <c r="G995" s="100">
        <v>4119375</v>
      </c>
      <c r="H995" s="100"/>
      <c r="IX995" t="s">
        <v>1335</v>
      </c>
      <c r="IY995">
        <v>1360510</v>
      </c>
      <c r="IZ995">
        <v>658895</v>
      </c>
      <c r="JA995">
        <v>836511</v>
      </c>
      <c r="JB995">
        <v>2485101</v>
      </c>
      <c r="JC995">
        <v>4119375</v>
      </c>
      <c r="ST995" t="s">
        <v>1335</v>
      </c>
      <c r="SU995">
        <v>1360510</v>
      </c>
      <c r="SV995">
        <v>658895</v>
      </c>
      <c r="SW995">
        <v>836511</v>
      </c>
      <c r="SX995">
        <v>2485101</v>
      </c>
      <c r="SY995">
        <v>4119375</v>
      </c>
      <c r="ACP995" t="s">
        <v>1335</v>
      </c>
      <c r="ACQ995">
        <v>1360510</v>
      </c>
      <c r="ACR995">
        <v>658895</v>
      </c>
      <c r="ACS995">
        <v>836511</v>
      </c>
      <c r="ACT995">
        <v>2485101</v>
      </c>
      <c r="ACU995">
        <v>4119375</v>
      </c>
      <c r="AML995" t="s">
        <v>1335</v>
      </c>
      <c r="AMM995">
        <v>1360510</v>
      </c>
      <c r="AMN995">
        <v>658895</v>
      </c>
      <c r="AMO995">
        <v>836511</v>
      </c>
      <c r="AMP995">
        <v>2485101</v>
      </c>
      <c r="AMQ995">
        <v>4119375</v>
      </c>
      <c r="AWH995" t="s">
        <v>1335</v>
      </c>
      <c r="AWI995">
        <v>1360510</v>
      </c>
      <c r="AWJ995">
        <v>658895</v>
      </c>
      <c r="AWK995">
        <v>836511</v>
      </c>
      <c r="AWL995">
        <v>2485101</v>
      </c>
      <c r="AWM995">
        <v>4119375</v>
      </c>
      <c r="BGD995" t="s">
        <v>1335</v>
      </c>
      <c r="BGE995">
        <v>1360510</v>
      </c>
      <c r="BGF995">
        <v>658895</v>
      </c>
      <c r="BGG995">
        <v>836511</v>
      </c>
      <c r="BGH995">
        <v>2485101</v>
      </c>
      <c r="BGI995">
        <v>4119375</v>
      </c>
      <c r="BPZ995" t="s">
        <v>1335</v>
      </c>
      <c r="BQA995">
        <v>1360510</v>
      </c>
      <c r="BQB995">
        <v>658895</v>
      </c>
      <c r="BQC995">
        <v>836511</v>
      </c>
      <c r="BQD995">
        <v>2485101</v>
      </c>
      <c r="BQE995">
        <v>4119375</v>
      </c>
      <c r="BZV995" t="s">
        <v>1335</v>
      </c>
      <c r="BZW995">
        <v>1360510</v>
      </c>
      <c r="BZX995">
        <v>658895</v>
      </c>
      <c r="BZY995">
        <v>836511</v>
      </c>
      <c r="BZZ995">
        <v>2485101</v>
      </c>
      <c r="CAA995">
        <v>4119375</v>
      </c>
      <c r="CJR995" t="s">
        <v>1335</v>
      </c>
      <c r="CJS995">
        <v>1360510</v>
      </c>
      <c r="CJT995">
        <v>658895</v>
      </c>
      <c r="CJU995">
        <v>836511</v>
      </c>
      <c r="CJV995">
        <v>2485101</v>
      </c>
      <c r="CJW995">
        <v>4119375</v>
      </c>
      <c r="CTN995" t="s">
        <v>1335</v>
      </c>
      <c r="CTO995">
        <v>1360510</v>
      </c>
      <c r="CTP995">
        <v>658895</v>
      </c>
      <c r="CTQ995">
        <v>836511</v>
      </c>
      <c r="CTR995">
        <v>2485101</v>
      </c>
      <c r="CTS995">
        <v>4119375</v>
      </c>
      <c r="DDJ995" t="s">
        <v>1335</v>
      </c>
      <c r="DDK995">
        <v>1360510</v>
      </c>
      <c r="DDL995">
        <v>658895</v>
      </c>
      <c r="DDM995">
        <v>836511</v>
      </c>
      <c r="DDN995">
        <v>2485101</v>
      </c>
      <c r="DDO995">
        <v>4119375</v>
      </c>
      <c r="DNF995" t="s">
        <v>1335</v>
      </c>
      <c r="DNG995">
        <v>1360510</v>
      </c>
      <c r="DNH995">
        <v>658895</v>
      </c>
      <c r="DNI995">
        <v>836511</v>
      </c>
      <c r="DNJ995">
        <v>2485101</v>
      </c>
      <c r="DNK995">
        <v>4119375</v>
      </c>
      <c r="DXB995" t="s">
        <v>1335</v>
      </c>
      <c r="DXC995">
        <v>1360510</v>
      </c>
      <c r="DXD995">
        <v>658895</v>
      </c>
      <c r="DXE995">
        <v>836511</v>
      </c>
      <c r="DXF995">
        <v>2485101</v>
      </c>
      <c r="DXG995">
        <v>4119375</v>
      </c>
      <c r="EGX995" t="s">
        <v>1335</v>
      </c>
      <c r="EGY995">
        <v>1360510</v>
      </c>
      <c r="EGZ995">
        <v>658895</v>
      </c>
      <c r="EHA995">
        <v>836511</v>
      </c>
      <c r="EHB995">
        <v>2485101</v>
      </c>
      <c r="EHC995">
        <v>4119375</v>
      </c>
      <c r="EQT995" t="s">
        <v>1335</v>
      </c>
      <c r="EQU995">
        <v>1360510</v>
      </c>
      <c r="EQV995">
        <v>658895</v>
      </c>
      <c r="EQW995">
        <v>836511</v>
      </c>
      <c r="EQX995">
        <v>2485101</v>
      </c>
      <c r="EQY995">
        <v>4119375</v>
      </c>
      <c r="FAP995" t="s">
        <v>1335</v>
      </c>
      <c r="FAQ995">
        <v>1360510</v>
      </c>
      <c r="FAR995">
        <v>658895</v>
      </c>
      <c r="FAS995">
        <v>836511</v>
      </c>
      <c r="FAT995">
        <v>2485101</v>
      </c>
      <c r="FAU995">
        <v>4119375</v>
      </c>
      <c r="FKL995" t="s">
        <v>1335</v>
      </c>
      <c r="FKM995">
        <v>1360510</v>
      </c>
      <c r="FKN995">
        <v>658895</v>
      </c>
      <c r="FKO995">
        <v>836511</v>
      </c>
      <c r="FKP995">
        <v>2485101</v>
      </c>
      <c r="FKQ995">
        <v>4119375</v>
      </c>
      <c r="FUH995" t="s">
        <v>1335</v>
      </c>
      <c r="FUI995">
        <v>1360510</v>
      </c>
      <c r="FUJ995">
        <v>658895</v>
      </c>
      <c r="FUK995">
        <v>836511</v>
      </c>
      <c r="FUL995">
        <v>2485101</v>
      </c>
      <c r="FUM995">
        <v>4119375</v>
      </c>
      <c r="GED995" t="s">
        <v>1335</v>
      </c>
      <c r="GEE995">
        <v>1360510</v>
      </c>
      <c r="GEF995">
        <v>658895</v>
      </c>
      <c r="GEG995">
        <v>836511</v>
      </c>
      <c r="GEH995">
        <v>2485101</v>
      </c>
      <c r="GEI995">
        <v>4119375</v>
      </c>
      <c r="GNZ995" t="s">
        <v>1335</v>
      </c>
      <c r="GOA995">
        <v>1360510</v>
      </c>
      <c r="GOB995">
        <v>658895</v>
      </c>
      <c r="GOC995">
        <v>836511</v>
      </c>
      <c r="GOD995">
        <v>2485101</v>
      </c>
      <c r="GOE995">
        <v>4119375</v>
      </c>
      <c r="GXV995" t="s">
        <v>1335</v>
      </c>
      <c r="GXW995">
        <v>1360510</v>
      </c>
      <c r="GXX995">
        <v>658895</v>
      </c>
      <c r="GXY995">
        <v>836511</v>
      </c>
      <c r="GXZ995">
        <v>2485101</v>
      </c>
      <c r="GYA995">
        <v>4119375</v>
      </c>
      <c r="HHR995" t="s">
        <v>1335</v>
      </c>
      <c r="HHS995">
        <v>1360510</v>
      </c>
      <c r="HHT995">
        <v>658895</v>
      </c>
      <c r="HHU995">
        <v>836511</v>
      </c>
      <c r="HHV995">
        <v>2485101</v>
      </c>
      <c r="HHW995">
        <v>4119375</v>
      </c>
      <c r="HRN995" t="s">
        <v>1335</v>
      </c>
      <c r="HRO995">
        <v>1360510</v>
      </c>
      <c r="HRP995">
        <v>658895</v>
      </c>
      <c r="HRQ995">
        <v>836511</v>
      </c>
      <c r="HRR995">
        <v>2485101</v>
      </c>
      <c r="HRS995">
        <v>4119375</v>
      </c>
      <c r="IBJ995" t="s">
        <v>1335</v>
      </c>
      <c r="IBK995">
        <v>1360510</v>
      </c>
      <c r="IBL995">
        <v>658895</v>
      </c>
      <c r="IBM995">
        <v>836511</v>
      </c>
      <c r="IBN995">
        <v>2485101</v>
      </c>
      <c r="IBO995">
        <v>4119375</v>
      </c>
      <c r="ILF995" t="s">
        <v>1335</v>
      </c>
      <c r="ILG995">
        <v>1360510</v>
      </c>
      <c r="ILH995">
        <v>658895</v>
      </c>
      <c r="ILI995">
        <v>836511</v>
      </c>
      <c r="ILJ995">
        <v>2485101</v>
      </c>
      <c r="ILK995">
        <v>4119375</v>
      </c>
      <c r="IVB995" t="s">
        <v>1335</v>
      </c>
      <c r="IVC995">
        <v>1360510</v>
      </c>
      <c r="IVD995">
        <v>658895</v>
      </c>
      <c r="IVE995">
        <v>836511</v>
      </c>
      <c r="IVF995">
        <v>2485101</v>
      </c>
      <c r="IVG995">
        <v>4119375</v>
      </c>
      <c r="JEX995" t="s">
        <v>1335</v>
      </c>
      <c r="JEY995">
        <v>1360510</v>
      </c>
      <c r="JEZ995">
        <v>658895</v>
      </c>
      <c r="JFA995">
        <v>836511</v>
      </c>
      <c r="JFB995">
        <v>2485101</v>
      </c>
      <c r="JFC995">
        <v>4119375</v>
      </c>
      <c r="JOT995" t="s">
        <v>1335</v>
      </c>
      <c r="JOU995">
        <v>1360510</v>
      </c>
      <c r="JOV995">
        <v>658895</v>
      </c>
      <c r="JOW995">
        <v>836511</v>
      </c>
      <c r="JOX995">
        <v>2485101</v>
      </c>
      <c r="JOY995">
        <v>4119375</v>
      </c>
      <c r="JYP995" t="s">
        <v>1335</v>
      </c>
      <c r="JYQ995">
        <v>1360510</v>
      </c>
      <c r="JYR995">
        <v>658895</v>
      </c>
      <c r="JYS995">
        <v>836511</v>
      </c>
      <c r="JYT995">
        <v>2485101</v>
      </c>
      <c r="JYU995">
        <v>4119375</v>
      </c>
      <c r="KIL995" t="s">
        <v>1335</v>
      </c>
      <c r="KIM995">
        <v>1360510</v>
      </c>
      <c r="KIN995">
        <v>658895</v>
      </c>
      <c r="KIO995">
        <v>836511</v>
      </c>
      <c r="KIP995">
        <v>2485101</v>
      </c>
      <c r="KIQ995">
        <v>4119375</v>
      </c>
      <c r="KSH995" t="s">
        <v>1335</v>
      </c>
      <c r="KSI995">
        <v>1360510</v>
      </c>
      <c r="KSJ995">
        <v>658895</v>
      </c>
      <c r="KSK995">
        <v>836511</v>
      </c>
      <c r="KSL995">
        <v>2485101</v>
      </c>
      <c r="KSM995">
        <v>4119375</v>
      </c>
      <c r="LCD995" t="s">
        <v>1335</v>
      </c>
      <c r="LCE995">
        <v>1360510</v>
      </c>
      <c r="LCF995">
        <v>658895</v>
      </c>
      <c r="LCG995">
        <v>836511</v>
      </c>
      <c r="LCH995">
        <v>2485101</v>
      </c>
      <c r="LCI995">
        <v>4119375</v>
      </c>
      <c r="LLZ995" t="s">
        <v>1335</v>
      </c>
      <c r="LMA995">
        <v>1360510</v>
      </c>
      <c r="LMB995">
        <v>658895</v>
      </c>
      <c r="LMC995">
        <v>836511</v>
      </c>
      <c r="LMD995">
        <v>2485101</v>
      </c>
      <c r="LME995">
        <v>4119375</v>
      </c>
      <c r="LVV995" t="s">
        <v>1335</v>
      </c>
      <c r="LVW995">
        <v>1360510</v>
      </c>
      <c r="LVX995">
        <v>658895</v>
      </c>
      <c r="LVY995">
        <v>836511</v>
      </c>
      <c r="LVZ995">
        <v>2485101</v>
      </c>
      <c r="LWA995">
        <v>4119375</v>
      </c>
      <c r="MFR995" t="s">
        <v>1335</v>
      </c>
      <c r="MFS995">
        <v>1360510</v>
      </c>
      <c r="MFT995">
        <v>658895</v>
      </c>
      <c r="MFU995">
        <v>836511</v>
      </c>
      <c r="MFV995">
        <v>2485101</v>
      </c>
      <c r="MFW995">
        <v>4119375</v>
      </c>
      <c r="MPN995" t="s">
        <v>1335</v>
      </c>
      <c r="MPO995">
        <v>1360510</v>
      </c>
      <c r="MPP995">
        <v>658895</v>
      </c>
      <c r="MPQ995">
        <v>836511</v>
      </c>
      <c r="MPR995">
        <v>2485101</v>
      </c>
      <c r="MPS995">
        <v>4119375</v>
      </c>
      <c r="MZJ995" t="s">
        <v>1335</v>
      </c>
      <c r="MZK995">
        <v>1360510</v>
      </c>
      <c r="MZL995">
        <v>658895</v>
      </c>
      <c r="MZM995">
        <v>836511</v>
      </c>
      <c r="MZN995">
        <v>2485101</v>
      </c>
      <c r="MZO995">
        <v>4119375</v>
      </c>
      <c r="NJF995" t="s">
        <v>1335</v>
      </c>
      <c r="NJG995">
        <v>1360510</v>
      </c>
      <c r="NJH995">
        <v>658895</v>
      </c>
      <c r="NJI995">
        <v>836511</v>
      </c>
      <c r="NJJ995">
        <v>2485101</v>
      </c>
      <c r="NJK995">
        <v>4119375</v>
      </c>
      <c r="NTB995" t="s">
        <v>1335</v>
      </c>
      <c r="NTC995">
        <v>1360510</v>
      </c>
      <c r="NTD995">
        <v>658895</v>
      </c>
      <c r="NTE995">
        <v>836511</v>
      </c>
      <c r="NTF995">
        <v>2485101</v>
      </c>
      <c r="NTG995">
        <v>4119375</v>
      </c>
      <c r="OCX995" t="s">
        <v>1335</v>
      </c>
      <c r="OCY995">
        <v>1360510</v>
      </c>
      <c r="OCZ995">
        <v>658895</v>
      </c>
      <c r="ODA995">
        <v>836511</v>
      </c>
      <c r="ODB995">
        <v>2485101</v>
      </c>
      <c r="ODC995">
        <v>4119375</v>
      </c>
      <c r="OMT995" t="s">
        <v>1335</v>
      </c>
      <c r="OMU995">
        <v>1360510</v>
      </c>
      <c r="OMV995">
        <v>658895</v>
      </c>
      <c r="OMW995">
        <v>836511</v>
      </c>
      <c r="OMX995">
        <v>2485101</v>
      </c>
      <c r="OMY995">
        <v>4119375</v>
      </c>
      <c r="OWP995" t="s">
        <v>1335</v>
      </c>
      <c r="OWQ995">
        <v>1360510</v>
      </c>
      <c r="OWR995">
        <v>658895</v>
      </c>
      <c r="OWS995">
        <v>836511</v>
      </c>
      <c r="OWT995">
        <v>2485101</v>
      </c>
      <c r="OWU995">
        <v>4119375</v>
      </c>
      <c r="PGL995" t="s">
        <v>1335</v>
      </c>
      <c r="PGM995">
        <v>1360510</v>
      </c>
      <c r="PGN995">
        <v>658895</v>
      </c>
      <c r="PGO995">
        <v>836511</v>
      </c>
      <c r="PGP995">
        <v>2485101</v>
      </c>
      <c r="PGQ995">
        <v>4119375</v>
      </c>
      <c r="PQH995" t="s">
        <v>1335</v>
      </c>
      <c r="PQI995">
        <v>1360510</v>
      </c>
      <c r="PQJ995">
        <v>658895</v>
      </c>
      <c r="PQK995">
        <v>836511</v>
      </c>
      <c r="PQL995">
        <v>2485101</v>
      </c>
      <c r="PQM995">
        <v>4119375</v>
      </c>
      <c r="QAD995" t="s">
        <v>1335</v>
      </c>
      <c r="QAE995">
        <v>1360510</v>
      </c>
      <c r="QAF995">
        <v>658895</v>
      </c>
      <c r="QAG995">
        <v>836511</v>
      </c>
      <c r="QAH995">
        <v>2485101</v>
      </c>
      <c r="QAI995">
        <v>4119375</v>
      </c>
      <c r="QJZ995" t="s">
        <v>1335</v>
      </c>
      <c r="QKA995">
        <v>1360510</v>
      </c>
      <c r="QKB995">
        <v>658895</v>
      </c>
      <c r="QKC995">
        <v>836511</v>
      </c>
      <c r="QKD995">
        <v>2485101</v>
      </c>
      <c r="QKE995">
        <v>4119375</v>
      </c>
      <c r="QTV995" t="s">
        <v>1335</v>
      </c>
      <c r="QTW995">
        <v>1360510</v>
      </c>
      <c r="QTX995">
        <v>658895</v>
      </c>
      <c r="QTY995">
        <v>836511</v>
      </c>
      <c r="QTZ995">
        <v>2485101</v>
      </c>
      <c r="QUA995">
        <v>4119375</v>
      </c>
      <c r="RDR995" t="s">
        <v>1335</v>
      </c>
      <c r="RDS995">
        <v>1360510</v>
      </c>
      <c r="RDT995">
        <v>658895</v>
      </c>
      <c r="RDU995">
        <v>836511</v>
      </c>
      <c r="RDV995">
        <v>2485101</v>
      </c>
      <c r="RDW995">
        <v>4119375</v>
      </c>
      <c r="RNN995" t="s">
        <v>1335</v>
      </c>
      <c r="RNO995">
        <v>1360510</v>
      </c>
      <c r="RNP995">
        <v>658895</v>
      </c>
      <c r="RNQ995">
        <v>836511</v>
      </c>
      <c r="RNR995">
        <v>2485101</v>
      </c>
      <c r="RNS995">
        <v>4119375</v>
      </c>
      <c r="RXJ995" t="s">
        <v>1335</v>
      </c>
      <c r="RXK995">
        <v>1360510</v>
      </c>
      <c r="RXL995">
        <v>658895</v>
      </c>
      <c r="RXM995">
        <v>836511</v>
      </c>
      <c r="RXN995">
        <v>2485101</v>
      </c>
      <c r="RXO995">
        <v>4119375</v>
      </c>
      <c r="SHF995" t="s">
        <v>1335</v>
      </c>
      <c r="SHG995">
        <v>1360510</v>
      </c>
      <c r="SHH995">
        <v>658895</v>
      </c>
      <c r="SHI995">
        <v>836511</v>
      </c>
      <c r="SHJ995">
        <v>2485101</v>
      </c>
      <c r="SHK995">
        <v>4119375</v>
      </c>
      <c r="SRB995" t="s">
        <v>1335</v>
      </c>
      <c r="SRC995">
        <v>1360510</v>
      </c>
      <c r="SRD995">
        <v>658895</v>
      </c>
      <c r="SRE995">
        <v>836511</v>
      </c>
      <c r="SRF995">
        <v>2485101</v>
      </c>
      <c r="SRG995">
        <v>4119375</v>
      </c>
      <c r="TAX995" t="s">
        <v>1335</v>
      </c>
      <c r="TAY995">
        <v>1360510</v>
      </c>
      <c r="TAZ995">
        <v>658895</v>
      </c>
      <c r="TBA995">
        <v>836511</v>
      </c>
      <c r="TBB995">
        <v>2485101</v>
      </c>
      <c r="TBC995">
        <v>4119375</v>
      </c>
      <c r="TKT995" t="s">
        <v>1335</v>
      </c>
      <c r="TKU995">
        <v>1360510</v>
      </c>
      <c r="TKV995">
        <v>658895</v>
      </c>
      <c r="TKW995">
        <v>836511</v>
      </c>
      <c r="TKX995">
        <v>2485101</v>
      </c>
      <c r="TKY995">
        <v>4119375</v>
      </c>
      <c r="TUP995" t="s">
        <v>1335</v>
      </c>
      <c r="TUQ995">
        <v>1360510</v>
      </c>
      <c r="TUR995">
        <v>658895</v>
      </c>
      <c r="TUS995">
        <v>836511</v>
      </c>
      <c r="TUT995">
        <v>2485101</v>
      </c>
      <c r="TUU995">
        <v>4119375</v>
      </c>
      <c r="UEL995" t="s">
        <v>1335</v>
      </c>
      <c r="UEM995">
        <v>1360510</v>
      </c>
      <c r="UEN995">
        <v>658895</v>
      </c>
      <c r="UEO995">
        <v>836511</v>
      </c>
      <c r="UEP995">
        <v>2485101</v>
      </c>
      <c r="UEQ995">
        <v>4119375</v>
      </c>
      <c r="UOH995" t="s">
        <v>1335</v>
      </c>
      <c r="UOI995">
        <v>1360510</v>
      </c>
      <c r="UOJ995">
        <v>658895</v>
      </c>
      <c r="UOK995">
        <v>836511</v>
      </c>
      <c r="UOL995">
        <v>2485101</v>
      </c>
      <c r="UOM995">
        <v>4119375</v>
      </c>
      <c r="UYD995" t="s">
        <v>1335</v>
      </c>
      <c r="UYE995">
        <v>1360510</v>
      </c>
      <c r="UYF995">
        <v>658895</v>
      </c>
      <c r="UYG995">
        <v>836511</v>
      </c>
      <c r="UYH995">
        <v>2485101</v>
      </c>
      <c r="UYI995">
        <v>4119375</v>
      </c>
      <c r="VHZ995" t="s">
        <v>1335</v>
      </c>
      <c r="VIA995">
        <v>1360510</v>
      </c>
      <c r="VIB995">
        <v>658895</v>
      </c>
      <c r="VIC995">
        <v>836511</v>
      </c>
      <c r="VID995">
        <v>2485101</v>
      </c>
      <c r="VIE995">
        <v>4119375</v>
      </c>
      <c r="VRV995" t="s">
        <v>1335</v>
      </c>
      <c r="VRW995">
        <v>1360510</v>
      </c>
      <c r="VRX995">
        <v>658895</v>
      </c>
      <c r="VRY995">
        <v>836511</v>
      </c>
      <c r="VRZ995">
        <v>2485101</v>
      </c>
      <c r="VSA995">
        <v>4119375</v>
      </c>
      <c r="WBR995" t="s">
        <v>1335</v>
      </c>
      <c r="WBS995">
        <v>1360510</v>
      </c>
      <c r="WBT995">
        <v>658895</v>
      </c>
      <c r="WBU995">
        <v>836511</v>
      </c>
      <c r="WBV995">
        <v>2485101</v>
      </c>
      <c r="WBW995">
        <v>4119375</v>
      </c>
      <c r="WLN995" t="s">
        <v>1335</v>
      </c>
      <c r="WLO995">
        <v>1360510</v>
      </c>
      <c r="WLP995">
        <v>658895</v>
      </c>
      <c r="WLQ995">
        <v>836511</v>
      </c>
      <c r="WLR995">
        <v>2485101</v>
      </c>
      <c r="WLS995">
        <v>4119375</v>
      </c>
      <c r="WVJ995" t="s">
        <v>1335</v>
      </c>
      <c r="WVK995">
        <v>1360510</v>
      </c>
      <c r="WVL995">
        <v>658895</v>
      </c>
      <c r="WVM995">
        <v>836511</v>
      </c>
      <c r="WVN995">
        <v>2485101</v>
      </c>
      <c r="WVO995">
        <v>4119375</v>
      </c>
    </row>
    <row r="996" spans="1:775 1026:1799 2050:2823 3074:3847 4098:4871 5122:5895 6146:6919 7170:7943 8194:8967 9218:9991 10242:11015 11266:12039 12290:13063 13314:14087 14338:15111 15362:16135">
      <c r="A996" s="654" t="s">
        <v>792</v>
      </c>
      <c r="C996" s="100">
        <v>-7911768</v>
      </c>
      <c r="D996" s="100">
        <v>-8721706</v>
      </c>
      <c r="E996" s="100">
        <v>1950894</v>
      </c>
      <c r="F996" s="100">
        <v>1966386</v>
      </c>
      <c r="G996" s="100">
        <v>-3866008</v>
      </c>
      <c r="H996" s="100"/>
      <c r="IX996" t="s">
        <v>792</v>
      </c>
      <c r="IY996">
        <v>-7911768</v>
      </c>
      <c r="IZ996">
        <v>-8721706</v>
      </c>
      <c r="JA996">
        <v>1950894</v>
      </c>
      <c r="JB996">
        <v>1966386</v>
      </c>
      <c r="JC996">
        <v>-3866008</v>
      </c>
      <c r="ST996" t="s">
        <v>792</v>
      </c>
      <c r="SU996">
        <v>-7911768</v>
      </c>
      <c r="SV996">
        <v>-8721706</v>
      </c>
      <c r="SW996">
        <v>1950894</v>
      </c>
      <c r="SX996">
        <v>1966386</v>
      </c>
      <c r="SY996">
        <v>-3866008</v>
      </c>
      <c r="ACP996" t="s">
        <v>792</v>
      </c>
      <c r="ACQ996">
        <v>-7911768</v>
      </c>
      <c r="ACR996">
        <v>-8721706</v>
      </c>
      <c r="ACS996">
        <v>1950894</v>
      </c>
      <c r="ACT996">
        <v>1966386</v>
      </c>
      <c r="ACU996">
        <v>-3866008</v>
      </c>
      <c r="AML996" t="s">
        <v>792</v>
      </c>
      <c r="AMM996">
        <v>-7911768</v>
      </c>
      <c r="AMN996">
        <v>-8721706</v>
      </c>
      <c r="AMO996">
        <v>1950894</v>
      </c>
      <c r="AMP996">
        <v>1966386</v>
      </c>
      <c r="AMQ996">
        <v>-3866008</v>
      </c>
      <c r="AWH996" t="s">
        <v>792</v>
      </c>
      <c r="AWI996">
        <v>-7911768</v>
      </c>
      <c r="AWJ996">
        <v>-8721706</v>
      </c>
      <c r="AWK996">
        <v>1950894</v>
      </c>
      <c r="AWL996">
        <v>1966386</v>
      </c>
      <c r="AWM996">
        <v>-3866008</v>
      </c>
      <c r="BGD996" t="s">
        <v>792</v>
      </c>
      <c r="BGE996">
        <v>-7911768</v>
      </c>
      <c r="BGF996">
        <v>-8721706</v>
      </c>
      <c r="BGG996">
        <v>1950894</v>
      </c>
      <c r="BGH996">
        <v>1966386</v>
      </c>
      <c r="BGI996">
        <v>-3866008</v>
      </c>
      <c r="BPZ996" t="s">
        <v>792</v>
      </c>
      <c r="BQA996">
        <v>-7911768</v>
      </c>
      <c r="BQB996">
        <v>-8721706</v>
      </c>
      <c r="BQC996">
        <v>1950894</v>
      </c>
      <c r="BQD996">
        <v>1966386</v>
      </c>
      <c r="BQE996">
        <v>-3866008</v>
      </c>
      <c r="BZV996" t="s">
        <v>792</v>
      </c>
      <c r="BZW996">
        <v>-7911768</v>
      </c>
      <c r="BZX996">
        <v>-8721706</v>
      </c>
      <c r="BZY996">
        <v>1950894</v>
      </c>
      <c r="BZZ996">
        <v>1966386</v>
      </c>
      <c r="CAA996">
        <v>-3866008</v>
      </c>
      <c r="CJR996" t="s">
        <v>792</v>
      </c>
      <c r="CJS996">
        <v>-7911768</v>
      </c>
      <c r="CJT996">
        <v>-8721706</v>
      </c>
      <c r="CJU996">
        <v>1950894</v>
      </c>
      <c r="CJV996">
        <v>1966386</v>
      </c>
      <c r="CJW996">
        <v>-3866008</v>
      </c>
      <c r="CTN996" t="s">
        <v>792</v>
      </c>
      <c r="CTO996">
        <v>-7911768</v>
      </c>
      <c r="CTP996">
        <v>-8721706</v>
      </c>
      <c r="CTQ996">
        <v>1950894</v>
      </c>
      <c r="CTR996">
        <v>1966386</v>
      </c>
      <c r="CTS996">
        <v>-3866008</v>
      </c>
      <c r="DDJ996" t="s">
        <v>792</v>
      </c>
      <c r="DDK996">
        <v>-7911768</v>
      </c>
      <c r="DDL996">
        <v>-8721706</v>
      </c>
      <c r="DDM996">
        <v>1950894</v>
      </c>
      <c r="DDN996">
        <v>1966386</v>
      </c>
      <c r="DDO996">
        <v>-3866008</v>
      </c>
      <c r="DNF996" t="s">
        <v>792</v>
      </c>
      <c r="DNG996">
        <v>-7911768</v>
      </c>
      <c r="DNH996">
        <v>-8721706</v>
      </c>
      <c r="DNI996">
        <v>1950894</v>
      </c>
      <c r="DNJ996">
        <v>1966386</v>
      </c>
      <c r="DNK996">
        <v>-3866008</v>
      </c>
      <c r="DXB996" t="s">
        <v>792</v>
      </c>
      <c r="DXC996">
        <v>-7911768</v>
      </c>
      <c r="DXD996">
        <v>-8721706</v>
      </c>
      <c r="DXE996">
        <v>1950894</v>
      </c>
      <c r="DXF996">
        <v>1966386</v>
      </c>
      <c r="DXG996">
        <v>-3866008</v>
      </c>
      <c r="EGX996" t="s">
        <v>792</v>
      </c>
      <c r="EGY996">
        <v>-7911768</v>
      </c>
      <c r="EGZ996">
        <v>-8721706</v>
      </c>
      <c r="EHA996">
        <v>1950894</v>
      </c>
      <c r="EHB996">
        <v>1966386</v>
      </c>
      <c r="EHC996">
        <v>-3866008</v>
      </c>
      <c r="EQT996" t="s">
        <v>792</v>
      </c>
      <c r="EQU996">
        <v>-7911768</v>
      </c>
      <c r="EQV996">
        <v>-8721706</v>
      </c>
      <c r="EQW996">
        <v>1950894</v>
      </c>
      <c r="EQX996">
        <v>1966386</v>
      </c>
      <c r="EQY996">
        <v>-3866008</v>
      </c>
      <c r="FAP996" t="s">
        <v>792</v>
      </c>
      <c r="FAQ996">
        <v>-7911768</v>
      </c>
      <c r="FAR996">
        <v>-8721706</v>
      </c>
      <c r="FAS996">
        <v>1950894</v>
      </c>
      <c r="FAT996">
        <v>1966386</v>
      </c>
      <c r="FAU996">
        <v>-3866008</v>
      </c>
      <c r="FKL996" t="s">
        <v>792</v>
      </c>
      <c r="FKM996">
        <v>-7911768</v>
      </c>
      <c r="FKN996">
        <v>-8721706</v>
      </c>
      <c r="FKO996">
        <v>1950894</v>
      </c>
      <c r="FKP996">
        <v>1966386</v>
      </c>
      <c r="FKQ996">
        <v>-3866008</v>
      </c>
      <c r="FUH996" t="s">
        <v>792</v>
      </c>
      <c r="FUI996">
        <v>-7911768</v>
      </c>
      <c r="FUJ996">
        <v>-8721706</v>
      </c>
      <c r="FUK996">
        <v>1950894</v>
      </c>
      <c r="FUL996">
        <v>1966386</v>
      </c>
      <c r="FUM996">
        <v>-3866008</v>
      </c>
      <c r="GED996" t="s">
        <v>792</v>
      </c>
      <c r="GEE996">
        <v>-7911768</v>
      </c>
      <c r="GEF996">
        <v>-8721706</v>
      </c>
      <c r="GEG996">
        <v>1950894</v>
      </c>
      <c r="GEH996">
        <v>1966386</v>
      </c>
      <c r="GEI996">
        <v>-3866008</v>
      </c>
      <c r="GNZ996" t="s">
        <v>792</v>
      </c>
      <c r="GOA996">
        <v>-7911768</v>
      </c>
      <c r="GOB996">
        <v>-8721706</v>
      </c>
      <c r="GOC996">
        <v>1950894</v>
      </c>
      <c r="GOD996">
        <v>1966386</v>
      </c>
      <c r="GOE996">
        <v>-3866008</v>
      </c>
      <c r="GXV996" t="s">
        <v>792</v>
      </c>
      <c r="GXW996">
        <v>-7911768</v>
      </c>
      <c r="GXX996">
        <v>-8721706</v>
      </c>
      <c r="GXY996">
        <v>1950894</v>
      </c>
      <c r="GXZ996">
        <v>1966386</v>
      </c>
      <c r="GYA996">
        <v>-3866008</v>
      </c>
      <c r="HHR996" t="s">
        <v>792</v>
      </c>
      <c r="HHS996">
        <v>-7911768</v>
      </c>
      <c r="HHT996">
        <v>-8721706</v>
      </c>
      <c r="HHU996">
        <v>1950894</v>
      </c>
      <c r="HHV996">
        <v>1966386</v>
      </c>
      <c r="HHW996">
        <v>-3866008</v>
      </c>
      <c r="HRN996" t="s">
        <v>792</v>
      </c>
      <c r="HRO996">
        <v>-7911768</v>
      </c>
      <c r="HRP996">
        <v>-8721706</v>
      </c>
      <c r="HRQ996">
        <v>1950894</v>
      </c>
      <c r="HRR996">
        <v>1966386</v>
      </c>
      <c r="HRS996">
        <v>-3866008</v>
      </c>
      <c r="IBJ996" t="s">
        <v>792</v>
      </c>
      <c r="IBK996">
        <v>-7911768</v>
      </c>
      <c r="IBL996">
        <v>-8721706</v>
      </c>
      <c r="IBM996">
        <v>1950894</v>
      </c>
      <c r="IBN996">
        <v>1966386</v>
      </c>
      <c r="IBO996">
        <v>-3866008</v>
      </c>
      <c r="ILF996" t="s">
        <v>792</v>
      </c>
      <c r="ILG996">
        <v>-7911768</v>
      </c>
      <c r="ILH996">
        <v>-8721706</v>
      </c>
      <c r="ILI996">
        <v>1950894</v>
      </c>
      <c r="ILJ996">
        <v>1966386</v>
      </c>
      <c r="ILK996">
        <v>-3866008</v>
      </c>
      <c r="IVB996" t="s">
        <v>792</v>
      </c>
      <c r="IVC996">
        <v>-7911768</v>
      </c>
      <c r="IVD996">
        <v>-8721706</v>
      </c>
      <c r="IVE996">
        <v>1950894</v>
      </c>
      <c r="IVF996">
        <v>1966386</v>
      </c>
      <c r="IVG996">
        <v>-3866008</v>
      </c>
      <c r="JEX996" t="s">
        <v>792</v>
      </c>
      <c r="JEY996">
        <v>-7911768</v>
      </c>
      <c r="JEZ996">
        <v>-8721706</v>
      </c>
      <c r="JFA996">
        <v>1950894</v>
      </c>
      <c r="JFB996">
        <v>1966386</v>
      </c>
      <c r="JFC996">
        <v>-3866008</v>
      </c>
      <c r="JOT996" t="s">
        <v>792</v>
      </c>
      <c r="JOU996">
        <v>-7911768</v>
      </c>
      <c r="JOV996">
        <v>-8721706</v>
      </c>
      <c r="JOW996">
        <v>1950894</v>
      </c>
      <c r="JOX996">
        <v>1966386</v>
      </c>
      <c r="JOY996">
        <v>-3866008</v>
      </c>
      <c r="JYP996" t="s">
        <v>792</v>
      </c>
      <c r="JYQ996">
        <v>-7911768</v>
      </c>
      <c r="JYR996">
        <v>-8721706</v>
      </c>
      <c r="JYS996">
        <v>1950894</v>
      </c>
      <c r="JYT996">
        <v>1966386</v>
      </c>
      <c r="JYU996">
        <v>-3866008</v>
      </c>
      <c r="KIL996" t="s">
        <v>792</v>
      </c>
      <c r="KIM996">
        <v>-7911768</v>
      </c>
      <c r="KIN996">
        <v>-8721706</v>
      </c>
      <c r="KIO996">
        <v>1950894</v>
      </c>
      <c r="KIP996">
        <v>1966386</v>
      </c>
      <c r="KIQ996">
        <v>-3866008</v>
      </c>
      <c r="KSH996" t="s">
        <v>792</v>
      </c>
      <c r="KSI996">
        <v>-7911768</v>
      </c>
      <c r="KSJ996">
        <v>-8721706</v>
      </c>
      <c r="KSK996">
        <v>1950894</v>
      </c>
      <c r="KSL996">
        <v>1966386</v>
      </c>
      <c r="KSM996">
        <v>-3866008</v>
      </c>
      <c r="LCD996" t="s">
        <v>792</v>
      </c>
      <c r="LCE996">
        <v>-7911768</v>
      </c>
      <c r="LCF996">
        <v>-8721706</v>
      </c>
      <c r="LCG996">
        <v>1950894</v>
      </c>
      <c r="LCH996">
        <v>1966386</v>
      </c>
      <c r="LCI996">
        <v>-3866008</v>
      </c>
      <c r="LLZ996" t="s">
        <v>792</v>
      </c>
      <c r="LMA996">
        <v>-7911768</v>
      </c>
      <c r="LMB996">
        <v>-8721706</v>
      </c>
      <c r="LMC996">
        <v>1950894</v>
      </c>
      <c r="LMD996">
        <v>1966386</v>
      </c>
      <c r="LME996">
        <v>-3866008</v>
      </c>
      <c r="LVV996" t="s">
        <v>792</v>
      </c>
      <c r="LVW996">
        <v>-7911768</v>
      </c>
      <c r="LVX996">
        <v>-8721706</v>
      </c>
      <c r="LVY996">
        <v>1950894</v>
      </c>
      <c r="LVZ996">
        <v>1966386</v>
      </c>
      <c r="LWA996">
        <v>-3866008</v>
      </c>
      <c r="MFR996" t="s">
        <v>792</v>
      </c>
      <c r="MFS996">
        <v>-7911768</v>
      </c>
      <c r="MFT996">
        <v>-8721706</v>
      </c>
      <c r="MFU996">
        <v>1950894</v>
      </c>
      <c r="MFV996">
        <v>1966386</v>
      </c>
      <c r="MFW996">
        <v>-3866008</v>
      </c>
      <c r="MPN996" t="s">
        <v>792</v>
      </c>
      <c r="MPO996">
        <v>-7911768</v>
      </c>
      <c r="MPP996">
        <v>-8721706</v>
      </c>
      <c r="MPQ996">
        <v>1950894</v>
      </c>
      <c r="MPR996">
        <v>1966386</v>
      </c>
      <c r="MPS996">
        <v>-3866008</v>
      </c>
      <c r="MZJ996" t="s">
        <v>792</v>
      </c>
      <c r="MZK996">
        <v>-7911768</v>
      </c>
      <c r="MZL996">
        <v>-8721706</v>
      </c>
      <c r="MZM996">
        <v>1950894</v>
      </c>
      <c r="MZN996">
        <v>1966386</v>
      </c>
      <c r="MZO996">
        <v>-3866008</v>
      </c>
      <c r="NJF996" t="s">
        <v>792</v>
      </c>
      <c r="NJG996">
        <v>-7911768</v>
      </c>
      <c r="NJH996">
        <v>-8721706</v>
      </c>
      <c r="NJI996">
        <v>1950894</v>
      </c>
      <c r="NJJ996">
        <v>1966386</v>
      </c>
      <c r="NJK996">
        <v>-3866008</v>
      </c>
      <c r="NTB996" t="s">
        <v>792</v>
      </c>
      <c r="NTC996">
        <v>-7911768</v>
      </c>
      <c r="NTD996">
        <v>-8721706</v>
      </c>
      <c r="NTE996">
        <v>1950894</v>
      </c>
      <c r="NTF996">
        <v>1966386</v>
      </c>
      <c r="NTG996">
        <v>-3866008</v>
      </c>
      <c r="OCX996" t="s">
        <v>792</v>
      </c>
      <c r="OCY996">
        <v>-7911768</v>
      </c>
      <c r="OCZ996">
        <v>-8721706</v>
      </c>
      <c r="ODA996">
        <v>1950894</v>
      </c>
      <c r="ODB996">
        <v>1966386</v>
      </c>
      <c r="ODC996">
        <v>-3866008</v>
      </c>
      <c r="OMT996" t="s">
        <v>792</v>
      </c>
      <c r="OMU996">
        <v>-7911768</v>
      </c>
      <c r="OMV996">
        <v>-8721706</v>
      </c>
      <c r="OMW996">
        <v>1950894</v>
      </c>
      <c r="OMX996">
        <v>1966386</v>
      </c>
      <c r="OMY996">
        <v>-3866008</v>
      </c>
      <c r="OWP996" t="s">
        <v>792</v>
      </c>
      <c r="OWQ996">
        <v>-7911768</v>
      </c>
      <c r="OWR996">
        <v>-8721706</v>
      </c>
      <c r="OWS996">
        <v>1950894</v>
      </c>
      <c r="OWT996">
        <v>1966386</v>
      </c>
      <c r="OWU996">
        <v>-3866008</v>
      </c>
      <c r="PGL996" t="s">
        <v>792</v>
      </c>
      <c r="PGM996">
        <v>-7911768</v>
      </c>
      <c r="PGN996">
        <v>-8721706</v>
      </c>
      <c r="PGO996">
        <v>1950894</v>
      </c>
      <c r="PGP996">
        <v>1966386</v>
      </c>
      <c r="PGQ996">
        <v>-3866008</v>
      </c>
      <c r="PQH996" t="s">
        <v>792</v>
      </c>
      <c r="PQI996">
        <v>-7911768</v>
      </c>
      <c r="PQJ996">
        <v>-8721706</v>
      </c>
      <c r="PQK996">
        <v>1950894</v>
      </c>
      <c r="PQL996">
        <v>1966386</v>
      </c>
      <c r="PQM996">
        <v>-3866008</v>
      </c>
      <c r="QAD996" t="s">
        <v>792</v>
      </c>
      <c r="QAE996">
        <v>-7911768</v>
      </c>
      <c r="QAF996">
        <v>-8721706</v>
      </c>
      <c r="QAG996">
        <v>1950894</v>
      </c>
      <c r="QAH996">
        <v>1966386</v>
      </c>
      <c r="QAI996">
        <v>-3866008</v>
      </c>
      <c r="QJZ996" t="s">
        <v>792</v>
      </c>
      <c r="QKA996">
        <v>-7911768</v>
      </c>
      <c r="QKB996">
        <v>-8721706</v>
      </c>
      <c r="QKC996">
        <v>1950894</v>
      </c>
      <c r="QKD996">
        <v>1966386</v>
      </c>
      <c r="QKE996">
        <v>-3866008</v>
      </c>
      <c r="QTV996" t="s">
        <v>792</v>
      </c>
      <c r="QTW996">
        <v>-7911768</v>
      </c>
      <c r="QTX996">
        <v>-8721706</v>
      </c>
      <c r="QTY996">
        <v>1950894</v>
      </c>
      <c r="QTZ996">
        <v>1966386</v>
      </c>
      <c r="QUA996">
        <v>-3866008</v>
      </c>
      <c r="RDR996" t="s">
        <v>792</v>
      </c>
      <c r="RDS996">
        <v>-7911768</v>
      </c>
      <c r="RDT996">
        <v>-8721706</v>
      </c>
      <c r="RDU996">
        <v>1950894</v>
      </c>
      <c r="RDV996">
        <v>1966386</v>
      </c>
      <c r="RDW996">
        <v>-3866008</v>
      </c>
      <c r="RNN996" t="s">
        <v>792</v>
      </c>
      <c r="RNO996">
        <v>-7911768</v>
      </c>
      <c r="RNP996">
        <v>-8721706</v>
      </c>
      <c r="RNQ996">
        <v>1950894</v>
      </c>
      <c r="RNR996">
        <v>1966386</v>
      </c>
      <c r="RNS996">
        <v>-3866008</v>
      </c>
      <c r="RXJ996" t="s">
        <v>792</v>
      </c>
      <c r="RXK996">
        <v>-7911768</v>
      </c>
      <c r="RXL996">
        <v>-8721706</v>
      </c>
      <c r="RXM996">
        <v>1950894</v>
      </c>
      <c r="RXN996">
        <v>1966386</v>
      </c>
      <c r="RXO996">
        <v>-3866008</v>
      </c>
      <c r="SHF996" t="s">
        <v>792</v>
      </c>
      <c r="SHG996">
        <v>-7911768</v>
      </c>
      <c r="SHH996">
        <v>-8721706</v>
      </c>
      <c r="SHI996">
        <v>1950894</v>
      </c>
      <c r="SHJ996">
        <v>1966386</v>
      </c>
      <c r="SHK996">
        <v>-3866008</v>
      </c>
      <c r="SRB996" t="s">
        <v>792</v>
      </c>
      <c r="SRC996">
        <v>-7911768</v>
      </c>
      <c r="SRD996">
        <v>-8721706</v>
      </c>
      <c r="SRE996">
        <v>1950894</v>
      </c>
      <c r="SRF996">
        <v>1966386</v>
      </c>
      <c r="SRG996">
        <v>-3866008</v>
      </c>
      <c r="TAX996" t="s">
        <v>792</v>
      </c>
      <c r="TAY996">
        <v>-7911768</v>
      </c>
      <c r="TAZ996">
        <v>-8721706</v>
      </c>
      <c r="TBA996">
        <v>1950894</v>
      </c>
      <c r="TBB996">
        <v>1966386</v>
      </c>
      <c r="TBC996">
        <v>-3866008</v>
      </c>
      <c r="TKT996" t="s">
        <v>792</v>
      </c>
      <c r="TKU996">
        <v>-7911768</v>
      </c>
      <c r="TKV996">
        <v>-8721706</v>
      </c>
      <c r="TKW996">
        <v>1950894</v>
      </c>
      <c r="TKX996">
        <v>1966386</v>
      </c>
      <c r="TKY996">
        <v>-3866008</v>
      </c>
      <c r="TUP996" t="s">
        <v>792</v>
      </c>
      <c r="TUQ996">
        <v>-7911768</v>
      </c>
      <c r="TUR996">
        <v>-8721706</v>
      </c>
      <c r="TUS996">
        <v>1950894</v>
      </c>
      <c r="TUT996">
        <v>1966386</v>
      </c>
      <c r="TUU996">
        <v>-3866008</v>
      </c>
      <c r="UEL996" t="s">
        <v>792</v>
      </c>
      <c r="UEM996">
        <v>-7911768</v>
      </c>
      <c r="UEN996">
        <v>-8721706</v>
      </c>
      <c r="UEO996">
        <v>1950894</v>
      </c>
      <c r="UEP996">
        <v>1966386</v>
      </c>
      <c r="UEQ996">
        <v>-3866008</v>
      </c>
      <c r="UOH996" t="s">
        <v>792</v>
      </c>
      <c r="UOI996">
        <v>-7911768</v>
      </c>
      <c r="UOJ996">
        <v>-8721706</v>
      </c>
      <c r="UOK996">
        <v>1950894</v>
      </c>
      <c r="UOL996">
        <v>1966386</v>
      </c>
      <c r="UOM996">
        <v>-3866008</v>
      </c>
      <c r="UYD996" t="s">
        <v>792</v>
      </c>
      <c r="UYE996">
        <v>-7911768</v>
      </c>
      <c r="UYF996">
        <v>-8721706</v>
      </c>
      <c r="UYG996">
        <v>1950894</v>
      </c>
      <c r="UYH996">
        <v>1966386</v>
      </c>
      <c r="UYI996">
        <v>-3866008</v>
      </c>
      <c r="VHZ996" t="s">
        <v>792</v>
      </c>
      <c r="VIA996">
        <v>-7911768</v>
      </c>
      <c r="VIB996">
        <v>-8721706</v>
      </c>
      <c r="VIC996">
        <v>1950894</v>
      </c>
      <c r="VID996">
        <v>1966386</v>
      </c>
      <c r="VIE996">
        <v>-3866008</v>
      </c>
      <c r="VRV996" t="s">
        <v>792</v>
      </c>
      <c r="VRW996">
        <v>-7911768</v>
      </c>
      <c r="VRX996">
        <v>-8721706</v>
      </c>
      <c r="VRY996">
        <v>1950894</v>
      </c>
      <c r="VRZ996">
        <v>1966386</v>
      </c>
      <c r="VSA996">
        <v>-3866008</v>
      </c>
      <c r="WBR996" t="s">
        <v>792</v>
      </c>
      <c r="WBS996">
        <v>-7911768</v>
      </c>
      <c r="WBT996">
        <v>-8721706</v>
      </c>
      <c r="WBU996">
        <v>1950894</v>
      </c>
      <c r="WBV996">
        <v>1966386</v>
      </c>
      <c r="WBW996">
        <v>-3866008</v>
      </c>
      <c r="WLN996" t="s">
        <v>792</v>
      </c>
      <c r="WLO996">
        <v>-7911768</v>
      </c>
      <c r="WLP996">
        <v>-8721706</v>
      </c>
      <c r="WLQ996">
        <v>1950894</v>
      </c>
      <c r="WLR996">
        <v>1966386</v>
      </c>
      <c r="WLS996">
        <v>-3866008</v>
      </c>
      <c r="WVJ996" t="s">
        <v>792</v>
      </c>
      <c r="WVK996">
        <v>-7911768</v>
      </c>
      <c r="WVL996">
        <v>-8721706</v>
      </c>
      <c r="WVM996">
        <v>1950894</v>
      </c>
      <c r="WVN996">
        <v>1966386</v>
      </c>
      <c r="WVO996">
        <v>-3866008</v>
      </c>
    </row>
    <row r="997" spans="1:775 1026:1799 2050:2823 3074:3847 4098:4871 5122:5895 6146:6919 7170:7943 8194:8967 9218:9991 10242:11015 11266:12039 12290:13063 13314:14087 14338:15111 15362:16135">
      <c r="A997" s="654"/>
      <c r="C997" s="100">
        <f>SUM(C963:C995)+C960</f>
        <v>-7911768</v>
      </c>
      <c r="D997" s="100">
        <f t="shared" ref="D997:G997" si="16">SUM(D963:D995)+D960</f>
        <v>-8721706</v>
      </c>
      <c r="E997" s="100">
        <f t="shared" si="16"/>
        <v>1950894</v>
      </c>
      <c r="F997" s="100">
        <f t="shared" si="16"/>
        <v>1966386</v>
      </c>
      <c r="G997" s="100">
        <f t="shared" si="16"/>
        <v>-3866008</v>
      </c>
      <c r="H997" s="100"/>
    </row>
    <row r="998" spans="1:775 1026:1799 2050:2823 3074:3847 4098:4871 5122:5895 6146:6919 7170:7943 8194:8967 9218:9991 10242:11015 11266:12039 12290:13063 13314:14087 14338:15111 15362:16135" s="1337" customFormat="1" ht="14.5" thickBot="1">
      <c r="A998" s="1433" t="s">
        <v>793</v>
      </c>
      <c r="C998" s="1430"/>
      <c r="D998" s="1430"/>
      <c r="E998" s="1430"/>
      <c r="F998" s="1430"/>
      <c r="G998" s="1430"/>
      <c r="H998" s="1430"/>
      <c r="IX998" s="1337" t="s">
        <v>793</v>
      </c>
      <c r="ST998" s="1337" t="s">
        <v>793</v>
      </c>
      <c r="ACP998" s="1337" t="s">
        <v>793</v>
      </c>
      <c r="AML998" s="1337" t="s">
        <v>793</v>
      </c>
      <c r="AWH998" s="1337" t="s">
        <v>793</v>
      </c>
      <c r="BGD998" s="1337" t="s">
        <v>793</v>
      </c>
      <c r="BPZ998" s="1337" t="s">
        <v>793</v>
      </c>
      <c r="BZV998" s="1337" t="s">
        <v>793</v>
      </c>
      <c r="CJR998" s="1337" t="s">
        <v>793</v>
      </c>
      <c r="CTN998" s="1337" t="s">
        <v>793</v>
      </c>
      <c r="DDJ998" s="1337" t="s">
        <v>793</v>
      </c>
      <c r="DNF998" s="1337" t="s">
        <v>793</v>
      </c>
      <c r="DXB998" s="1337" t="s">
        <v>793</v>
      </c>
      <c r="EGX998" s="1337" t="s">
        <v>793</v>
      </c>
      <c r="EQT998" s="1337" t="s">
        <v>793</v>
      </c>
      <c r="FAP998" s="1337" t="s">
        <v>793</v>
      </c>
      <c r="FKL998" s="1337" t="s">
        <v>793</v>
      </c>
      <c r="FUH998" s="1337" t="s">
        <v>793</v>
      </c>
      <c r="GED998" s="1337" t="s">
        <v>793</v>
      </c>
      <c r="GNZ998" s="1337" t="s">
        <v>793</v>
      </c>
      <c r="GXV998" s="1337" t="s">
        <v>793</v>
      </c>
      <c r="HHR998" s="1337" t="s">
        <v>793</v>
      </c>
      <c r="HRN998" s="1337" t="s">
        <v>793</v>
      </c>
      <c r="IBJ998" s="1337" t="s">
        <v>793</v>
      </c>
      <c r="ILF998" s="1337" t="s">
        <v>793</v>
      </c>
      <c r="IVB998" s="1337" t="s">
        <v>793</v>
      </c>
      <c r="JEX998" s="1337" t="s">
        <v>793</v>
      </c>
      <c r="JOT998" s="1337" t="s">
        <v>793</v>
      </c>
      <c r="JYP998" s="1337" t="s">
        <v>793</v>
      </c>
      <c r="KIL998" s="1337" t="s">
        <v>793</v>
      </c>
      <c r="KSH998" s="1337" t="s">
        <v>793</v>
      </c>
      <c r="LCD998" s="1337" t="s">
        <v>793</v>
      </c>
      <c r="LLZ998" s="1337" t="s">
        <v>793</v>
      </c>
      <c r="LVV998" s="1337" t="s">
        <v>793</v>
      </c>
      <c r="MFR998" s="1337" t="s">
        <v>793</v>
      </c>
      <c r="MPN998" s="1337" t="s">
        <v>793</v>
      </c>
      <c r="MZJ998" s="1337" t="s">
        <v>793</v>
      </c>
      <c r="NJF998" s="1337" t="s">
        <v>793</v>
      </c>
      <c r="NTB998" s="1337" t="s">
        <v>793</v>
      </c>
      <c r="OCX998" s="1337" t="s">
        <v>793</v>
      </c>
      <c r="OMT998" s="1337" t="s">
        <v>793</v>
      </c>
      <c r="OWP998" s="1337" t="s">
        <v>793</v>
      </c>
      <c r="PGL998" s="1337" t="s">
        <v>793</v>
      </c>
      <c r="PQH998" s="1337" t="s">
        <v>793</v>
      </c>
      <c r="QAD998" s="1337" t="s">
        <v>793</v>
      </c>
      <c r="QJZ998" s="1337" t="s">
        <v>793</v>
      </c>
      <c r="QTV998" s="1337" t="s">
        <v>793</v>
      </c>
      <c r="RDR998" s="1337" t="s">
        <v>793</v>
      </c>
      <c r="RNN998" s="1337" t="s">
        <v>793</v>
      </c>
      <c r="RXJ998" s="1337" t="s">
        <v>793</v>
      </c>
      <c r="SHF998" s="1337" t="s">
        <v>793</v>
      </c>
      <c r="SRB998" s="1337" t="s">
        <v>793</v>
      </c>
      <c r="TAX998" s="1337" t="s">
        <v>793</v>
      </c>
      <c r="TKT998" s="1337" t="s">
        <v>793</v>
      </c>
      <c r="TUP998" s="1337" t="s">
        <v>793</v>
      </c>
      <c r="UEL998" s="1337" t="s">
        <v>793</v>
      </c>
      <c r="UOH998" s="1337" t="s">
        <v>793</v>
      </c>
      <c r="UYD998" s="1337" t="s">
        <v>793</v>
      </c>
      <c r="VHZ998" s="1337" t="s">
        <v>793</v>
      </c>
      <c r="VRV998" s="1337" t="s">
        <v>793</v>
      </c>
      <c r="WBR998" s="1337" t="s">
        <v>793</v>
      </c>
      <c r="WLN998" s="1337" t="s">
        <v>793</v>
      </c>
      <c r="WVJ998" s="1337" t="s">
        <v>793</v>
      </c>
    </row>
    <row r="999" spans="1:775 1026:1799 2050:2823 3074:3847 4098:4871 5122:5895 6146:6919 7170:7943 8194:8967 9218:9991 10242:11015 11266:12039 12290:13063 13314:14087 14338:15111 15362:16135">
      <c r="A999" s="96" t="s">
        <v>1369</v>
      </c>
      <c r="B999" s="665" t="s">
        <v>797</v>
      </c>
      <c r="C999" s="100">
        <v>-2643964</v>
      </c>
      <c r="D999" s="100">
        <v>-1706787</v>
      </c>
      <c r="E999" s="98">
        <v>0</v>
      </c>
      <c r="F999" s="98">
        <v>0</v>
      </c>
      <c r="G999" s="98">
        <v>0</v>
      </c>
      <c r="H999" s="98"/>
      <c r="IX999" t="s">
        <v>1369</v>
      </c>
      <c r="IY999">
        <v>-2643964</v>
      </c>
      <c r="IZ999">
        <v>-1706787</v>
      </c>
      <c r="JA999" t="s">
        <v>619</v>
      </c>
      <c r="JB999" t="s">
        <v>619</v>
      </c>
      <c r="JC999" t="s">
        <v>619</v>
      </c>
      <c r="ST999" t="s">
        <v>1369</v>
      </c>
      <c r="SU999">
        <v>-2643964</v>
      </c>
      <c r="SV999">
        <v>-1706787</v>
      </c>
      <c r="SW999" t="s">
        <v>619</v>
      </c>
      <c r="SX999" t="s">
        <v>619</v>
      </c>
      <c r="SY999" t="s">
        <v>619</v>
      </c>
      <c r="ACP999" t="s">
        <v>1369</v>
      </c>
      <c r="ACQ999">
        <v>-2643964</v>
      </c>
      <c r="ACR999">
        <v>-1706787</v>
      </c>
      <c r="ACS999" t="s">
        <v>619</v>
      </c>
      <c r="ACT999" t="s">
        <v>619</v>
      </c>
      <c r="ACU999" t="s">
        <v>619</v>
      </c>
      <c r="AML999" t="s">
        <v>1369</v>
      </c>
      <c r="AMM999">
        <v>-2643964</v>
      </c>
      <c r="AMN999">
        <v>-1706787</v>
      </c>
      <c r="AMO999" t="s">
        <v>619</v>
      </c>
      <c r="AMP999" t="s">
        <v>619</v>
      </c>
      <c r="AMQ999" t="s">
        <v>619</v>
      </c>
      <c r="AWH999" t="s">
        <v>1369</v>
      </c>
      <c r="AWI999">
        <v>-2643964</v>
      </c>
      <c r="AWJ999">
        <v>-1706787</v>
      </c>
      <c r="AWK999" t="s">
        <v>619</v>
      </c>
      <c r="AWL999" t="s">
        <v>619</v>
      </c>
      <c r="AWM999" t="s">
        <v>619</v>
      </c>
      <c r="BGD999" t="s">
        <v>1369</v>
      </c>
      <c r="BGE999">
        <v>-2643964</v>
      </c>
      <c r="BGF999">
        <v>-1706787</v>
      </c>
      <c r="BGG999" t="s">
        <v>619</v>
      </c>
      <c r="BGH999" t="s">
        <v>619</v>
      </c>
      <c r="BGI999" t="s">
        <v>619</v>
      </c>
      <c r="BPZ999" t="s">
        <v>1369</v>
      </c>
      <c r="BQA999">
        <v>-2643964</v>
      </c>
      <c r="BQB999">
        <v>-1706787</v>
      </c>
      <c r="BQC999" t="s">
        <v>619</v>
      </c>
      <c r="BQD999" t="s">
        <v>619</v>
      </c>
      <c r="BQE999" t="s">
        <v>619</v>
      </c>
      <c r="BZV999" t="s">
        <v>1369</v>
      </c>
      <c r="BZW999">
        <v>-2643964</v>
      </c>
      <c r="BZX999">
        <v>-1706787</v>
      </c>
      <c r="BZY999" t="s">
        <v>619</v>
      </c>
      <c r="BZZ999" t="s">
        <v>619</v>
      </c>
      <c r="CAA999" t="s">
        <v>619</v>
      </c>
      <c r="CJR999" t="s">
        <v>1369</v>
      </c>
      <c r="CJS999">
        <v>-2643964</v>
      </c>
      <c r="CJT999">
        <v>-1706787</v>
      </c>
      <c r="CJU999" t="s">
        <v>619</v>
      </c>
      <c r="CJV999" t="s">
        <v>619</v>
      </c>
      <c r="CJW999" t="s">
        <v>619</v>
      </c>
      <c r="CTN999" t="s">
        <v>1369</v>
      </c>
      <c r="CTO999">
        <v>-2643964</v>
      </c>
      <c r="CTP999">
        <v>-1706787</v>
      </c>
      <c r="CTQ999" t="s">
        <v>619</v>
      </c>
      <c r="CTR999" t="s">
        <v>619</v>
      </c>
      <c r="CTS999" t="s">
        <v>619</v>
      </c>
      <c r="DDJ999" t="s">
        <v>1369</v>
      </c>
      <c r="DDK999">
        <v>-2643964</v>
      </c>
      <c r="DDL999">
        <v>-1706787</v>
      </c>
      <c r="DDM999" t="s">
        <v>619</v>
      </c>
      <c r="DDN999" t="s">
        <v>619</v>
      </c>
      <c r="DDO999" t="s">
        <v>619</v>
      </c>
      <c r="DNF999" t="s">
        <v>1369</v>
      </c>
      <c r="DNG999">
        <v>-2643964</v>
      </c>
      <c r="DNH999">
        <v>-1706787</v>
      </c>
      <c r="DNI999" t="s">
        <v>619</v>
      </c>
      <c r="DNJ999" t="s">
        <v>619</v>
      </c>
      <c r="DNK999" t="s">
        <v>619</v>
      </c>
      <c r="DXB999" t="s">
        <v>1369</v>
      </c>
      <c r="DXC999">
        <v>-2643964</v>
      </c>
      <c r="DXD999">
        <v>-1706787</v>
      </c>
      <c r="DXE999" t="s">
        <v>619</v>
      </c>
      <c r="DXF999" t="s">
        <v>619</v>
      </c>
      <c r="DXG999" t="s">
        <v>619</v>
      </c>
      <c r="EGX999" t="s">
        <v>1369</v>
      </c>
      <c r="EGY999">
        <v>-2643964</v>
      </c>
      <c r="EGZ999">
        <v>-1706787</v>
      </c>
      <c r="EHA999" t="s">
        <v>619</v>
      </c>
      <c r="EHB999" t="s">
        <v>619</v>
      </c>
      <c r="EHC999" t="s">
        <v>619</v>
      </c>
      <c r="EQT999" t="s">
        <v>1369</v>
      </c>
      <c r="EQU999">
        <v>-2643964</v>
      </c>
      <c r="EQV999">
        <v>-1706787</v>
      </c>
      <c r="EQW999" t="s">
        <v>619</v>
      </c>
      <c r="EQX999" t="s">
        <v>619</v>
      </c>
      <c r="EQY999" t="s">
        <v>619</v>
      </c>
      <c r="FAP999" t="s">
        <v>1369</v>
      </c>
      <c r="FAQ999">
        <v>-2643964</v>
      </c>
      <c r="FAR999">
        <v>-1706787</v>
      </c>
      <c r="FAS999" t="s">
        <v>619</v>
      </c>
      <c r="FAT999" t="s">
        <v>619</v>
      </c>
      <c r="FAU999" t="s">
        <v>619</v>
      </c>
      <c r="FKL999" t="s">
        <v>1369</v>
      </c>
      <c r="FKM999">
        <v>-2643964</v>
      </c>
      <c r="FKN999">
        <v>-1706787</v>
      </c>
      <c r="FKO999" t="s">
        <v>619</v>
      </c>
      <c r="FKP999" t="s">
        <v>619</v>
      </c>
      <c r="FKQ999" t="s">
        <v>619</v>
      </c>
      <c r="FUH999" t="s">
        <v>1369</v>
      </c>
      <c r="FUI999">
        <v>-2643964</v>
      </c>
      <c r="FUJ999">
        <v>-1706787</v>
      </c>
      <c r="FUK999" t="s">
        <v>619</v>
      </c>
      <c r="FUL999" t="s">
        <v>619</v>
      </c>
      <c r="FUM999" t="s">
        <v>619</v>
      </c>
      <c r="GED999" t="s">
        <v>1369</v>
      </c>
      <c r="GEE999">
        <v>-2643964</v>
      </c>
      <c r="GEF999">
        <v>-1706787</v>
      </c>
      <c r="GEG999" t="s">
        <v>619</v>
      </c>
      <c r="GEH999" t="s">
        <v>619</v>
      </c>
      <c r="GEI999" t="s">
        <v>619</v>
      </c>
      <c r="GNZ999" t="s">
        <v>1369</v>
      </c>
      <c r="GOA999">
        <v>-2643964</v>
      </c>
      <c r="GOB999">
        <v>-1706787</v>
      </c>
      <c r="GOC999" t="s">
        <v>619</v>
      </c>
      <c r="GOD999" t="s">
        <v>619</v>
      </c>
      <c r="GOE999" t="s">
        <v>619</v>
      </c>
      <c r="GXV999" t="s">
        <v>1369</v>
      </c>
      <c r="GXW999">
        <v>-2643964</v>
      </c>
      <c r="GXX999">
        <v>-1706787</v>
      </c>
      <c r="GXY999" t="s">
        <v>619</v>
      </c>
      <c r="GXZ999" t="s">
        <v>619</v>
      </c>
      <c r="GYA999" t="s">
        <v>619</v>
      </c>
      <c r="HHR999" t="s">
        <v>1369</v>
      </c>
      <c r="HHS999">
        <v>-2643964</v>
      </c>
      <c r="HHT999">
        <v>-1706787</v>
      </c>
      <c r="HHU999" t="s">
        <v>619</v>
      </c>
      <c r="HHV999" t="s">
        <v>619</v>
      </c>
      <c r="HHW999" t="s">
        <v>619</v>
      </c>
      <c r="HRN999" t="s">
        <v>1369</v>
      </c>
      <c r="HRO999">
        <v>-2643964</v>
      </c>
      <c r="HRP999">
        <v>-1706787</v>
      </c>
      <c r="HRQ999" t="s">
        <v>619</v>
      </c>
      <c r="HRR999" t="s">
        <v>619</v>
      </c>
      <c r="HRS999" t="s">
        <v>619</v>
      </c>
      <c r="IBJ999" t="s">
        <v>1369</v>
      </c>
      <c r="IBK999">
        <v>-2643964</v>
      </c>
      <c r="IBL999">
        <v>-1706787</v>
      </c>
      <c r="IBM999" t="s">
        <v>619</v>
      </c>
      <c r="IBN999" t="s">
        <v>619</v>
      </c>
      <c r="IBO999" t="s">
        <v>619</v>
      </c>
      <c r="ILF999" t="s">
        <v>1369</v>
      </c>
      <c r="ILG999">
        <v>-2643964</v>
      </c>
      <c r="ILH999">
        <v>-1706787</v>
      </c>
      <c r="ILI999" t="s">
        <v>619</v>
      </c>
      <c r="ILJ999" t="s">
        <v>619</v>
      </c>
      <c r="ILK999" t="s">
        <v>619</v>
      </c>
      <c r="IVB999" t="s">
        <v>1369</v>
      </c>
      <c r="IVC999">
        <v>-2643964</v>
      </c>
      <c r="IVD999">
        <v>-1706787</v>
      </c>
      <c r="IVE999" t="s">
        <v>619</v>
      </c>
      <c r="IVF999" t="s">
        <v>619</v>
      </c>
      <c r="IVG999" t="s">
        <v>619</v>
      </c>
      <c r="JEX999" t="s">
        <v>1369</v>
      </c>
      <c r="JEY999">
        <v>-2643964</v>
      </c>
      <c r="JEZ999">
        <v>-1706787</v>
      </c>
      <c r="JFA999" t="s">
        <v>619</v>
      </c>
      <c r="JFB999" t="s">
        <v>619</v>
      </c>
      <c r="JFC999" t="s">
        <v>619</v>
      </c>
      <c r="JOT999" t="s">
        <v>1369</v>
      </c>
      <c r="JOU999">
        <v>-2643964</v>
      </c>
      <c r="JOV999">
        <v>-1706787</v>
      </c>
      <c r="JOW999" t="s">
        <v>619</v>
      </c>
      <c r="JOX999" t="s">
        <v>619</v>
      </c>
      <c r="JOY999" t="s">
        <v>619</v>
      </c>
      <c r="JYP999" t="s">
        <v>1369</v>
      </c>
      <c r="JYQ999">
        <v>-2643964</v>
      </c>
      <c r="JYR999">
        <v>-1706787</v>
      </c>
      <c r="JYS999" t="s">
        <v>619</v>
      </c>
      <c r="JYT999" t="s">
        <v>619</v>
      </c>
      <c r="JYU999" t="s">
        <v>619</v>
      </c>
      <c r="KIL999" t="s">
        <v>1369</v>
      </c>
      <c r="KIM999">
        <v>-2643964</v>
      </c>
      <c r="KIN999">
        <v>-1706787</v>
      </c>
      <c r="KIO999" t="s">
        <v>619</v>
      </c>
      <c r="KIP999" t="s">
        <v>619</v>
      </c>
      <c r="KIQ999" t="s">
        <v>619</v>
      </c>
      <c r="KSH999" t="s">
        <v>1369</v>
      </c>
      <c r="KSI999">
        <v>-2643964</v>
      </c>
      <c r="KSJ999">
        <v>-1706787</v>
      </c>
      <c r="KSK999" t="s">
        <v>619</v>
      </c>
      <c r="KSL999" t="s">
        <v>619</v>
      </c>
      <c r="KSM999" t="s">
        <v>619</v>
      </c>
      <c r="LCD999" t="s">
        <v>1369</v>
      </c>
      <c r="LCE999">
        <v>-2643964</v>
      </c>
      <c r="LCF999">
        <v>-1706787</v>
      </c>
      <c r="LCG999" t="s">
        <v>619</v>
      </c>
      <c r="LCH999" t="s">
        <v>619</v>
      </c>
      <c r="LCI999" t="s">
        <v>619</v>
      </c>
      <c r="LLZ999" t="s">
        <v>1369</v>
      </c>
      <c r="LMA999">
        <v>-2643964</v>
      </c>
      <c r="LMB999">
        <v>-1706787</v>
      </c>
      <c r="LMC999" t="s">
        <v>619</v>
      </c>
      <c r="LMD999" t="s">
        <v>619</v>
      </c>
      <c r="LME999" t="s">
        <v>619</v>
      </c>
      <c r="LVV999" t="s">
        <v>1369</v>
      </c>
      <c r="LVW999">
        <v>-2643964</v>
      </c>
      <c r="LVX999">
        <v>-1706787</v>
      </c>
      <c r="LVY999" t="s">
        <v>619</v>
      </c>
      <c r="LVZ999" t="s">
        <v>619</v>
      </c>
      <c r="LWA999" t="s">
        <v>619</v>
      </c>
      <c r="MFR999" t="s">
        <v>1369</v>
      </c>
      <c r="MFS999">
        <v>-2643964</v>
      </c>
      <c r="MFT999">
        <v>-1706787</v>
      </c>
      <c r="MFU999" t="s">
        <v>619</v>
      </c>
      <c r="MFV999" t="s">
        <v>619</v>
      </c>
      <c r="MFW999" t="s">
        <v>619</v>
      </c>
      <c r="MPN999" t="s">
        <v>1369</v>
      </c>
      <c r="MPO999">
        <v>-2643964</v>
      </c>
      <c r="MPP999">
        <v>-1706787</v>
      </c>
      <c r="MPQ999" t="s">
        <v>619</v>
      </c>
      <c r="MPR999" t="s">
        <v>619</v>
      </c>
      <c r="MPS999" t="s">
        <v>619</v>
      </c>
      <c r="MZJ999" t="s">
        <v>1369</v>
      </c>
      <c r="MZK999">
        <v>-2643964</v>
      </c>
      <c r="MZL999">
        <v>-1706787</v>
      </c>
      <c r="MZM999" t="s">
        <v>619</v>
      </c>
      <c r="MZN999" t="s">
        <v>619</v>
      </c>
      <c r="MZO999" t="s">
        <v>619</v>
      </c>
      <c r="NJF999" t="s">
        <v>1369</v>
      </c>
      <c r="NJG999">
        <v>-2643964</v>
      </c>
      <c r="NJH999">
        <v>-1706787</v>
      </c>
      <c r="NJI999" t="s">
        <v>619</v>
      </c>
      <c r="NJJ999" t="s">
        <v>619</v>
      </c>
      <c r="NJK999" t="s">
        <v>619</v>
      </c>
      <c r="NTB999" t="s">
        <v>1369</v>
      </c>
      <c r="NTC999">
        <v>-2643964</v>
      </c>
      <c r="NTD999">
        <v>-1706787</v>
      </c>
      <c r="NTE999" t="s">
        <v>619</v>
      </c>
      <c r="NTF999" t="s">
        <v>619</v>
      </c>
      <c r="NTG999" t="s">
        <v>619</v>
      </c>
      <c r="OCX999" t="s">
        <v>1369</v>
      </c>
      <c r="OCY999">
        <v>-2643964</v>
      </c>
      <c r="OCZ999">
        <v>-1706787</v>
      </c>
      <c r="ODA999" t="s">
        <v>619</v>
      </c>
      <c r="ODB999" t="s">
        <v>619</v>
      </c>
      <c r="ODC999" t="s">
        <v>619</v>
      </c>
      <c r="OMT999" t="s">
        <v>1369</v>
      </c>
      <c r="OMU999">
        <v>-2643964</v>
      </c>
      <c r="OMV999">
        <v>-1706787</v>
      </c>
      <c r="OMW999" t="s">
        <v>619</v>
      </c>
      <c r="OMX999" t="s">
        <v>619</v>
      </c>
      <c r="OMY999" t="s">
        <v>619</v>
      </c>
      <c r="OWP999" t="s">
        <v>1369</v>
      </c>
      <c r="OWQ999">
        <v>-2643964</v>
      </c>
      <c r="OWR999">
        <v>-1706787</v>
      </c>
      <c r="OWS999" t="s">
        <v>619</v>
      </c>
      <c r="OWT999" t="s">
        <v>619</v>
      </c>
      <c r="OWU999" t="s">
        <v>619</v>
      </c>
      <c r="PGL999" t="s">
        <v>1369</v>
      </c>
      <c r="PGM999">
        <v>-2643964</v>
      </c>
      <c r="PGN999">
        <v>-1706787</v>
      </c>
      <c r="PGO999" t="s">
        <v>619</v>
      </c>
      <c r="PGP999" t="s">
        <v>619</v>
      </c>
      <c r="PGQ999" t="s">
        <v>619</v>
      </c>
      <c r="PQH999" t="s">
        <v>1369</v>
      </c>
      <c r="PQI999">
        <v>-2643964</v>
      </c>
      <c r="PQJ999">
        <v>-1706787</v>
      </c>
      <c r="PQK999" t="s">
        <v>619</v>
      </c>
      <c r="PQL999" t="s">
        <v>619</v>
      </c>
      <c r="PQM999" t="s">
        <v>619</v>
      </c>
      <c r="QAD999" t="s">
        <v>1369</v>
      </c>
      <c r="QAE999">
        <v>-2643964</v>
      </c>
      <c r="QAF999">
        <v>-1706787</v>
      </c>
      <c r="QAG999" t="s">
        <v>619</v>
      </c>
      <c r="QAH999" t="s">
        <v>619</v>
      </c>
      <c r="QAI999" t="s">
        <v>619</v>
      </c>
      <c r="QJZ999" t="s">
        <v>1369</v>
      </c>
      <c r="QKA999">
        <v>-2643964</v>
      </c>
      <c r="QKB999">
        <v>-1706787</v>
      </c>
      <c r="QKC999" t="s">
        <v>619</v>
      </c>
      <c r="QKD999" t="s">
        <v>619</v>
      </c>
      <c r="QKE999" t="s">
        <v>619</v>
      </c>
      <c r="QTV999" t="s">
        <v>1369</v>
      </c>
      <c r="QTW999">
        <v>-2643964</v>
      </c>
      <c r="QTX999">
        <v>-1706787</v>
      </c>
      <c r="QTY999" t="s">
        <v>619</v>
      </c>
      <c r="QTZ999" t="s">
        <v>619</v>
      </c>
      <c r="QUA999" t="s">
        <v>619</v>
      </c>
      <c r="RDR999" t="s">
        <v>1369</v>
      </c>
      <c r="RDS999">
        <v>-2643964</v>
      </c>
      <c r="RDT999">
        <v>-1706787</v>
      </c>
      <c r="RDU999" t="s">
        <v>619</v>
      </c>
      <c r="RDV999" t="s">
        <v>619</v>
      </c>
      <c r="RDW999" t="s">
        <v>619</v>
      </c>
      <c r="RNN999" t="s">
        <v>1369</v>
      </c>
      <c r="RNO999">
        <v>-2643964</v>
      </c>
      <c r="RNP999">
        <v>-1706787</v>
      </c>
      <c r="RNQ999" t="s">
        <v>619</v>
      </c>
      <c r="RNR999" t="s">
        <v>619</v>
      </c>
      <c r="RNS999" t="s">
        <v>619</v>
      </c>
      <c r="RXJ999" t="s">
        <v>1369</v>
      </c>
      <c r="RXK999">
        <v>-2643964</v>
      </c>
      <c r="RXL999">
        <v>-1706787</v>
      </c>
      <c r="RXM999" t="s">
        <v>619</v>
      </c>
      <c r="RXN999" t="s">
        <v>619</v>
      </c>
      <c r="RXO999" t="s">
        <v>619</v>
      </c>
      <c r="SHF999" t="s">
        <v>1369</v>
      </c>
      <c r="SHG999">
        <v>-2643964</v>
      </c>
      <c r="SHH999">
        <v>-1706787</v>
      </c>
      <c r="SHI999" t="s">
        <v>619</v>
      </c>
      <c r="SHJ999" t="s">
        <v>619</v>
      </c>
      <c r="SHK999" t="s">
        <v>619</v>
      </c>
      <c r="SRB999" t="s">
        <v>1369</v>
      </c>
      <c r="SRC999">
        <v>-2643964</v>
      </c>
      <c r="SRD999">
        <v>-1706787</v>
      </c>
      <c r="SRE999" t="s">
        <v>619</v>
      </c>
      <c r="SRF999" t="s">
        <v>619</v>
      </c>
      <c r="SRG999" t="s">
        <v>619</v>
      </c>
      <c r="TAX999" t="s">
        <v>1369</v>
      </c>
      <c r="TAY999">
        <v>-2643964</v>
      </c>
      <c r="TAZ999">
        <v>-1706787</v>
      </c>
      <c r="TBA999" t="s">
        <v>619</v>
      </c>
      <c r="TBB999" t="s">
        <v>619</v>
      </c>
      <c r="TBC999" t="s">
        <v>619</v>
      </c>
      <c r="TKT999" t="s">
        <v>1369</v>
      </c>
      <c r="TKU999">
        <v>-2643964</v>
      </c>
      <c r="TKV999">
        <v>-1706787</v>
      </c>
      <c r="TKW999" t="s">
        <v>619</v>
      </c>
      <c r="TKX999" t="s">
        <v>619</v>
      </c>
      <c r="TKY999" t="s">
        <v>619</v>
      </c>
      <c r="TUP999" t="s">
        <v>1369</v>
      </c>
      <c r="TUQ999">
        <v>-2643964</v>
      </c>
      <c r="TUR999">
        <v>-1706787</v>
      </c>
      <c r="TUS999" t="s">
        <v>619</v>
      </c>
      <c r="TUT999" t="s">
        <v>619</v>
      </c>
      <c r="TUU999" t="s">
        <v>619</v>
      </c>
      <c r="UEL999" t="s">
        <v>1369</v>
      </c>
      <c r="UEM999">
        <v>-2643964</v>
      </c>
      <c r="UEN999">
        <v>-1706787</v>
      </c>
      <c r="UEO999" t="s">
        <v>619</v>
      </c>
      <c r="UEP999" t="s">
        <v>619</v>
      </c>
      <c r="UEQ999" t="s">
        <v>619</v>
      </c>
      <c r="UOH999" t="s">
        <v>1369</v>
      </c>
      <c r="UOI999">
        <v>-2643964</v>
      </c>
      <c r="UOJ999">
        <v>-1706787</v>
      </c>
      <c r="UOK999" t="s">
        <v>619</v>
      </c>
      <c r="UOL999" t="s">
        <v>619</v>
      </c>
      <c r="UOM999" t="s">
        <v>619</v>
      </c>
      <c r="UYD999" t="s">
        <v>1369</v>
      </c>
      <c r="UYE999">
        <v>-2643964</v>
      </c>
      <c r="UYF999">
        <v>-1706787</v>
      </c>
      <c r="UYG999" t="s">
        <v>619</v>
      </c>
      <c r="UYH999" t="s">
        <v>619</v>
      </c>
      <c r="UYI999" t="s">
        <v>619</v>
      </c>
      <c r="VHZ999" t="s">
        <v>1369</v>
      </c>
      <c r="VIA999">
        <v>-2643964</v>
      </c>
      <c r="VIB999">
        <v>-1706787</v>
      </c>
      <c r="VIC999" t="s">
        <v>619</v>
      </c>
      <c r="VID999" t="s">
        <v>619</v>
      </c>
      <c r="VIE999" t="s">
        <v>619</v>
      </c>
      <c r="VRV999" t="s">
        <v>1369</v>
      </c>
      <c r="VRW999">
        <v>-2643964</v>
      </c>
      <c r="VRX999">
        <v>-1706787</v>
      </c>
      <c r="VRY999" t="s">
        <v>619</v>
      </c>
      <c r="VRZ999" t="s">
        <v>619</v>
      </c>
      <c r="VSA999" t="s">
        <v>619</v>
      </c>
      <c r="WBR999" t="s">
        <v>1369</v>
      </c>
      <c r="WBS999">
        <v>-2643964</v>
      </c>
      <c r="WBT999">
        <v>-1706787</v>
      </c>
      <c r="WBU999" t="s">
        <v>619</v>
      </c>
      <c r="WBV999" t="s">
        <v>619</v>
      </c>
      <c r="WBW999" t="s">
        <v>619</v>
      </c>
      <c r="WLN999" t="s">
        <v>1369</v>
      </c>
      <c r="WLO999">
        <v>-2643964</v>
      </c>
      <c r="WLP999">
        <v>-1706787</v>
      </c>
      <c r="WLQ999" t="s">
        <v>619</v>
      </c>
      <c r="WLR999" t="s">
        <v>619</v>
      </c>
      <c r="WLS999" t="s">
        <v>619</v>
      </c>
      <c r="WVJ999" t="s">
        <v>1369</v>
      </c>
      <c r="WVK999">
        <v>-2643964</v>
      </c>
      <c r="WVL999">
        <v>-1706787</v>
      </c>
      <c r="WVM999" t="s">
        <v>619</v>
      </c>
      <c r="WVN999" t="s">
        <v>619</v>
      </c>
      <c r="WVO999" t="s">
        <v>619</v>
      </c>
    </row>
    <row r="1000" spans="1:775 1026:1799 2050:2823 3074:3847 4098:4871 5122:5895 6146:6919 7170:7943 8194:8967 9218:9991 10242:11015 11266:12039 12290:13063 13314:14087 14338:15111 15362:16135" ht="16" customHeight="1">
      <c r="A1000" s="96" t="s">
        <v>1370</v>
      </c>
      <c r="B1000" s="665" t="s">
        <v>797</v>
      </c>
      <c r="C1000" s="98">
        <v>0</v>
      </c>
      <c r="D1000" s="98">
        <v>0</v>
      </c>
      <c r="E1000" s="100">
        <v>-1127686</v>
      </c>
      <c r="F1000" s="100">
        <v>-4078764</v>
      </c>
      <c r="G1000" s="100">
        <v>-6972854</v>
      </c>
      <c r="H1000" s="100"/>
      <c r="IX1000" t="s">
        <v>1370</v>
      </c>
      <c r="IY1000" t="s">
        <v>619</v>
      </c>
      <c r="IZ1000" t="s">
        <v>619</v>
      </c>
      <c r="JA1000">
        <v>-1127686</v>
      </c>
      <c r="JB1000">
        <v>-4078764</v>
      </c>
      <c r="JC1000">
        <v>-6972854</v>
      </c>
      <c r="ST1000" t="s">
        <v>1370</v>
      </c>
      <c r="SU1000" t="s">
        <v>619</v>
      </c>
      <c r="SV1000" t="s">
        <v>619</v>
      </c>
      <c r="SW1000">
        <v>-1127686</v>
      </c>
      <c r="SX1000">
        <v>-4078764</v>
      </c>
      <c r="SY1000">
        <v>-6972854</v>
      </c>
      <c r="ACP1000" t="s">
        <v>1370</v>
      </c>
      <c r="ACQ1000" t="s">
        <v>619</v>
      </c>
      <c r="ACR1000" t="s">
        <v>619</v>
      </c>
      <c r="ACS1000">
        <v>-1127686</v>
      </c>
      <c r="ACT1000">
        <v>-4078764</v>
      </c>
      <c r="ACU1000">
        <v>-6972854</v>
      </c>
      <c r="AML1000" t="s">
        <v>1370</v>
      </c>
      <c r="AMM1000" t="s">
        <v>619</v>
      </c>
      <c r="AMN1000" t="s">
        <v>619</v>
      </c>
      <c r="AMO1000">
        <v>-1127686</v>
      </c>
      <c r="AMP1000">
        <v>-4078764</v>
      </c>
      <c r="AMQ1000">
        <v>-6972854</v>
      </c>
      <c r="AWH1000" t="s">
        <v>1370</v>
      </c>
      <c r="AWI1000" t="s">
        <v>619</v>
      </c>
      <c r="AWJ1000" t="s">
        <v>619</v>
      </c>
      <c r="AWK1000">
        <v>-1127686</v>
      </c>
      <c r="AWL1000">
        <v>-4078764</v>
      </c>
      <c r="AWM1000">
        <v>-6972854</v>
      </c>
      <c r="BGD1000" t="s">
        <v>1370</v>
      </c>
      <c r="BGE1000" t="s">
        <v>619</v>
      </c>
      <c r="BGF1000" t="s">
        <v>619</v>
      </c>
      <c r="BGG1000">
        <v>-1127686</v>
      </c>
      <c r="BGH1000">
        <v>-4078764</v>
      </c>
      <c r="BGI1000">
        <v>-6972854</v>
      </c>
      <c r="BPZ1000" t="s">
        <v>1370</v>
      </c>
      <c r="BQA1000" t="s">
        <v>619</v>
      </c>
      <c r="BQB1000" t="s">
        <v>619</v>
      </c>
      <c r="BQC1000">
        <v>-1127686</v>
      </c>
      <c r="BQD1000">
        <v>-4078764</v>
      </c>
      <c r="BQE1000">
        <v>-6972854</v>
      </c>
      <c r="BZV1000" t="s">
        <v>1370</v>
      </c>
      <c r="BZW1000" t="s">
        <v>619</v>
      </c>
      <c r="BZX1000" t="s">
        <v>619</v>
      </c>
      <c r="BZY1000">
        <v>-1127686</v>
      </c>
      <c r="BZZ1000">
        <v>-4078764</v>
      </c>
      <c r="CAA1000">
        <v>-6972854</v>
      </c>
      <c r="CJR1000" t="s">
        <v>1370</v>
      </c>
      <c r="CJS1000" t="s">
        <v>619</v>
      </c>
      <c r="CJT1000" t="s">
        <v>619</v>
      </c>
      <c r="CJU1000">
        <v>-1127686</v>
      </c>
      <c r="CJV1000">
        <v>-4078764</v>
      </c>
      <c r="CJW1000">
        <v>-6972854</v>
      </c>
      <c r="CTN1000" t="s">
        <v>1370</v>
      </c>
      <c r="CTO1000" t="s">
        <v>619</v>
      </c>
      <c r="CTP1000" t="s">
        <v>619</v>
      </c>
      <c r="CTQ1000">
        <v>-1127686</v>
      </c>
      <c r="CTR1000">
        <v>-4078764</v>
      </c>
      <c r="CTS1000">
        <v>-6972854</v>
      </c>
      <c r="DDJ1000" t="s">
        <v>1370</v>
      </c>
      <c r="DDK1000" t="s">
        <v>619</v>
      </c>
      <c r="DDL1000" t="s">
        <v>619</v>
      </c>
      <c r="DDM1000">
        <v>-1127686</v>
      </c>
      <c r="DDN1000">
        <v>-4078764</v>
      </c>
      <c r="DDO1000">
        <v>-6972854</v>
      </c>
      <c r="DNF1000" t="s">
        <v>1370</v>
      </c>
      <c r="DNG1000" t="s">
        <v>619</v>
      </c>
      <c r="DNH1000" t="s">
        <v>619</v>
      </c>
      <c r="DNI1000">
        <v>-1127686</v>
      </c>
      <c r="DNJ1000">
        <v>-4078764</v>
      </c>
      <c r="DNK1000">
        <v>-6972854</v>
      </c>
      <c r="DXB1000" t="s">
        <v>1370</v>
      </c>
      <c r="DXC1000" t="s">
        <v>619</v>
      </c>
      <c r="DXD1000" t="s">
        <v>619</v>
      </c>
      <c r="DXE1000">
        <v>-1127686</v>
      </c>
      <c r="DXF1000">
        <v>-4078764</v>
      </c>
      <c r="DXG1000">
        <v>-6972854</v>
      </c>
      <c r="EGX1000" t="s">
        <v>1370</v>
      </c>
      <c r="EGY1000" t="s">
        <v>619</v>
      </c>
      <c r="EGZ1000" t="s">
        <v>619</v>
      </c>
      <c r="EHA1000">
        <v>-1127686</v>
      </c>
      <c r="EHB1000">
        <v>-4078764</v>
      </c>
      <c r="EHC1000">
        <v>-6972854</v>
      </c>
      <c r="EQT1000" t="s">
        <v>1370</v>
      </c>
      <c r="EQU1000" t="s">
        <v>619</v>
      </c>
      <c r="EQV1000" t="s">
        <v>619</v>
      </c>
      <c r="EQW1000">
        <v>-1127686</v>
      </c>
      <c r="EQX1000">
        <v>-4078764</v>
      </c>
      <c r="EQY1000">
        <v>-6972854</v>
      </c>
      <c r="FAP1000" t="s">
        <v>1370</v>
      </c>
      <c r="FAQ1000" t="s">
        <v>619</v>
      </c>
      <c r="FAR1000" t="s">
        <v>619</v>
      </c>
      <c r="FAS1000">
        <v>-1127686</v>
      </c>
      <c r="FAT1000">
        <v>-4078764</v>
      </c>
      <c r="FAU1000">
        <v>-6972854</v>
      </c>
      <c r="FKL1000" t="s">
        <v>1370</v>
      </c>
      <c r="FKM1000" t="s">
        <v>619</v>
      </c>
      <c r="FKN1000" t="s">
        <v>619</v>
      </c>
      <c r="FKO1000">
        <v>-1127686</v>
      </c>
      <c r="FKP1000">
        <v>-4078764</v>
      </c>
      <c r="FKQ1000">
        <v>-6972854</v>
      </c>
      <c r="FUH1000" t="s">
        <v>1370</v>
      </c>
      <c r="FUI1000" t="s">
        <v>619</v>
      </c>
      <c r="FUJ1000" t="s">
        <v>619</v>
      </c>
      <c r="FUK1000">
        <v>-1127686</v>
      </c>
      <c r="FUL1000">
        <v>-4078764</v>
      </c>
      <c r="FUM1000">
        <v>-6972854</v>
      </c>
      <c r="GED1000" t="s">
        <v>1370</v>
      </c>
      <c r="GEE1000" t="s">
        <v>619</v>
      </c>
      <c r="GEF1000" t="s">
        <v>619</v>
      </c>
      <c r="GEG1000">
        <v>-1127686</v>
      </c>
      <c r="GEH1000">
        <v>-4078764</v>
      </c>
      <c r="GEI1000">
        <v>-6972854</v>
      </c>
      <c r="GNZ1000" t="s">
        <v>1370</v>
      </c>
      <c r="GOA1000" t="s">
        <v>619</v>
      </c>
      <c r="GOB1000" t="s">
        <v>619</v>
      </c>
      <c r="GOC1000">
        <v>-1127686</v>
      </c>
      <c r="GOD1000">
        <v>-4078764</v>
      </c>
      <c r="GOE1000">
        <v>-6972854</v>
      </c>
      <c r="GXV1000" t="s">
        <v>1370</v>
      </c>
      <c r="GXW1000" t="s">
        <v>619</v>
      </c>
      <c r="GXX1000" t="s">
        <v>619</v>
      </c>
      <c r="GXY1000">
        <v>-1127686</v>
      </c>
      <c r="GXZ1000">
        <v>-4078764</v>
      </c>
      <c r="GYA1000">
        <v>-6972854</v>
      </c>
      <c r="HHR1000" t="s">
        <v>1370</v>
      </c>
      <c r="HHS1000" t="s">
        <v>619</v>
      </c>
      <c r="HHT1000" t="s">
        <v>619</v>
      </c>
      <c r="HHU1000">
        <v>-1127686</v>
      </c>
      <c r="HHV1000">
        <v>-4078764</v>
      </c>
      <c r="HHW1000">
        <v>-6972854</v>
      </c>
      <c r="HRN1000" t="s">
        <v>1370</v>
      </c>
      <c r="HRO1000" t="s">
        <v>619</v>
      </c>
      <c r="HRP1000" t="s">
        <v>619</v>
      </c>
      <c r="HRQ1000">
        <v>-1127686</v>
      </c>
      <c r="HRR1000">
        <v>-4078764</v>
      </c>
      <c r="HRS1000">
        <v>-6972854</v>
      </c>
      <c r="IBJ1000" t="s">
        <v>1370</v>
      </c>
      <c r="IBK1000" t="s">
        <v>619</v>
      </c>
      <c r="IBL1000" t="s">
        <v>619</v>
      </c>
      <c r="IBM1000">
        <v>-1127686</v>
      </c>
      <c r="IBN1000">
        <v>-4078764</v>
      </c>
      <c r="IBO1000">
        <v>-6972854</v>
      </c>
      <c r="ILF1000" t="s">
        <v>1370</v>
      </c>
      <c r="ILG1000" t="s">
        <v>619</v>
      </c>
      <c r="ILH1000" t="s">
        <v>619</v>
      </c>
      <c r="ILI1000">
        <v>-1127686</v>
      </c>
      <c r="ILJ1000">
        <v>-4078764</v>
      </c>
      <c r="ILK1000">
        <v>-6972854</v>
      </c>
      <c r="IVB1000" t="s">
        <v>1370</v>
      </c>
      <c r="IVC1000" t="s">
        <v>619</v>
      </c>
      <c r="IVD1000" t="s">
        <v>619</v>
      </c>
      <c r="IVE1000">
        <v>-1127686</v>
      </c>
      <c r="IVF1000">
        <v>-4078764</v>
      </c>
      <c r="IVG1000">
        <v>-6972854</v>
      </c>
      <c r="JEX1000" t="s">
        <v>1370</v>
      </c>
      <c r="JEY1000" t="s">
        <v>619</v>
      </c>
      <c r="JEZ1000" t="s">
        <v>619</v>
      </c>
      <c r="JFA1000">
        <v>-1127686</v>
      </c>
      <c r="JFB1000">
        <v>-4078764</v>
      </c>
      <c r="JFC1000">
        <v>-6972854</v>
      </c>
      <c r="JOT1000" t="s">
        <v>1370</v>
      </c>
      <c r="JOU1000" t="s">
        <v>619</v>
      </c>
      <c r="JOV1000" t="s">
        <v>619</v>
      </c>
      <c r="JOW1000">
        <v>-1127686</v>
      </c>
      <c r="JOX1000">
        <v>-4078764</v>
      </c>
      <c r="JOY1000">
        <v>-6972854</v>
      </c>
      <c r="JYP1000" t="s">
        <v>1370</v>
      </c>
      <c r="JYQ1000" t="s">
        <v>619</v>
      </c>
      <c r="JYR1000" t="s">
        <v>619</v>
      </c>
      <c r="JYS1000">
        <v>-1127686</v>
      </c>
      <c r="JYT1000">
        <v>-4078764</v>
      </c>
      <c r="JYU1000">
        <v>-6972854</v>
      </c>
      <c r="KIL1000" t="s">
        <v>1370</v>
      </c>
      <c r="KIM1000" t="s">
        <v>619</v>
      </c>
      <c r="KIN1000" t="s">
        <v>619</v>
      </c>
      <c r="KIO1000">
        <v>-1127686</v>
      </c>
      <c r="KIP1000">
        <v>-4078764</v>
      </c>
      <c r="KIQ1000">
        <v>-6972854</v>
      </c>
      <c r="KSH1000" t="s">
        <v>1370</v>
      </c>
      <c r="KSI1000" t="s">
        <v>619</v>
      </c>
      <c r="KSJ1000" t="s">
        <v>619</v>
      </c>
      <c r="KSK1000">
        <v>-1127686</v>
      </c>
      <c r="KSL1000">
        <v>-4078764</v>
      </c>
      <c r="KSM1000">
        <v>-6972854</v>
      </c>
      <c r="LCD1000" t="s">
        <v>1370</v>
      </c>
      <c r="LCE1000" t="s">
        <v>619</v>
      </c>
      <c r="LCF1000" t="s">
        <v>619</v>
      </c>
      <c r="LCG1000">
        <v>-1127686</v>
      </c>
      <c r="LCH1000">
        <v>-4078764</v>
      </c>
      <c r="LCI1000">
        <v>-6972854</v>
      </c>
      <c r="LLZ1000" t="s">
        <v>1370</v>
      </c>
      <c r="LMA1000" t="s">
        <v>619</v>
      </c>
      <c r="LMB1000" t="s">
        <v>619</v>
      </c>
      <c r="LMC1000">
        <v>-1127686</v>
      </c>
      <c r="LMD1000">
        <v>-4078764</v>
      </c>
      <c r="LME1000">
        <v>-6972854</v>
      </c>
      <c r="LVV1000" t="s">
        <v>1370</v>
      </c>
      <c r="LVW1000" t="s">
        <v>619</v>
      </c>
      <c r="LVX1000" t="s">
        <v>619</v>
      </c>
      <c r="LVY1000">
        <v>-1127686</v>
      </c>
      <c r="LVZ1000">
        <v>-4078764</v>
      </c>
      <c r="LWA1000">
        <v>-6972854</v>
      </c>
      <c r="MFR1000" t="s">
        <v>1370</v>
      </c>
      <c r="MFS1000" t="s">
        <v>619</v>
      </c>
      <c r="MFT1000" t="s">
        <v>619</v>
      </c>
      <c r="MFU1000">
        <v>-1127686</v>
      </c>
      <c r="MFV1000">
        <v>-4078764</v>
      </c>
      <c r="MFW1000">
        <v>-6972854</v>
      </c>
      <c r="MPN1000" t="s">
        <v>1370</v>
      </c>
      <c r="MPO1000" t="s">
        <v>619</v>
      </c>
      <c r="MPP1000" t="s">
        <v>619</v>
      </c>
      <c r="MPQ1000">
        <v>-1127686</v>
      </c>
      <c r="MPR1000">
        <v>-4078764</v>
      </c>
      <c r="MPS1000">
        <v>-6972854</v>
      </c>
      <c r="MZJ1000" t="s">
        <v>1370</v>
      </c>
      <c r="MZK1000" t="s">
        <v>619</v>
      </c>
      <c r="MZL1000" t="s">
        <v>619</v>
      </c>
      <c r="MZM1000">
        <v>-1127686</v>
      </c>
      <c r="MZN1000">
        <v>-4078764</v>
      </c>
      <c r="MZO1000">
        <v>-6972854</v>
      </c>
      <c r="NJF1000" t="s">
        <v>1370</v>
      </c>
      <c r="NJG1000" t="s">
        <v>619</v>
      </c>
      <c r="NJH1000" t="s">
        <v>619</v>
      </c>
      <c r="NJI1000">
        <v>-1127686</v>
      </c>
      <c r="NJJ1000">
        <v>-4078764</v>
      </c>
      <c r="NJK1000">
        <v>-6972854</v>
      </c>
      <c r="NTB1000" t="s">
        <v>1370</v>
      </c>
      <c r="NTC1000" t="s">
        <v>619</v>
      </c>
      <c r="NTD1000" t="s">
        <v>619</v>
      </c>
      <c r="NTE1000">
        <v>-1127686</v>
      </c>
      <c r="NTF1000">
        <v>-4078764</v>
      </c>
      <c r="NTG1000">
        <v>-6972854</v>
      </c>
      <c r="OCX1000" t="s">
        <v>1370</v>
      </c>
      <c r="OCY1000" t="s">
        <v>619</v>
      </c>
      <c r="OCZ1000" t="s">
        <v>619</v>
      </c>
      <c r="ODA1000">
        <v>-1127686</v>
      </c>
      <c r="ODB1000">
        <v>-4078764</v>
      </c>
      <c r="ODC1000">
        <v>-6972854</v>
      </c>
      <c r="OMT1000" t="s">
        <v>1370</v>
      </c>
      <c r="OMU1000" t="s">
        <v>619</v>
      </c>
      <c r="OMV1000" t="s">
        <v>619</v>
      </c>
      <c r="OMW1000">
        <v>-1127686</v>
      </c>
      <c r="OMX1000">
        <v>-4078764</v>
      </c>
      <c r="OMY1000">
        <v>-6972854</v>
      </c>
      <c r="OWP1000" t="s">
        <v>1370</v>
      </c>
      <c r="OWQ1000" t="s">
        <v>619</v>
      </c>
      <c r="OWR1000" t="s">
        <v>619</v>
      </c>
      <c r="OWS1000">
        <v>-1127686</v>
      </c>
      <c r="OWT1000">
        <v>-4078764</v>
      </c>
      <c r="OWU1000">
        <v>-6972854</v>
      </c>
      <c r="PGL1000" t="s">
        <v>1370</v>
      </c>
      <c r="PGM1000" t="s">
        <v>619</v>
      </c>
      <c r="PGN1000" t="s">
        <v>619</v>
      </c>
      <c r="PGO1000">
        <v>-1127686</v>
      </c>
      <c r="PGP1000">
        <v>-4078764</v>
      </c>
      <c r="PGQ1000">
        <v>-6972854</v>
      </c>
      <c r="PQH1000" t="s">
        <v>1370</v>
      </c>
      <c r="PQI1000" t="s">
        <v>619</v>
      </c>
      <c r="PQJ1000" t="s">
        <v>619</v>
      </c>
      <c r="PQK1000">
        <v>-1127686</v>
      </c>
      <c r="PQL1000">
        <v>-4078764</v>
      </c>
      <c r="PQM1000">
        <v>-6972854</v>
      </c>
      <c r="QAD1000" t="s">
        <v>1370</v>
      </c>
      <c r="QAE1000" t="s">
        <v>619</v>
      </c>
      <c r="QAF1000" t="s">
        <v>619</v>
      </c>
      <c r="QAG1000">
        <v>-1127686</v>
      </c>
      <c r="QAH1000">
        <v>-4078764</v>
      </c>
      <c r="QAI1000">
        <v>-6972854</v>
      </c>
      <c r="QJZ1000" t="s">
        <v>1370</v>
      </c>
      <c r="QKA1000" t="s">
        <v>619</v>
      </c>
      <c r="QKB1000" t="s">
        <v>619</v>
      </c>
      <c r="QKC1000">
        <v>-1127686</v>
      </c>
      <c r="QKD1000">
        <v>-4078764</v>
      </c>
      <c r="QKE1000">
        <v>-6972854</v>
      </c>
      <c r="QTV1000" t="s">
        <v>1370</v>
      </c>
      <c r="QTW1000" t="s">
        <v>619</v>
      </c>
      <c r="QTX1000" t="s">
        <v>619</v>
      </c>
      <c r="QTY1000">
        <v>-1127686</v>
      </c>
      <c r="QTZ1000">
        <v>-4078764</v>
      </c>
      <c r="QUA1000">
        <v>-6972854</v>
      </c>
      <c r="RDR1000" t="s">
        <v>1370</v>
      </c>
      <c r="RDS1000" t="s">
        <v>619</v>
      </c>
      <c r="RDT1000" t="s">
        <v>619</v>
      </c>
      <c r="RDU1000">
        <v>-1127686</v>
      </c>
      <c r="RDV1000">
        <v>-4078764</v>
      </c>
      <c r="RDW1000">
        <v>-6972854</v>
      </c>
      <c r="RNN1000" t="s">
        <v>1370</v>
      </c>
      <c r="RNO1000" t="s">
        <v>619</v>
      </c>
      <c r="RNP1000" t="s">
        <v>619</v>
      </c>
      <c r="RNQ1000">
        <v>-1127686</v>
      </c>
      <c r="RNR1000">
        <v>-4078764</v>
      </c>
      <c r="RNS1000">
        <v>-6972854</v>
      </c>
      <c r="RXJ1000" t="s">
        <v>1370</v>
      </c>
      <c r="RXK1000" t="s">
        <v>619</v>
      </c>
      <c r="RXL1000" t="s">
        <v>619</v>
      </c>
      <c r="RXM1000">
        <v>-1127686</v>
      </c>
      <c r="RXN1000">
        <v>-4078764</v>
      </c>
      <c r="RXO1000">
        <v>-6972854</v>
      </c>
      <c r="SHF1000" t="s">
        <v>1370</v>
      </c>
      <c r="SHG1000" t="s">
        <v>619</v>
      </c>
      <c r="SHH1000" t="s">
        <v>619</v>
      </c>
      <c r="SHI1000">
        <v>-1127686</v>
      </c>
      <c r="SHJ1000">
        <v>-4078764</v>
      </c>
      <c r="SHK1000">
        <v>-6972854</v>
      </c>
      <c r="SRB1000" t="s">
        <v>1370</v>
      </c>
      <c r="SRC1000" t="s">
        <v>619</v>
      </c>
      <c r="SRD1000" t="s">
        <v>619</v>
      </c>
      <c r="SRE1000">
        <v>-1127686</v>
      </c>
      <c r="SRF1000">
        <v>-4078764</v>
      </c>
      <c r="SRG1000">
        <v>-6972854</v>
      </c>
      <c r="TAX1000" t="s">
        <v>1370</v>
      </c>
      <c r="TAY1000" t="s">
        <v>619</v>
      </c>
      <c r="TAZ1000" t="s">
        <v>619</v>
      </c>
      <c r="TBA1000">
        <v>-1127686</v>
      </c>
      <c r="TBB1000">
        <v>-4078764</v>
      </c>
      <c r="TBC1000">
        <v>-6972854</v>
      </c>
      <c r="TKT1000" t="s">
        <v>1370</v>
      </c>
      <c r="TKU1000" t="s">
        <v>619</v>
      </c>
      <c r="TKV1000" t="s">
        <v>619</v>
      </c>
      <c r="TKW1000">
        <v>-1127686</v>
      </c>
      <c r="TKX1000">
        <v>-4078764</v>
      </c>
      <c r="TKY1000">
        <v>-6972854</v>
      </c>
      <c r="TUP1000" t="s">
        <v>1370</v>
      </c>
      <c r="TUQ1000" t="s">
        <v>619</v>
      </c>
      <c r="TUR1000" t="s">
        <v>619</v>
      </c>
      <c r="TUS1000">
        <v>-1127686</v>
      </c>
      <c r="TUT1000">
        <v>-4078764</v>
      </c>
      <c r="TUU1000">
        <v>-6972854</v>
      </c>
      <c r="UEL1000" t="s">
        <v>1370</v>
      </c>
      <c r="UEM1000" t="s">
        <v>619</v>
      </c>
      <c r="UEN1000" t="s">
        <v>619</v>
      </c>
      <c r="UEO1000">
        <v>-1127686</v>
      </c>
      <c r="UEP1000">
        <v>-4078764</v>
      </c>
      <c r="UEQ1000">
        <v>-6972854</v>
      </c>
      <c r="UOH1000" t="s">
        <v>1370</v>
      </c>
      <c r="UOI1000" t="s">
        <v>619</v>
      </c>
      <c r="UOJ1000" t="s">
        <v>619</v>
      </c>
      <c r="UOK1000">
        <v>-1127686</v>
      </c>
      <c r="UOL1000">
        <v>-4078764</v>
      </c>
      <c r="UOM1000">
        <v>-6972854</v>
      </c>
      <c r="UYD1000" t="s">
        <v>1370</v>
      </c>
      <c r="UYE1000" t="s">
        <v>619</v>
      </c>
      <c r="UYF1000" t="s">
        <v>619</v>
      </c>
      <c r="UYG1000">
        <v>-1127686</v>
      </c>
      <c r="UYH1000">
        <v>-4078764</v>
      </c>
      <c r="UYI1000">
        <v>-6972854</v>
      </c>
      <c r="VHZ1000" t="s">
        <v>1370</v>
      </c>
      <c r="VIA1000" t="s">
        <v>619</v>
      </c>
      <c r="VIB1000" t="s">
        <v>619</v>
      </c>
      <c r="VIC1000">
        <v>-1127686</v>
      </c>
      <c r="VID1000">
        <v>-4078764</v>
      </c>
      <c r="VIE1000">
        <v>-6972854</v>
      </c>
      <c r="VRV1000" t="s">
        <v>1370</v>
      </c>
      <c r="VRW1000" t="s">
        <v>619</v>
      </c>
      <c r="VRX1000" t="s">
        <v>619</v>
      </c>
      <c r="VRY1000">
        <v>-1127686</v>
      </c>
      <c r="VRZ1000">
        <v>-4078764</v>
      </c>
      <c r="VSA1000">
        <v>-6972854</v>
      </c>
      <c r="WBR1000" t="s">
        <v>1370</v>
      </c>
      <c r="WBS1000" t="s">
        <v>619</v>
      </c>
      <c r="WBT1000" t="s">
        <v>619</v>
      </c>
      <c r="WBU1000">
        <v>-1127686</v>
      </c>
      <c r="WBV1000">
        <v>-4078764</v>
      </c>
      <c r="WBW1000">
        <v>-6972854</v>
      </c>
      <c r="WLN1000" t="s">
        <v>1370</v>
      </c>
      <c r="WLO1000" t="s">
        <v>619</v>
      </c>
      <c r="WLP1000" t="s">
        <v>619</v>
      </c>
      <c r="WLQ1000">
        <v>-1127686</v>
      </c>
      <c r="WLR1000">
        <v>-4078764</v>
      </c>
      <c r="WLS1000">
        <v>-6972854</v>
      </c>
      <c r="WVJ1000" t="s">
        <v>1370</v>
      </c>
      <c r="WVK1000" t="s">
        <v>619</v>
      </c>
      <c r="WVL1000" t="s">
        <v>619</v>
      </c>
      <c r="WVM1000">
        <v>-1127686</v>
      </c>
      <c r="WVN1000">
        <v>-4078764</v>
      </c>
      <c r="WVO1000">
        <v>-6972854</v>
      </c>
    </row>
    <row r="1001" spans="1:775 1026:1799 2050:2823 3074:3847 4098:4871 5122:5895 6146:6919 7170:7943 8194:8967 9218:9991 10242:11015 11266:12039 12290:13063 13314:14087 14338:15111 15362:16135" s="1302" customFormat="1">
      <c r="A1001" s="1796" t="s">
        <v>977</v>
      </c>
      <c r="B1001" s="1302" t="s">
        <v>807</v>
      </c>
      <c r="C1001" s="1797">
        <v>0</v>
      </c>
      <c r="D1001" s="1797">
        <v>0</v>
      </c>
      <c r="E1001" s="1798">
        <v>163072</v>
      </c>
      <c r="F1001" s="1798">
        <v>1126</v>
      </c>
      <c r="G1001" s="1798">
        <v>3622</v>
      </c>
      <c r="H1001" s="1798"/>
      <c r="IX1001" s="1302" t="s">
        <v>977</v>
      </c>
      <c r="IY1001" s="1302" t="s">
        <v>619</v>
      </c>
      <c r="IZ1001" s="1302" t="s">
        <v>619</v>
      </c>
      <c r="JA1001" s="1302">
        <v>163072</v>
      </c>
      <c r="JB1001" s="1302">
        <v>1126</v>
      </c>
      <c r="JC1001" s="1302">
        <v>3622</v>
      </c>
      <c r="ST1001" s="1302" t="s">
        <v>977</v>
      </c>
      <c r="SU1001" s="1302" t="s">
        <v>619</v>
      </c>
      <c r="SV1001" s="1302" t="s">
        <v>619</v>
      </c>
      <c r="SW1001" s="1302">
        <v>163072</v>
      </c>
      <c r="SX1001" s="1302">
        <v>1126</v>
      </c>
      <c r="SY1001" s="1302">
        <v>3622</v>
      </c>
      <c r="ACP1001" s="1302" t="s">
        <v>977</v>
      </c>
      <c r="ACQ1001" s="1302" t="s">
        <v>619</v>
      </c>
      <c r="ACR1001" s="1302" t="s">
        <v>619</v>
      </c>
      <c r="ACS1001" s="1302">
        <v>163072</v>
      </c>
      <c r="ACT1001" s="1302">
        <v>1126</v>
      </c>
      <c r="ACU1001" s="1302">
        <v>3622</v>
      </c>
      <c r="AML1001" s="1302" t="s">
        <v>977</v>
      </c>
      <c r="AMM1001" s="1302" t="s">
        <v>619</v>
      </c>
      <c r="AMN1001" s="1302" t="s">
        <v>619</v>
      </c>
      <c r="AMO1001" s="1302">
        <v>163072</v>
      </c>
      <c r="AMP1001" s="1302">
        <v>1126</v>
      </c>
      <c r="AMQ1001" s="1302">
        <v>3622</v>
      </c>
      <c r="AWH1001" s="1302" t="s">
        <v>977</v>
      </c>
      <c r="AWI1001" s="1302" t="s">
        <v>619</v>
      </c>
      <c r="AWJ1001" s="1302" t="s">
        <v>619</v>
      </c>
      <c r="AWK1001" s="1302">
        <v>163072</v>
      </c>
      <c r="AWL1001" s="1302">
        <v>1126</v>
      </c>
      <c r="AWM1001" s="1302">
        <v>3622</v>
      </c>
      <c r="BGD1001" s="1302" t="s">
        <v>977</v>
      </c>
      <c r="BGE1001" s="1302" t="s">
        <v>619</v>
      </c>
      <c r="BGF1001" s="1302" t="s">
        <v>619</v>
      </c>
      <c r="BGG1001" s="1302">
        <v>163072</v>
      </c>
      <c r="BGH1001" s="1302">
        <v>1126</v>
      </c>
      <c r="BGI1001" s="1302">
        <v>3622</v>
      </c>
      <c r="BPZ1001" s="1302" t="s">
        <v>977</v>
      </c>
      <c r="BQA1001" s="1302" t="s">
        <v>619</v>
      </c>
      <c r="BQB1001" s="1302" t="s">
        <v>619</v>
      </c>
      <c r="BQC1001" s="1302">
        <v>163072</v>
      </c>
      <c r="BQD1001" s="1302">
        <v>1126</v>
      </c>
      <c r="BQE1001" s="1302">
        <v>3622</v>
      </c>
      <c r="BZV1001" s="1302" t="s">
        <v>977</v>
      </c>
      <c r="BZW1001" s="1302" t="s">
        <v>619</v>
      </c>
      <c r="BZX1001" s="1302" t="s">
        <v>619</v>
      </c>
      <c r="BZY1001" s="1302">
        <v>163072</v>
      </c>
      <c r="BZZ1001" s="1302">
        <v>1126</v>
      </c>
      <c r="CAA1001" s="1302">
        <v>3622</v>
      </c>
      <c r="CJR1001" s="1302" t="s">
        <v>977</v>
      </c>
      <c r="CJS1001" s="1302" t="s">
        <v>619</v>
      </c>
      <c r="CJT1001" s="1302" t="s">
        <v>619</v>
      </c>
      <c r="CJU1001" s="1302">
        <v>163072</v>
      </c>
      <c r="CJV1001" s="1302">
        <v>1126</v>
      </c>
      <c r="CJW1001" s="1302">
        <v>3622</v>
      </c>
      <c r="CTN1001" s="1302" t="s">
        <v>977</v>
      </c>
      <c r="CTO1001" s="1302" t="s">
        <v>619</v>
      </c>
      <c r="CTP1001" s="1302" t="s">
        <v>619</v>
      </c>
      <c r="CTQ1001" s="1302">
        <v>163072</v>
      </c>
      <c r="CTR1001" s="1302">
        <v>1126</v>
      </c>
      <c r="CTS1001" s="1302">
        <v>3622</v>
      </c>
      <c r="DDJ1001" s="1302" t="s">
        <v>977</v>
      </c>
      <c r="DDK1001" s="1302" t="s">
        <v>619</v>
      </c>
      <c r="DDL1001" s="1302" t="s">
        <v>619</v>
      </c>
      <c r="DDM1001" s="1302">
        <v>163072</v>
      </c>
      <c r="DDN1001" s="1302">
        <v>1126</v>
      </c>
      <c r="DDO1001" s="1302">
        <v>3622</v>
      </c>
      <c r="DNF1001" s="1302" t="s">
        <v>977</v>
      </c>
      <c r="DNG1001" s="1302" t="s">
        <v>619</v>
      </c>
      <c r="DNH1001" s="1302" t="s">
        <v>619</v>
      </c>
      <c r="DNI1001" s="1302">
        <v>163072</v>
      </c>
      <c r="DNJ1001" s="1302">
        <v>1126</v>
      </c>
      <c r="DNK1001" s="1302">
        <v>3622</v>
      </c>
      <c r="DXB1001" s="1302" t="s">
        <v>977</v>
      </c>
      <c r="DXC1001" s="1302" t="s">
        <v>619</v>
      </c>
      <c r="DXD1001" s="1302" t="s">
        <v>619</v>
      </c>
      <c r="DXE1001" s="1302">
        <v>163072</v>
      </c>
      <c r="DXF1001" s="1302">
        <v>1126</v>
      </c>
      <c r="DXG1001" s="1302">
        <v>3622</v>
      </c>
      <c r="EGX1001" s="1302" t="s">
        <v>977</v>
      </c>
      <c r="EGY1001" s="1302" t="s">
        <v>619</v>
      </c>
      <c r="EGZ1001" s="1302" t="s">
        <v>619</v>
      </c>
      <c r="EHA1001" s="1302">
        <v>163072</v>
      </c>
      <c r="EHB1001" s="1302">
        <v>1126</v>
      </c>
      <c r="EHC1001" s="1302">
        <v>3622</v>
      </c>
      <c r="EQT1001" s="1302" t="s">
        <v>977</v>
      </c>
      <c r="EQU1001" s="1302" t="s">
        <v>619</v>
      </c>
      <c r="EQV1001" s="1302" t="s">
        <v>619</v>
      </c>
      <c r="EQW1001" s="1302">
        <v>163072</v>
      </c>
      <c r="EQX1001" s="1302">
        <v>1126</v>
      </c>
      <c r="EQY1001" s="1302">
        <v>3622</v>
      </c>
      <c r="FAP1001" s="1302" t="s">
        <v>977</v>
      </c>
      <c r="FAQ1001" s="1302" t="s">
        <v>619</v>
      </c>
      <c r="FAR1001" s="1302" t="s">
        <v>619</v>
      </c>
      <c r="FAS1001" s="1302">
        <v>163072</v>
      </c>
      <c r="FAT1001" s="1302">
        <v>1126</v>
      </c>
      <c r="FAU1001" s="1302">
        <v>3622</v>
      </c>
      <c r="FKL1001" s="1302" t="s">
        <v>977</v>
      </c>
      <c r="FKM1001" s="1302" t="s">
        <v>619</v>
      </c>
      <c r="FKN1001" s="1302" t="s">
        <v>619</v>
      </c>
      <c r="FKO1001" s="1302">
        <v>163072</v>
      </c>
      <c r="FKP1001" s="1302">
        <v>1126</v>
      </c>
      <c r="FKQ1001" s="1302">
        <v>3622</v>
      </c>
      <c r="FUH1001" s="1302" t="s">
        <v>977</v>
      </c>
      <c r="FUI1001" s="1302" t="s">
        <v>619</v>
      </c>
      <c r="FUJ1001" s="1302" t="s">
        <v>619</v>
      </c>
      <c r="FUK1001" s="1302">
        <v>163072</v>
      </c>
      <c r="FUL1001" s="1302">
        <v>1126</v>
      </c>
      <c r="FUM1001" s="1302">
        <v>3622</v>
      </c>
      <c r="GED1001" s="1302" t="s">
        <v>977</v>
      </c>
      <c r="GEE1001" s="1302" t="s">
        <v>619</v>
      </c>
      <c r="GEF1001" s="1302" t="s">
        <v>619</v>
      </c>
      <c r="GEG1001" s="1302">
        <v>163072</v>
      </c>
      <c r="GEH1001" s="1302">
        <v>1126</v>
      </c>
      <c r="GEI1001" s="1302">
        <v>3622</v>
      </c>
      <c r="GNZ1001" s="1302" t="s">
        <v>977</v>
      </c>
      <c r="GOA1001" s="1302" t="s">
        <v>619</v>
      </c>
      <c r="GOB1001" s="1302" t="s">
        <v>619</v>
      </c>
      <c r="GOC1001" s="1302">
        <v>163072</v>
      </c>
      <c r="GOD1001" s="1302">
        <v>1126</v>
      </c>
      <c r="GOE1001" s="1302">
        <v>3622</v>
      </c>
      <c r="GXV1001" s="1302" t="s">
        <v>977</v>
      </c>
      <c r="GXW1001" s="1302" t="s">
        <v>619</v>
      </c>
      <c r="GXX1001" s="1302" t="s">
        <v>619</v>
      </c>
      <c r="GXY1001" s="1302">
        <v>163072</v>
      </c>
      <c r="GXZ1001" s="1302">
        <v>1126</v>
      </c>
      <c r="GYA1001" s="1302">
        <v>3622</v>
      </c>
      <c r="HHR1001" s="1302" t="s">
        <v>977</v>
      </c>
      <c r="HHS1001" s="1302" t="s">
        <v>619</v>
      </c>
      <c r="HHT1001" s="1302" t="s">
        <v>619</v>
      </c>
      <c r="HHU1001" s="1302">
        <v>163072</v>
      </c>
      <c r="HHV1001" s="1302">
        <v>1126</v>
      </c>
      <c r="HHW1001" s="1302">
        <v>3622</v>
      </c>
      <c r="HRN1001" s="1302" t="s">
        <v>977</v>
      </c>
      <c r="HRO1001" s="1302" t="s">
        <v>619</v>
      </c>
      <c r="HRP1001" s="1302" t="s">
        <v>619</v>
      </c>
      <c r="HRQ1001" s="1302">
        <v>163072</v>
      </c>
      <c r="HRR1001" s="1302">
        <v>1126</v>
      </c>
      <c r="HRS1001" s="1302">
        <v>3622</v>
      </c>
      <c r="IBJ1001" s="1302" t="s">
        <v>977</v>
      </c>
      <c r="IBK1001" s="1302" t="s">
        <v>619</v>
      </c>
      <c r="IBL1001" s="1302" t="s">
        <v>619</v>
      </c>
      <c r="IBM1001" s="1302">
        <v>163072</v>
      </c>
      <c r="IBN1001" s="1302">
        <v>1126</v>
      </c>
      <c r="IBO1001" s="1302">
        <v>3622</v>
      </c>
      <c r="ILF1001" s="1302" t="s">
        <v>977</v>
      </c>
      <c r="ILG1001" s="1302" t="s">
        <v>619</v>
      </c>
      <c r="ILH1001" s="1302" t="s">
        <v>619</v>
      </c>
      <c r="ILI1001" s="1302">
        <v>163072</v>
      </c>
      <c r="ILJ1001" s="1302">
        <v>1126</v>
      </c>
      <c r="ILK1001" s="1302">
        <v>3622</v>
      </c>
      <c r="IVB1001" s="1302" t="s">
        <v>977</v>
      </c>
      <c r="IVC1001" s="1302" t="s">
        <v>619</v>
      </c>
      <c r="IVD1001" s="1302" t="s">
        <v>619</v>
      </c>
      <c r="IVE1001" s="1302">
        <v>163072</v>
      </c>
      <c r="IVF1001" s="1302">
        <v>1126</v>
      </c>
      <c r="IVG1001" s="1302">
        <v>3622</v>
      </c>
      <c r="JEX1001" s="1302" t="s">
        <v>977</v>
      </c>
      <c r="JEY1001" s="1302" t="s">
        <v>619</v>
      </c>
      <c r="JEZ1001" s="1302" t="s">
        <v>619</v>
      </c>
      <c r="JFA1001" s="1302">
        <v>163072</v>
      </c>
      <c r="JFB1001" s="1302">
        <v>1126</v>
      </c>
      <c r="JFC1001" s="1302">
        <v>3622</v>
      </c>
      <c r="JOT1001" s="1302" t="s">
        <v>977</v>
      </c>
      <c r="JOU1001" s="1302" t="s">
        <v>619</v>
      </c>
      <c r="JOV1001" s="1302" t="s">
        <v>619</v>
      </c>
      <c r="JOW1001" s="1302">
        <v>163072</v>
      </c>
      <c r="JOX1001" s="1302">
        <v>1126</v>
      </c>
      <c r="JOY1001" s="1302">
        <v>3622</v>
      </c>
      <c r="JYP1001" s="1302" t="s">
        <v>977</v>
      </c>
      <c r="JYQ1001" s="1302" t="s">
        <v>619</v>
      </c>
      <c r="JYR1001" s="1302" t="s">
        <v>619</v>
      </c>
      <c r="JYS1001" s="1302">
        <v>163072</v>
      </c>
      <c r="JYT1001" s="1302">
        <v>1126</v>
      </c>
      <c r="JYU1001" s="1302">
        <v>3622</v>
      </c>
      <c r="KIL1001" s="1302" t="s">
        <v>977</v>
      </c>
      <c r="KIM1001" s="1302" t="s">
        <v>619</v>
      </c>
      <c r="KIN1001" s="1302" t="s">
        <v>619</v>
      </c>
      <c r="KIO1001" s="1302">
        <v>163072</v>
      </c>
      <c r="KIP1001" s="1302">
        <v>1126</v>
      </c>
      <c r="KIQ1001" s="1302">
        <v>3622</v>
      </c>
      <c r="KSH1001" s="1302" t="s">
        <v>977</v>
      </c>
      <c r="KSI1001" s="1302" t="s">
        <v>619</v>
      </c>
      <c r="KSJ1001" s="1302" t="s">
        <v>619</v>
      </c>
      <c r="KSK1001" s="1302">
        <v>163072</v>
      </c>
      <c r="KSL1001" s="1302">
        <v>1126</v>
      </c>
      <c r="KSM1001" s="1302">
        <v>3622</v>
      </c>
      <c r="LCD1001" s="1302" t="s">
        <v>977</v>
      </c>
      <c r="LCE1001" s="1302" t="s">
        <v>619</v>
      </c>
      <c r="LCF1001" s="1302" t="s">
        <v>619</v>
      </c>
      <c r="LCG1001" s="1302">
        <v>163072</v>
      </c>
      <c r="LCH1001" s="1302">
        <v>1126</v>
      </c>
      <c r="LCI1001" s="1302">
        <v>3622</v>
      </c>
      <c r="LLZ1001" s="1302" t="s">
        <v>977</v>
      </c>
      <c r="LMA1001" s="1302" t="s">
        <v>619</v>
      </c>
      <c r="LMB1001" s="1302" t="s">
        <v>619</v>
      </c>
      <c r="LMC1001" s="1302">
        <v>163072</v>
      </c>
      <c r="LMD1001" s="1302">
        <v>1126</v>
      </c>
      <c r="LME1001" s="1302">
        <v>3622</v>
      </c>
      <c r="LVV1001" s="1302" t="s">
        <v>977</v>
      </c>
      <c r="LVW1001" s="1302" t="s">
        <v>619</v>
      </c>
      <c r="LVX1001" s="1302" t="s">
        <v>619</v>
      </c>
      <c r="LVY1001" s="1302">
        <v>163072</v>
      </c>
      <c r="LVZ1001" s="1302">
        <v>1126</v>
      </c>
      <c r="LWA1001" s="1302">
        <v>3622</v>
      </c>
      <c r="MFR1001" s="1302" t="s">
        <v>977</v>
      </c>
      <c r="MFS1001" s="1302" t="s">
        <v>619</v>
      </c>
      <c r="MFT1001" s="1302" t="s">
        <v>619</v>
      </c>
      <c r="MFU1001" s="1302">
        <v>163072</v>
      </c>
      <c r="MFV1001" s="1302">
        <v>1126</v>
      </c>
      <c r="MFW1001" s="1302">
        <v>3622</v>
      </c>
      <c r="MPN1001" s="1302" t="s">
        <v>977</v>
      </c>
      <c r="MPO1001" s="1302" t="s">
        <v>619</v>
      </c>
      <c r="MPP1001" s="1302" t="s">
        <v>619</v>
      </c>
      <c r="MPQ1001" s="1302">
        <v>163072</v>
      </c>
      <c r="MPR1001" s="1302">
        <v>1126</v>
      </c>
      <c r="MPS1001" s="1302">
        <v>3622</v>
      </c>
      <c r="MZJ1001" s="1302" t="s">
        <v>977</v>
      </c>
      <c r="MZK1001" s="1302" t="s">
        <v>619</v>
      </c>
      <c r="MZL1001" s="1302" t="s">
        <v>619</v>
      </c>
      <c r="MZM1001" s="1302">
        <v>163072</v>
      </c>
      <c r="MZN1001" s="1302">
        <v>1126</v>
      </c>
      <c r="MZO1001" s="1302">
        <v>3622</v>
      </c>
      <c r="NJF1001" s="1302" t="s">
        <v>977</v>
      </c>
      <c r="NJG1001" s="1302" t="s">
        <v>619</v>
      </c>
      <c r="NJH1001" s="1302" t="s">
        <v>619</v>
      </c>
      <c r="NJI1001" s="1302">
        <v>163072</v>
      </c>
      <c r="NJJ1001" s="1302">
        <v>1126</v>
      </c>
      <c r="NJK1001" s="1302">
        <v>3622</v>
      </c>
      <c r="NTB1001" s="1302" t="s">
        <v>977</v>
      </c>
      <c r="NTC1001" s="1302" t="s">
        <v>619</v>
      </c>
      <c r="NTD1001" s="1302" t="s">
        <v>619</v>
      </c>
      <c r="NTE1001" s="1302">
        <v>163072</v>
      </c>
      <c r="NTF1001" s="1302">
        <v>1126</v>
      </c>
      <c r="NTG1001" s="1302">
        <v>3622</v>
      </c>
      <c r="OCX1001" s="1302" t="s">
        <v>977</v>
      </c>
      <c r="OCY1001" s="1302" t="s">
        <v>619</v>
      </c>
      <c r="OCZ1001" s="1302" t="s">
        <v>619</v>
      </c>
      <c r="ODA1001" s="1302">
        <v>163072</v>
      </c>
      <c r="ODB1001" s="1302">
        <v>1126</v>
      </c>
      <c r="ODC1001" s="1302">
        <v>3622</v>
      </c>
      <c r="OMT1001" s="1302" t="s">
        <v>977</v>
      </c>
      <c r="OMU1001" s="1302" t="s">
        <v>619</v>
      </c>
      <c r="OMV1001" s="1302" t="s">
        <v>619</v>
      </c>
      <c r="OMW1001" s="1302">
        <v>163072</v>
      </c>
      <c r="OMX1001" s="1302">
        <v>1126</v>
      </c>
      <c r="OMY1001" s="1302">
        <v>3622</v>
      </c>
      <c r="OWP1001" s="1302" t="s">
        <v>977</v>
      </c>
      <c r="OWQ1001" s="1302" t="s">
        <v>619</v>
      </c>
      <c r="OWR1001" s="1302" t="s">
        <v>619</v>
      </c>
      <c r="OWS1001" s="1302">
        <v>163072</v>
      </c>
      <c r="OWT1001" s="1302">
        <v>1126</v>
      </c>
      <c r="OWU1001" s="1302">
        <v>3622</v>
      </c>
      <c r="PGL1001" s="1302" t="s">
        <v>977</v>
      </c>
      <c r="PGM1001" s="1302" t="s">
        <v>619</v>
      </c>
      <c r="PGN1001" s="1302" t="s">
        <v>619</v>
      </c>
      <c r="PGO1001" s="1302">
        <v>163072</v>
      </c>
      <c r="PGP1001" s="1302">
        <v>1126</v>
      </c>
      <c r="PGQ1001" s="1302">
        <v>3622</v>
      </c>
      <c r="PQH1001" s="1302" t="s">
        <v>977</v>
      </c>
      <c r="PQI1001" s="1302" t="s">
        <v>619</v>
      </c>
      <c r="PQJ1001" s="1302" t="s">
        <v>619</v>
      </c>
      <c r="PQK1001" s="1302">
        <v>163072</v>
      </c>
      <c r="PQL1001" s="1302">
        <v>1126</v>
      </c>
      <c r="PQM1001" s="1302">
        <v>3622</v>
      </c>
      <c r="QAD1001" s="1302" t="s">
        <v>977</v>
      </c>
      <c r="QAE1001" s="1302" t="s">
        <v>619</v>
      </c>
      <c r="QAF1001" s="1302" t="s">
        <v>619</v>
      </c>
      <c r="QAG1001" s="1302">
        <v>163072</v>
      </c>
      <c r="QAH1001" s="1302">
        <v>1126</v>
      </c>
      <c r="QAI1001" s="1302">
        <v>3622</v>
      </c>
      <c r="QJZ1001" s="1302" t="s">
        <v>977</v>
      </c>
      <c r="QKA1001" s="1302" t="s">
        <v>619</v>
      </c>
      <c r="QKB1001" s="1302" t="s">
        <v>619</v>
      </c>
      <c r="QKC1001" s="1302">
        <v>163072</v>
      </c>
      <c r="QKD1001" s="1302">
        <v>1126</v>
      </c>
      <c r="QKE1001" s="1302">
        <v>3622</v>
      </c>
      <c r="QTV1001" s="1302" t="s">
        <v>977</v>
      </c>
      <c r="QTW1001" s="1302" t="s">
        <v>619</v>
      </c>
      <c r="QTX1001" s="1302" t="s">
        <v>619</v>
      </c>
      <c r="QTY1001" s="1302">
        <v>163072</v>
      </c>
      <c r="QTZ1001" s="1302">
        <v>1126</v>
      </c>
      <c r="QUA1001" s="1302">
        <v>3622</v>
      </c>
      <c r="RDR1001" s="1302" t="s">
        <v>977</v>
      </c>
      <c r="RDS1001" s="1302" t="s">
        <v>619</v>
      </c>
      <c r="RDT1001" s="1302" t="s">
        <v>619</v>
      </c>
      <c r="RDU1001" s="1302">
        <v>163072</v>
      </c>
      <c r="RDV1001" s="1302">
        <v>1126</v>
      </c>
      <c r="RDW1001" s="1302">
        <v>3622</v>
      </c>
      <c r="RNN1001" s="1302" t="s">
        <v>977</v>
      </c>
      <c r="RNO1001" s="1302" t="s">
        <v>619</v>
      </c>
      <c r="RNP1001" s="1302" t="s">
        <v>619</v>
      </c>
      <c r="RNQ1001" s="1302">
        <v>163072</v>
      </c>
      <c r="RNR1001" s="1302">
        <v>1126</v>
      </c>
      <c r="RNS1001" s="1302">
        <v>3622</v>
      </c>
      <c r="RXJ1001" s="1302" t="s">
        <v>977</v>
      </c>
      <c r="RXK1001" s="1302" t="s">
        <v>619</v>
      </c>
      <c r="RXL1001" s="1302" t="s">
        <v>619</v>
      </c>
      <c r="RXM1001" s="1302">
        <v>163072</v>
      </c>
      <c r="RXN1001" s="1302">
        <v>1126</v>
      </c>
      <c r="RXO1001" s="1302">
        <v>3622</v>
      </c>
      <c r="SHF1001" s="1302" t="s">
        <v>977</v>
      </c>
      <c r="SHG1001" s="1302" t="s">
        <v>619</v>
      </c>
      <c r="SHH1001" s="1302" t="s">
        <v>619</v>
      </c>
      <c r="SHI1001" s="1302">
        <v>163072</v>
      </c>
      <c r="SHJ1001" s="1302">
        <v>1126</v>
      </c>
      <c r="SHK1001" s="1302">
        <v>3622</v>
      </c>
      <c r="SRB1001" s="1302" t="s">
        <v>977</v>
      </c>
      <c r="SRC1001" s="1302" t="s">
        <v>619</v>
      </c>
      <c r="SRD1001" s="1302" t="s">
        <v>619</v>
      </c>
      <c r="SRE1001" s="1302">
        <v>163072</v>
      </c>
      <c r="SRF1001" s="1302">
        <v>1126</v>
      </c>
      <c r="SRG1001" s="1302">
        <v>3622</v>
      </c>
      <c r="TAX1001" s="1302" t="s">
        <v>977</v>
      </c>
      <c r="TAY1001" s="1302" t="s">
        <v>619</v>
      </c>
      <c r="TAZ1001" s="1302" t="s">
        <v>619</v>
      </c>
      <c r="TBA1001" s="1302">
        <v>163072</v>
      </c>
      <c r="TBB1001" s="1302">
        <v>1126</v>
      </c>
      <c r="TBC1001" s="1302">
        <v>3622</v>
      </c>
      <c r="TKT1001" s="1302" t="s">
        <v>977</v>
      </c>
      <c r="TKU1001" s="1302" t="s">
        <v>619</v>
      </c>
      <c r="TKV1001" s="1302" t="s">
        <v>619</v>
      </c>
      <c r="TKW1001" s="1302">
        <v>163072</v>
      </c>
      <c r="TKX1001" s="1302">
        <v>1126</v>
      </c>
      <c r="TKY1001" s="1302">
        <v>3622</v>
      </c>
      <c r="TUP1001" s="1302" t="s">
        <v>977</v>
      </c>
      <c r="TUQ1001" s="1302" t="s">
        <v>619</v>
      </c>
      <c r="TUR1001" s="1302" t="s">
        <v>619</v>
      </c>
      <c r="TUS1001" s="1302">
        <v>163072</v>
      </c>
      <c r="TUT1001" s="1302">
        <v>1126</v>
      </c>
      <c r="TUU1001" s="1302">
        <v>3622</v>
      </c>
      <c r="UEL1001" s="1302" t="s">
        <v>977</v>
      </c>
      <c r="UEM1001" s="1302" t="s">
        <v>619</v>
      </c>
      <c r="UEN1001" s="1302" t="s">
        <v>619</v>
      </c>
      <c r="UEO1001" s="1302">
        <v>163072</v>
      </c>
      <c r="UEP1001" s="1302">
        <v>1126</v>
      </c>
      <c r="UEQ1001" s="1302">
        <v>3622</v>
      </c>
      <c r="UOH1001" s="1302" t="s">
        <v>977</v>
      </c>
      <c r="UOI1001" s="1302" t="s">
        <v>619</v>
      </c>
      <c r="UOJ1001" s="1302" t="s">
        <v>619</v>
      </c>
      <c r="UOK1001" s="1302">
        <v>163072</v>
      </c>
      <c r="UOL1001" s="1302">
        <v>1126</v>
      </c>
      <c r="UOM1001" s="1302">
        <v>3622</v>
      </c>
      <c r="UYD1001" s="1302" t="s">
        <v>977</v>
      </c>
      <c r="UYE1001" s="1302" t="s">
        <v>619</v>
      </c>
      <c r="UYF1001" s="1302" t="s">
        <v>619</v>
      </c>
      <c r="UYG1001" s="1302">
        <v>163072</v>
      </c>
      <c r="UYH1001" s="1302">
        <v>1126</v>
      </c>
      <c r="UYI1001" s="1302">
        <v>3622</v>
      </c>
      <c r="VHZ1001" s="1302" t="s">
        <v>977</v>
      </c>
      <c r="VIA1001" s="1302" t="s">
        <v>619</v>
      </c>
      <c r="VIB1001" s="1302" t="s">
        <v>619</v>
      </c>
      <c r="VIC1001" s="1302">
        <v>163072</v>
      </c>
      <c r="VID1001" s="1302">
        <v>1126</v>
      </c>
      <c r="VIE1001" s="1302">
        <v>3622</v>
      </c>
      <c r="VRV1001" s="1302" t="s">
        <v>977</v>
      </c>
      <c r="VRW1001" s="1302" t="s">
        <v>619</v>
      </c>
      <c r="VRX1001" s="1302" t="s">
        <v>619</v>
      </c>
      <c r="VRY1001" s="1302">
        <v>163072</v>
      </c>
      <c r="VRZ1001" s="1302">
        <v>1126</v>
      </c>
      <c r="VSA1001" s="1302">
        <v>3622</v>
      </c>
      <c r="WBR1001" s="1302" t="s">
        <v>977</v>
      </c>
      <c r="WBS1001" s="1302" t="s">
        <v>619</v>
      </c>
      <c r="WBT1001" s="1302" t="s">
        <v>619</v>
      </c>
      <c r="WBU1001" s="1302">
        <v>163072</v>
      </c>
      <c r="WBV1001" s="1302">
        <v>1126</v>
      </c>
      <c r="WBW1001" s="1302">
        <v>3622</v>
      </c>
      <c r="WLN1001" s="1302" t="s">
        <v>977</v>
      </c>
      <c r="WLO1001" s="1302" t="s">
        <v>619</v>
      </c>
      <c r="WLP1001" s="1302" t="s">
        <v>619</v>
      </c>
      <c r="WLQ1001" s="1302">
        <v>163072</v>
      </c>
      <c r="WLR1001" s="1302">
        <v>1126</v>
      </c>
      <c r="WLS1001" s="1302">
        <v>3622</v>
      </c>
      <c r="WVJ1001" s="1302" t="s">
        <v>977</v>
      </c>
      <c r="WVK1001" s="1302" t="s">
        <v>619</v>
      </c>
      <c r="WVL1001" s="1302" t="s">
        <v>619</v>
      </c>
      <c r="WVM1001" s="1302">
        <v>163072</v>
      </c>
      <c r="WVN1001" s="1302">
        <v>1126</v>
      </c>
      <c r="WVO1001" s="1302">
        <v>3622</v>
      </c>
    </row>
    <row r="1002" spans="1:775 1026:1799 2050:2823 3074:3847 4098:4871 5122:5895 6146:6919 7170:7943 8194:8967 9218:9991 10242:11015 11266:12039 12290:13063 13314:14087 14338:15111 15362:16135" s="1302" customFormat="1">
      <c r="A1002" s="1796" t="s">
        <v>1371</v>
      </c>
      <c r="B1002" s="1302" t="s">
        <v>807</v>
      </c>
      <c r="C1002" s="1798">
        <v>2936000</v>
      </c>
      <c r="D1002" s="1798">
        <v>7246465</v>
      </c>
      <c r="E1002" s="1798">
        <v>3738490</v>
      </c>
      <c r="F1002" s="1798">
        <v>101121723</v>
      </c>
      <c r="G1002" s="1798">
        <v>106658218</v>
      </c>
      <c r="H1002" s="1798"/>
      <c r="IX1002" s="1302" t="s">
        <v>1371</v>
      </c>
      <c r="IY1002" s="1302">
        <v>2936000</v>
      </c>
      <c r="IZ1002" s="1302">
        <v>7246465</v>
      </c>
      <c r="JA1002" s="1302">
        <v>3738490</v>
      </c>
      <c r="JB1002" s="1302">
        <v>101121723</v>
      </c>
      <c r="JC1002" s="1302">
        <v>106658218</v>
      </c>
      <c r="ST1002" s="1302" t="s">
        <v>1371</v>
      </c>
      <c r="SU1002" s="1302">
        <v>2936000</v>
      </c>
      <c r="SV1002" s="1302">
        <v>7246465</v>
      </c>
      <c r="SW1002" s="1302">
        <v>3738490</v>
      </c>
      <c r="SX1002" s="1302">
        <v>101121723</v>
      </c>
      <c r="SY1002" s="1302">
        <v>106658218</v>
      </c>
      <c r="ACP1002" s="1302" t="s">
        <v>1371</v>
      </c>
      <c r="ACQ1002" s="1302">
        <v>2936000</v>
      </c>
      <c r="ACR1002" s="1302">
        <v>7246465</v>
      </c>
      <c r="ACS1002" s="1302">
        <v>3738490</v>
      </c>
      <c r="ACT1002" s="1302">
        <v>101121723</v>
      </c>
      <c r="ACU1002" s="1302">
        <v>106658218</v>
      </c>
      <c r="AML1002" s="1302" t="s">
        <v>1371</v>
      </c>
      <c r="AMM1002" s="1302">
        <v>2936000</v>
      </c>
      <c r="AMN1002" s="1302">
        <v>7246465</v>
      </c>
      <c r="AMO1002" s="1302">
        <v>3738490</v>
      </c>
      <c r="AMP1002" s="1302">
        <v>101121723</v>
      </c>
      <c r="AMQ1002" s="1302">
        <v>106658218</v>
      </c>
      <c r="AWH1002" s="1302" t="s">
        <v>1371</v>
      </c>
      <c r="AWI1002" s="1302">
        <v>2936000</v>
      </c>
      <c r="AWJ1002" s="1302">
        <v>7246465</v>
      </c>
      <c r="AWK1002" s="1302">
        <v>3738490</v>
      </c>
      <c r="AWL1002" s="1302">
        <v>101121723</v>
      </c>
      <c r="AWM1002" s="1302">
        <v>106658218</v>
      </c>
      <c r="BGD1002" s="1302" t="s">
        <v>1371</v>
      </c>
      <c r="BGE1002" s="1302">
        <v>2936000</v>
      </c>
      <c r="BGF1002" s="1302">
        <v>7246465</v>
      </c>
      <c r="BGG1002" s="1302">
        <v>3738490</v>
      </c>
      <c r="BGH1002" s="1302">
        <v>101121723</v>
      </c>
      <c r="BGI1002" s="1302">
        <v>106658218</v>
      </c>
      <c r="BPZ1002" s="1302" t="s">
        <v>1371</v>
      </c>
      <c r="BQA1002" s="1302">
        <v>2936000</v>
      </c>
      <c r="BQB1002" s="1302">
        <v>7246465</v>
      </c>
      <c r="BQC1002" s="1302">
        <v>3738490</v>
      </c>
      <c r="BQD1002" s="1302">
        <v>101121723</v>
      </c>
      <c r="BQE1002" s="1302">
        <v>106658218</v>
      </c>
      <c r="BZV1002" s="1302" t="s">
        <v>1371</v>
      </c>
      <c r="BZW1002" s="1302">
        <v>2936000</v>
      </c>
      <c r="BZX1002" s="1302">
        <v>7246465</v>
      </c>
      <c r="BZY1002" s="1302">
        <v>3738490</v>
      </c>
      <c r="BZZ1002" s="1302">
        <v>101121723</v>
      </c>
      <c r="CAA1002" s="1302">
        <v>106658218</v>
      </c>
      <c r="CJR1002" s="1302" t="s">
        <v>1371</v>
      </c>
      <c r="CJS1002" s="1302">
        <v>2936000</v>
      </c>
      <c r="CJT1002" s="1302">
        <v>7246465</v>
      </c>
      <c r="CJU1002" s="1302">
        <v>3738490</v>
      </c>
      <c r="CJV1002" s="1302">
        <v>101121723</v>
      </c>
      <c r="CJW1002" s="1302">
        <v>106658218</v>
      </c>
      <c r="CTN1002" s="1302" t="s">
        <v>1371</v>
      </c>
      <c r="CTO1002" s="1302">
        <v>2936000</v>
      </c>
      <c r="CTP1002" s="1302">
        <v>7246465</v>
      </c>
      <c r="CTQ1002" s="1302">
        <v>3738490</v>
      </c>
      <c r="CTR1002" s="1302">
        <v>101121723</v>
      </c>
      <c r="CTS1002" s="1302">
        <v>106658218</v>
      </c>
      <c r="DDJ1002" s="1302" t="s">
        <v>1371</v>
      </c>
      <c r="DDK1002" s="1302">
        <v>2936000</v>
      </c>
      <c r="DDL1002" s="1302">
        <v>7246465</v>
      </c>
      <c r="DDM1002" s="1302">
        <v>3738490</v>
      </c>
      <c r="DDN1002" s="1302">
        <v>101121723</v>
      </c>
      <c r="DDO1002" s="1302">
        <v>106658218</v>
      </c>
      <c r="DNF1002" s="1302" t="s">
        <v>1371</v>
      </c>
      <c r="DNG1002" s="1302">
        <v>2936000</v>
      </c>
      <c r="DNH1002" s="1302">
        <v>7246465</v>
      </c>
      <c r="DNI1002" s="1302">
        <v>3738490</v>
      </c>
      <c r="DNJ1002" s="1302">
        <v>101121723</v>
      </c>
      <c r="DNK1002" s="1302">
        <v>106658218</v>
      </c>
      <c r="DXB1002" s="1302" t="s">
        <v>1371</v>
      </c>
      <c r="DXC1002" s="1302">
        <v>2936000</v>
      </c>
      <c r="DXD1002" s="1302">
        <v>7246465</v>
      </c>
      <c r="DXE1002" s="1302">
        <v>3738490</v>
      </c>
      <c r="DXF1002" s="1302">
        <v>101121723</v>
      </c>
      <c r="DXG1002" s="1302">
        <v>106658218</v>
      </c>
      <c r="EGX1002" s="1302" t="s">
        <v>1371</v>
      </c>
      <c r="EGY1002" s="1302">
        <v>2936000</v>
      </c>
      <c r="EGZ1002" s="1302">
        <v>7246465</v>
      </c>
      <c r="EHA1002" s="1302">
        <v>3738490</v>
      </c>
      <c r="EHB1002" s="1302">
        <v>101121723</v>
      </c>
      <c r="EHC1002" s="1302">
        <v>106658218</v>
      </c>
      <c r="EQT1002" s="1302" t="s">
        <v>1371</v>
      </c>
      <c r="EQU1002" s="1302">
        <v>2936000</v>
      </c>
      <c r="EQV1002" s="1302">
        <v>7246465</v>
      </c>
      <c r="EQW1002" s="1302">
        <v>3738490</v>
      </c>
      <c r="EQX1002" s="1302">
        <v>101121723</v>
      </c>
      <c r="EQY1002" s="1302">
        <v>106658218</v>
      </c>
      <c r="FAP1002" s="1302" t="s">
        <v>1371</v>
      </c>
      <c r="FAQ1002" s="1302">
        <v>2936000</v>
      </c>
      <c r="FAR1002" s="1302">
        <v>7246465</v>
      </c>
      <c r="FAS1002" s="1302">
        <v>3738490</v>
      </c>
      <c r="FAT1002" s="1302">
        <v>101121723</v>
      </c>
      <c r="FAU1002" s="1302">
        <v>106658218</v>
      </c>
      <c r="FKL1002" s="1302" t="s">
        <v>1371</v>
      </c>
      <c r="FKM1002" s="1302">
        <v>2936000</v>
      </c>
      <c r="FKN1002" s="1302">
        <v>7246465</v>
      </c>
      <c r="FKO1002" s="1302">
        <v>3738490</v>
      </c>
      <c r="FKP1002" s="1302">
        <v>101121723</v>
      </c>
      <c r="FKQ1002" s="1302">
        <v>106658218</v>
      </c>
      <c r="FUH1002" s="1302" t="s">
        <v>1371</v>
      </c>
      <c r="FUI1002" s="1302">
        <v>2936000</v>
      </c>
      <c r="FUJ1002" s="1302">
        <v>7246465</v>
      </c>
      <c r="FUK1002" s="1302">
        <v>3738490</v>
      </c>
      <c r="FUL1002" s="1302">
        <v>101121723</v>
      </c>
      <c r="FUM1002" s="1302">
        <v>106658218</v>
      </c>
      <c r="GED1002" s="1302" t="s">
        <v>1371</v>
      </c>
      <c r="GEE1002" s="1302">
        <v>2936000</v>
      </c>
      <c r="GEF1002" s="1302">
        <v>7246465</v>
      </c>
      <c r="GEG1002" s="1302">
        <v>3738490</v>
      </c>
      <c r="GEH1002" s="1302">
        <v>101121723</v>
      </c>
      <c r="GEI1002" s="1302">
        <v>106658218</v>
      </c>
      <c r="GNZ1002" s="1302" t="s">
        <v>1371</v>
      </c>
      <c r="GOA1002" s="1302">
        <v>2936000</v>
      </c>
      <c r="GOB1002" s="1302">
        <v>7246465</v>
      </c>
      <c r="GOC1002" s="1302">
        <v>3738490</v>
      </c>
      <c r="GOD1002" s="1302">
        <v>101121723</v>
      </c>
      <c r="GOE1002" s="1302">
        <v>106658218</v>
      </c>
      <c r="GXV1002" s="1302" t="s">
        <v>1371</v>
      </c>
      <c r="GXW1002" s="1302">
        <v>2936000</v>
      </c>
      <c r="GXX1002" s="1302">
        <v>7246465</v>
      </c>
      <c r="GXY1002" s="1302">
        <v>3738490</v>
      </c>
      <c r="GXZ1002" s="1302">
        <v>101121723</v>
      </c>
      <c r="GYA1002" s="1302">
        <v>106658218</v>
      </c>
      <c r="HHR1002" s="1302" t="s">
        <v>1371</v>
      </c>
      <c r="HHS1002" s="1302">
        <v>2936000</v>
      </c>
      <c r="HHT1002" s="1302">
        <v>7246465</v>
      </c>
      <c r="HHU1002" s="1302">
        <v>3738490</v>
      </c>
      <c r="HHV1002" s="1302">
        <v>101121723</v>
      </c>
      <c r="HHW1002" s="1302">
        <v>106658218</v>
      </c>
      <c r="HRN1002" s="1302" t="s">
        <v>1371</v>
      </c>
      <c r="HRO1002" s="1302">
        <v>2936000</v>
      </c>
      <c r="HRP1002" s="1302">
        <v>7246465</v>
      </c>
      <c r="HRQ1002" s="1302">
        <v>3738490</v>
      </c>
      <c r="HRR1002" s="1302">
        <v>101121723</v>
      </c>
      <c r="HRS1002" s="1302">
        <v>106658218</v>
      </c>
      <c r="IBJ1002" s="1302" t="s">
        <v>1371</v>
      </c>
      <c r="IBK1002" s="1302">
        <v>2936000</v>
      </c>
      <c r="IBL1002" s="1302">
        <v>7246465</v>
      </c>
      <c r="IBM1002" s="1302">
        <v>3738490</v>
      </c>
      <c r="IBN1002" s="1302">
        <v>101121723</v>
      </c>
      <c r="IBO1002" s="1302">
        <v>106658218</v>
      </c>
      <c r="ILF1002" s="1302" t="s">
        <v>1371</v>
      </c>
      <c r="ILG1002" s="1302">
        <v>2936000</v>
      </c>
      <c r="ILH1002" s="1302">
        <v>7246465</v>
      </c>
      <c r="ILI1002" s="1302">
        <v>3738490</v>
      </c>
      <c r="ILJ1002" s="1302">
        <v>101121723</v>
      </c>
      <c r="ILK1002" s="1302">
        <v>106658218</v>
      </c>
      <c r="IVB1002" s="1302" t="s">
        <v>1371</v>
      </c>
      <c r="IVC1002" s="1302">
        <v>2936000</v>
      </c>
      <c r="IVD1002" s="1302">
        <v>7246465</v>
      </c>
      <c r="IVE1002" s="1302">
        <v>3738490</v>
      </c>
      <c r="IVF1002" s="1302">
        <v>101121723</v>
      </c>
      <c r="IVG1002" s="1302">
        <v>106658218</v>
      </c>
      <c r="JEX1002" s="1302" t="s">
        <v>1371</v>
      </c>
      <c r="JEY1002" s="1302">
        <v>2936000</v>
      </c>
      <c r="JEZ1002" s="1302">
        <v>7246465</v>
      </c>
      <c r="JFA1002" s="1302">
        <v>3738490</v>
      </c>
      <c r="JFB1002" s="1302">
        <v>101121723</v>
      </c>
      <c r="JFC1002" s="1302">
        <v>106658218</v>
      </c>
      <c r="JOT1002" s="1302" t="s">
        <v>1371</v>
      </c>
      <c r="JOU1002" s="1302">
        <v>2936000</v>
      </c>
      <c r="JOV1002" s="1302">
        <v>7246465</v>
      </c>
      <c r="JOW1002" s="1302">
        <v>3738490</v>
      </c>
      <c r="JOX1002" s="1302">
        <v>101121723</v>
      </c>
      <c r="JOY1002" s="1302">
        <v>106658218</v>
      </c>
      <c r="JYP1002" s="1302" t="s">
        <v>1371</v>
      </c>
      <c r="JYQ1002" s="1302">
        <v>2936000</v>
      </c>
      <c r="JYR1002" s="1302">
        <v>7246465</v>
      </c>
      <c r="JYS1002" s="1302">
        <v>3738490</v>
      </c>
      <c r="JYT1002" s="1302">
        <v>101121723</v>
      </c>
      <c r="JYU1002" s="1302">
        <v>106658218</v>
      </c>
      <c r="KIL1002" s="1302" t="s">
        <v>1371</v>
      </c>
      <c r="KIM1002" s="1302">
        <v>2936000</v>
      </c>
      <c r="KIN1002" s="1302">
        <v>7246465</v>
      </c>
      <c r="KIO1002" s="1302">
        <v>3738490</v>
      </c>
      <c r="KIP1002" s="1302">
        <v>101121723</v>
      </c>
      <c r="KIQ1002" s="1302">
        <v>106658218</v>
      </c>
      <c r="KSH1002" s="1302" t="s">
        <v>1371</v>
      </c>
      <c r="KSI1002" s="1302">
        <v>2936000</v>
      </c>
      <c r="KSJ1002" s="1302">
        <v>7246465</v>
      </c>
      <c r="KSK1002" s="1302">
        <v>3738490</v>
      </c>
      <c r="KSL1002" s="1302">
        <v>101121723</v>
      </c>
      <c r="KSM1002" s="1302">
        <v>106658218</v>
      </c>
      <c r="LCD1002" s="1302" t="s">
        <v>1371</v>
      </c>
      <c r="LCE1002" s="1302">
        <v>2936000</v>
      </c>
      <c r="LCF1002" s="1302">
        <v>7246465</v>
      </c>
      <c r="LCG1002" s="1302">
        <v>3738490</v>
      </c>
      <c r="LCH1002" s="1302">
        <v>101121723</v>
      </c>
      <c r="LCI1002" s="1302">
        <v>106658218</v>
      </c>
      <c r="LLZ1002" s="1302" t="s">
        <v>1371</v>
      </c>
      <c r="LMA1002" s="1302">
        <v>2936000</v>
      </c>
      <c r="LMB1002" s="1302">
        <v>7246465</v>
      </c>
      <c r="LMC1002" s="1302">
        <v>3738490</v>
      </c>
      <c r="LMD1002" s="1302">
        <v>101121723</v>
      </c>
      <c r="LME1002" s="1302">
        <v>106658218</v>
      </c>
      <c r="LVV1002" s="1302" t="s">
        <v>1371</v>
      </c>
      <c r="LVW1002" s="1302">
        <v>2936000</v>
      </c>
      <c r="LVX1002" s="1302">
        <v>7246465</v>
      </c>
      <c r="LVY1002" s="1302">
        <v>3738490</v>
      </c>
      <c r="LVZ1002" s="1302">
        <v>101121723</v>
      </c>
      <c r="LWA1002" s="1302">
        <v>106658218</v>
      </c>
      <c r="MFR1002" s="1302" t="s">
        <v>1371</v>
      </c>
      <c r="MFS1002" s="1302">
        <v>2936000</v>
      </c>
      <c r="MFT1002" s="1302">
        <v>7246465</v>
      </c>
      <c r="MFU1002" s="1302">
        <v>3738490</v>
      </c>
      <c r="MFV1002" s="1302">
        <v>101121723</v>
      </c>
      <c r="MFW1002" s="1302">
        <v>106658218</v>
      </c>
      <c r="MPN1002" s="1302" t="s">
        <v>1371</v>
      </c>
      <c r="MPO1002" s="1302">
        <v>2936000</v>
      </c>
      <c r="MPP1002" s="1302">
        <v>7246465</v>
      </c>
      <c r="MPQ1002" s="1302">
        <v>3738490</v>
      </c>
      <c r="MPR1002" s="1302">
        <v>101121723</v>
      </c>
      <c r="MPS1002" s="1302">
        <v>106658218</v>
      </c>
      <c r="MZJ1002" s="1302" t="s">
        <v>1371</v>
      </c>
      <c r="MZK1002" s="1302">
        <v>2936000</v>
      </c>
      <c r="MZL1002" s="1302">
        <v>7246465</v>
      </c>
      <c r="MZM1002" s="1302">
        <v>3738490</v>
      </c>
      <c r="MZN1002" s="1302">
        <v>101121723</v>
      </c>
      <c r="MZO1002" s="1302">
        <v>106658218</v>
      </c>
      <c r="NJF1002" s="1302" t="s">
        <v>1371</v>
      </c>
      <c r="NJG1002" s="1302">
        <v>2936000</v>
      </c>
      <c r="NJH1002" s="1302">
        <v>7246465</v>
      </c>
      <c r="NJI1002" s="1302">
        <v>3738490</v>
      </c>
      <c r="NJJ1002" s="1302">
        <v>101121723</v>
      </c>
      <c r="NJK1002" s="1302">
        <v>106658218</v>
      </c>
      <c r="NTB1002" s="1302" t="s">
        <v>1371</v>
      </c>
      <c r="NTC1002" s="1302">
        <v>2936000</v>
      </c>
      <c r="NTD1002" s="1302">
        <v>7246465</v>
      </c>
      <c r="NTE1002" s="1302">
        <v>3738490</v>
      </c>
      <c r="NTF1002" s="1302">
        <v>101121723</v>
      </c>
      <c r="NTG1002" s="1302">
        <v>106658218</v>
      </c>
      <c r="OCX1002" s="1302" t="s">
        <v>1371</v>
      </c>
      <c r="OCY1002" s="1302">
        <v>2936000</v>
      </c>
      <c r="OCZ1002" s="1302">
        <v>7246465</v>
      </c>
      <c r="ODA1002" s="1302">
        <v>3738490</v>
      </c>
      <c r="ODB1002" s="1302">
        <v>101121723</v>
      </c>
      <c r="ODC1002" s="1302">
        <v>106658218</v>
      </c>
      <c r="OMT1002" s="1302" t="s">
        <v>1371</v>
      </c>
      <c r="OMU1002" s="1302">
        <v>2936000</v>
      </c>
      <c r="OMV1002" s="1302">
        <v>7246465</v>
      </c>
      <c r="OMW1002" s="1302">
        <v>3738490</v>
      </c>
      <c r="OMX1002" s="1302">
        <v>101121723</v>
      </c>
      <c r="OMY1002" s="1302">
        <v>106658218</v>
      </c>
      <c r="OWP1002" s="1302" t="s">
        <v>1371</v>
      </c>
      <c r="OWQ1002" s="1302">
        <v>2936000</v>
      </c>
      <c r="OWR1002" s="1302">
        <v>7246465</v>
      </c>
      <c r="OWS1002" s="1302">
        <v>3738490</v>
      </c>
      <c r="OWT1002" s="1302">
        <v>101121723</v>
      </c>
      <c r="OWU1002" s="1302">
        <v>106658218</v>
      </c>
      <c r="PGL1002" s="1302" t="s">
        <v>1371</v>
      </c>
      <c r="PGM1002" s="1302">
        <v>2936000</v>
      </c>
      <c r="PGN1002" s="1302">
        <v>7246465</v>
      </c>
      <c r="PGO1002" s="1302">
        <v>3738490</v>
      </c>
      <c r="PGP1002" s="1302">
        <v>101121723</v>
      </c>
      <c r="PGQ1002" s="1302">
        <v>106658218</v>
      </c>
      <c r="PQH1002" s="1302" t="s">
        <v>1371</v>
      </c>
      <c r="PQI1002" s="1302">
        <v>2936000</v>
      </c>
      <c r="PQJ1002" s="1302">
        <v>7246465</v>
      </c>
      <c r="PQK1002" s="1302">
        <v>3738490</v>
      </c>
      <c r="PQL1002" s="1302">
        <v>101121723</v>
      </c>
      <c r="PQM1002" s="1302">
        <v>106658218</v>
      </c>
      <c r="QAD1002" s="1302" t="s">
        <v>1371</v>
      </c>
      <c r="QAE1002" s="1302">
        <v>2936000</v>
      </c>
      <c r="QAF1002" s="1302">
        <v>7246465</v>
      </c>
      <c r="QAG1002" s="1302">
        <v>3738490</v>
      </c>
      <c r="QAH1002" s="1302">
        <v>101121723</v>
      </c>
      <c r="QAI1002" s="1302">
        <v>106658218</v>
      </c>
      <c r="QJZ1002" s="1302" t="s">
        <v>1371</v>
      </c>
      <c r="QKA1002" s="1302">
        <v>2936000</v>
      </c>
      <c r="QKB1002" s="1302">
        <v>7246465</v>
      </c>
      <c r="QKC1002" s="1302">
        <v>3738490</v>
      </c>
      <c r="QKD1002" s="1302">
        <v>101121723</v>
      </c>
      <c r="QKE1002" s="1302">
        <v>106658218</v>
      </c>
      <c r="QTV1002" s="1302" t="s">
        <v>1371</v>
      </c>
      <c r="QTW1002" s="1302">
        <v>2936000</v>
      </c>
      <c r="QTX1002" s="1302">
        <v>7246465</v>
      </c>
      <c r="QTY1002" s="1302">
        <v>3738490</v>
      </c>
      <c r="QTZ1002" s="1302">
        <v>101121723</v>
      </c>
      <c r="QUA1002" s="1302">
        <v>106658218</v>
      </c>
      <c r="RDR1002" s="1302" t="s">
        <v>1371</v>
      </c>
      <c r="RDS1002" s="1302">
        <v>2936000</v>
      </c>
      <c r="RDT1002" s="1302">
        <v>7246465</v>
      </c>
      <c r="RDU1002" s="1302">
        <v>3738490</v>
      </c>
      <c r="RDV1002" s="1302">
        <v>101121723</v>
      </c>
      <c r="RDW1002" s="1302">
        <v>106658218</v>
      </c>
      <c r="RNN1002" s="1302" t="s">
        <v>1371</v>
      </c>
      <c r="RNO1002" s="1302">
        <v>2936000</v>
      </c>
      <c r="RNP1002" s="1302">
        <v>7246465</v>
      </c>
      <c r="RNQ1002" s="1302">
        <v>3738490</v>
      </c>
      <c r="RNR1002" s="1302">
        <v>101121723</v>
      </c>
      <c r="RNS1002" s="1302">
        <v>106658218</v>
      </c>
      <c r="RXJ1002" s="1302" t="s">
        <v>1371</v>
      </c>
      <c r="RXK1002" s="1302">
        <v>2936000</v>
      </c>
      <c r="RXL1002" s="1302">
        <v>7246465</v>
      </c>
      <c r="RXM1002" s="1302">
        <v>3738490</v>
      </c>
      <c r="RXN1002" s="1302">
        <v>101121723</v>
      </c>
      <c r="RXO1002" s="1302">
        <v>106658218</v>
      </c>
      <c r="SHF1002" s="1302" t="s">
        <v>1371</v>
      </c>
      <c r="SHG1002" s="1302">
        <v>2936000</v>
      </c>
      <c r="SHH1002" s="1302">
        <v>7246465</v>
      </c>
      <c r="SHI1002" s="1302">
        <v>3738490</v>
      </c>
      <c r="SHJ1002" s="1302">
        <v>101121723</v>
      </c>
      <c r="SHK1002" s="1302">
        <v>106658218</v>
      </c>
      <c r="SRB1002" s="1302" t="s">
        <v>1371</v>
      </c>
      <c r="SRC1002" s="1302">
        <v>2936000</v>
      </c>
      <c r="SRD1002" s="1302">
        <v>7246465</v>
      </c>
      <c r="SRE1002" s="1302">
        <v>3738490</v>
      </c>
      <c r="SRF1002" s="1302">
        <v>101121723</v>
      </c>
      <c r="SRG1002" s="1302">
        <v>106658218</v>
      </c>
      <c r="TAX1002" s="1302" t="s">
        <v>1371</v>
      </c>
      <c r="TAY1002" s="1302">
        <v>2936000</v>
      </c>
      <c r="TAZ1002" s="1302">
        <v>7246465</v>
      </c>
      <c r="TBA1002" s="1302">
        <v>3738490</v>
      </c>
      <c r="TBB1002" s="1302">
        <v>101121723</v>
      </c>
      <c r="TBC1002" s="1302">
        <v>106658218</v>
      </c>
      <c r="TKT1002" s="1302" t="s">
        <v>1371</v>
      </c>
      <c r="TKU1002" s="1302">
        <v>2936000</v>
      </c>
      <c r="TKV1002" s="1302">
        <v>7246465</v>
      </c>
      <c r="TKW1002" s="1302">
        <v>3738490</v>
      </c>
      <c r="TKX1002" s="1302">
        <v>101121723</v>
      </c>
      <c r="TKY1002" s="1302">
        <v>106658218</v>
      </c>
      <c r="TUP1002" s="1302" t="s">
        <v>1371</v>
      </c>
      <c r="TUQ1002" s="1302">
        <v>2936000</v>
      </c>
      <c r="TUR1002" s="1302">
        <v>7246465</v>
      </c>
      <c r="TUS1002" s="1302">
        <v>3738490</v>
      </c>
      <c r="TUT1002" s="1302">
        <v>101121723</v>
      </c>
      <c r="TUU1002" s="1302">
        <v>106658218</v>
      </c>
      <c r="UEL1002" s="1302" t="s">
        <v>1371</v>
      </c>
      <c r="UEM1002" s="1302">
        <v>2936000</v>
      </c>
      <c r="UEN1002" s="1302">
        <v>7246465</v>
      </c>
      <c r="UEO1002" s="1302">
        <v>3738490</v>
      </c>
      <c r="UEP1002" s="1302">
        <v>101121723</v>
      </c>
      <c r="UEQ1002" s="1302">
        <v>106658218</v>
      </c>
      <c r="UOH1002" s="1302" t="s">
        <v>1371</v>
      </c>
      <c r="UOI1002" s="1302">
        <v>2936000</v>
      </c>
      <c r="UOJ1002" s="1302">
        <v>7246465</v>
      </c>
      <c r="UOK1002" s="1302">
        <v>3738490</v>
      </c>
      <c r="UOL1002" s="1302">
        <v>101121723</v>
      </c>
      <c r="UOM1002" s="1302">
        <v>106658218</v>
      </c>
      <c r="UYD1002" s="1302" t="s">
        <v>1371</v>
      </c>
      <c r="UYE1002" s="1302">
        <v>2936000</v>
      </c>
      <c r="UYF1002" s="1302">
        <v>7246465</v>
      </c>
      <c r="UYG1002" s="1302">
        <v>3738490</v>
      </c>
      <c r="UYH1002" s="1302">
        <v>101121723</v>
      </c>
      <c r="UYI1002" s="1302">
        <v>106658218</v>
      </c>
      <c r="VHZ1002" s="1302" t="s">
        <v>1371</v>
      </c>
      <c r="VIA1002" s="1302">
        <v>2936000</v>
      </c>
      <c r="VIB1002" s="1302">
        <v>7246465</v>
      </c>
      <c r="VIC1002" s="1302">
        <v>3738490</v>
      </c>
      <c r="VID1002" s="1302">
        <v>101121723</v>
      </c>
      <c r="VIE1002" s="1302">
        <v>106658218</v>
      </c>
      <c r="VRV1002" s="1302" t="s">
        <v>1371</v>
      </c>
      <c r="VRW1002" s="1302">
        <v>2936000</v>
      </c>
      <c r="VRX1002" s="1302">
        <v>7246465</v>
      </c>
      <c r="VRY1002" s="1302">
        <v>3738490</v>
      </c>
      <c r="VRZ1002" s="1302">
        <v>101121723</v>
      </c>
      <c r="VSA1002" s="1302">
        <v>106658218</v>
      </c>
      <c r="WBR1002" s="1302" t="s">
        <v>1371</v>
      </c>
      <c r="WBS1002" s="1302">
        <v>2936000</v>
      </c>
      <c r="WBT1002" s="1302">
        <v>7246465</v>
      </c>
      <c r="WBU1002" s="1302">
        <v>3738490</v>
      </c>
      <c r="WBV1002" s="1302">
        <v>101121723</v>
      </c>
      <c r="WBW1002" s="1302">
        <v>106658218</v>
      </c>
      <c r="WLN1002" s="1302" t="s">
        <v>1371</v>
      </c>
      <c r="WLO1002" s="1302">
        <v>2936000</v>
      </c>
      <c r="WLP1002" s="1302">
        <v>7246465</v>
      </c>
      <c r="WLQ1002" s="1302">
        <v>3738490</v>
      </c>
      <c r="WLR1002" s="1302">
        <v>101121723</v>
      </c>
      <c r="WLS1002" s="1302">
        <v>106658218</v>
      </c>
      <c r="WVJ1002" s="1302" t="s">
        <v>1371</v>
      </c>
      <c r="WVK1002" s="1302">
        <v>2936000</v>
      </c>
      <c r="WVL1002" s="1302">
        <v>7246465</v>
      </c>
      <c r="WVM1002" s="1302">
        <v>3738490</v>
      </c>
      <c r="WVN1002" s="1302">
        <v>101121723</v>
      </c>
      <c r="WVO1002" s="1302">
        <v>106658218</v>
      </c>
    </row>
    <row r="1003" spans="1:775 1026:1799 2050:2823 3074:3847 4098:4871 5122:5895 6146:6919 7170:7943 8194:8967 9218:9991 10242:11015 11266:12039 12290:13063 13314:14087 14338:15111 15362:16135">
      <c r="A1003" s="96" t="s">
        <v>1372</v>
      </c>
      <c r="B1003" t="s">
        <v>804</v>
      </c>
      <c r="C1003" s="100">
        <v>-8090703</v>
      </c>
      <c r="D1003" s="100">
        <v>-2202762</v>
      </c>
      <c r="E1003" s="100">
        <v>-7594110</v>
      </c>
      <c r="F1003" s="100">
        <v>-134316219</v>
      </c>
      <c r="G1003" s="100">
        <v>-87631686</v>
      </c>
      <c r="H1003" s="100"/>
      <c r="IX1003" t="s">
        <v>1372</v>
      </c>
      <c r="IY1003">
        <v>-8090703</v>
      </c>
      <c r="IZ1003">
        <v>-2202762</v>
      </c>
      <c r="JA1003">
        <v>-7594110</v>
      </c>
      <c r="JB1003">
        <v>-134316219</v>
      </c>
      <c r="JC1003">
        <v>-87631686</v>
      </c>
      <c r="ST1003" t="s">
        <v>1372</v>
      </c>
      <c r="SU1003">
        <v>-8090703</v>
      </c>
      <c r="SV1003">
        <v>-2202762</v>
      </c>
      <c r="SW1003">
        <v>-7594110</v>
      </c>
      <c r="SX1003">
        <v>-134316219</v>
      </c>
      <c r="SY1003">
        <v>-87631686</v>
      </c>
      <c r="ACP1003" t="s">
        <v>1372</v>
      </c>
      <c r="ACQ1003">
        <v>-8090703</v>
      </c>
      <c r="ACR1003">
        <v>-2202762</v>
      </c>
      <c r="ACS1003">
        <v>-7594110</v>
      </c>
      <c r="ACT1003">
        <v>-134316219</v>
      </c>
      <c r="ACU1003">
        <v>-87631686</v>
      </c>
      <c r="AML1003" t="s">
        <v>1372</v>
      </c>
      <c r="AMM1003">
        <v>-8090703</v>
      </c>
      <c r="AMN1003">
        <v>-2202762</v>
      </c>
      <c r="AMO1003">
        <v>-7594110</v>
      </c>
      <c r="AMP1003">
        <v>-134316219</v>
      </c>
      <c r="AMQ1003">
        <v>-87631686</v>
      </c>
      <c r="AWH1003" t="s">
        <v>1372</v>
      </c>
      <c r="AWI1003">
        <v>-8090703</v>
      </c>
      <c r="AWJ1003">
        <v>-2202762</v>
      </c>
      <c r="AWK1003">
        <v>-7594110</v>
      </c>
      <c r="AWL1003">
        <v>-134316219</v>
      </c>
      <c r="AWM1003">
        <v>-87631686</v>
      </c>
      <c r="BGD1003" t="s">
        <v>1372</v>
      </c>
      <c r="BGE1003">
        <v>-8090703</v>
      </c>
      <c r="BGF1003">
        <v>-2202762</v>
      </c>
      <c r="BGG1003">
        <v>-7594110</v>
      </c>
      <c r="BGH1003">
        <v>-134316219</v>
      </c>
      <c r="BGI1003">
        <v>-87631686</v>
      </c>
      <c r="BPZ1003" t="s">
        <v>1372</v>
      </c>
      <c r="BQA1003">
        <v>-8090703</v>
      </c>
      <c r="BQB1003">
        <v>-2202762</v>
      </c>
      <c r="BQC1003">
        <v>-7594110</v>
      </c>
      <c r="BQD1003">
        <v>-134316219</v>
      </c>
      <c r="BQE1003">
        <v>-87631686</v>
      </c>
      <c r="BZV1003" t="s">
        <v>1372</v>
      </c>
      <c r="BZW1003">
        <v>-8090703</v>
      </c>
      <c r="BZX1003">
        <v>-2202762</v>
      </c>
      <c r="BZY1003">
        <v>-7594110</v>
      </c>
      <c r="BZZ1003">
        <v>-134316219</v>
      </c>
      <c r="CAA1003">
        <v>-87631686</v>
      </c>
      <c r="CJR1003" t="s">
        <v>1372</v>
      </c>
      <c r="CJS1003">
        <v>-8090703</v>
      </c>
      <c r="CJT1003">
        <v>-2202762</v>
      </c>
      <c r="CJU1003">
        <v>-7594110</v>
      </c>
      <c r="CJV1003">
        <v>-134316219</v>
      </c>
      <c r="CJW1003">
        <v>-87631686</v>
      </c>
      <c r="CTN1003" t="s">
        <v>1372</v>
      </c>
      <c r="CTO1003">
        <v>-8090703</v>
      </c>
      <c r="CTP1003">
        <v>-2202762</v>
      </c>
      <c r="CTQ1003">
        <v>-7594110</v>
      </c>
      <c r="CTR1003">
        <v>-134316219</v>
      </c>
      <c r="CTS1003">
        <v>-87631686</v>
      </c>
      <c r="DDJ1003" t="s">
        <v>1372</v>
      </c>
      <c r="DDK1003">
        <v>-8090703</v>
      </c>
      <c r="DDL1003">
        <v>-2202762</v>
      </c>
      <c r="DDM1003">
        <v>-7594110</v>
      </c>
      <c r="DDN1003">
        <v>-134316219</v>
      </c>
      <c r="DDO1003">
        <v>-87631686</v>
      </c>
      <c r="DNF1003" t="s">
        <v>1372</v>
      </c>
      <c r="DNG1003">
        <v>-8090703</v>
      </c>
      <c r="DNH1003">
        <v>-2202762</v>
      </c>
      <c r="DNI1003">
        <v>-7594110</v>
      </c>
      <c r="DNJ1003">
        <v>-134316219</v>
      </c>
      <c r="DNK1003">
        <v>-87631686</v>
      </c>
      <c r="DXB1003" t="s">
        <v>1372</v>
      </c>
      <c r="DXC1003">
        <v>-8090703</v>
      </c>
      <c r="DXD1003">
        <v>-2202762</v>
      </c>
      <c r="DXE1003">
        <v>-7594110</v>
      </c>
      <c r="DXF1003">
        <v>-134316219</v>
      </c>
      <c r="DXG1003">
        <v>-87631686</v>
      </c>
      <c r="EGX1003" t="s">
        <v>1372</v>
      </c>
      <c r="EGY1003">
        <v>-8090703</v>
      </c>
      <c r="EGZ1003">
        <v>-2202762</v>
      </c>
      <c r="EHA1003">
        <v>-7594110</v>
      </c>
      <c r="EHB1003">
        <v>-134316219</v>
      </c>
      <c r="EHC1003">
        <v>-87631686</v>
      </c>
      <c r="EQT1003" t="s">
        <v>1372</v>
      </c>
      <c r="EQU1003">
        <v>-8090703</v>
      </c>
      <c r="EQV1003">
        <v>-2202762</v>
      </c>
      <c r="EQW1003">
        <v>-7594110</v>
      </c>
      <c r="EQX1003">
        <v>-134316219</v>
      </c>
      <c r="EQY1003">
        <v>-87631686</v>
      </c>
      <c r="FAP1003" t="s">
        <v>1372</v>
      </c>
      <c r="FAQ1003">
        <v>-8090703</v>
      </c>
      <c r="FAR1003">
        <v>-2202762</v>
      </c>
      <c r="FAS1003">
        <v>-7594110</v>
      </c>
      <c r="FAT1003">
        <v>-134316219</v>
      </c>
      <c r="FAU1003">
        <v>-87631686</v>
      </c>
      <c r="FKL1003" t="s">
        <v>1372</v>
      </c>
      <c r="FKM1003">
        <v>-8090703</v>
      </c>
      <c r="FKN1003">
        <v>-2202762</v>
      </c>
      <c r="FKO1003">
        <v>-7594110</v>
      </c>
      <c r="FKP1003">
        <v>-134316219</v>
      </c>
      <c r="FKQ1003">
        <v>-87631686</v>
      </c>
      <c r="FUH1003" t="s">
        <v>1372</v>
      </c>
      <c r="FUI1003">
        <v>-8090703</v>
      </c>
      <c r="FUJ1003">
        <v>-2202762</v>
      </c>
      <c r="FUK1003">
        <v>-7594110</v>
      </c>
      <c r="FUL1003">
        <v>-134316219</v>
      </c>
      <c r="FUM1003">
        <v>-87631686</v>
      </c>
      <c r="GED1003" t="s">
        <v>1372</v>
      </c>
      <c r="GEE1003">
        <v>-8090703</v>
      </c>
      <c r="GEF1003">
        <v>-2202762</v>
      </c>
      <c r="GEG1003">
        <v>-7594110</v>
      </c>
      <c r="GEH1003">
        <v>-134316219</v>
      </c>
      <c r="GEI1003">
        <v>-87631686</v>
      </c>
      <c r="GNZ1003" t="s">
        <v>1372</v>
      </c>
      <c r="GOA1003">
        <v>-8090703</v>
      </c>
      <c r="GOB1003">
        <v>-2202762</v>
      </c>
      <c r="GOC1003">
        <v>-7594110</v>
      </c>
      <c r="GOD1003">
        <v>-134316219</v>
      </c>
      <c r="GOE1003">
        <v>-87631686</v>
      </c>
      <c r="GXV1003" t="s">
        <v>1372</v>
      </c>
      <c r="GXW1003">
        <v>-8090703</v>
      </c>
      <c r="GXX1003">
        <v>-2202762</v>
      </c>
      <c r="GXY1003">
        <v>-7594110</v>
      </c>
      <c r="GXZ1003">
        <v>-134316219</v>
      </c>
      <c r="GYA1003">
        <v>-87631686</v>
      </c>
      <c r="HHR1003" t="s">
        <v>1372</v>
      </c>
      <c r="HHS1003">
        <v>-8090703</v>
      </c>
      <c r="HHT1003">
        <v>-2202762</v>
      </c>
      <c r="HHU1003">
        <v>-7594110</v>
      </c>
      <c r="HHV1003">
        <v>-134316219</v>
      </c>
      <c r="HHW1003">
        <v>-87631686</v>
      </c>
      <c r="HRN1003" t="s">
        <v>1372</v>
      </c>
      <c r="HRO1003">
        <v>-8090703</v>
      </c>
      <c r="HRP1003">
        <v>-2202762</v>
      </c>
      <c r="HRQ1003">
        <v>-7594110</v>
      </c>
      <c r="HRR1003">
        <v>-134316219</v>
      </c>
      <c r="HRS1003">
        <v>-87631686</v>
      </c>
      <c r="IBJ1003" t="s">
        <v>1372</v>
      </c>
      <c r="IBK1003">
        <v>-8090703</v>
      </c>
      <c r="IBL1003">
        <v>-2202762</v>
      </c>
      <c r="IBM1003">
        <v>-7594110</v>
      </c>
      <c r="IBN1003">
        <v>-134316219</v>
      </c>
      <c r="IBO1003">
        <v>-87631686</v>
      </c>
      <c r="ILF1003" t="s">
        <v>1372</v>
      </c>
      <c r="ILG1003">
        <v>-8090703</v>
      </c>
      <c r="ILH1003">
        <v>-2202762</v>
      </c>
      <c r="ILI1003">
        <v>-7594110</v>
      </c>
      <c r="ILJ1003">
        <v>-134316219</v>
      </c>
      <c r="ILK1003">
        <v>-87631686</v>
      </c>
      <c r="IVB1003" t="s">
        <v>1372</v>
      </c>
      <c r="IVC1003">
        <v>-8090703</v>
      </c>
      <c r="IVD1003">
        <v>-2202762</v>
      </c>
      <c r="IVE1003">
        <v>-7594110</v>
      </c>
      <c r="IVF1003">
        <v>-134316219</v>
      </c>
      <c r="IVG1003">
        <v>-87631686</v>
      </c>
      <c r="JEX1003" t="s">
        <v>1372</v>
      </c>
      <c r="JEY1003">
        <v>-8090703</v>
      </c>
      <c r="JEZ1003">
        <v>-2202762</v>
      </c>
      <c r="JFA1003">
        <v>-7594110</v>
      </c>
      <c r="JFB1003">
        <v>-134316219</v>
      </c>
      <c r="JFC1003">
        <v>-87631686</v>
      </c>
      <c r="JOT1003" t="s">
        <v>1372</v>
      </c>
      <c r="JOU1003">
        <v>-8090703</v>
      </c>
      <c r="JOV1003">
        <v>-2202762</v>
      </c>
      <c r="JOW1003">
        <v>-7594110</v>
      </c>
      <c r="JOX1003">
        <v>-134316219</v>
      </c>
      <c r="JOY1003">
        <v>-87631686</v>
      </c>
      <c r="JYP1003" t="s">
        <v>1372</v>
      </c>
      <c r="JYQ1003">
        <v>-8090703</v>
      </c>
      <c r="JYR1003">
        <v>-2202762</v>
      </c>
      <c r="JYS1003">
        <v>-7594110</v>
      </c>
      <c r="JYT1003">
        <v>-134316219</v>
      </c>
      <c r="JYU1003">
        <v>-87631686</v>
      </c>
      <c r="KIL1003" t="s">
        <v>1372</v>
      </c>
      <c r="KIM1003">
        <v>-8090703</v>
      </c>
      <c r="KIN1003">
        <v>-2202762</v>
      </c>
      <c r="KIO1003">
        <v>-7594110</v>
      </c>
      <c r="KIP1003">
        <v>-134316219</v>
      </c>
      <c r="KIQ1003">
        <v>-87631686</v>
      </c>
      <c r="KSH1003" t="s">
        <v>1372</v>
      </c>
      <c r="KSI1003">
        <v>-8090703</v>
      </c>
      <c r="KSJ1003">
        <v>-2202762</v>
      </c>
      <c r="KSK1003">
        <v>-7594110</v>
      </c>
      <c r="KSL1003">
        <v>-134316219</v>
      </c>
      <c r="KSM1003">
        <v>-87631686</v>
      </c>
      <c r="LCD1003" t="s">
        <v>1372</v>
      </c>
      <c r="LCE1003">
        <v>-8090703</v>
      </c>
      <c r="LCF1003">
        <v>-2202762</v>
      </c>
      <c r="LCG1003">
        <v>-7594110</v>
      </c>
      <c r="LCH1003">
        <v>-134316219</v>
      </c>
      <c r="LCI1003">
        <v>-87631686</v>
      </c>
      <c r="LLZ1003" t="s">
        <v>1372</v>
      </c>
      <c r="LMA1003">
        <v>-8090703</v>
      </c>
      <c r="LMB1003">
        <v>-2202762</v>
      </c>
      <c r="LMC1003">
        <v>-7594110</v>
      </c>
      <c r="LMD1003">
        <v>-134316219</v>
      </c>
      <c r="LME1003">
        <v>-87631686</v>
      </c>
      <c r="LVV1003" t="s">
        <v>1372</v>
      </c>
      <c r="LVW1003">
        <v>-8090703</v>
      </c>
      <c r="LVX1003">
        <v>-2202762</v>
      </c>
      <c r="LVY1003">
        <v>-7594110</v>
      </c>
      <c r="LVZ1003">
        <v>-134316219</v>
      </c>
      <c r="LWA1003">
        <v>-87631686</v>
      </c>
      <c r="MFR1003" t="s">
        <v>1372</v>
      </c>
      <c r="MFS1003">
        <v>-8090703</v>
      </c>
      <c r="MFT1003">
        <v>-2202762</v>
      </c>
      <c r="MFU1003">
        <v>-7594110</v>
      </c>
      <c r="MFV1003">
        <v>-134316219</v>
      </c>
      <c r="MFW1003">
        <v>-87631686</v>
      </c>
      <c r="MPN1003" t="s">
        <v>1372</v>
      </c>
      <c r="MPO1003">
        <v>-8090703</v>
      </c>
      <c r="MPP1003">
        <v>-2202762</v>
      </c>
      <c r="MPQ1003">
        <v>-7594110</v>
      </c>
      <c r="MPR1003">
        <v>-134316219</v>
      </c>
      <c r="MPS1003">
        <v>-87631686</v>
      </c>
      <c r="MZJ1003" t="s">
        <v>1372</v>
      </c>
      <c r="MZK1003">
        <v>-8090703</v>
      </c>
      <c r="MZL1003">
        <v>-2202762</v>
      </c>
      <c r="MZM1003">
        <v>-7594110</v>
      </c>
      <c r="MZN1003">
        <v>-134316219</v>
      </c>
      <c r="MZO1003">
        <v>-87631686</v>
      </c>
      <c r="NJF1003" t="s">
        <v>1372</v>
      </c>
      <c r="NJG1003">
        <v>-8090703</v>
      </c>
      <c r="NJH1003">
        <v>-2202762</v>
      </c>
      <c r="NJI1003">
        <v>-7594110</v>
      </c>
      <c r="NJJ1003">
        <v>-134316219</v>
      </c>
      <c r="NJK1003">
        <v>-87631686</v>
      </c>
      <c r="NTB1003" t="s">
        <v>1372</v>
      </c>
      <c r="NTC1003">
        <v>-8090703</v>
      </c>
      <c r="NTD1003">
        <v>-2202762</v>
      </c>
      <c r="NTE1003">
        <v>-7594110</v>
      </c>
      <c r="NTF1003">
        <v>-134316219</v>
      </c>
      <c r="NTG1003">
        <v>-87631686</v>
      </c>
      <c r="OCX1003" t="s">
        <v>1372</v>
      </c>
      <c r="OCY1003">
        <v>-8090703</v>
      </c>
      <c r="OCZ1003">
        <v>-2202762</v>
      </c>
      <c r="ODA1003">
        <v>-7594110</v>
      </c>
      <c r="ODB1003">
        <v>-134316219</v>
      </c>
      <c r="ODC1003">
        <v>-87631686</v>
      </c>
      <c r="OMT1003" t="s">
        <v>1372</v>
      </c>
      <c r="OMU1003">
        <v>-8090703</v>
      </c>
      <c r="OMV1003">
        <v>-2202762</v>
      </c>
      <c r="OMW1003">
        <v>-7594110</v>
      </c>
      <c r="OMX1003">
        <v>-134316219</v>
      </c>
      <c r="OMY1003">
        <v>-87631686</v>
      </c>
      <c r="OWP1003" t="s">
        <v>1372</v>
      </c>
      <c r="OWQ1003">
        <v>-8090703</v>
      </c>
      <c r="OWR1003">
        <v>-2202762</v>
      </c>
      <c r="OWS1003">
        <v>-7594110</v>
      </c>
      <c r="OWT1003">
        <v>-134316219</v>
      </c>
      <c r="OWU1003">
        <v>-87631686</v>
      </c>
      <c r="PGL1003" t="s">
        <v>1372</v>
      </c>
      <c r="PGM1003">
        <v>-8090703</v>
      </c>
      <c r="PGN1003">
        <v>-2202762</v>
      </c>
      <c r="PGO1003">
        <v>-7594110</v>
      </c>
      <c r="PGP1003">
        <v>-134316219</v>
      </c>
      <c r="PGQ1003">
        <v>-87631686</v>
      </c>
      <c r="PQH1003" t="s">
        <v>1372</v>
      </c>
      <c r="PQI1003">
        <v>-8090703</v>
      </c>
      <c r="PQJ1003">
        <v>-2202762</v>
      </c>
      <c r="PQK1003">
        <v>-7594110</v>
      </c>
      <c r="PQL1003">
        <v>-134316219</v>
      </c>
      <c r="PQM1003">
        <v>-87631686</v>
      </c>
      <c r="QAD1003" t="s">
        <v>1372</v>
      </c>
      <c r="QAE1003">
        <v>-8090703</v>
      </c>
      <c r="QAF1003">
        <v>-2202762</v>
      </c>
      <c r="QAG1003">
        <v>-7594110</v>
      </c>
      <c r="QAH1003">
        <v>-134316219</v>
      </c>
      <c r="QAI1003">
        <v>-87631686</v>
      </c>
      <c r="QJZ1003" t="s">
        <v>1372</v>
      </c>
      <c r="QKA1003">
        <v>-8090703</v>
      </c>
      <c r="QKB1003">
        <v>-2202762</v>
      </c>
      <c r="QKC1003">
        <v>-7594110</v>
      </c>
      <c r="QKD1003">
        <v>-134316219</v>
      </c>
      <c r="QKE1003">
        <v>-87631686</v>
      </c>
      <c r="QTV1003" t="s">
        <v>1372</v>
      </c>
      <c r="QTW1003">
        <v>-8090703</v>
      </c>
      <c r="QTX1003">
        <v>-2202762</v>
      </c>
      <c r="QTY1003">
        <v>-7594110</v>
      </c>
      <c r="QTZ1003">
        <v>-134316219</v>
      </c>
      <c r="QUA1003">
        <v>-87631686</v>
      </c>
      <c r="RDR1003" t="s">
        <v>1372</v>
      </c>
      <c r="RDS1003">
        <v>-8090703</v>
      </c>
      <c r="RDT1003">
        <v>-2202762</v>
      </c>
      <c r="RDU1003">
        <v>-7594110</v>
      </c>
      <c r="RDV1003">
        <v>-134316219</v>
      </c>
      <c r="RDW1003">
        <v>-87631686</v>
      </c>
      <c r="RNN1003" t="s">
        <v>1372</v>
      </c>
      <c r="RNO1003">
        <v>-8090703</v>
      </c>
      <c r="RNP1003">
        <v>-2202762</v>
      </c>
      <c r="RNQ1003">
        <v>-7594110</v>
      </c>
      <c r="RNR1003">
        <v>-134316219</v>
      </c>
      <c r="RNS1003">
        <v>-87631686</v>
      </c>
      <c r="RXJ1003" t="s">
        <v>1372</v>
      </c>
      <c r="RXK1003">
        <v>-8090703</v>
      </c>
      <c r="RXL1003">
        <v>-2202762</v>
      </c>
      <c r="RXM1003">
        <v>-7594110</v>
      </c>
      <c r="RXN1003">
        <v>-134316219</v>
      </c>
      <c r="RXO1003">
        <v>-87631686</v>
      </c>
      <c r="SHF1003" t="s">
        <v>1372</v>
      </c>
      <c r="SHG1003">
        <v>-8090703</v>
      </c>
      <c r="SHH1003">
        <v>-2202762</v>
      </c>
      <c r="SHI1003">
        <v>-7594110</v>
      </c>
      <c r="SHJ1003">
        <v>-134316219</v>
      </c>
      <c r="SHK1003">
        <v>-87631686</v>
      </c>
      <c r="SRB1003" t="s">
        <v>1372</v>
      </c>
      <c r="SRC1003">
        <v>-8090703</v>
      </c>
      <c r="SRD1003">
        <v>-2202762</v>
      </c>
      <c r="SRE1003">
        <v>-7594110</v>
      </c>
      <c r="SRF1003">
        <v>-134316219</v>
      </c>
      <c r="SRG1003">
        <v>-87631686</v>
      </c>
      <c r="TAX1003" t="s">
        <v>1372</v>
      </c>
      <c r="TAY1003">
        <v>-8090703</v>
      </c>
      <c r="TAZ1003">
        <v>-2202762</v>
      </c>
      <c r="TBA1003">
        <v>-7594110</v>
      </c>
      <c r="TBB1003">
        <v>-134316219</v>
      </c>
      <c r="TBC1003">
        <v>-87631686</v>
      </c>
      <c r="TKT1003" t="s">
        <v>1372</v>
      </c>
      <c r="TKU1003">
        <v>-8090703</v>
      </c>
      <c r="TKV1003">
        <v>-2202762</v>
      </c>
      <c r="TKW1003">
        <v>-7594110</v>
      </c>
      <c r="TKX1003">
        <v>-134316219</v>
      </c>
      <c r="TKY1003">
        <v>-87631686</v>
      </c>
      <c r="TUP1003" t="s">
        <v>1372</v>
      </c>
      <c r="TUQ1003">
        <v>-8090703</v>
      </c>
      <c r="TUR1003">
        <v>-2202762</v>
      </c>
      <c r="TUS1003">
        <v>-7594110</v>
      </c>
      <c r="TUT1003">
        <v>-134316219</v>
      </c>
      <c r="TUU1003">
        <v>-87631686</v>
      </c>
      <c r="UEL1003" t="s">
        <v>1372</v>
      </c>
      <c r="UEM1003">
        <v>-8090703</v>
      </c>
      <c r="UEN1003">
        <v>-2202762</v>
      </c>
      <c r="UEO1003">
        <v>-7594110</v>
      </c>
      <c r="UEP1003">
        <v>-134316219</v>
      </c>
      <c r="UEQ1003">
        <v>-87631686</v>
      </c>
      <c r="UOH1003" t="s">
        <v>1372</v>
      </c>
      <c r="UOI1003">
        <v>-8090703</v>
      </c>
      <c r="UOJ1003">
        <v>-2202762</v>
      </c>
      <c r="UOK1003">
        <v>-7594110</v>
      </c>
      <c r="UOL1003">
        <v>-134316219</v>
      </c>
      <c r="UOM1003">
        <v>-87631686</v>
      </c>
      <c r="UYD1003" t="s">
        <v>1372</v>
      </c>
      <c r="UYE1003">
        <v>-8090703</v>
      </c>
      <c r="UYF1003">
        <v>-2202762</v>
      </c>
      <c r="UYG1003">
        <v>-7594110</v>
      </c>
      <c r="UYH1003">
        <v>-134316219</v>
      </c>
      <c r="UYI1003">
        <v>-87631686</v>
      </c>
      <c r="VHZ1003" t="s">
        <v>1372</v>
      </c>
      <c r="VIA1003">
        <v>-8090703</v>
      </c>
      <c r="VIB1003">
        <v>-2202762</v>
      </c>
      <c r="VIC1003">
        <v>-7594110</v>
      </c>
      <c r="VID1003">
        <v>-134316219</v>
      </c>
      <c r="VIE1003">
        <v>-87631686</v>
      </c>
      <c r="VRV1003" t="s">
        <v>1372</v>
      </c>
      <c r="VRW1003">
        <v>-8090703</v>
      </c>
      <c r="VRX1003">
        <v>-2202762</v>
      </c>
      <c r="VRY1003">
        <v>-7594110</v>
      </c>
      <c r="VRZ1003">
        <v>-134316219</v>
      </c>
      <c r="VSA1003">
        <v>-87631686</v>
      </c>
      <c r="WBR1003" t="s">
        <v>1372</v>
      </c>
      <c r="WBS1003">
        <v>-8090703</v>
      </c>
      <c r="WBT1003">
        <v>-2202762</v>
      </c>
      <c r="WBU1003">
        <v>-7594110</v>
      </c>
      <c r="WBV1003">
        <v>-134316219</v>
      </c>
      <c r="WBW1003">
        <v>-87631686</v>
      </c>
      <c r="WLN1003" t="s">
        <v>1372</v>
      </c>
      <c r="WLO1003">
        <v>-8090703</v>
      </c>
      <c r="WLP1003">
        <v>-2202762</v>
      </c>
      <c r="WLQ1003">
        <v>-7594110</v>
      </c>
      <c r="WLR1003">
        <v>-134316219</v>
      </c>
      <c r="WLS1003">
        <v>-87631686</v>
      </c>
      <c r="WVJ1003" t="s">
        <v>1372</v>
      </c>
      <c r="WVK1003">
        <v>-8090703</v>
      </c>
      <c r="WVL1003">
        <v>-2202762</v>
      </c>
      <c r="WVM1003">
        <v>-7594110</v>
      </c>
      <c r="WVN1003">
        <v>-134316219</v>
      </c>
      <c r="WVO1003">
        <v>-87631686</v>
      </c>
    </row>
    <row r="1004" spans="1:775 1026:1799 2050:2823 3074:3847 4098:4871 5122:5895 6146:6919 7170:7943 8194:8967 9218:9991 10242:11015 11266:12039 12290:13063 13314:14087 14338:15111 15362:16135">
      <c r="A1004" s="96" t="s">
        <v>1373</v>
      </c>
      <c r="B1004" t="s">
        <v>804</v>
      </c>
      <c r="C1004" s="100">
        <v>-110900</v>
      </c>
      <c r="D1004" s="98">
        <v>0</v>
      </c>
      <c r="E1004" s="100">
        <v>-250826</v>
      </c>
      <c r="F1004" s="100">
        <v>-592570</v>
      </c>
      <c r="G1004" s="100">
        <v>-279043</v>
      </c>
      <c r="H1004" s="100"/>
      <c r="IX1004" t="s">
        <v>1373</v>
      </c>
      <c r="IY1004">
        <v>-110900</v>
      </c>
      <c r="IZ1004" t="s">
        <v>619</v>
      </c>
      <c r="JA1004">
        <v>-250826</v>
      </c>
      <c r="JB1004">
        <v>-592570</v>
      </c>
      <c r="JC1004">
        <v>-279043</v>
      </c>
      <c r="ST1004" t="s">
        <v>1373</v>
      </c>
      <c r="SU1004">
        <v>-110900</v>
      </c>
      <c r="SV1004" t="s">
        <v>619</v>
      </c>
      <c r="SW1004">
        <v>-250826</v>
      </c>
      <c r="SX1004">
        <v>-592570</v>
      </c>
      <c r="SY1004">
        <v>-279043</v>
      </c>
      <c r="ACP1004" t="s">
        <v>1373</v>
      </c>
      <c r="ACQ1004">
        <v>-110900</v>
      </c>
      <c r="ACR1004" t="s">
        <v>619</v>
      </c>
      <c r="ACS1004">
        <v>-250826</v>
      </c>
      <c r="ACT1004">
        <v>-592570</v>
      </c>
      <c r="ACU1004">
        <v>-279043</v>
      </c>
      <c r="AML1004" t="s">
        <v>1373</v>
      </c>
      <c r="AMM1004">
        <v>-110900</v>
      </c>
      <c r="AMN1004" t="s">
        <v>619</v>
      </c>
      <c r="AMO1004">
        <v>-250826</v>
      </c>
      <c r="AMP1004">
        <v>-592570</v>
      </c>
      <c r="AMQ1004">
        <v>-279043</v>
      </c>
      <c r="AWH1004" t="s">
        <v>1373</v>
      </c>
      <c r="AWI1004">
        <v>-110900</v>
      </c>
      <c r="AWJ1004" t="s">
        <v>619</v>
      </c>
      <c r="AWK1004">
        <v>-250826</v>
      </c>
      <c r="AWL1004">
        <v>-592570</v>
      </c>
      <c r="AWM1004">
        <v>-279043</v>
      </c>
      <c r="BGD1004" t="s">
        <v>1373</v>
      </c>
      <c r="BGE1004">
        <v>-110900</v>
      </c>
      <c r="BGF1004" t="s">
        <v>619</v>
      </c>
      <c r="BGG1004">
        <v>-250826</v>
      </c>
      <c r="BGH1004">
        <v>-592570</v>
      </c>
      <c r="BGI1004">
        <v>-279043</v>
      </c>
      <c r="BPZ1004" t="s">
        <v>1373</v>
      </c>
      <c r="BQA1004">
        <v>-110900</v>
      </c>
      <c r="BQB1004" t="s">
        <v>619</v>
      </c>
      <c r="BQC1004">
        <v>-250826</v>
      </c>
      <c r="BQD1004">
        <v>-592570</v>
      </c>
      <c r="BQE1004">
        <v>-279043</v>
      </c>
      <c r="BZV1004" t="s">
        <v>1373</v>
      </c>
      <c r="BZW1004">
        <v>-110900</v>
      </c>
      <c r="BZX1004" t="s">
        <v>619</v>
      </c>
      <c r="BZY1004">
        <v>-250826</v>
      </c>
      <c r="BZZ1004">
        <v>-592570</v>
      </c>
      <c r="CAA1004">
        <v>-279043</v>
      </c>
      <c r="CJR1004" t="s">
        <v>1373</v>
      </c>
      <c r="CJS1004">
        <v>-110900</v>
      </c>
      <c r="CJT1004" t="s">
        <v>619</v>
      </c>
      <c r="CJU1004">
        <v>-250826</v>
      </c>
      <c r="CJV1004">
        <v>-592570</v>
      </c>
      <c r="CJW1004">
        <v>-279043</v>
      </c>
      <c r="CTN1004" t="s">
        <v>1373</v>
      </c>
      <c r="CTO1004">
        <v>-110900</v>
      </c>
      <c r="CTP1004" t="s">
        <v>619</v>
      </c>
      <c r="CTQ1004">
        <v>-250826</v>
      </c>
      <c r="CTR1004">
        <v>-592570</v>
      </c>
      <c r="CTS1004">
        <v>-279043</v>
      </c>
      <c r="DDJ1004" t="s">
        <v>1373</v>
      </c>
      <c r="DDK1004">
        <v>-110900</v>
      </c>
      <c r="DDL1004" t="s">
        <v>619</v>
      </c>
      <c r="DDM1004">
        <v>-250826</v>
      </c>
      <c r="DDN1004">
        <v>-592570</v>
      </c>
      <c r="DDO1004">
        <v>-279043</v>
      </c>
      <c r="DNF1004" t="s">
        <v>1373</v>
      </c>
      <c r="DNG1004">
        <v>-110900</v>
      </c>
      <c r="DNH1004" t="s">
        <v>619</v>
      </c>
      <c r="DNI1004">
        <v>-250826</v>
      </c>
      <c r="DNJ1004">
        <v>-592570</v>
      </c>
      <c r="DNK1004">
        <v>-279043</v>
      </c>
      <c r="DXB1004" t="s">
        <v>1373</v>
      </c>
      <c r="DXC1004">
        <v>-110900</v>
      </c>
      <c r="DXD1004" t="s">
        <v>619</v>
      </c>
      <c r="DXE1004">
        <v>-250826</v>
      </c>
      <c r="DXF1004">
        <v>-592570</v>
      </c>
      <c r="DXG1004">
        <v>-279043</v>
      </c>
      <c r="EGX1004" t="s">
        <v>1373</v>
      </c>
      <c r="EGY1004">
        <v>-110900</v>
      </c>
      <c r="EGZ1004" t="s">
        <v>619</v>
      </c>
      <c r="EHA1004">
        <v>-250826</v>
      </c>
      <c r="EHB1004">
        <v>-592570</v>
      </c>
      <c r="EHC1004">
        <v>-279043</v>
      </c>
      <c r="EQT1004" t="s">
        <v>1373</v>
      </c>
      <c r="EQU1004">
        <v>-110900</v>
      </c>
      <c r="EQV1004" t="s">
        <v>619</v>
      </c>
      <c r="EQW1004">
        <v>-250826</v>
      </c>
      <c r="EQX1004">
        <v>-592570</v>
      </c>
      <c r="EQY1004">
        <v>-279043</v>
      </c>
      <c r="FAP1004" t="s">
        <v>1373</v>
      </c>
      <c r="FAQ1004">
        <v>-110900</v>
      </c>
      <c r="FAR1004" t="s">
        <v>619</v>
      </c>
      <c r="FAS1004">
        <v>-250826</v>
      </c>
      <c r="FAT1004">
        <v>-592570</v>
      </c>
      <c r="FAU1004">
        <v>-279043</v>
      </c>
      <c r="FKL1004" t="s">
        <v>1373</v>
      </c>
      <c r="FKM1004">
        <v>-110900</v>
      </c>
      <c r="FKN1004" t="s">
        <v>619</v>
      </c>
      <c r="FKO1004">
        <v>-250826</v>
      </c>
      <c r="FKP1004">
        <v>-592570</v>
      </c>
      <c r="FKQ1004">
        <v>-279043</v>
      </c>
      <c r="FUH1004" t="s">
        <v>1373</v>
      </c>
      <c r="FUI1004">
        <v>-110900</v>
      </c>
      <c r="FUJ1004" t="s">
        <v>619</v>
      </c>
      <c r="FUK1004">
        <v>-250826</v>
      </c>
      <c r="FUL1004">
        <v>-592570</v>
      </c>
      <c r="FUM1004">
        <v>-279043</v>
      </c>
      <c r="GED1004" t="s">
        <v>1373</v>
      </c>
      <c r="GEE1004">
        <v>-110900</v>
      </c>
      <c r="GEF1004" t="s">
        <v>619</v>
      </c>
      <c r="GEG1004">
        <v>-250826</v>
      </c>
      <c r="GEH1004">
        <v>-592570</v>
      </c>
      <c r="GEI1004">
        <v>-279043</v>
      </c>
      <c r="GNZ1004" t="s">
        <v>1373</v>
      </c>
      <c r="GOA1004">
        <v>-110900</v>
      </c>
      <c r="GOB1004" t="s">
        <v>619</v>
      </c>
      <c r="GOC1004">
        <v>-250826</v>
      </c>
      <c r="GOD1004">
        <v>-592570</v>
      </c>
      <c r="GOE1004">
        <v>-279043</v>
      </c>
      <c r="GXV1004" t="s">
        <v>1373</v>
      </c>
      <c r="GXW1004">
        <v>-110900</v>
      </c>
      <c r="GXX1004" t="s">
        <v>619</v>
      </c>
      <c r="GXY1004">
        <v>-250826</v>
      </c>
      <c r="GXZ1004">
        <v>-592570</v>
      </c>
      <c r="GYA1004">
        <v>-279043</v>
      </c>
      <c r="HHR1004" t="s">
        <v>1373</v>
      </c>
      <c r="HHS1004">
        <v>-110900</v>
      </c>
      <c r="HHT1004" t="s">
        <v>619</v>
      </c>
      <c r="HHU1004">
        <v>-250826</v>
      </c>
      <c r="HHV1004">
        <v>-592570</v>
      </c>
      <c r="HHW1004">
        <v>-279043</v>
      </c>
      <c r="HRN1004" t="s">
        <v>1373</v>
      </c>
      <c r="HRO1004">
        <v>-110900</v>
      </c>
      <c r="HRP1004" t="s">
        <v>619</v>
      </c>
      <c r="HRQ1004">
        <v>-250826</v>
      </c>
      <c r="HRR1004">
        <v>-592570</v>
      </c>
      <c r="HRS1004">
        <v>-279043</v>
      </c>
      <c r="IBJ1004" t="s">
        <v>1373</v>
      </c>
      <c r="IBK1004">
        <v>-110900</v>
      </c>
      <c r="IBL1004" t="s">
        <v>619</v>
      </c>
      <c r="IBM1004">
        <v>-250826</v>
      </c>
      <c r="IBN1004">
        <v>-592570</v>
      </c>
      <c r="IBO1004">
        <v>-279043</v>
      </c>
      <c r="ILF1004" t="s">
        <v>1373</v>
      </c>
      <c r="ILG1004">
        <v>-110900</v>
      </c>
      <c r="ILH1004" t="s">
        <v>619</v>
      </c>
      <c r="ILI1004">
        <v>-250826</v>
      </c>
      <c r="ILJ1004">
        <v>-592570</v>
      </c>
      <c r="ILK1004">
        <v>-279043</v>
      </c>
      <c r="IVB1004" t="s">
        <v>1373</v>
      </c>
      <c r="IVC1004">
        <v>-110900</v>
      </c>
      <c r="IVD1004" t="s">
        <v>619</v>
      </c>
      <c r="IVE1004">
        <v>-250826</v>
      </c>
      <c r="IVF1004">
        <v>-592570</v>
      </c>
      <c r="IVG1004">
        <v>-279043</v>
      </c>
      <c r="JEX1004" t="s">
        <v>1373</v>
      </c>
      <c r="JEY1004">
        <v>-110900</v>
      </c>
      <c r="JEZ1004" t="s">
        <v>619</v>
      </c>
      <c r="JFA1004">
        <v>-250826</v>
      </c>
      <c r="JFB1004">
        <v>-592570</v>
      </c>
      <c r="JFC1004">
        <v>-279043</v>
      </c>
      <c r="JOT1004" t="s">
        <v>1373</v>
      </c>
      <c r="JOU1004">
        <v>-110900</v>
      </c>
      <c r="JOV1004" t="s">
        <v>619</v>
      </c>
      <c r="JOW1004">
        <v>-250826</v>
      </c>
      <c r="JOX1004">
        <v>-592570</v>
      </c>
      <c r="JOY1004">
        <v>-279043</v>
      </c>
      <c r="JYP1004" t="s">
        <v>1373</v>
      </c>
      <c r="JYQ1004">
        <v>-110900</v>
      </c>
      <c r="JYR1004" t="s">
        <v>619</v>
      </c>
      <c r="JYS1004">
        <v>-250826</v>
      </c>
      <c r="JYT1004">
        <v>-592570</v>
      </c>
      <c r="JYU1004">
        <v>-279043</v>
      </c>
      <c r="KIL1004" t="s">
        <v>1373</v>
      </c>
      <c r="KIM1004">
        <v>-110900</v>
      </c>
      <c r="KIN1004" t="s">
        <v>619</v>
      </c>
      <c r="KIO1004">
        <v>-250826</v>
      </c>
      <c r="KIP1004">
        <v>-592570</v>
      </c>
      <c r="KIQ1004">
        <v>-279043</v>
      </c>
      <c r="KSH1004" t="s">
        <v>1373</v>
      </c>
      <c r="KSI1004">
        <v>-110900</v>
      </c>
      <c r="KSJ1004" t="s">
        <v>619</v>
      </c>
      <c r="KSK1004">
        <v>-250826</v>
      </c>
      <c r="KSL1004">
        <v>-592570</v>
      </c>
      <c r="KSM1004">
        <v>-279043</v>
      </c>
      <c r="LCD1004" t="s">
        <v>1373</v>
      </c>
      <c r="LCE1004">
        <v>-110900</v>
      </c>
      <c r="LCF1004" t="s">
        <v>619</v>
      </c>
      <c r="LCG1004">
        <v>-250826</v>
      </c>
      <c r="LCH1004">
        <v>-592570</v>
      </c>
      <c r="LCI1004">
        <v>-279043</v>
      </c>
      <c r="LLZ1004" t="s">
        <v>1373</v>
      </c>
      <c r="LMA1004">
        <v>-110900</v>
      </c>
      <c r="LMB1004" t="s">
        <v>619</v>
      </c>
      <c r="LMC1004">
        <v>-250826</v>
      </c>
      <c r="LMD1004">
        <v>-592570</v>
      </c>
      <c r="LME1004">
        <v>-279043</v>
      </c>
      <c r="LVV1004" t="s">
        <v>1373</v>
      </c>
      <c r="LVW1004">
        <v>-110900</v>
      </c>
      <c r="LVX1004" t="s">
        <v>619</v>
      </c>
      <c r="LVY1004">
        <v>-250826</v>
      </c>
      <c r="LVZ1004">
        <v>-592570</v>
      </c>
      <c r="LWA1004">
        <v>-279043</v>
      </c>
      <c r="MFR1004" t="s">
        <v>1373</v>
      </c>
      <c r="MFS1004">
        <v>-110900</v>
      </c>
      <c r="MFT1004" t="s">
        <v>619</v>
      </c>
      <c r="MFU1004">
        <v>-250826</v>
      </c>
      <c r="MFV1004">
        <v>-592570</v>
      </c>
      <c r="MFW1004">
        <v>-279043</v>
      </c>
      <c r="MPN1004" t="s">
        <v>1373</v>
      </c>
      <c r="MPO1004">
        <v>-110900</v>
      </c>
      <c r="MPP1004" t="s">
        <v>619</v>
      </c>
      <c r="MPQ1004">
        <v>-250826</v>
      </c>
      <c r="MPR1004">
        <v>-592570</v>
      </c>
      <c r="MPS1004">
        <v>-279043</v>
      </c>
      <c r="MZJ1004" t="s">
        <v>1373</v>
      </c>
      <c r="MZK1004">
        <v>-110900</v>
      </c>
      <c r="MZL1004" t="s">
        <v>619</v>
      </c>
      <c r="MZM1004">
        <v>-250826</v>
      </c>
      <c r="MZN1004">
        <v>-592570</v>
      </c>
      <c r="MZO1004">
        <v>-279043</v>
      </c>
      <c r="NJF1004" t="s">
        <v>1373</v>
      </c>
      <c r="NJG1004">
        <v>-110900</v>
      </c>
      <c r="NJH1004" t="s">
        <v>619</v>
      </c>
      <c r="NJI1004">
        <v>-250826</v>
      </c>
      <c r="NJJ1004">
        <v>-592570</v>
      </c>
      <c r="NJK1004">
        <v>-279043</v>
      </c>
      <c r="NTB1004" t="s">
        <v>1373</v>
      </c>
      <c r="NTC1004">
        <v>-110900</v>
      </c>
      <c r="NTD1004" t="s">
        <v>619</v>
      </c>
      <c r="NTE1004">
        <v>-250826</v>
      </c>
      <c r="NTF1004">
        <v>-592570</v>
      </c>
      <c r="NTG1004">
        <v>-279043</v>
      </c>
      <c r="OCX1004" t="s">
        <v>1373</v>
      </c>
      <c r="OCY1004">
        <v>-110900</v>
      </c>
      <c r="OCZ1004" t="s">
        <v>619</v>
      </c>
      <c r="ODA1004">
        <v>-250826</v>
      </c>
      <c r="ODB1004">
        <v>-592570</v>
      </c>
      <c r="ODC1004">
        <v>-279043</v>
      </c>
      <c r="OMT1004" t="s">
        <v>1373</v>
      </c>
      <c r="OMU1004">
        <v>-110900</v>
      </c>
      <c r="OMV1004" t="s">
        <v>619</v>
      </c>
      <c r="OMW1004">
        <v>-250826</v>
      </c>
      <c r="OMX1004">
        <v>-592570</v>
      </c>
      <c r="OMY1004">
        <v>-279043</v>
      </c>
      <c r="OWP1004" t="s">
        <v>1373</v>
      </c>
      <c r="OWQ1004">
        <v>-110900</v>
      </c>
      <c r="OWR1004" t="s">
        <v>619</v>
      </c>
      <c r="OWS1004">
        <v>-250826</v>
      </c>
      <c r="OWT1004">
        <v>-592570</v>
      </c>
      <c r="OWU1004">
        <v>-279043</v>
      </c>
      <c r="PGL1004" t="s">
        <v>1373</v>
      </c>
      <c r="PGM1004">
        <v>-110900</v>
      </c>
      <c r="PGN1004" t="s">
        <v>619</v>
      </c>
      <c r="PGO1004">
        <v>-250826</v>
      </c>
      <c r="PGP1004">
        <v>-592570</v>
      </c>
      <c r="PGQ1004">
        <v>-279043</v>
      </c>
      <c r="PQH1004" t="s">
        <v>1373</v>
      </c>
      <c r="PQI1004">
        <v>-110900</v>
      </c>
      <c r="PQJ1004" t="s">
        <v>619</v>
      </c>
      <c r="PQK1004">
        <v>-250826</v>
      </c>
      <c r="PQL1004">
        <v>-592570</v>
      </c>
      <c r="PQM1004">
        <v>-279043</v>
      </c>
      <c r="QAD1004" t="s">
        <v>1373</v>
      </c>
      <c r="QAE1004">
        <v>-110900</v>
      </c>
      <c r="QAF1004" t="s">
        <v>619</v>
      </c>
      <c r="QAG1004">
        <v>-250826</v>
      </c>
      <c r="QAH1004">
        <v>-592570</v>
      </c>
      <c r="QAI1004">
        <v>-279043</v>
      </c>
      <c r="QJZ1004" t="s">
        <v>1373</v>
      </c>
      <c r="QKA1004">
        <v>-110900</v>
      </c>
      <c r="QKB1004" t="s">
        <v>619</v>
      </c>
      <c r="QKC1004">
        <v>-250826</v>
      </c>
      <c r="QKD1004">
        <v>-592570</v>
      </c>
      <c r="QKE1004">
        <v>-279043</v>
      </c>
      <c r="QTV1004" t="s">
        <v>1373</v>
      </c>
      <c r="QTW1004">
        <v>-110900</v>
      </c>
      <c r="QTX1004" t="s">
        <v>619</v>
      </c>
      <c r="QTY1004">
        <v>-250826</v>
      </c>
      <c r="QTZ1004">
        <v>-592570</v>
      </c>
      <c r="QUA1004">
        <v>-279043</v>
      </c>
      <c r="RDR1004" t="s">
        <v>1373</v>
      </c>
      <c r="RDS1004">
        <v>-110900</v>
      </c>
      <c r="RDT1004" t="s">
        <v>619</v>
      </c>
      <c r="RDU1004">
        <v>-250826</v>
      </c>
      <c r="RDV1004">
        <v>-592570</v>
      </c>
      <c r="RDW1004">
        <v>-279043</v>
      </c>
      <c r="RNN1004" t="s">
        <v>1373</v>
      </c>
      <c r="RNO1004">
        <v>-110900</v>
      </c>
      <c r="RNP1004" t="s">
        <v>619</v>
      </c>
      <c r="RNQ1004">
        <v>-250826</v>
      </c>
      <c r="RNR1004">
        <v>-592570</v>
      </c>
      <c r="RNS1004">
        <v>-279043</v>
      </c>
      <c r="RXJ1004" t="s">
        <v>1373</v>
      </c>
      <c r="RXK1004">
        <v>-110900</v>
      </c>
      <c r="RXL1004" t="s">
        <v>619</v>
      </c>
      <c r="RXM1004">
        <v>-250826</v>
      </c>
      <c r="RXN1004">
        <v>-592570</v>
      </c>
      <c r="RXO1004">
        <v>-279043</v>
      </c>
      <c r="SHF1004" t="s">
        <v>1373</v>
      </c>
      <c r="SHG1004">
        <v>-110900</v>
      </c>
      <c r="SHH1004" t="s">
        <v>619</v>
      </c>
      <c r="SHI1004">
        <v>-250826</v>
      </c>
      <c r="SHJ1004">
        <v>-592570</v>
      </c>
      <c r="SHK1004">
        <v>-279043</v>
      </c>
      <c r="SRB1004" t="s">
        <v>1373</v>
      </c>
      <c r="SRC1004">
        <v>-110900</v>
      </c>
      <c r="SRD1004" t="s">
        <v>619</v>
      </c>
      <c r="SRE1004">
        <v>-250826</v>
      </c>
      <c r="SRF1004">
        <v>-592570</v>
      </c>
      <c r="SRG1004">
        <v>-279043</v>
      </c>
      <c r="TAX1004" t="s">
        <v>1373</v>
      </c>
      <c r="TAY1004">
        <v>-110900</v>
      </c>
      <c r="TAZ1004" t="s">
        <v>619</v>
      </c>
      <c r="TBA1004">
        <v>-250826</v>
      </c>
      <c r="TBB1004">
        <v>-592570</v>
      </c>
      <c r="TBC1004">
        <v>-279043</v>
      </c>
      <c r="TKT1004" t="s">
        <v>1373</v>
      </c>
      <c r="TKU1004">
        <v>-110900</v>
      </c>
      <c r="TKV1004" t="s">
        <v>619</v>
      </c>
      <c r="TKW1004">
        <v>-250826</v>
      </c>
      <c r="TKX1004">
        <v>-592570</v>
      </c>
      <c r="TKY1004">
        <v>-279043</v>
      </c>
      <c r="TUP1004" t="s">
        <v>1373</v>
      </c>
      <c r="TUQ1004">
        <v>-110900</v>
      </c>
      <c r="TUR1004" t="s">
        <v>619</v>
      </c>
      <c r="TUS1004">
        <v>-250826</v>
      </c>
      <c r="TUT1004">
        <v>-592570</v>
      </c>
      <c r="TUU1004">
        <v>-279043</v>
      </c>
      <c r="UEL1004" t="s">
        <v>1373</v>
      </c>
      <c r="UEM1004">
        <v>-110900</v>
      </c>
      <c r="UEN1004" t="s">
        <v>619</v>
      </c>
      <c r="UEO1004">
        <v>-250826</v>
      </c>
      <c r="UEP1004">
        <v>-592570</v>
      </c>
      <c r="UEQ1004">
        <v>-279043</v>
      </c>
      <c r="UOH1004" t="s">
        <v>1373</v>
      </c>
      <c r="UOI1004">
        <v>-110900</v>
      </c>
      <c r="UOJ1004" t="s">
        <v>619</v>
      </c>
      <c r="UOK1004">
        <v>-250826</v>
      </c>
      <c r="UOL1004">
        <v>-592570</v>
      </c>
      <c r="UOM1004">
        <v>-279043</v>
      </c>
      <c r="UYD1004" t="s">
        <v>1373</v>
      </c>
      <c r="UYE1004">
        <v>-110900</v>
      </c>
      <c r="UYF1004" t="s">
        <v>619</v>
      </c>
      <c r="UYG1004">
        <v>-250826</v>
      </c>
      <c r="UYH1004">
        <v>-592570</v>
      </c>
      <c r="UYI1004">
        <v>-279043</v>
      </c>
      <c r="VHZ1004" t="s">
        <v>1373</v>
      </c>
      <c r="VIA1004">
        <v>-110900</v>
      </c>
      <c r="VIB1004" t="s">
        <v>619</v>
      </c>
      <c r="VIC1004">
        <v>-250826</v>
      </c>
      <c r="VID1004">
        <v>-592570</v>
      </c>
      <c r="VIE1004">
        <v>-279043</v>
      </c>
      <c r="VRV1004" t="s">
        <v>1373</v>
      </c>
      <c r="VRW1004">
        <v>-110900</v>
      </c>
      <c r="VRX1004" t="s">
        <v>619</v>
      </c>
      <c r="VRY1004">
        <v>-250826</v>
      </c>
      <c r="VRZ1004">
        <v>-592570</v>
      </c>
      <c r="VSA1004">
        <v>-279043</v>
      </c>
      <c r="WBR1004" t="s">
        <v>1373</v>
      </c>
      <c r="WBS1004">
        <v>-110900</v>
      </c>
      <c r="WBT1004" t="s">
        <v>619</v>
      </c>
      <c r="WBU1004">
        <v>-250826</v>
      </c>
      <c r="WBV1004">
        <v>-592570</v>
      </c>
      <c r="WBW1004">
        <v>-279043</v>
      </c>
      <c r="WLN1004" t="s">
        <v>1373</v>
      </c>
      <c r="WLO1004">
        <v>-110900</v>
      </c>
      <c r="WLP1004" t="s">
        <v>619</v>
      </c>
      <c r="WLQ1004">
        <v>-250826</v>
      </c>
      <c r="WLR1004">
        <v>-592570</v>
      </c>
      <c r="WLS1004">
        <v>-279043</v>
      </c>
      <c r="WVJ1004" t="s">
        <v>1373</v>
      </c>
      <c r="WVK1004">
        <v>-110900</v>
      </c>
      <c r="WVL1004" t="s">
        <v>619</v>
      </c>
      <c r="WVM1004">
        <v>-250826</v>
      </c>
      <c r="WVN1004">
        <v>-592570</v>
      </c>
      <c r="WVO1004">
        <v>-279043</v>
      </c>
    </row>
    <row r="1005" spans="1:775 1026:1799 2050:2823 3074:3847 4098:4871 5122:5895 6146:6919 7170:7943 8194:8967 9218:9991 10242:11015 11266:12039 12290:13063 13314:14087 14338:15111 15362:16135" s="1302" customFormat="1">
      <c r="A1005" s="1796" t="s">
        <v>1374</v>
      </c>
      <c r="B1005" s="1302" t="s">
        <v>807</v>
      </c>
      <c r="C1005" s="1797">
        <v>0</v>
      </c>
      <c r="D1005" s="1797">
        <v>0</v>
      </c>
      <c r="E1005" s="1797">
        <v>0</v>
      </c>
      <c r="F1005" s="1797">
        <v>0</v>
      </c>
      <c r="G1005" s="1798">
        <v>286760</v>
      </c>
      <c r="H1005" s="1798"/>
      <c r="IX1005" s="1302" t="s">
        <v>1374</v>
      </c>
      <c r="IY1005" s="1302" t="s">
        <v>619</v>
      </c>
      <c r="IZ1005" s="1302" t="s">
        <v>619</v>
      </c>
      <c r="JA1005" s="1302" t="s">
        <v>619</v>
      </c>
      <c r="JB1005" s="1302" t="s">
        <v>619</v>
      </c>
      <c r="JC1005" s="1302">
        <v>286760</v>
      </c>
      <c r="ST1005" s="1302" t="s">
        <v>1374</v>
      </c>
      <c r="SU1005" s="1302" t="s">
        <v>619</v>
      </c>
      <c r="SV1005" s="1302" t="s">
        <v>619</v>
      </c>
      <c r="SW1005" s="1302" t="s">
        <v>619</v>
      </c>
      <c r="SX1005" s="1302" t="s">
        <v>619</v>
      </c>
      <c r="SY1005" s="1302">
        <v>286760</v>
      </c>
      <c r="ACP1005" s="1302" t="s">
        <v>1374</v>
      </c>
      <c r="ACQ1005" s="1302" t="s">
        <v>619</v>
      </c>
      <c r="ACR1005" s="1302" t="s">
        <v>619</v>
      </c>
      <c r="ACS1005" s="1302" t="s">
        <v>619</v>
      </c>
      <c r="ACT1005" s="1302" t="s">
        <v>619</v>
      </c>
      <c r="ACU1005" s="1302">
        <v>286760</v>
      </c>
      <c r="AML1005" s="1302" t="s">
        <v>1374</v>
      </c>
      <c r="AMM1005" s="1302" t="s">
        <v>619</v>
      </c>
      <c r="AMN1005" s="1302" t="s">
        <v>619</v>
      </c>
      <c r="AMO1005" s="1302" t="s">
        <v>619</v>
      </c>
      <c r="AMP1005" s="1302" t="s">
        <v>619</v>
      </c>
      <c r="AMQ1005" s="1302">
        <v>286760</v>
      </c>
      <c r="AWH1005" s="1302" t="s">
        <v>1374</v>
      </c>
      <c r="AWI1005" s="1302" t="s">
        <v>619</v>
      </c>
      <c r="AWJ1005" s="1302" t="s">
        <v>619</v>
      </c>
      <c r="AWK1005" s="1302" t="s">
        <v>619</v>
      </c>
      <c r="AWL1005" s="1302" t="s">
        <v>619</v>
      </c>
      <c r="AWM1005" s="1302">
        <v>286760</v>
      </c>
      <c r="BGD1005" s="1302" t="s">
        <v>1374</v>
      </c>
      <c r="BGE1005" s="1302" t="s">
        <v>619</v>
      </c>
      <c r="BGF1005" s="1302" t="s">
        <v>619</v>
      </c>
      <c r="BGG1005" s="1302" t="s">
        <v>619</v>
      </c>
      <c r="BGH1005" s="1302" t="s">
        <v>619</v>
      </c>
      <c r="BGI1005" s="1302">
        <v>286760</v>
      </c>
      <c r="BPZ1005" s="1302" t="s">
        <v>1374</v>
      </c>
      <c r="BQA1005" s="1302" t="s">
        <v>619</v>
      </c>
      <c r="BQB1005" s="1302" t="s">
        <v>619</v>
      </c>
      <c r="BQC1005" s="1302" t="s">
        <v>619</v>
      </c>
      <c r="BQD1005" s="1302" t="s">
        <v>619</v>
      </c>
      <c r="BQE1005" s="1302">
        <v>286760</v>
      </c>
      <c r="BZV1005" s="1302" t="s">
        <v>1374</v>
      </c>
      <c r="BZW1005" s="1302" t="s">
        <v>619</v>
      </c>
      <c r="BZX1005" s="1302" t="s">
        <v>619</v>
      </c>
      <c r="BZY1005" s="1302" t="s">
        <v>619</v>
      </c>
      <c r="BZZ1005" s="1302" t="s">
        <v>619</v>
      </c>
      <c r="CAA1005" s="1302">
        <v>286760</v>
      </c>
      <c r="CJR1005" s="1302" t="s">
        <v>1374</v>
      </c>
      <c r="CJS1005" s="1302" t="s">
        <v>619</v>
      </c>
      <c r="CJT1005" s="1302" t="s">
        <v>619</v>
      </c>
      <c r="CJU1005" s="1302" t="s">
        <v>619</v>
      </c>
      <c r="CJV1005" s="1302" t="s">
        <v>619</v>
      </c>
      <c r="CJW1005" s="1302">
        <v>286760</v>
      </c>
      <c r="CTN1005" s="1302" t="s">
        <v>1374</v>
      </c>
      <c r="CTO1005" s="1302" t="s">
        <v>619</v>
      </c>
      <c r="CTP1005" s="1302" t="s">
        <v>619</v>
      </c>
      <c r="CTQ1005" s="1302" t="s">
        <v>619</v>
      </c>
      <c r="CTR1005" s="1302" t="s">
        <v>619</v>
      </c>
      <c r="CTS1005" s="1302">
        <v>286760</v>
      </c>
      <c r="DDJ1005" s="1302" t="s">
        <v>1374</v>
      </c>
      <c r="DDK1005" s="1302" t="s">
        <v>619</v>
      </c>
      <c r="DDL1005" s="1302" t="s">
        <v>619</v>
      </c>
      <c r="DDM1005" s="1302" t="s">
        <v>619</v>
      </c>
      <c r="DDN1005" s="1302" t="s">
        <v>619</v>
      </c>
      <c r="DDO1005" s="1302">
        <v>286760</v>
      </c>
      <c r="DNF1005" s="1302" t="s">
        <v>1374</v>
      </c>
      <c r="DNG1005" s="1302" t="s">
        <v>619</v>
      </c>
      <c r="DNH1005" s="1302" t="s">
        <v>619</v>
      </c>
      <c r="DNI1005" s="1302" t="s">
        <v>619</v>
      </c>
      <c r="DNJ1005" s="1302" t="s">
        <v>619</v>
      </c>
      <c r="DNK1005" s="1302">
        <v>286760</v>
      </c>
      <c r="DXB1005" s="1302" t="s">
        <v>1374</v>
      </c>
      <c r="DXC1005" s="1302" t="s">
        <v>619</v>
      </c>
      <c r="DXD1005" s="1302" t="s">
        <v>619</v>
      </c>
      <c r="DXE1005" s="1302" t="s">
        <v>619</v>
      </c>
      <c r="DXF1005" s="1302" t="s">
        <v>619</v>
      </c>
      <c r="DXG1005" s="1302">
        <v>286760</v>
      </c>
      <c r="EGX1005" s="1302" t="s">
        <v>1374</v>
      </c>
      <c r="EGY1005" s="1302" t="s">
        <v>619</v>
      </c>
      <c r="EGZ1005" s="1302" t="s">
        <v>619</v>
      </c>
      <c r="EHA1005" s="1302" t="s">
        <v>619</v>
      </c>
      <c r="EHB1005" s="1302" t="s">
        <v>619</v>
      </c>
      <c r="EHC1005" s="1302">
        <v>286760</v>
      </c>
      <c r="EQT1005" s="1302" t="s">
        <v>1374</v>
      </c>
      <c r="EQU1005" s="1302" t="s">
        <v>619</v>
      </c>
      <c r="EQV1005" s="1302" t="s">
        <v>619</v>
      </c>
      <c r="EQW1005" s="1302" t="s">
        <v>619</v>
      </c>
      <c r="EQX1005" s="1302" t="s">
        <v>619</v>
      </c>
      <c r="EQY1005" s="1302">
        <v>286760</v>
      </c>
      <c r="FAP1005" s="1302" t="s">
        <v>1374</v>
      </c>
      <c r="FAQ1005" s="1302" t="s">
        <v>619</v>
      </c>
      <c r="FAR1005" s="1302" t="s">
        <v>619</v>
      </c>
      <c r="FAS1005" s="1302" t="s">
        <v>619</v>
      </c>
      <c r="FAT1005" s="1302" t="s">
        <v>619</v>
      </c>
      <c r="FAU1005" s="1302">
        <v>286760</v>
      </c>
      <c r="FKL1005" s="1302" t="s">
        <v>1374</v>
      </c>
      <c r="FKM1005" s="1302" t="s">
        <v>619</v>
      </c>
      <c r="FKN1005" s="1302" t="s">
        <v>619</v>
      </c>
      <c r="FKO1005" s="1302" t="s">
        <v>619</v>
      </c>
      <c r="FKP1005" s="1302" t="s">
        <v>619</v>
      </c>
      <c r="FKQ1005" s="1302">
        <v>286760</v>
      </c>
      <c r="FUH1005" s="1302" t="s">
        <v>1374</v>
      </c>
      <c r="FUI1005" s="1302" t="s">
        <v>619</v>
      </c>
      <c r="FUJ1005" s="1302" t="s">
        <v>619</v>
      </c>
      <c r="FUK1005" s="1302" t="s">
        <v>619</v>
      </c>
      <c r="FUL1005" s="1302" t="s">
        <v>619</v>
      </c>
      <c r="FUM1005" s="1302">
        <v>286760</v>
      </c>
      <c r="GED1005" s="1302" t="s">
        <v>1374</v>
      </c>
      <c r="GEE1005" s="1302" t="s">
        <v>619</v>
      </c>
      <c r="GEF1005" s="1302" t="s">
        <v>619</v>
      </c>
      <c r="GEG1005" s="1302" t="s">
        <v>619</v>
      </c>
      <c r="GEH1005" s="1302" t="s">
        <v>619</v>
      </c>
      <c r="GEI1005" s="1302">
        <v>286760</v>
      </c>
      <c r="GNZ1005" s="1302" t="s">
        <v>1374</v>
      </c>
      <c r="GOA1005" s="1302" t="s">
        <v>619</v>
      </c>
      <c r="GOB1005" s="1302" t="s">
        <v>619</v>
      </c>
      <c r="GOC1005" s="1302" t="s">
        <v>619</v>
      </c>
      <c r="GOD1005" s="1302" t="s">
        <v>619</v>
      </c>
      <c r="GOE1005" s="1302">
        <v>286760</v>
      </c>
      <c r="GXV1005" s="1302" t="s">
        <v>1374</v>
      </c>
      <c r="GXW1005" s="1302" t="s">
        <v>619</v>
      </c>
      <c r="GXX1005" s="1302" t="s">
        <v>619</v>
      </c>
      <c r="GXY1005" s="1302" t="s">
        <v>619</v>
      </c>
      <c r="GXZ1005" s="1302" t="s">
        <v>619</v>
      </c>
      <c r="GYA1005" s="1302">
        <v>286760</v>
      </c>
      <c r="HHR1005" s="1302" t="s">
        <v>1374</v>
      </c>
      <c r="HHS1005" s="1302" t="s">
        <v>619</v>
      </c>
      <c r="HHT1005" s="1302" t="s">
        <v>619</v>
      </c>
      <c r="HHU1005" s="1302" t="s">
        <v>619</v>
      </c>
      <c r="HHV1005" s="1302" t="s">
        <v>619</v>
      </c>
      <c r="HHW1005" s="1302">
        <v>286760</v>
      </c>
      <c r="HRN1005" s="1302" t="s">
        <v>1374</v>
      </c>
      <c r="HRO1005" s="1302" t="s">
        <v>619</v>
      </c>
      <c r="HRP1005" s="1302" t="s">
        <v>619</v>
      </c>
      <c r="HRQ1005" s="1302" t="s">
        <v>619</v>
      </c>
      <c r="HRR1005" s="1302" t="s">
        <v>619</v>
      </c>
      <c r="HRS1005" s="1302">
        <v>286760</v>
      </c>
      <c r="IBJ1005" s="1302" t="s">
        <v>1374</v>
      </c>
      <c r="IBK1005" s="1302" t="s">
        <v>619</v>
      </c>
      <c r="IBL1005" s="1302" t="s">
        <v>619</v>
      </c>
      <c r="IBM1005" s="1302" t="s">
        <v>619</v>
      </c>
      <c r="IBN1005" s="1302" t="s">
        <v>619</v>
      </c>
      <c r="IBO1005" s="1302">
        <v>286760</v>
      </c>
      <c r="ILF1005" s="1302" t="s">
        <v>1374</v>
      </c>
      <c r="ILG1005" s="1302" t="s">
        <v>619</v>
      </c>
      <c r="ILH1005" s="1302" t="s">
        <v>619</v>
      </c>
      <c r="ILI1005" s="1302" t="s">
        <v>619</v>
      </c>
      <c r="ILJ1005" s="1302" t="s">
        <v>619</v>
      </c>
      <c r="ILK1005" s="1302">
        <v>286760</v>
      </c>
      <c r="IVB1005" s="1302" t="s">
        <v>1374</v>
      </c>
      <c r="IVC1005" s="1302" t="s">
        <v>619</v>
      </c>
      <c r="IVD1005" s="1302" t="s">
        <v>619</v>
      </c>
      <c r="IVE1005" s="1302" t="s">
        <v>619</v>
      </c>
      <c r="IVF1005" s="1302" t="s">
        <v>619</v>
      </c>
      <c r="IVG1005" s="1302">
        <v>286760</v>
      </c>
      <c r="JEX1005" s="1302" t="s">
        <v>1374</v>
      </c>
      <c r="JEY1005" s="1302" t="s">
        <v>619</v>
      </c>
      <c r="JEZ1005" s="1302" t="s">
        <v>619</v>
      </c>
      <c r="JFA1005" s="1302" t="s">
        <v>619</v>
      </c>
      <c r="JFB1005" s="1302" t="s">
        <v>619</v>
      </c>
      <c r="JFC1005" s="1302">
        <v>286760</v>
      </c>
      <c r="JOT1005" s="1302" t="s">
        <v>1374</v>
      </c>
      <c r="JOU1005" s="1302" t="s">
        <v>619</v>
      </c>
      <c r="JOV1005" s="1302" t="s">
        <v>619</v>
      </c>
      <c r="JOW1005" s="1302" t="s">
        <v>619</v>
      </c>
      <c r="JOX1005" s="1302" t="s">
        <v>619</v>
      </c>
      <c r="JOY1005" s="1302">
        <v>286760</v>
      </c>
      <c r="JYP1005" s="1302" t="s">
        <v>1374</v>
      </c>
      <c r="JYQ1005" s="1302" t="s">
        <v>619</v>
      </c>
      <c r="JYR1005" s="1302" t="s">
        <v>619</v>
      </c>
      <c r="JYS1005" s="1302" t="s">
        <v>619</v>
      </c>
      <c r="JYT1005" s="1302" t="s">
        <v>619</v>
      </c>
      <c r="JYU1005" s="1302">
        <v>286760</v>
      </c>
      <c r="KIL1005" s="1302" t="s">
        <v>1374</v>
      </c>
      <c r="KIM1005" s="1302" t="s">
        <v>619</v>
      </c>
      <c r="KIN1005" s="1302" t="s">
        <v>619</v>
      </c>
      <c r="KIO1005" s="1302" t="s">
        <v>619</v>
      </c>
      <c r="KIP1005" s="1302" t="s">
        <v>619</v>
      </c>
      <c r="KIQ1005" s="1302">
        <v>286760</v>
      </c>
      <c r="KSH1005" s="1302" t="s">
        <v>1374</v>
      </c>
      <c r="KSI1005" s="1302" t="s">
        <v>619</v>
      </c>
      <c r="KSJ1005" s="1302" t="s">
        <v>619</v>
      </c>
      <c r="KSK1005" s="1302" t="s">
        <v>619</v>
      </c>
      <c r="KSL1005" s="1302" t="s">
        <v>619</v>
      </c>
      <c r="KSM1005" s="1302">
        <v>286760</v>
      </c>
      <c r="LCD1005" s="1302" t="s">
        <v>1374</v>
      </c>
      <c r="LCE1005" s="1302" t="s">
        <v>619</v>
      </c>
      <c r="LCF1005" s="1302" t="s">
        <v>619</v>
      </c>
      <c r="LCG1005" s="1302" t="s">
        <v>619</v>
      </c>
      <c r="LCH1005" s="1302" t="s">
        <v>619</v>
      </c>
      <c r="LCI1005" s="1302">
        <v>286760</v>
      </c>
      <c r="LLZ1005" s="1302" t="s">
        <v>1374</v>
      </c>
      <c r="LMA1005" s="1302" t="s">
        <v>619</v>
      </c>
      <c r="LMB1005" s="1302" t="s">
        <v>619</v>
      </c>
      <c r="LMC1005" s="1302" t="s">
        <v>619</v>
      </c>
      <c r="LMD1005" s="1302" t="s">
        <v>619</v>
      </c>
      <c r="LME1005" s="1302">
        <v>286760</v>
      </c>
      <c r="LVV1005" s="1302" t="s">
        <v>1374</v>
      </c>
      <c r="LVW1005" s="1302" t="s">
        <v>619</v>
      </c>
      <c r="LVX1005" s="1302" t="s">
        <v>619</v>
      </c>
      <c r="LVY1005" s="1302" t="s">
        <v>619</v>
      </c>
      <c r="LVZ1005" s="1302" t="s">
        <v>619</v>
      </c>
      <c r="LWA1005" s="1302">
        <v>286760</v>
      </c>
      <c r="MFR1005" s="1302" t="s">
        <v>1374</v>
      </c>
      <c r="MFS1005" s="1302" t="s">
        <v>619</v>
      </c>
      <c r="MFT1005" s="1302" t="s">
        <v>619</v>
      </c>
      <c r="MFU1005" s="1302" t="s">
        <v>619</v>
      </c>
      <c r="MFV1005" s="1302" t="s">
        <v>619</v>
      </c>
      <c r="MFW1005" s="1302">
        <v>286760</v>
      </c>
      <c r="MPN1005" s="1302" t="s">
        <v>1374</v>
      </c>
      <c r="MPO1005" s="1302" t="s">
        <v>619</v>
      </c>
      <c r="MPP1005" s="1302" t="s">
        <v>619</v>
      </c>
      <c r="MPQ1005" s="1302" t="s">
        <v>619</v>
      </c>
      <c r="MPR1005" s="1302" t="s">
        <v>619</v>
      </c>
      <c r="MPS1005" s="1302">
        <v>286760</v>
      </c>
      <c r="MZJ1005" s="1302" t="s">
        <v>1374</v>
      </c>
      <c r="MZK1005" s="1302" t="s">
        <v>619</v>
      </c>
      <c r="MZL1005" s="1302" t="s">
        <v>619</v>
      </c>
      <c r="MZM1005" s="1302" t="s">
        <v>619</v>
      </c>
      <c r="MZN1005" s="1302" t="s">
        <v>619</v>
      </c>
      <c r="MZO1005" s="1302">
        <v>286760</v>
      </c>
      <c r="NJF1005" s="1302" t="s">
        <v>1374</v>
      </c>
      <c r="NJG1005" s="1302" t="s">
        <v>619</v>
      </c>
      <c r="NJH1005" s="1302" t="s">
        <v>619</v>
      </c>
      <c r="NJI1005" s="1302" t="s">
        <v>619</v>
      </c>
      <c r="NJJ1005" s="1302" t="s">
        <v>619</v>
      </c>
      <c r="NJK1005" s="1302">
        <v>286760</v>
      </c>
      <c r="NTB1005" s="1302" t="s">
        <v>1374</v>
      </c>
      <c r="NTC1005" s="1302" t="s">
        <v>619</v>
      </c>
      <c r="NTD1005" s="1302" t="s">
        <v>619</v>
      </c>
      <c r="NTE1005" s="1302" t="s">
        <v>619</v>
      </c>
      <c r="NTF1005" s="1302" t="s">
        <v>619</v>
      </c>
      <c r="NTG1005" s="1302">
        <v>286760</v>
      </c>
      <c r="OCX1005" s="1302" t="s">
        <v>1374</v>
      </c>
      <c r="OCY1005" s="1302" t="s">
        <v>619</v>
      </c>
      <c r="OCZ1005" s="1302" t="s">
        <v>619</v>
      </c>
      <c r="ODA1005" s="1302" t="s">
        <v>619</v>
      </c>
      <c r="ODB1005" s="1302" t="s">
        <v>619</v>
      </c>
      <c r="ODC1005" s="1302">
        <v>286760</v>
      </c>
      <c r="OMT1005" s="1302" t="s">
        <v>1374</v>
      </c>
      <c r="OMU1005" s="1302" t="s">
        <v>619</v>
      </c>
      <c r="OMV1005" s="1302" t="s">
        <v>619</v>
      </c>
      <c r="OMW1005" s="1302" t="s">
        <v>619</v>
      </c>
      <c r="OMX1005" s="1302" t="s">
        <v>619</v>
      </c>
      <c r="OMY1005" s="1302">
        <v>286760</v>
      </c>
      <c r="OWP1005" s="1302" t="s">
        <v>1374</v>
      </c>
      <c r="OWQ1005" s="1302" t="s">
        <v>619</v>
      </c>
      <c r="OWR1005" s="1302" t="s">
        <v>619</v>
      </c>
      <c r="OWS1005" s="1302" t="s">
        <v>619</v>
      </c>
      <c r="OWT1005" s="1302" t="s">
        <v>619</v>
      </c>
      <c r="OWU1005" s="1302">
        <v>286760</v>
      </c>
      <c r="PGL1005" s="1302" t="s">
        <v>1374</v>
      </c>
      <c r="PGM1005" s="1302" t="s">
        <v>619</v>
      </c>
      <c r="PGN1005" s="1302" t="s">
        <v>619</v>
      </c>
      <c r="PGO1005" s="1302" t="s">
        <v>619</v>
      </c>
      <c r="PGP1005" s="1302" t="s">
        <v>619</v>
      </c>
      <c r="PGQ1005" s="1302">
        <v>286760</v>
      </c>
      <c r="PQH1005" s="1302" t="s">
        <v>1374</v>
      </c>
      <c r="PQI1005" s="1302" t="s">
        <v>619</v>
      </c>
      <c r="PQJ1005" s="1302" t="s">
        <v>619</v>
      </c>
      <c r="PQK1005" s="1302" t="s">
        <v>619</v>
      </c>
      <c r="PQL1005" s="1302" t="s">
        <v>619</v>
      </c>
      <c r="PQM1005" s="1302">
        <v>286760</v>
      </c>
      <c r="QAD1005" s="1302" t="s">
        <v>1374</v>
      </c>
      <c r="QAE1005" s="1302" t="s">
        <v>619</v>
      </c>
      <c r="QAF1005" s="1302" t="s">
        <v>619</v>
      </c>
      <c r="QAG1005" s="1302" t="s">
        <v>619</v>
      </c>
      <c r="QAH1005" s="1302" t="s">
        <v>619</v>
      </c>
      <c r="QAI1005" s="1302">
        <v>286760</v>
      </c>
      <c r="QJZ1005" s="1302" t="s">
        <v>1374</v>
      </c>
      <c r="QKA1005" s="1302" t="s">
        <v>619</v>
      </c>
      <c r="QKB1005" s="1302" t="s">
        <v>619</v>
      </c>
      <c r="QKC1005" s="1302" t="s">
        <v>619</v>
      </c>
      <c r="QKD1005" s="1302" t="s">
        <v>619</v>
      </c>
      <c r="QKE1005" s="1302">
        <v>286760</v>
      </c>
      <c r="QTV1005" s="1302" t="s">
        <v>1374</v>
      </c>
      <c r="QTW1005" s="1302" t="s">
        <v>619</v>
      </c>
      <c r="QTX1005" s="1302" t="s">
        <v>619</v>
      </c>
      <c r="QTY1005" s="1302" t="s">
        <v>619</v>
      </c>
      <c r="QTZ1005" s="1302" t="s">
        <v>619</v>
      </c>
      <c r="QUA1005" s="1302">
        <v>286760</v>
      </c>
      <c r="RDR1005" s="1302" t="s">
        <v>1374</v>
      </c>
      <c r="RDS1005" s="1302" t="s">
        <v>619</v>
      </c>
      <c r="RDT1005" s="1302" t="s">
        <v>619</v>
      </c>
      <c r="RDU1005" s="1302" t="s">
        <v>619</v>
      </c>
      <c r="RDV1005" s="1302" t="s">
        <v>619</v>
      </c>
      <c r="RDW1005" s="1302">
        <v>286760</v>
      </c>
      <c r="RNN1005" s="1302" t="s">
        <v>1374</v>
      </c>
      <c r="RNO1005" s="1302" t="s">
        <v>619</v>
      </c>
      <c r="RNP1005" s="1302" t="s">
        <v>619</v>
      </c>
      <c r="RNQ1005" s="1302" t="s">
        <v>619</v>
      </c>
      <c r="RNR1005" s="1302" t="s">
        <v>619</v>
      </c>
      <c r="RNS1005" s="1302">
        <v>286760</v>
      </c>
      <c r="RXJ1005" s="1302" t="s">
        <v>1374</v>
      </c>
      <c r="RXK1005" s="1302" t="s">
        <v>619</v>
      </c>
      <c r="RXL1005" s="1302" t="s">
        <v>619</v>
      </c>
      <c r="RXM1005" s="1302" t="s">
        <v>619</v>
      </c>
      <c r="RXN1005" s="1302" t="s">
        <v>619</v>
      </c>
      <c r="RXO1005" s="1302">
        <v>286760</v>
      </c>
      <c r="SHF1005" s="1302" t="s">
        <v>1374</v>
      </c>
      <c r="SHG1005" s="1302" t="s">
        <v>619</v>
      </c>
      <c r="SHH1005" s="1302" t="s">
        <v>619</v>
      </c>
      <c r="SHI1005" s="1302" t="s">
        <v>619</v>
      </c>
      <c r="SHJ1005" s="1302" t="s">
        <v>619</v>
      </c>
      <c r="SHK1005" s="1302">
        <v>286760</v>
      </c>
      <c r="SRB1005" s="1302" t="s">
        <v>1374</v>
      </c>
      <c r="SRC1005" s="1302" t="s">
        <v>619</v>
      </c>
      <c r="SRD1005" s="1302" t="s">
        <v>619</v>
      </c>
      <c r="SRE1005" s="1302" t="s">
        <v>619</v>
      </c>
      <c r="SRF1005" s="1302" t="s">
        <v>619</v>
      </c>
      <c r="SRG1005" s="1302">
        <v>286760</v>
      </c>
      <c r="TAX1005" s="1302" t="s">
        <v>1374</v>
      </c>
      <c r="TAY1005" s="1302" t="s">
        <v>619</v>
      </c>
      <c r="TAZ1005" s="1302" t="s">
        <v>619</v>
      </c>
      <c r="TBA1005" s="1302" t="s">
        <v>619</v>
      </c>
      <c r="TBB1005" s="1302" t="s">
        <v>619</v>
      </c>
      <c r="TBC1005" s="1302">
        <v>286760</v>
      </c>
      <c r="TKT1005" s="1302" t="s">
        <v>1374</v>
      </c>
      <c r="TKU1005" s="1302" t="s">
        <v>619</v>
      </c>
      <c r="TKV1005" s="1302" t="s">
        <v>619</v>
      </c>
      <c r="TKW1005" s="1302" t="s">
        <v>619</v>
      </c>
      <c r="TKX1005" s="1302" t="s">
        <v>619</v>
      </c>
      <c r="TKY1005" s="1302">
        <v>286760</v>
      </c>
      <c r="TUP1005" s="1302" t="s">
        <v>1374</v>
      </c>
      <c r="TUQ1005" s="1302" t="s">
        <v>619</v>
      </c>
      <c r="TUR1005" s="1302" t="s">
        <v>619</v>
      </c>
      <c r="TUS1005" s="1302" t="s">
        <v>619</v>
      </c>
      <c r="TUT1005" s="1302" t="s">
        <v>619</v>
      </c>
      <c r="TUU1005" s="1302">
        <v>286760</v>
      </c>
      <c r="UEL1005" s="1302" t="s">
        <v>1374</v>
      </c>
      <c r="UEM1005" s="1302" t="s">
        <v>619</v>
      </c>
      <c r="UEN1005" s="1302" t="s">
        <v>619</v>
      </c>
      <c r="UEO1005" s="1302" t="s">
        <v>619</v>
      </c>
      <c r="UEP1005" s="1302" t="s">
        <v>619</v>
      </c>
      <c r="UEQ1005" s="1302">
        <v>286760</v>
      </c>
      <c r="UOH1005" s="1302" t="s">
        <v>1374</v>
      </c>
      <c r="UOI1005" s="1302" t="s">
        <v>619</v>
      </c>
      <c r="UOJ1005" s="1302" t="s">
        <v>619</v>
      </c>
      <c r="UOK1005" s="1302" t="s">
        <v>619</v>
      </c>
      <c r="UOL1005" s="1302" t="s">
        <v>619</v>
      </c>
      <c r="UOM1005" s="1302">
        <v>286760</v>
      </c>
      <c r="UYD1005" s="1302" t="s">
        <v>1374</v>
      </c>
      <c r="UYE1005" s="1302" t="s">
        <v>619</v>
      </c>
      <c r="UYF1005" s="1302" t="s">
        <v>619</v>
      </c>
      <c r="UYG1005" s="1302" t="s">
        <v>619</v>
      </c>
      <c r="UYH1005" s="1302" t="s">
        <v>619</v>
      </c>
      <c r="UYI1005" s="1302">
        <v>286760</v>
      </c>
      <c r="VHZ1005" s="1302" t="s">
        <v>1374</v>
      </c>
      <c r="VIA1005" s="1302" t="s">
        <v>619</v>
      </c>
      <c r="VIB1005" s="1302" t="s">
        <v>619</v>
      </c>
      <c r="VIC1005" s="1302" t="s">
        <v>619</v>
      </c>
      <c r="VID1005" s="1302" t="s">
        <v>619</v>
      </c>
      <c r="VIE1005" s="1302">
        <v>286760</v>
      </c>
      <c r="VRV1005" s="1302" t="s">
        <v>1374</v>
      </c>
      <c r="VRW1005" s="1302" t="s">
        <v>619</v>
      </c>
      <c r="VRX1005" s="1302" t="s">
        <v>619</v>
      </c>
      <c r="VRY1005" s="1302" t="s">
        <v>619</v>
      </c>
      <c r="VRZ1005" s="1302" t="s">
        <v>619</v>
      </c>
      <c r="VSA1005" s="1302">
        <v>286760</v>
      </c>
      <c r="WBR1005" s="1302" t="s">
        <v>1374</v>
      </c>
      <c r="WBS1005" s="1302" t="s">
        <v>619</v>
      </c>
      <c r="WBT1005" s="1302" t="s">
        <v>619</v>
      </c>
      <c r="WBU1005" s="1302" t="s">
        <v>619</v>
      </c>
      <c r="WBV1005" s="1302" t="s">
        <v>619</v>
      </c>
      <c r="WBW1005" s="1302">
        <v>286760</v>
      </c>
      <c r="WLN1005" s="1302" t="s">
        <v>1374</v>
      </c>
      <c r="WLO1005" s="1302" t="s">
        <v>619</v>
      </c>
      <c r="WLP1005" s="1302" t="s">
        <v>619</v>
      </c>
      <c r="WLQ1005" s="1302" t="s">
        <v>619</v>
      </c>
      <c r="WLR1005" s="1302" t="s">
        <v>619</v>
      </c>
      <c r="WLS1005" s="1302">
        <v>286760</v>
      </c>
      <c r="WVJ1005" s="1302" t="s">
        <v>1374</v>
      </c>
      <c r="WVK1005" s="1302" t="s">
        <v>619</v>
      </c>
      <c r="WVL1005" s="1302" t="s">
        <v>619</v>
      </c>
      <c r="WVM1005" s="1302" t="s">
        <v>619</v>
      </c>
      <c r="WVN1005" s="1302" t="s">
        <v>619</v>
      </c>
      <c r="WVO1005" s="1302">
        <v>286760</v>
      </c>
    </row>
    <row r="1006" spans="1:775 1026:1799 2050:2823 3074:3847 4098:4871 5122:5895 6146:6919 7170:7943 8194:8967 9218:9991 10242:11015 11266:12039 12290:13063 13314:14087 14338:15111 15362:16135" s="1302" customFormat="1">
      <c r="A1006" s="1796" t="s">
        <v>1375</v>
      </c>
      <c r="B1006" s="1302" t="s">
        <v>807</v>
      </c>
      <c r="C1006" s="1797">
        <v>0</v>
      </c>
      <c r="D1006" s="1798">
        <v>76653</v>
      </c>
      <c r="E1006" s="1797">
        <v>0</v>
      </c>
      <c r="F1006" s="1797">
        <v>0</v>
      </c>
      <c r="G1006" s="1797">
        <v>0</v>
      </c>
      <c r="H1006" s="1797"/>
      <c r="IX1006" s="1302" t="s">
        <v>1375</v>
      </c>
      <c r="IY1006" s="1302" t="s">
        <v>619</v>
      </c>
      <c r="IZ1006" s="1302">
        <v>76653</v>
      </c>
      <c r="JA1006" s="1302" t="s">
        <v>619</v>
      </c>
      <c r="JB1006" s="1302" t="s">
        <v>619</v>
      </c>
      <c r="JC1006" s="1302" t="s">
        <v>619</v>
      </c>
      <c r="ST1006" s="1302" t="s">
        <v>1375</v>
      </c>
      <c r="SU1006" s="1302" t="s">
        <v>619</v>
      </c>
      <c r="SV1006" s="1302">
        <v>76653</v>
      </c>
      <c r="SW1006" s="1302" t="s">
        <v>619</v>
      </c>
      <c r="SX1006" s="1302" t="s">
        <v>619</v>
      </c>
      <c r="SY1006" s="1302" t="s">
        <v>619</v>
      </c>
      <c r="ACP1006" s="1302" t="s">
        <v>1375</v>
      </c>
      <c r="ACQ1006" s="1302" t="s">
        <v>619</v>
      </c>
      <c r="ACR1006" s="1302">
        <v>76653</v>
      </c>
      <c r="ACS1006" s="1302" t="s">
        <v>619</v>
      </c>
      <c r="ACT1006" s="1302" t="s">
        <v>619</v>
      </c>
      <c r="ACU1006" s="1302" t="s">
        <v>619</v>
      </c>
      <c r="AML1006" s="1302" t="s">
        <v>1375</v>
      </c>
      <c r="AMM1006" s="1302" t="s">
        <v>619</v>
      </c>
      <c r="AMN1006" s="1302">
        <v>76653</v>
      </c>
      <c r="AMO1006" s="1302" t="s">
        <v>619</v>
      </c>
      <c r="AMP1006" s="1302" t="s">
        <v>619</v>
      </c>
      <c r="AMQ1006" s="1302" t="s">
        <v>619</v>
      </c>
      <c r="AWH1006" s="1302" t="s">
        <v>1375</v>
      </c>
      <c r="AWI1006" s="1302" t="s">
        <v>619</v>
      </c>
      <c r="AWJ1006" s="1302">
        <v>76653</v>
      </c>
      <c r="AWK1006" s="1302" t="s">
        <v>619</v>
      </c>
      <c r="AWL1006" s="1302" t="s">
        <v>619</v>
      </c>
      <c r="AWM1006" s="1302" t="s">
        <v>619</v>
      </c>
      <c r="BGD1006" s="1302" t="s">
        <v>1375</v>
      </c>
      <c r="BGE1006" s="1302" t="s">
        <v>619</v>
      </c>
      <c r="BGF1006" s="1302">
        <v>76653</v>
      </c>
      <c r="BGG1006" s="1302" t="s">
        <v>619</v>
      </c>
      <c r="BGH1006" s="1302" t="s">
        <v>619</v>
      </c>
      <c r="BGI1006" s="1302" t="s">
        <v>619</v>
      </c>
      <c r="BPZ1006" s="1302" t="s">
        <v>1375</v>
      </c>
      <c r="BQA1006" s="1302" t="s">
        <v>619</v>
      </c>
      <c r="BQB1006" s="1302">
        <v>76653</v>
      </c>
      <c r="BQC1006" s="1302" t="s">
        <v>619</v>
      </c>
      <c r="BQD1006" s="1302" t="s">
        <v>619</v>
      </c>
      <c r="BQE1006" s="1302" t="s">
        <v>619</v>
      </c>
      <c r="BZV1006" s="1302" t="s">
        <v>1375</v>
      </c>
      <c r="BZW1006" s="1302" t="s">
        <v>619</v>
      </c>
      <c r="BZX1006" s="1302">
        <v>76653</v>
      </c>
      <c r="BZY1006" s="1302" t="s">
        <v>619</v>
      </c>
      <c r="BZZ1006" s="1302" t="s">
        <v>619</v>
      </c>
      <c r="CAA1006" s="1302" t="s">
        <v>619</v>
      </c>
      <c r="CJR1006" s="1302" t="s">
        <v>1375</v>
      </c>
      <c r="CJS1006" s="1302" t="s">
        <v>619</v>
      </c>
      <c r="CJT1006" s="1302">
        <v>76653</v>
      </c>
      <c r="CJU1006" s="1302" t="s">
        <v>619</v>
      </c>
      <c r="CJV1006" s="1302" t="s">
        <v>619</v>
      </c>
      <c r="CJW1006" s="1302" t="s">
        <v>619</v>
      </c>
      <c r="CTN1006" s="1302" t="s">
        <v>1375</v>
      </c>
      <c r="CTO1006" s="1302" t="s">
        <v>619</v>
      </c>
      <c r="CTP1006" s="1302">
        <v>76653</v>
      </c>
      <c r="CTQ1006" s="1302" t="s">
        <v>619</v>
      </c>
      <c r="CTR1006" s="1302" t="s">
        <v>619</v>
      </c>
      <c r="CTS1006" s="1302" t="s">
        <v>619</v>
      </c>
      <c r="DDJ1006" s="1302" t="s">
        <v>1375</v>
      </c>
      <c r="DDK1006" s="1302" t="s">
        <v>619</v>
      </c>
      <c r="DDL1006" s="1302">
        <v>76653</v>
      </c>
      <c r="DDM1006" s="1302" t="s">
        <v>619</v>
      </c>
      <c r="DDN1006" s="1302" t="s">
        <v>619</v>
      </c>
      <c r="DDO1006" s="1302" t="s">
        <v>619</v>
      </c>
      <c r="DNF1006" s="1302" t="s">
        <v>1375</v>
      </c>
      <c r="DNG1006" s="1302" t="s">
        <v>619</v>
      </c>
      <c r="DNH1006" s="1302">
        <v>76653</v>
      </c>
      <c r="DNI1006" s="1302" t="s">
        <v>619</v>
      </c>
      <c r="DNJ1006" s="1302" t="s">
        <v>619</v>
      </c>
      <c r="DNK1006" s="1302" t="s">
        <v>619</v>
      </c>
      <c r="DXB1006" s="1302" t="s">
        <v>1375</v>
      </c>
      <c r="DXC1006" s="1302" t="s">
        <v>619</v>
      </c>
      <c r="DXD1006" s="1302">
        <v>76653</v>
      </c>
      <c r="DXE1006" s="1302" t="s">
        <v>619</v>
      </c>
      <c r="DXF1006" s="1302" t="s">
        <v>619</v>
      </c>
      <c r="DXG1006" s="1302" t="s">
        <v>619</v>
      </c>
      <c r="EGX1006" s="1302" t="s">
        <v>1375</v>
      </c>
      <c r="EGY1006" s="1302" t="s">
        <v>619</v>
      </c>
      <c r="EGZ1006" s="1302">
        <v>76653</v>
      </c>
      <c r="EHA1006" s="1302" t="s">
        <v>619</v>
      </c>
      <c r="EHB1006" s="1302" t="s">
        <v>619</v>
      </c>
      <c r="EHC1006" s="1302" t="s">
        <v>619</v>
      </c>
      <c r="EQT1006" s="1302" t="s">
        <v>1375</v>
      </c>
      <c r="EQU1006" s="1302" t="s">
        <v>619</v>
      </c>
      <c r="EQV1006" s="1302">
        <v>76653</v>
      </c>
      <c r="EQW1006" s="1302" t="s">
        <v>619</v>
      </c>
      <c r="EQX1006" s="1302" t="s">
        <v>619</v>
      </c>
      <c r="EQY1006" s="1302" t="s">
        <v>619</v>
      </c>
      <c r="FAP1006" s="1302" t="s">
        <v>1375</v>
      </c>
      <c r="FAQ1006" s="1302" t="s">
        <v>619</v>
      </c>
      <c r="FAR1006" s="1302">
        <v>76653</v>
      </c>
      <c r="FAS1006" s="1302" t="s">
        <v>619</v>
      </c>
      <c r="FAT1006" s="1302" t="s">
        <v>619</v>
      </c>
      <c r="FAU1006" s="1302" t="s">
        <v>619</v>
      </c>
      <c r="FKL1006" s="1302" t="s">
        <v>1375</v>
      </c>
      <c r="FKM1006" s="1302" t="s">
        <v>619</v>
      </c>
      <c r="FKN1006" s="1302">
        <v>76653</v>
      </c>
      <c r="FKO1006" s="1302" t="s">
        <v>619</v>
      </c>
      <c r="FKP1006" s="1302" t="s">
        <v>619</v>
      </c>
      <c r="FKQ1006" s="1302" t="s">
        <v>619</v>
      </c>
      <c r="FUH1006" s="1302" t="s">
        <v>1375</v>
      </c>
      <c r="FUI1006" s="1302" t="s">
        <v>619</v>
      </c>
      <c r="FUJ1006" s="1302">
        <v>76653</v>
      </c>
      <c r="FUK1006" s="1302" t="s">
        <v>619</v>
      </c>
      <c r="FUL1006" s="1302" t="s">
        <v>619</v>
      </c>
      <c r="FUM1006" s="1302" t="s">
        <v>619</v>
      </c>
      <c r="GED1006" s="1302" t="s">
        <v>1375</v>
      </c>
      <c r="GEE1006" s="1302" t="s">
        <v>619</v>
      </c>
      <c r="GEF1006" s="1302">
        <v>76653</v>
      </c>
      <c r="GEG1006" s="1302" t="s">
        <v>619</v>
      </c>
      <c r="GEH1006" s="1302" t="s">
        <v>619</v>
      </c>
      <c r="GEI1006" s="1302" t="s">
        <v>619</v>
      </c>
      <c r="GNZ1006" s="1302" t="s">
        <v>1375</v>
      </c>
      <c r="GOA1006" s="1302" t="s">
        <v>619</v>
      </c>
      <c r="GOB1006" s="1302">
        <v>76653</v>
      </c>
      <c r="GOC1006" s="1302" t="s">
        <v>619</v>
      </c>
      <c r="GOD1006" s="1302" t="s">
        <v>619</v>
      </c>
      <c r="GOE1006" s="1302" t="s">
        <v>619</v>
      </c>
      <c r="GXV1006" s="1302" t="s">
        <v>1375</v>
      </c>
      <c r="GXW1006" s="1302" t="s">
        <v>619</v>
      </c>
      <c r="GXX1006" s="1302">
        <v>76653</v>
      </c>
      <c r="GXY1006" s="1302" t="s">
        <v>619</v>
      </c>
      <c r="GXZ1006" s="1302" t="s">
        <v>619</v>
      </c>
      <c r="GYA1006" s="1302" t="s">
        <v>619</v>
      </c>
      <c r="HHR1006" s="1302" t="s">
        <v>1375</v>
      </c>
      <c r="HHS1006" s="1302" t="s">
        <v>619</v>
      </c>
      <c r="HHT1006" s="1302">
        <v>76653</v>
      </c>
      <c r="HHU1006" s="1302" t="s">
        <v>619</v>
      </c>
      <c r="HHV1006" s="1302" t="s">
        <v>619</v>
      </c>
      <c r="HHW1006" s="1302" t="s">
        <v>619</v>
      </c>
      <c r="HRN1006" s="1302" t="s">
        <v>1375</v>
      </c>
      <c r="HRO1006" s="1302" t="s">
        <v>619</v>
      </c>
      <c r="HRP1006" s="1302">
        <v>76653</v>
      </c>
      <c r="HRQ1006" s="1302" t="s">
        <v>619</v>
      </c>
      <c r="HRR1006" s="1302" t="s">
        <v>619</v>
      </c>
      <c r="HRS1006" s="1302" t="s">
        <v>619</v>
      </c>
      <c r="IBJ1006" s="1302" t="s">
        <v>1375</v>
      </c>
      <c r="IBK1006" s="1302" t="s">
        <v>619</v>
      </c>
      <c r="IBL1006" s="1302">
        <v>76653</v>
      </c>
      <c r="IBM1006" s="1302" t="s">
        <v>619</v>
      </c>
      <c r="IBN1006" s="1302" t="s">
        <v>619</v>
      </c>
      <c r="IBO1006" s="1302" t="s">
        <v>619</v>
      </c>
      <c r="ILF1006" s="1302" t="s">
        <v>1375</v>
      </c>
      <c r="ILG1006" s="1302" t="s">
        <v>619</v>
      </c>
      <c r="ILH1006" s="1302">
        <v>76653</v>
      </c>
      <c r="ILI1006" s="1302" t="s">
        <v>619</v>
      </c>
      <c r="ILJ1006" s="1302" t="s">
        <v>619</v>
      </c>
      <c r="ILK1006" s="1302" t="s">
        <v>619</v>
      </c>
      <c r="IVB1006" s="1302" t="s">
        <v>1375</v>
      </c>
      <c r="IVC1006" s="1302" t="s">
        <v>619</v>
      </c>
      <c r="IVD1006" s="1302">
        <v>76653</v>
      </c>
      <c r="IVE1006" s="1302" t="s">
        <v>619</v>
      </c>
      <c r="IVF1006" s="1302" t="s">
        <v>619</v>
      </c>
      <c r="IVG1006" s="1302" t="s">
        <v>619</v>
      </c>
      <c r="JEX1006" s="1302" t="s">
        <v>1375</v>
      </c>
      <c r="JEY1006" s="1302" t="s">
        <v>619</v>
      </c>
      <c r="JEZ1006" s="1302">
        <v>76653</v>
      </c>
      <c r="JFA1006" s="1302" t="s">
        <v>619</v>
      </c>
      <c r="JFB1006" s="1302" t="s">
        <v>619</v>
      </c>
      <c r="JFC1006" s="1302" t="s">
        <v>619</v>
      </c>
      <c r="JOT1006" s="1302" t="s">
        <v>1375</v>
      </c>
      <c r="JOU1006" s="1302" t="s">
        <v>619</v>
      </c>
      <c r="JOV1006" s="1302">
        <v>76653</v>
      </c>
      <c r="JOW1006" s="1302" t="s">
        <v>619</v>
      </c>
      <c r="JOX1006" s="1302" t="s">
        <v>619</v>
      </c>
      <c r="JOY1006" s="1302" t="s">
        <v>619</v>
      </c>
      <c r="JYP1006" s="1302" t="s">
        <v>1375</v>
      </c>
      <c r="JYQ1006" s="1302" t="s">
        <v>619</v>
      </c>
      <c r="JYR1006" s="1302">
        <v>76653</v>
      </c>
      <c r="JYS1006" s="1302" t="s">
        <v>619</v>
      </c>
      <c r="JYT1006" s="1302" t="s">
        <v>619</v>
      </c>
      <c r="JYU1006" s="1302" t="s">
        <v>619</v>
      </c>
      <c r="KIL1006" s="1302" t="s">
        <v>1375</v>
      </c>
      <c r="KIM1006" s="1302" t="s">
        <v>619</v>
      </c>
      <c r="KIN1006" s="1302">
        <v>76653</v>
      </c>
      <c r="KIO1006" s="1302" t="s">
        <v>619</v>
      </c>
      <c r="KIP1006" s="1302" t="s">
        <v>619</v>
      </c>
      <c r="KIQ1006" s="1302" t="s">
        <v>619</v>
      </c>
      <c r="KSH1006" s="1302" t="s">
        <v>1375</v>
      </c>
      <c r="KSI1006" s="1302" t="s">
        <v>619</v>
      </c>
      <c r="KSJ1006" s="1302">
        <v>76653</v>
      </c>
      <c r="KSK1006" s="1302" t="s">
        <v>619</v>
      </c>
      <c r="KSL1006" s="1302" t="s">
        <v>619</v>
      </c>
      <c r="KSM1006" s="1302" t="s">
        <v>619</v>
      </c>
      <c r="LCD1006" s="1302" t="s">
        <v>1375</v>
      </c>
      <c r="LCE1006" s="1302" t="s">
        <v>619</v>
      </c>
      <c r="LCF1006" s="1302">
        <v>76653</v>
      </c>
      <c r="LCG1006" s="1302" t="s">
        <v>619</v>
      </c>
      <c r="LCH1006" s="1302" t="s">
        <v>619</v>
      </c>
      <c r="LCI1006" s="1302" t="s">
        <v>619</v>
      </c>
      <c r="LLZ1006" s="1302" t="s">
        <v>1375</v>
      </c>
      <c r="LMA1006" s="1302" t="s">
        <v>619</v>
      </c>
      <c r="LMB1006" s="1302">
        <v>76653</v>
      </c>
      <c r="LMC1006" s="1302" t="s">
        <v>619</v>
      </c>
      <c r="LMD1006" s="1302" t="s">
        <v>619</v>
      </c>
      <c r="LME1006" s="1302" t="s">
        <v>619</v>
      </c>
      <c r="LVV1006" s="1302" t="s">
        <v>1375</v>
      </c>
      <c r="LVW1006" s="1302" t="s">
        <v>619</v>
      </c>
      <c r="LVX1006" s="1302">
        <v>76653</v>
      </c>
      <c r="LVY1006" s="1302" t="s">
        <v>619</v>
      </c>
      <c r="LVZ1006" s="1302" t="s">
        <v>619</v>
      </c>
      <c r="LWA1006" s="1302" t="s">
        <v>619</v>
      </c>
      <c r="MFR1006" s="1302" t="s">
        <v>1375</v>
      </c>
      <c r="MFS1006" s="1302" t="s">
        <v>619</v>
      </c>
      <c r="MFT1006" s="1302">
        <v>76653</v>
      </c>
      <c r="MFU1006" s="1302" t="s">
        <v>619</v>
      </c>
      <c r="MFV1006" s="1302" t="s">
        <v>619</v>
      </c>
      <c r="MFW1006" s="1302" t="s">
        <v>619</v>
      </c>
      <c r="MPN1006" s="1302" t="s">
        <v>1375</v>
      </c>
      <c r="MPO1006" s="1302" t="s">
        <v>619</v>
      </c>
      <c r="MPP1006" s="1302">
        <v>76653</v>
      </c>
      <c r="MPQ1006" s="1302" t="s">
        <v>619</v>
      </c>
      <c r="MPR1006" s="1302" t="s">
        <v>619</v>
      </c>
      <c r="MPS1006" s="1302" t="s">
        <v>619</v>
      </c>
      <c r="MZJ1006" s="1302" t="s">
        <v>1375</v>
      </c>
      <c r="MZK1006" s="1302" t="s">
        <v>619</v>
      </c>
      <c r="MZL1006" s="1302">
        <v>76653</v>
      </c>
      <c r="MZM1006" s="1302" t="s">
        <v>619</v>
      </c>
      <c r="MZN1006" s="1302" t="s">
        <v>619</v>
      </c>
      <c r="MZO1006" s="1302" t="s">
        <v>619</v>
      </c>
      <c r="NJF1006" s="1302" t="s">
        <v>1375</v>
      </c>
      <c r="NJG1006" s="1302" t="s">
        <v>619</v>
      </c>
      <c r="NJH1006" s="1302">
        <v>76653</v>
      </c>
      <c r="NJI1006" s="1302" t="s">
        <v>619</v>
      </c>
      <c r="NJJ1006" s="1302" t="s">
        <v>619</v>
      </c>
      <c r="NJK1006" s="1302" t="s">
        <v>619</v>
      </c>
      <c r="NTB1006" s="1302" t="s">
        <v>1375</v>
      </c>
      <c r="NTC1006" s="1302" t="s">
        <v>619</v>
      </c>
      <c r="NTD1006" s="1302">
        <v>76653</v>
      </c>
      <c r="NTE1006" s="1302" t="s">
        <v>619</v>
      </c>
      <c r="NTF1006" s="1302" t="s">
        <v>619</v>
      </c>
      <c r="NTG1006" s="1302" t="s">
        <v>619</v>
      </c>
      <c r="OCX1006" s="1302" t="s">
        <v>1375</v>
      </c>
      <c r="OCY1006" s="1302" t="s">
        <v>619</v>
      </c>
      <c r="OCZ1006" s="1302">
        <v>76653</v>
      </c>
      <c r="ODA1006" s="1302" t="s">
        <v>619</v>
      </c>
      <c r="ODB1006" s="1302" t="s">
        <v>619</v>
      </c>
      <c r="ODC1006" s="1302" t="s">
        <v>619</v>
      </c>
      <c r="OMT1006" s="1302" t="s">
        <v>1375</v>
      </c>
      <c r="OMU1006" s="1302" t="s">
        <v>619</v>
      </c>
      <c r="OMV1006" s="1302">
        <v>76653</v>
      </c>
      <c r="OMW1006" s="1302" t="s">
        <v>619</v>
      </c>
      <c r="OMX1006" s="1302" t="s">
        <v>619</v>
      </c>
      <c r="OMY1006" s="1302" t="s">
        <v>619</v>
      </c>
      <c r="OWP1006" s="1302" t="s">
        <v>1375</v>
      </c>
      <c r="OWQ1006" s="1302" t="s">
        <v>619</v>
      </c>
      <c r="OWR1006" s="1302">
        <v>76653</v>
      </c>
      <c r="OWS1006" s="1302" t="s">
        <v>619</v>
      </c>
      <c r="OWT1006" s="1302" t="s">
        <v>619</v>
      </c>
      <c r="OWU1006" s="1302" t="s">
        <v>619</v>
      </c>
      <c r="PGL1006" s="1302" t="s">
        <v>1375</v>
      </c>
      <c r="PGM1006" s="1302" t="s">
        <v>619</v>
      </c>
      <c r="PGN1006" s="1302">
        <v>76653</v>
      </c>
      <c r="PGO1006" s="1302" t="s">
        <v>619</v>
      </c>
      <c r="PGP1006" s="1302" t="s">
        <v>619</v>
      </c>
      <c r="PGQ1006" s="1302" t="s">
        <v>619</v>
      </c>
      <c r="PQH1006" s="1302" t="s">
        <v>1375</v>
      </c>
      <c r="PQI1006" s="1302" t="s">
        <v>619</v>
      </c>
      <c r="PQJ1006" s="1302">
        <v>76653</v>
      </c>
      <c r="PQK1006" s="1302" t="s">
        <v>619</v>
      </c>
      <c r="PQL1006" s="1302" t="s">
        <v>619</v>
      </c>
      <c r="PQM1006" s="1302" t="s">
        <v>619</v>
      </c>
      <c r="QAD1006" s="1302" t="s">
        <v>1375</v>
      </c>
      <c r="QAE1006" s="1302" t="s">
        <v>619</v>
      </c>
      <c r="QAF1006" s="1302">
        <v>76653</v>
      </c>
      <c r="QAG1006" s="1302" t="s">
        <v>619</v>
      </c>
      <c r="QAH1006" s="1302" t="s">
        <v>619</v>
      </c>
      <c r="QAI1006" s="1302" t="s">
        <v>619</v>
      </c>
      <c r="QJZ1006" s="1302" t="s">
        <v>1375</v>
      </c>
      <c r="QKA1006" s="1302" t="s">
        <v>619</v>
      </c>
      <c r="QKB1006" s="1302">
        <v>76653</v>
      </c>
      <c r="QKC1006" s="1302" t="s">
        <v>619</v>
      </c>
      <c r="QKD1006" s="1302" t="s">
        <v>619</v>
      </c>
      <c r="QKE1006" s="1302" t="s">
        <v>619</v>
      </c>
      <c r="QTV1006" s="1302" t="s">
        <v>1375</v>
      </c>
      <c r="QTW1006" s="1302" t="s">
        <v>619</v>
      </c>
      <c r="QTX1006" s="1302">
        <v>76653</v>
      </c>
      <c r="QTY1006" s="1302" t="s">
        <v>619</v>
      </c>
      <c r="QTZ1006" s="1302" t="s">
        <v>619</v>
      </c>
      <c r="QUA1006" s="1302" t="s">
        <v>619</v>
      </c>
      <c r="RDR1006" s="1302" t="s">
        <v>1375</v>
      </c>
      <c r="RDS1006" s="1302" t="s">
        <v>619</v>
      </c>
      <c r="RDT1006" s="1302">
        <v>76653</v>
      </c>
      <c r="RDU1006" s="1302" t="s">
        <v>619</v>
      </c>
      <c r="RDV1006" s="1302" t="s">
        <v>619</v>
      </c>
      <c r="RDW1006" s="1302" t="s">
        <v>619</v>
      </c>
      <c r="RNN1006" s="1302" t="s">
        <v>1375</v>
      </c>
      <c r="RNO1006" s="1302" t="s">
        <v>619</v>
      </c>
      <c r="RNP1006" s="1302">
        <v>76653</v>
      </c>
      <c r="RNQ1006" s="1302" t="s">
        <v>619</v>
      </c>
      <c r="RNR1006" s="1302" t="s">
        <v>619</v>
      </c>
      <c r="RNS1006" s="1302" t="s">
        <v>619</v>
      </c>
      <c r="RXJ1006" s="1302" t="s">
        <v>1375</v>
      </c>
      <c r="RXK1006" s="1302" t="s">
        <v>619</v>
      </c>
      <c r="RXL1006" s="1302">
        <v>76653</v>
      </c>
      <c r="RXM1006" s="1302" t="s">
        <v>619</v>
      </c>
      <c r="RXN1006" s="1302" t="s">
        <v>619</v>
      </c>
      <c r="RXO1006" s="1302" t="s">
        <v>619</v>
      </c>
      <c r="SHF1006" s="1302" t="s">
        <v>1375</v>
      </c>
      <c r="SHG1006" s="1302" t="s">
        <v>619</v>
      </c>
      <c r="SHH1006" s="1302">
        <v>76653</v>
      </c>
      <c r="SHI1006" s="1302" t="s">
        <v>619</v>
      </c>
      <c r="SHJ1006" s="1302" t="s">
        <v>619</v>
      </c>
      <c r="SHK1006" s="1302" t="s">
        <v>619</v>
      </c>
      <c r="SRB1006" s="1302" t="s">
        <v>1375</v>
      </c>
      <c r="SRC1006" s="1302" t="s">
        <v>619</v>
      </c>
      <c r="SRD1006" s="1302">
        <v>76653</v>
      </c>
      <c r="SRE1006" s="1302" t="s">
        <v>619</v>
      </c>
      <c r="SRF1006" s="1302" t="s">
        <v>619</v>
      </c>
      <c r="SRG1006" s="1302" t="s">
        <v>619</v>
      </c>
      <c r="TAX1006" s="1302" t="s">
        <v>1375</v>
      </c>
      <c r="TAY1006" s="1302" t="s">
        <v>619</v>
      </c>
      <c r="TAZ1006" s="1302">
        <v>76653</v>
      </c>
      <c r="TBA1006" s="1302" t="s">
        <v>619</v>
      </c>
      <c r="TBB1006" s="1302" t="s">
        <v>619</v>
      </c>
      <c r="TBC1006" s="1302" t="s">
        <v>619</v>
      </c>
      <c r="TKT1006" s="1302" t="s">
        <v>1375</v>
      </c>
      <c r="TKU1006" s="1302" t="s">
        <v>619</v>
      </c>
      <c r="TKV1006" s="1302">
        <v>76653</v>
      </c>
      <c r="TKW1006" s="1302" t="s">
        <v>619</v>
      </c>
      <c r="TKX1006" s="1302" t="s">
        <v>619</v>
      </c>
      <c r="TKY1006" s="1302" t="s">
        <v>619</v>
      </c>
      <c r="TUP1006" s="1302" t="s">
        <v>1375</v>
      </c>
      <c r="TUQ1006" s="1302" t="s">
        <v>619</v>
      </c>
      <c r="TUR1006" s="1302">
        <v>76653</v>
      </c>
      <c r="TUS1006" s="1302" t="s">
        <v>619</v>
      </c>
      <c r="TUT1006" s="1302" t="s">
        <v>619</v>
      </c>
      <c r="TUU1006" s="1302" t="s">
        <v>619</v>
      </c>
      <c r="UEL1006" s="1302" t="s">
        <v>1375</v>
      </c>
      <c r="UEM1006" s="1302" t="s">
        <v>619</v>
      </c>
      <c r="UEN1006" s="1302">
        <v>76653</v>
      </c>
      <c r="UEO1006" s="1302" t="s">
        <v>619</v>
      </c>
      <c r="UEP1006" s="1302" t="s">
        <v>619</v>
      </c>
      <c r="UEQ1006" s="1302" t="s">
        <v>619</v>
      </c>
      <c r="UOH1006" s="1302" t="s">
        <v>1375</v>
      </c>
      <c r="UOI1006" s="1302" t="s">
        <v>619</v>
      </c>
      <c r="UOJ1006" s="1302">
        <v>76653</v>
      </c>
      <c r="UOK1006" s="1302" t="s">
        <v>619</v>
      </c>
      <c r="UOL1006" s="1302" t="s">
        <v>619</v>
      </c>
      <c r="UOM1006" s="1302" t="s">
        <v>619</v>
      </c>
      <c r="UYD1006" s="1302" t="s">
        <v>1375</v>
      </c>
      <c r="UYE1006" s="1302" t="s">
        <v>619</v>
      </c>
      <c r="UYF1006" s="1302">
        <v>76653</v>
      </c>
      <c r="UYG1006" s="1302" t="s">
        <v>619</v>
      </c>
      <c r="UYH1006" s="1302" t="s">
        <v>619</v>
      </c>
      <c r="UYI1006" s="1302" t="s">
        <v>619</v>
      </c>
      <c r="VHZ1006" s="1302" t="s">
        <v>1375</v>
      </c>
      <c r="VIA1006" s="1302" t="s">
        <v>619</v>
      </c>
      <c r="VIB1006" s="1302">
        <v>76653</v>
      </c>
      <c r="VIC1006" s="1302" t="s">
        <v>619</v>
      </c>
      <c r="VID1006" s="1302" t="s">
        <v>619</v>
      </c>
      <c r="VIE1006" s="1302" t="s">
        <v>619</v>
      </c>
      <c r="VRV1006" s="1302" t="s">
        <v>1375</v>
      </c>
      <c r="VRW1006" s="1302" t="s">
        <v>619</v>
      </c>
      <c r="VRX1006" s="1302">
        <v>76653</v>
      </c>
      <c r="VRY1006" s="1302" t="s">
        <v>619</v>
      </c>
      <c r="VRZ1006" s="1302" t="s">
        <v>619</v>
      </c>
      <c r="VSA1006" s="1302" t="s">
        <v>619</v>
      </c>
      <c r="WBR1006" s="1302" t="s">
        <v>1375</v>
      </c>
      <c r="WBS1006" s="1302" t="s">
        <v>619</v>
      </c>
      <c r="WBT1006" s="1302">
        <v>76653</v>
      </c>
      <c r="WBU1006" s="1302" t="s">
        <v>619</v>
      </c>
      <c r="WBV1006" s="1302" t="s">
        <v>619</v>
      </c>
      <c r="WBW1006" s="1302" t="s">
        <v>619</v>
      </c>
      <c r="WLN1006" s="1302" t="s">
        <v>1375</v>
      </c>
      <c r="WLO1006" s="1302" t="s">
        <v>619</v>
      </c>
      <c r="WLP1006" s="1302">
        <v>76653</v>
      </c>
      <c r="WLQ1006" s="1302" t="s">
        <v>619</v>
      </c>
      <c r="WLR1006" s="1302" t="s">
        <v>619</v>
      </c>
      <c r="WLS1006" s="1302" t="s">
        <v>619</v>
      </c>
      <c r="WVJ1006" s="1302" t="s">
        <v>1375</v>
      </c>
      <c r="WVK1006" s="1302" t="s">
        <v>619</v>
      </c>
      <c r="WVL1006" s="1302">
        <v>76653</v>
      </c>
      <c r="WVM1006" s="1302" t="s">
        <v>619</v>
      </c>
      <c r="WVN1006" s="1302" t="s">
        <v>619</v>
      </c>
      <c r="WVO1006" s="1302" t="s">
        <v>619</v>
      </c>
    </row>
    <row r="1007" spans="1:775 1026:1799 2050:2823 3074:3847 4098:4871 5122:5895 6146:6919 7170:7943 8194:8967 9218:9991 10242:11015 11266:12039 12290:13063 13314:14087 14338:15111 15362:16135">
      <c r="A1007" s="96" t="s">
        <v>1376</v>
      </c>
      <c r="B1007" t="s">
        <v>804</v>
      </c>
      <c r="C1007" s="98">
        <v>0</v>
      </c>
      <c r="D1007" s="100">
        <v>-31500</v>
      </c>
      <c r="E1007" s="98">
        <v>0</v>
      </c>
      <c r="F1007" s="98">
        <v>0</v>
      </c>
      <c r="G1007" s="98">
        <v>0</v>
      </c>
      <c r="H1007" s="98"/>
      <c r="IX1007" t="s">
        <v>1376</v>
      </c>
      <c r="IY1007" t="s">
        <v>619</v>
      </c>
      <c r="IZ1007">
        <v>-31500</v>
      </c>
      <c r="JA1007" t="s">
        <v>619</v>
      </c>
      <c r="JB1007" t="s">
        <v>619</v>
      </c>
      <c r="JC1007" t="s">
        <v>619</v>
      </c>
      <c r="ST1007" t="s">
        <v>1376</v>
      </c>
      <c r="SU1007" t="s">
        <v>619</v>
      </c>
      <c r="SV1007">
        <v>-31500</v>
      </c>
      <c r="SW1007" t="s">
        <v>619</v>
      </c>
      <c r="SX1007" t="s">
        <v>619</v>
      </c>
      <c r="SY1007" t="s">
        <v>619</v>
      </c>
      <c r="ACP1007" t="s">
        <v>1376</v>
      </c>
      <c r="ACQ1007" t="s">
        <v>619</v>
      </c>
      <c r="ACR1007">
        <v>-31500</v>
      </c>
      <c r="ACS1007" t="s">
        <v>619</v>
      </c>
      <c r="ACT1007" t="s">
        <v>619</v>
      </c>
      <c r="ACU1007" t="s">
        <v>619</v>
      </c>
      <c r="AML1007" t="s">
        <v>1376</v>
      </c>
      <c r="AMM1007" t="s">
        <v>619</v>
      </c>
      <c r="AMN1007">
        <v>-31500</v>
      </c>
      <c r="AMO1007" t="s">
        <v>619</v>
      </c>
      <c r="AMP1007" t="s">
        <v>619</v>
      </c>
      <c r="AMQ1007" t="s">
        <v>619</v>
      </c>
      <c r="AWH1007" t="s">
        <v>1376</v>
      </c>
      <c r="AWI1007" t="s">
        <v>619</v>
      </c>
      <c r="AWJ1007">
        <v>-31500</v>
      </c>
      <c r="AWK1007" t="s">
        <v>619</v>
      </c>
      <c r="AWL1007" t="s">
        <v>619</v>
      </c>
      <c r="AWM1007" t="s">
        <v>619</v>
      </c>
      <c r="BGD1007" t="s">
        <v>1376</v>
      </c>
      <c r="BGE1007" t="s">
        <v>619</v>
      </c>
      <c r="BGF1007">
        <v>-31500</v>
      </c>
      <c r="BGG1007" t="s">
        <v>619</v>
      </c>
      <c r="BGH1007" t="s">
        <v>619</v>
      </c>
      <c r="BGI1007" t="s">
        <v>619</v>
      </c>
      <c r="BPZ1007" t="s">
        <v>1376</v>
      </c>
      <c r="BQA1007" t="s">
        <v>619</v>
      </c>
      <c r="BQB1007">
        <v>-31500</v>
      </c>
      <c r="BQC1007" t="s">
        <v>619</v>
      </c>
      <c r="BQD1007" t="s">
        <v>619</v>
      </c>
      <c r="BQE1007" t="s">
        <v>619</v>
      </c>
      <c r="BZV1007" t="s">
        <v>1376</v>
      </c>
      <c r="BZW1007" t="s">
        <v>619</v>
      </c>
      <c r="BZX1007">
        <v>-31500</v>
      </c>
      <c r="BZY1007" t="s">
        <v>619</v>
      </c>
      <c r="BZZ1007" t="s">
        <v>619</v>
      </c>
      <c r="CAA1007" t="s">
        <v>619</v>
      </c>
      <c r="CJR1007" t="s">
        <v>1376</v>
      </c>
      <c r="CJS1007" t="s">
        <v>619</v>
      </c>
      <c r="CJT1007">
        <v>-31500</v>
      </c>
      <c r="CJU1007" t="s">
        <v>619</v>
      </c>
      <c r="CJV1007" t="s">
        <v>619</v>
      </c>
      <c r="CJW1007" t="s">
        <v>619</v>
      </c>
      <c r="CTN1007" t="s">
        <v>1376</v>
      </c>
      <c r="CTO1007" t="s">
        <v>619</v>
      </c>
      <c r="CTP1007">
        <v>-31500</v>
      </c>
      <c r="CTQ1007" t="s">
        <v>619</v>
      </c>
      <c r="CTR1007" t="s">
        <v>619</v>
      </c>
      <c r="CTS1007" t="s">
        <v>619</v>
      </c>
      <c r="DDJ1007" t="s">
        <v>1376</v>
      </c>
      <c r="DDK1007" t="s">
        <v>619</v>
      </c>
      <c r="DDL1007">
        <v>-31500</v>
      </c>
      <c r="DDM1007" t="s">
        <v>619</v>
      </c>
      <c r="DDN1007" t="s">
        <v>619</v>
      </c>
      <c r="DDO1007" t="s">
        <v>619</v>
      </c>
      <c r="DNF1007" t="s">
        <v>1376</v>
      </c>
      <c r="DNG1007" t="s">
        <v>619</v>
      </c>
      <c r="DNH1007">
        <v>-31500</v>
      </c>
      <c r="DNI1007" t="s">
        <v>619</v>
      </c>
      <c r="DNJ1007" t="s">
        <v>619</v>
      </c>
      <c r="DNK1007" t="s">
        <v>619</v>
      </c>
      <c r="DXB1007" t="s">
        <v>1376</v>
      </c>
      <c r="DXC1007" t="s">
        <v>619</v>
      </c>
      <c r="DXD1007">
        <v>-31500</v>
      </c>
      <c r="DXE1007" t="s">
        <v>619</v>
      </c>
      <c r="DXF1007" t="s">
        <v>619</v>
      </c>
      <c r="DXG1007" t="s">
        <v>619</v>
      </c>
      <c r="EGX1007" t="s">
        <v>1376</v>
      </c>
      <c r="EGY1007" t="s">
        <v>619</v>
      </c>
      <c r="EGZ1007">
        <v>-31500</v>
      </c>
      <c r="EHA1007" t="s">
        <v>619</v>
      </c>
      <c r="EHB1007" t="s">
        <v>619</v>
      </c>
      <c r="EHC1007" t="s">
        <v>619</v>
      </c>
      <c r="EQT1007" t="s">
        <v>1376</v>
      </c>
      <c r="EQU1007" t="s">
        <v>619</v>
      </c>
      <c r="EQV1007">
        <v>-31500</v>
      </c>
      <c r="EQW1007" t="s">
        <v>619</v>
      </c>
      <c r="EQX1007" t="s">
        <v>619</v>
      </c>
      <c r="EQY1007" t="s">
        <v>619</v>
      </c>
      <c r="FAP1007" t="s">
        <v>1376</v>
      </c>
      <c r="FAQ1007" t="s">
        <v>619</v>
      </c>
      <c r="FAR1007">
        <v>-31500</v>
      </c>
      <c r="FAS1007" t="s">
        <v>619</v>
      </c>
      <c r="FAT1007" t="s">
        <v>619</v>
      </c>
      <c r="FAU1007" t="s">
        <v>619</v>
      </c>
      <c r="FKL1007" t="s">
        <v>1376</v>
      </c>
      <c r="FKM1007" t="s">
        <v>619</v>
      </c>
      <c r="FKN1007">
        <v>-31500</v>
      </c>
      <c r="FKO1007" t="s">
        <v>619</v>
      </c>
      <c r="FKP1007" t="s">
        <v>619</v>
      </c>
      <c r="FKQ1007" t="s">
        <v>619</v>
      </c>
      <c r="FUH1007" t="s">
        <v>1376</v>
      </c>
      <c r="FUI1007" t="s">
        <v>619</v>
      </c>
      <c r="FUJ1007">
        <v>-31500</v>
      </c>
      <c r="FUK1007" t="s">
        <v>619</v>
      </c>
      <c r="FUL1007" t="s">
        <v>619</v>
      </c>
      <c r="FUM1007" t="s">
        <v>619</v>
      </c>
      <c r="GED1007" t="s">
        <v>1376</v>
      </c>
      <c r="GEE1007" t="s">
        <v>619</v>
      </c>
      <c r="GEF1007">
        <v>-31500</v>
      </c>
      <c r="GEG1007" t="s">
        <v>619</v>
      </c>
      <c r="GEH1007" t="s">
        <v>619</v>
      </c>
      <c r="GEI1007" t="s">
        <v>619</v>
      </c>
      <c r="GNZ1007" t="s">
        <v>1376</v>
      </c>
      <c r="GOA1007" t="s">
        <v>619</v>
      </c>
      <c r="GOB1007">
        <v>-31500</v>
      </c>
      <c r="GOC1007" t="s">
        <v>619</v>
      </c>
      <c r="GOD1007" t="s">
        <v>619</v>
      </c>
      <c r="GOE1007" t="s">
        <v>619</v>
      </c>
      <c r="GXV1007" t="s">
        <v>1376</v>
      </c>
      <c r="GXW1007" t="s">
        <v>619</v>
      </c>
      <c r="GXX1007">
        <v>-31500</v>
      </c>
      <c r="GXY1007" t="s">
        <v>619</v>
      </c>
      <c r="GXZ1007" t="s">
        <v>619</v>
      </c>
      <c r="GYA1007" t="s">
        <v>619</v>
      </c>
      <c r="HHR1007" t="s">
        <v>1376</v>
      </c>
      <c r="HHS1007" t="s">
        <v>619</v>
      </c>
      <c r="HHT1007">
        <v>-31500</v>
      </c>
      <c r="HHU1007" t="s">
        <v>619</v>
      </c>
      <c r="HHV1007" t="s">
        <v>619</v>
      </c>
      <c r="HHW1007" t="s">
        <v>619</v>
      </c>
      <c r="HRN1007" t="s">
        <v>1376</v>
      </c>
      <c r="HRO1007" t="s">
        <v>619</v>
      </c>
      <c r="HRP1007">
        <v>-31500</v>
      </c>
      <c r="HRQ1007" t="s">
        <v>619</v>
      </c>
      <c r="HRR1007" t="s">
        <v>619</v>
      </c>
      <c r="HRS1007" t="s">
        <v>619</v>
      </c>
      <c r="IBJ1007" t="s">
        <v>1376</v>
      </c>
      <c r="IBK1007" t="s">
        <v>619</v>
      </c>
      <c r="IBL1007">
        <v>-31500</v>
      </c>
      <c r="IBM1007" t="s">
        <v>619</v>
      </c>
      <c r="IBN1007" t="s">
        <v>619</v>
      </c>
      <c r="IBO1007" t="s">
        <v>619</v>
      </c>
      <c r="ILF1007" t="s">
        <v>1376</v>
      </c>
      <c r="ILG1007" t="s">
        <v>619</v>
      </c>
      <c r="ILH1007">
        <v>-31500</v>
      </c>
      <c r="ILI1007" t="s">
        <v>619</v>
      </c>
      <c r="ILJ1007" t="s">
        <v>619</v>
      </c>
      <c r="ILK1007" t="s">
        <v>619</v>
      </c>
      <c r="IVB1007" t="s">
        <v>1376</v>
      </c>
      <c r="IVC1007" t="s">
        <v>619</v>
      </c>
      <c r="IVD1007">
        <v>-31500</v>
      </c>
      <c r="IVE1007" t="s">
        <v>619</v>
      </c>
      <c r="IVF1007" t="s">
        <v>619</v>
      </c>
      <c r="IVG1007" t="s">
        <v>619</v>
      </c>
      <c r="JEX1007" t="s">
        <v>1376</v>
      </c>
      <c r="JEY1007" t="s">
        <v>619</v>
      </c>
      <c r="JEZ1007">
        <v>-31500</v>
      </c>
      <c r="JFA1007" t="s">
        <v>619</v>
      </c>
      <c r="JFB1007" t="s">
        <v>619</v>
      </c>
      <c r="JFC1007" t="s">
        <v>619</v>
      </c>
      <c r="JOT1007" t="s">
        <v>1376</v>
      </c>
      <c r="JOU1007" t="s">
        <v>619</v>
      </c>
      <c r="JOV1007">
        <v>-31500</v>
      </c>
      <c r="JOW1007" t="s">
        <v>619</v>
      </c>
      <c r="JOX1007" t="s">
        <v>619</v>
      </c>
      <c r="JOY1007" t="s">
        <v>619</v>
      </c>
      <c r="JYP1007" t="s">
        <v>1376</v>
      </c>
      <c r="JYQ1007" t="s">
        <v>619</v>
      </c>
      <c r="JYR1007">
        <v>-31500</v>
      </c>
      <c r="JYS1007" t="s">
        <v>619</v>
      </c>
      <c r="JYT1007" t="s">
        <v>619</v>
      </c>
      <c r="JYU1007" t="s">
        <v>619</v>
      </c>
      <c r="KIL1007" t="s">
        <v>1376</v>
      </c>
      <c r="KIM1007" t="s">
        <v>619</v>
      </c>
      <c r="KIN1007">
        <v>-31500</v>
      </c>
      <c r="KIO1007" t="s">
        <v>619</v>
      </c>
      <c r="KIP1007" t="s">
        <v>619</v>
      </c>
      <c r="KIQ1007" t="s">
        <v>619</v>
      </c>
      <c r="KSH1007" t="s">
        <v>1376</v>
      </c>
      <c r="KSI1007" t="s">
        <v>619</v>
      </c>
      <c r="KSJ1007">
        <v>-31500</v>
      </c>
      <c r="KSK1007" t="s">
        <v>619</v>
      </c>
      <c r="KSL1007" t="s">
        <v>619</v>
      </c>
      <c r="KSM1007" t="s">
        <v>619</v>
      </c>
      <c r="LCD1007" t="s">
        <v>1376</v>
      </c>
      <c r="LCE1007" t="s">
        <v>619</v>
      </c>
      <c r="LCF1007">
        <v>-31500</v>
      </c>
      <c r="LCG1007" t="s">
        <v>619</v>
      </c>
      <c r="LCH1007" t="s">
        <v>619</v>
      </c>
      <c r="LCI1007" t="s">
        <v>619</v>
      </c>
      <c r="LLZ1007" t="s">
        <v>1376</v>
      </c>
      <c r="LMA1007" t="s">
        <v>619</v>
      </c>
      <c r="LMB1007">
        <v>-31500</v>
      </c>
      <c r="LMC1007" t="s">
        <v>619</v>
      </c>
      <c r="LMD1007" t="s">
        <v>619</v>
      </c>
      <c r="LME1007" t="s">
        <v>619</v>
      </c>
      <c r="LVV1007" t="s">
        <v>1376</v>
      </c>
      <c r="LVW1007" t="s">
        <v>619</v>
      </c>
      <c r="LVX1007">
        <v>-31500</v>
      </c>
      <c r="LVY1007" t="s">
        <v>619</v>
      </c>
      <c r="LVZ1007" t="s">
        <v>619</v>
      </c>
      <c r="LWA1007" t="s">
        <v>619</v>
      </c>
      <c r="MFR1007" t="s">
        <v>1376</v>
      </c>
      <c r="MFS1007" t="s">
        <v>619</v>
      </c>
      <c r="MFT1007">
        <v>-31500</v>
      </c>
      <c r="MFU1007" t="s">
        <v>619</v>
      </c>
      <c r="MFV1007" t="s">
        <v>619</v>
      </c>
      <c r="MFW1007" t="s">
        <v>619</v>
      </c>
      <c r="MPN1007" t="s">
        <v>1376</v>
      </c>
      <c r="MPO1007" t="s">
        <v>619</v>
      </c>
      <c r="MPP1007">
        <v>-31500</v>
      </c>
      <c r="MPQ1007" t="s">
        <v>619</v>
      </c>
      <c r="MPR1007" t="s">
        <v>619</v>
      </c>
      <c r="MPS1007" t="s">
        <v>619</v>
      </c>
      <c r="MZJ1007" t="s">
        <v>1376</v>
      </c>
      <c r="MZK1007" t="s">
        <v>619</v>
      </c>
      <c r="MZL1007">
        <v>-31500</v>
      </c>
      <c r="MZM1007" t="s">
        <v>619</v>
      </c>
      <c r="MZN1007" t="s">
        <v>619</v>
      </c>
      <c r="MZO1007" t="s">
        <v>619</v>
      </c>
      <c r="NJF1007" t="s">
        <v>1376</v>
      </c>
      <c r="NJG1007" t="s">
        <v>619</v>
      </c>
      <c r="NJH1007">
        <v>-31500</v>
      </c>
      <c r="NJI1007" t="s">
        <v>619</v>
      </c>
      <c r="NJJ1007" t="s">
        <v>619</v>
      </c>
      <c r="NJK1007" t="s">
        <v>619</v>
      </c>
      <c r="NTB1007" t="s">
        <v>1376</v>
      </c>
      <c r="NTC1007" t="s">
        <v>619</v>
      </c>
      <c r="NTD1007">
        <v>-31500</v>
      </c>
      <c r="NTE1007" t="s">
        <v>619</v>
      </c>
      <c r="NTF1007" t="s">
        <v>619</v>
      </c>
      <c r="NTG1007" t="s">
        <v>619</v>
      </c>
      <c r="OCX1007" t="s">
        <v>1376</v>
      </c>
      <c r="OCY1007" t="s">
        <v>619</v>
      </c>
      <c r="OCZ1007">
        <v>-31500</v>
      </c>
      <c r="ODA1007" t="s">
        <v>619</v>
      </c>
      <c r="ODB1007" t="s">
        <v>619</v>
      </c>
      <c r="ODC1007" t="s">
        <v>619</v>
      </c>
      <c r="OMT1007" t="s">
        <v>1376</v>
      </c>
      <c r="OMU1007" t="s">
        <v>619</v>
      </c>
      <c r="OMV1007">
        <v>-31500</v>
      </c>
      <c r="OMW1007" t="s">
        <v>619</v>
      </c>
      <c r="OMX1007" t="s">
        <v>619</v>
      </c>
      <c r="OMY1007" t="s">
        <v>619</v>
      </c>
      <c r="OWP1007" t="s">
        <v>1376</v>
      </c>
      <c r="OWQ1007" t="s">
        <v>619</v>
      </c>
      <c r="OWR1007">
        <v>-31500</v>
      </c>
      <c r="OWS1007" t="s">
        <v>619</v>
      </c>
      <c r="OWT1007" t="s">
        <v>619</v>
      </c>
      <c r="OWU1007" t="s">
        <v>619</v>
      </c>
      <c r="PGL1007" t="s">
        <v>1376</v>
      </c>
      <c r="PGM1007" t="s">
        <v>619</v>
      </c>
      <c r="PGN1007">
        <v>-31500</v>
      </c>
      <c r="PGO1007" t="s">
        <v>619</v>
      </c>
      <c r="PGP1007" t="s">
        <v>619</v>
      </c>
      <c r="PGQ1007" t="s">
        <v>619</v>
      </c>
      <c r="PQH1007" t="s">
        <v>1376</v>
      </c>
      <c r="PQI1007" t="s">
        <v>619</v>
      </c>
      <c r="PQJ1007">
        <v>-31500</v>
      </c>
      <c r="PQK1007" t="s">
        <v>619</v>
      </c>
      <c r="PQL1007" t="s">
        <v>619</v>
      </c>
      <c r="PQM1007" t="s">
        <v>619</v>
      </c>
      <c r="QAD1007" t="s">
        <v>1376</v>
      </c>
      <c r="QAE1007" t="s">
        <v>619</v>
      </c>
      <c r="QAF1007">
        <v>-31500</v>
      </c>
      <c r="QAG1007" t="s">
        <v>619</v>
      </c>
      <c r="QAH1007" t="s">
        <v>619</v>
      </c>
      <c r="QAI1007" t="s">
        <v>619</v>
      </c>
      <c r="QJZ1007" t="s">
        <v>1376</v>
      </c>
      <c r="QKA1007" t="s">
        <v>619</v>
      </c>
      <c r="QKB1007">
        <v>-31500</v>
      </c>
      <c r="QKC1007" t="s">
        <v>619</v>
      </c>
      <c r="QKD1007" t="s">
        <v>619</v>
      </c>
      <c r="QKE1007" t="s">
        <v>619</v>
      </c>
      <c r="QTV1007" t="s">
        <v>1376</v>
      </c>
      <c r="QTW1007" t="s">
        <v>619</v>
      </c>
      <c r="QTX1007">
        <v>-31500</v>
      </c>
      <c r="QTY1007" t="s">
        <v>619</v>
      </c>
      <c r="QTZ1007" t="s">
        <v>619</v>
      </c>
      <c r="QUA1007" t="s">
        <v>619</v>
      </c>
      <c r="RDR1007" t="s">
        <v>1376</v>
      </c>
      <c r="RDS1007" t="s">
        <v>619</v>
      </c>
      <c r="RDT1007">
        <v>-31500</v>
      </c>
      <c r="RDU1007" t="s">
        <v>619</v>
      </c>
      <c r="RDV1007" t="s">
        <v>619</v>
      </c>
      <c r="RDW1007" t="s">
        <v>619</v>
      </c>
      <c r="RNN1007" t="s">
        <v>1376</v>
      </c>
      <c r="RNO1007" t="s">
        <v>619</v>
      </c>
      <c r="RNP1007">
        <v>-31500</v>
      </c>
      <c r="RNQ1007" t="s">
        <v>619</v>
      </c>
      <c r="RNR1007" t="s">
        <v>619</v>
      </c>
      <c r="RNS1007" t="s">
        <v>619</v>
      </c>
      <c r="RXJ1007" t="s">
        <v>1376</v>
      </c>
      <c r="RXK1007" t="s">
        <v>619</v>
      </c>
      <c r="RXL1007">
        <v>-31500</v>
      </c>
      <c r="RXM1007" t="s">
        <v>619</v>
      </c>
      <c r="RXN1007" t="s">
        <v>619</v>
      </c>
      <c r="RXO1007" t="s">
        <v>619</v>
      </c>
      <c r="SHF1007" t="s">
        <v>1376</v>
      </c>
      <c r="SHG1007" t="s">
        <v>619</v>
      </c>
      <c r="SHH1007">
        <v>-31500</v>
      </c>
      <c r="SHI1007" t="s">
        <v>619</v>
      </c>
      <c r="SHJ1007" t="s">
        <v>619</v>
      </c>
      <c r="SHK1007" t="s">
        <v>619</v>
      </c>
      <c r="SRB1007" t="s">
        <v>1376</v>
      </c>
      <c r="SRC1007" t="s">
        <v>619</v>
      </c>
      <c r="SRD1007">
        <v>-31500</v>
      </c>
      <c r="SRE1007" t="s">
        <v>619</v>
      </c>
      <c r="SRF1007" t="s">
        <v>619</v>
      </c>
      <c r="SRG1007" t="s">
        <v>619</v>
      </c>
      <c r="TAX1007" t="s">
        <v>1376</v>
      </c>
      <c r="TAY1007" t="s">
        <v>619</v>
      </c>
      <c r="TAZ1007">
        <v>-31500</v>
      </c>
      <c r="TBA1007" t="s">
        <v>619</v>
      </c>
      <c r="TBB1007" t="s">
        <v>619</v>
      </c>
      <c r="TBC1007" t="s">
        <v>619</v>
      </c>
      <c r="TKT1007" t="s">
        <v>1376</v>
      </c>
      <c r="TKU1007" t="s">
        <v>619</v>
      </c>
      <c r="TKV1007">
        <v>-31500</v>
      </c>
      <c r="TKW1007" t="s">
        <v>619</v>
      </c>
      <c r="TKX1007" t="s">
        <v>619</v>
      </c>
      <c r="TKY1007" t="s">
        <v>619</v>
      </c>
      <c r="TUP1007" t="s">
        <v>1376</v>
      </c>
      <c r="TUQ1007" t="s">
        <v>619</v>
      </c>
      <c r="TUR1007">
        <v>-31500</v>
      </c>
      <c r="TUS1007" t="s">
        <v>619</v>
      </c>
      <c r="TUT1007" t="s">
        <v>619</v>
      </c>
      <c r="TUU1007" t="s">
        <v>619</v>
      </c>
      <c r="UEL1007" t="s">
        <v>1376</v>
      </c>
      <c r="UEM1007" t="s">
        <v>619</v>
      </c>
      <c r="UEN1007">
        <v>-31500</v>
      </c>
      <c r="UEO1007" t="s">
        <v>619</v>
      </c>
      <c r="UEP1007" t="s">
        <v>619</v>
      </c>
      <c r="UEQ1007" t="s">
        <v>619</v>
      </c>
      <c r="UOH1007" t="s">
        <v>1376</v>
      </c>
      <c r="UOI1007" t="s">
        <v>619</v>
      </c>
      <c r="UOJ1007">
        <v>-31500</v>
      </c>
      <c r="UOK1007" t="s">
        <v>619</v>
      </c>
      <c r="UOL1007" t="s">
        <v>619</v>
      </c>
      <c r="UOM1007" t="s">
        <v>619</v>
      </c>
      <c r="UYD1007" t="s">
        <v>1376</v>
      </c>
      <c r="UYE1007" t="s">
        <v>619</v>
      </c>
      <c r="UYF1007">
        <v>-31500</v>
      </c>
      <c r="UYG1007" t="s">
        <v>619</v>
      </c>
      <c r="UYH1007" t="s">
        <v>619</v>
      </c>
      <c r="UYI1007" t="s">
        <v>619</v>
      </c>
      <c r="VHZ1007" t="s">
        <v>1376</v>
      </c>
      <c r="VIA1007" t="s">
        <v>619</v>
      </c>
      <c r="VIB1007">
        <v>-31500</v>
      </c>
      <c r="VIC1007" t="s">
        <v>619</v>
      </c>
      <c r="VID1007" t="s">
        <v>619</v>
      </c>
      <c r="VIE1007" t="s">
        <v>619</v>
      </c>
      <c r="VRV1007" t="s">
        <v>1376</v>
      </c>
      <c r="VRW1007" t="s">
        <v>619</v>
      </c>
      <c r="VRX1007">
        <v>-31500</v>
      </c>
      <c r="VRY1007" t="s">
        <v>619</v>
      </c>
      <c r="VRZ1007" t="s">
        <v>619</v>
      </c>
      <c r="VSA1007" t="s">
        <v>619</v>
      </c>
      <c r="WBR1007" t="s">
        <v>1376</v>
      </c>
      <c r="WBS1007" t="s">
        <v>619</v>
      </c>
      <c r="WBT1007">
        <v>-31500</v>
      </c>
      <c r="WBU1007" t="s">
        <v>619</v>
      </c>
      <c r="WBV1007" t="s">
        <v>619</v>
      </c>
      <c r="WBW1007" t="s">
        <v>619</v>
      </c>
      <c r="WLN1007" t="s">
        <v>1376</v>
      </c>
      <c r="WLO1007" t="s">
        <v>619</v>
      </c>
      <c r="WLP1007">
        <v>-31500</v>
      </c>
      <c r="WLQ1007" t="s">
        <v>619</v>
      </c>
      <c r="WLR1007" t="s">
        <v>619</v>
      </c>
      <c r="WLS1007" t="s">
        <v>619</v>
      </c>
      <c r="WVJ1007" t="s">
        <v>1376</v>
      </c>
      <c r="WVK1007" t="s">
        <v>619</v>
      </c>
      <c r="WVL1007">
        <v>-31500</v>
      </c>
      <c r="WVM1007" t="s">
        <v>619</v>
      </c>
      <c r="WVN1007" t="s">
        <v>619</v>
      </c>
      <c r="WVO1007" t="s">
        <v>619</v>
      </c>
    </row>
    <row r="1008" spans="1:775 1026:1799 2050:2823 3074:3847 4098:4871 5122:5895 6146:6919 7170:7943 8194:8967 9218:9991 10242:11015 11266:12039 12290:13063 13314:14087 14338:15111 15362:16135">
      <c r="A1008" s="96" t="s">
        <v>1377</v>
      </c>
      <c r="B1008" t="s">
        <v>804</v>
      </c>
      <c r="C1008" s="98">
        <v>0</v>
      </c>
      <c r="D1008" s="98">
        <v>0</v>
      </c>
      <c r="E1008" s="98">
        <v>0</v>
      </c>
      <c r="F1008" s="100">
        <v>-1300000</v>
      </c>
      <c r="G1008" s="100">
        <v>-1830000</v>
      </c>
      <c r="H1008" s="100"/>
      <c r="IX1008" t="s">
        <v>1377</v>
      </c>
      <c r="IY1008" t="s">
        <v>619</v>
      </c>
      <c r="IZ1008" t="s">
        <v>619</v>
      </c>
      <c r="JA1008" t="s">
        <v>619</v>
      </c>
      <c r="JB1008">
        <v>-1300000</v>
      </c>
      <c r="JC1008">
        <v>-1830000</v>
      </c>
      <c r="ST1008" t="s">
        <v>1377</v>
      </c>
      <c r="SU1008" t="s">
        <v>619</v>
      </c>
      <c r="SV1008" t="s">
        <v>619</v>
      </c>
      <c r="SW1008" t="s">
        <v>619</v>
      </c>
      <c r="SX1008">
        <v>-1300000</v>
      </c>
      <c r="SY1008">
        <v>-1830000</v>
      </c>
      <c r="ACP1008" t="s">
        <v>1377</v>
      </c>
      <c r="ACQ1008" t="s">
        <v>619</v>
      </c>
      <c r="ACR1008" t="s">
        <v>619</v>
      </c>
      <c r="ACS1008" t="s">
        <v>619</v>
      </c>
      <c r="ACT1008">
        <v>-1300000</v>
      </c>
      <c r="ACU1008">
        <v>-1830000</v>
      </c>
      <c r="AML1008" t="s">
        <v>1377</v>
      </c>
      <c r="AMM1008" t="s">
        <v>619</v>
      </c>
      <c r="AMN1008" t="s">
        <v>619</v>
      </c>
      <c r="AMO1008" t="s">
        <v>619</v>
      </c>
      <c r="AMP1008">
        <v>-1300000</v>
      </c>
      <c r="AMQ1008">
        <v>-1830000</v>
      </c>
      <c r="AWH1008" t="s">
        <v>1377</v>
      </c>
      <c r="AWI1008" t="s">
        <v>619</v>
      </c>
      <c r="AWJ1008" t="s">
        <v>619</v>
      </c>
      <c r="AWK1008" t="s">
        <v>619</v>
      </c>
      <c r="AWL1008">
        <v>-1300000</v>
      </c>
      <c r="AWM1008">
        <v>-1830000</v>
      </c>
      <c r="BGD1008" t="s">
        <v>1377</v>
      </c>
      <c r="BGE1008" t="s">
        <v>619</v>
      </c>
      <c r="BGF1008" t="s">
        <v>619</v>
      </c>
      <c r="BGG1008" t="s">
        <v>619</v>
      </c>
      <c r="BGH1008">
        <v>-1300000</v>
      </c>
      <c r="BGI1008">
        <v>-1830000</v>
      </c>
      <c r="BPZ1008" t="s">
        <v>1377</v>
      </c>
      <c r="BQA1008" t="s">
        <v>619</v>
      </c>
      <c r="BQB1008" t="s">
        <v>619</v>
      </c>
      <c r="BQC1008" t="s">
        <v>619</v>
      </c>
      <c r="BQD1008">
        <v>-1300000</v>
      </c>
      <c r="BQE1008">
        <v>-1830000</v>
      </c>
      <c r="BZV1008" t="s">
        <v>1377</v>
      </c>
      <c r="BZW1008" t="s">
        <v>619</v>
      </c>
      <c r="BZX1008" t="s">
        <v>619</v>
      </c>
      <c r="BZY1008" t="s">
        <v>619</v>
      </c>
      <c r="BZZ1008">
        <v>-1300000</v>
      </c>
      <c r="CAA1008">
        <v>-1830000</v>
      </c>
      <c r="CJR1008" t="s">
        <v>1377</v>
      </c>
      <c r="CJS1008" t="s">
        <v>619</v>
      </c>
      <c r="CJT1008" t="s">
        <v>619</v>
      </c>
      <c r="CJU1008" t="s">
        <v>619</v>
      </c>
      <c r="CJV1008">
        <v>-1300000</v>
      </c>
      <c r="CJW1008">
        <v>-1830000</v>
      </c>
      <c r="CTN1008" t="s">
        <v>1377</v>
      </c>
      <c r="CTO1008" t="s">
        <v>619</v>
      </c>
      <c r="CTP1008" t="s">
        <v>619</v>
      </c>
      <c r="CTQ1008" t="s">
        <v>619</v>
      </c>
      <c r="CTR1008">
        <v>-1300000</v>
      </c>
      <c r="CTS1008">
        <v>-1830000</v>
      </c>
      <c r="DDJ1008" t="s">
        <v>1377</v>
      </c>
      <c r="DDK1008" t="s">
        <v>619</v>
      </c>
      <c r="DDL1008" t="s">
        <v>619</v>
      </c>
      <c r="DDM1008" t="s">
        <v>619</v>
      </c>
      <c r="DDN1008">
        <v>-1300000</v>
      </c>
      <c r="DDO1008">
        <v>-1830000</v>
      </c>
      <c r="DNF1008" t="s">
        <v>1377</v>
      </c>
      <c r="DNG1008" t="s">
        <v>619</v>
      </c>
      <c r="DNH1008" t="s">
        <v>619</v>
      </c>
      <c r="DNI1008" t="s">
        <v>619</v>
      </c>
      <c r="DNJ1008">
        <v>-1300000</v>
      </c>
      <c r="DNK1008">
        <v>-1830000</v>
      </c>
      <c r="DXB1008" t="s">
        <v>1377</v>
      </c>
      <c r="DXC1008" t="s">
        <v>619</v>
      </c>
      <c r="DXD1008" t="s">
        <v>619</v>
      </c>
      <c r="DXE1008" t="s">
        <v>619</v>
      </c>
      <c r="DXF1008">
        <v>-1300000</v>
      </c>
      <c r="DXG1008">
        <v>-1830000</v>
      </c>
      <c r="EGX1008" t="s">
        <v>1377</v>
      </c>
      <c r="EGY1008" t="s">
        <v>619</v>
      </c>
      <c r="EGZ1008" t="s">
        <v>619</v>
      </c>
      <c r="EHA1008" t="s">
        <v>619</v>
      </c>
      <c r="EHB1008">
        <v>-1300000</v>
      </c>
      <c r="EHC1008">
        <v>-1830000</v>
      </c>
      <c r="EQT1008" t="s">
        <v>1377</v>
      </c>
      <c r="EQU1008" t="s">
        <v>619</v>
      </c>
      <c r="EQV1008" t="s">
        <v>619</v>
      </c>
      <c r="EQW1008" t="s">
        <v>619</v>
      </c>
      <c r="EQX1008">
        <v>-1300000</v>
      </c>
      <c r="EQY1008">
        <v>-1830000</v>
      </c>
      <c r="FAP1008" t="s">
        <v>1377</v>
      </c>
      <c r="FAQ1008" t="s">
        <v>619</v>
      </c>
      <c r="FAR1008" t="s">
        <v>619</v>
      </c>
      <c r="FAS1008" t="s">
        <v>619</v>
      </c>
      <c r="FAT1008">
        <v>-1300000</v>
      </c>
      <c r="FAU1008">
        <v>-1830000</v>
      </c>
      <c r="FKL1008" t="s">
        <v>1377</v>
      </c>
      <c r="FKM1008" t="s">
        <v>619</v>
      </c>
      <c r="FKN1008" t="s">
        <v>619</v>
      </c>
      <c r="FKO1008" t="s">
        <v>619</v>
      </c>
      <c r="FKP1008">
        <v>-1300000</v>
      </c>
      <c r="FKQ1008">
        <v>-1830000</v>
      </c>
      <c r="FUH1008" t="s">
        <v>1377</v>
      </c>
      <c r="FUI1008" t="s">
        <v>619</v>
      </c>
      <c r="FUJ1008" t="s">
        <v>619</v>
      </c>
      <c r="FUK1008" t="s">
        <v>619</v>
      </c>
      <c r="FUL1008">
        <v>-1300000</v>
      </c>
      <c r="FUM1008">
        <v>-1830000</v>
      </c>
      <c r="GED1008" t="s">
        <v>1377</v>
      </c>
      <c r="GEE1008" t="s">
        <v>619</v>
      </c>
      <c r="GEF1008" t="s">
        <v>619</v>
      </c>
      <c r="GEG1008" t="s">
        <v>619</v>
      </c>
      <c r="GEH1008">
        <v>-1300000</v>
      </c>
      <c r="GEI1008">
        <v>-1830000</v>
      </c>
      <c r="GNZ1008" t="s">
        <v>1377</v>
      </c>
      <c r="GOA1008" t="s">
        <v>619</v>
      </c>
      <c r="GOB1008" t="s">
        <v>619</v>
      </c>
      <c r="GOC1008" t="s">
        <v>619</v>
      </c>
      <c r="GOD1008">
        <v>-1300000</v>
      </c>
      <c r="GOE1008">
        <v>-1830000</v>
      </c>
      <c r="GXV1008" t="s">
        <v>1377</v>
      </c>
      <c r="GXW1008" t="s">
        <v>619</v>
      </c>
      <c r="GXX1008" t="s">
        <v>619</v>
      </c>
      <c r="GXY1008" t="s">
        <v>619</v>
      </c>
      <c r="GXZ1008">
        <v>-1300000</v>
      </c>
      <c r="GYA1008">
        <v>-1830000</v>
      </c>
      <c r="HHR1008" t="s">
        <v>1377</v>
      </c>
      <c r="HHS1008" t="s">
        <v>619</v>
      </c>
      <c r="HHT1008" t="s">
        <v>619</v>
      </c>
      <c r="HHU1008" t="s">
        <v>619</v>
      </c>
      <c r="HHV1008">
        <v>-1300000</v>
      </c>
      <c r="HHW1008">
        <v>-1830000</v>
      </c>
      <c r="HRN1008" t="s">
        <v>1377</v>
      </c>
      <c r="HRO1008" t="s">
        <v>619</v>
      </c>
      <c r="HRP1008" t="s">
        <v>619</v>
      </c>
      <c r="HRQ1008" t="s">
        <v>619</v>
      </c>
      <c r="HRR1008">
        <v>-1300000</v>
      </c>
      <c r="HRS1008">
        <v>-1830000</v>
      </c>
      <c r="IBJ1008" t="s">
        <v>1377</v>
      </c>
      <c r="IBK1008" t="s">
        <v>619</v>
      </c>
      <c r="IBL1008" t="s">
        <v>619</v>
      </c>
      <c r="IBM1008" t="s">
        <v>619</v>
      </c>
      <c r="IBN1008">
        <v>-1300000</v>
      </c>
      <c r="IBO1008">
        <v>-1830000</v>
      </c>
      <c r="ILF1008" t="s">
        <v>1377</v>
      </c>
      <c r="ILG1008" t="s">
        <v>619</v>
      </c>
      <c r="ILH1008" t="s">
        <v>619</v>
      </c>
      <c r="ILI1008" t="s">
        <v>619</v>
      </c>
      <c r="ILJ1008">
        <v>-1300000</v>
      </c>
      <c r="ILK1008">
        <v>-1830000</v>
      </c>
      <c r="IVB1008" t="s">
        <v>1377</v>
      </c>
      <c r="IVC1008" t="s">
        <v>619</v>
      </c>
      <c r="IVD1008" t="s">
        <v>619</v>
      </c>
      <c r="IVE1008" t="s">
        <v>619</v>
      </c>
      <c r="IVF1008">
        <v>-1300000</v>
      </c>
      <c r="IVG1008">
        <v>-1830000</v>
      </c>
      <c r="JEX1008" t="s">
        <v>1377</v>
      </c>
      <c r="JEY1008" t="s">
        <v>619</v>
      </c>
      <c r="JEZ1008" t="s">
        <v>619</v>
      </c>
      <c r="JFA1008" t="s">
        <v>619</v>
      </c>
      <c r="JFB1008">
        <v>-1300000</v>
      </c>
      <c r="JFC1008">
        <v>-1830000</v>
      </c>
      <c r="JOT1008" t="s">
        <v>1377</v>
      </c>
      <c r="JOU1008" t="s">
        <v>619</v>
      </c>
      <c r="JOV1008" t="s">
        <v>619</v>
      </c>
      <c r="JOW1008" t="s">
        <v>619</v>
      </c>
      <c r="JOX1008">
        <v>-1300000</v>
      </c>
      <c r="JOY1008">
        <v>-1830000</v>
      </c>
      <c r="JYP1008" t="s">
        <v>1377</v>
      </c>
      <c r="JYQ1008" t="s">
        <v>619</v>
      </c>
      <c r="JYR1008" t="s">
        <v>619</v>
      </c>
      <c r="JYS1008" t="s">
        <v>619</v>
      </c>
      <c r="JYT1008">
        <v>-1300000</v>
      </c>
      <c r="JYU1008">
        <v>-1830000</v>
      </c>
      <c r="KIL1008" t="s">
        <v>1377</v>
      </c>
      <c r="KIM1008" t="s">
        <v>619</v>
      </c>
      <c r="KIN1008" t="s">
        <v>619</v>
      </c>
      <c r="KIO1008" t="s">
        <v>619</v>
      </c>
      <c r="KIP1008">
        <v>-1300000</v>
      </c>
      <c r="KIQ1008">
        <v>-1830000</v>
      </c>
      <c r="KSH1008" t="s">
        <v>1377</v>
      </c>
      <c r="KSI1008" t="s">
        <v>619</v>
      </c>
      <c r="KSJ1008" t="s">
        <v>619</v>
      </c>
      <c r="KSK1008" t="s">
        <v>619</v>
      </c>
      <c r="KSL1008">
        <v>-1300000</v>
      </c>
      <c r="KSM1008">
        <v>-1830000</v>
      </c>
      <c r="LCD1008" t="s">
        <v>1377</v>
      </c>
      <c r="LCE1008" t="s">
        <v>619</v>
      </c>
      <c r="LCF1008" t="s">
        <v>619</v>
      </c>
      <c r="LCG1008" t="s">
        <v>619</v>
      </c>
      <c r="LCH1008">
        <v>-1300000</v>
      </c>
      <c r="LCI1008">
        <v>-1830000</v>
      </c>
      <c r="LLZ1008" t="s">
        <v>1377</v>
      </c>
      <c r="LMA1008" t="s">
        <v>619</v>
      </c>
      <c r="LMB1008" t="s">
        <v>619</v>
      </c>
      <c r="LMC1008" t="s">
        <v>619</v>
      </c>
      <c r="LMD1008">
        <v>-1300000</v>
      </c>
      <c r="LME1008">
        <v>-1830000</v>
      </c>
      <c r="LVV1008" t="s">
        <v>1377</v>
      </c>
      <c r="LVW1008" t="s">
        <v>619</v>
      </c>
      <c r="LVX1008" t="s">
        <v>619</v>
      </c>
      <c r="LVY1008" t="s">
        <v>619</v>
      </c>
      <c r="LVZ1008">
        <v>-1300000</v>
      </c>
      <c r="LWA1008">
        <v>-1830000</v>
      </c>
      <c r="MFR1008" t="s">
        <v>1377</v>
      </c>
      <c r="MFS1008" t="s">
        <v>619</v>
      </c>
      <c r="MFT1008" t="s">
        <v>619</v>
      </c>
      <c r="MFU1008" t="s">
        <v>619</v>
      </c>
      <c r="MFV1008">
        <v>-1300000</v>
      </c>
      <c r="MFW1008">
        <v>-1830000</v>
      </c>
      <c r="MPN1008" t="s">
        <v>1377</v>
      </c>
      <c r="MPO1008" t="s">
        <v>619</v>
      </c>
      <c r="MPP1008" t="s">
        <v>619</v>
      </c>
      <c r="MPQ1008" t="s">
        <v>619</v>
      </c>
      <c r="MPR1008">
        <v>-1300000</v>
      </c>
      <c r="MPS1008">
        <v>-1830000</v>
      </c>
      <c r="MZJ1008" t="s">
        <v>1377</v>
      </c>
      <c r="MZK1008" t="s">
        <v>619</v>
      </c>
      <c r="MZL1008" t="s">
        <v>619</v>
      </c>
      <c r="MZM1008" t="s">
        <v>619</v>
      </c>
      <c r="MZN1008">
        <v>-1300000</v>
      </c>
      <c r="MZO1008">
        <v>-1830000</v>
      </c>
      <c r="NJF1008" t="s">
        <v>1377</v>
      </c>
      <c r="NJG1008" t="s">
        <v>619</v>
      </c>
      <c r="NJH1008" t="s">
        <v>619</v>
      </c>
      <c r="NJI1008" t="s">
        <v>619</v>
      </c>
      <c r="NJJ1008">
        <v>-1300000</v>
      </c>
      <c r="NJK1008">
        <v>-1830000</v>
      </c>
      <c r="NTB1008" t="s">
        <v>1377</v>
      </c>
      <c r="NTC1008" t="s">
        <v>619</v>
      </c>
      <c r="NTD1008" t="s">
        <v>619</v>
      </c>
      <c r="NTE1008" t="s">
        <v>619</v>
      </c>
      <c r="NTF1008">
        <v>-1300000</v>
      </c>
      <c r="NTG1008">
        <v>-1830000</v>
      </c>
      <c r="OCX1008" t="s">
        <v>1377</v>
      </c>
      <c r="OCY1008" t="s">
        <v>619</v>
      </c>
      <c r="OCZ1008" t="s">
        <v>619</v>
      </c>
      <c r="ODA1008" t="s">
        <v>619</v>
      </c>
      <c r="ODB1008">
        <v>-1300000</v>
      </c>
      <c r="ODC1008">
        <v>-1830000</v>
      </c>
      <c r="OMT1008" t="s">
        <v>1377</v>
      </c>
      <c r="OMU1008" t="s">
        <v>619</v>
      </c>
      <c r="OMV1008" t="s">
        <v>619</v>
      </c>
      <c r="OMW1008" t="s">
        <v>619</v>
      </c>
      <c r="OMX1008">
        <v>-1300000</v>
      </c>
      <c r="OMY1008">
        <v>-1830000</v>
      </c>
      <c r="OWP1008" t="s">
        <v>1377</v>
      </c>
      <c r="OWQ1008" t="s">
        <v>619</v>
      </c>
      <c r="OWR1008" t="s">
        <v>619</v>
      </c>
      <c r="OWS1008" t="s">
        <v>619</v>
      </c>
      <c r="OWT1008">
        <v>-1300000</v>
      </c>
      <c r="OWU1008">
        <v>-1830000</v>
      </c>
      <c r="PGL1008" t="s">
        <v>1377</v>
      </c>
      <c r="PGM1008" t="s">
        <v>619</v>
      </c>
      <c r="PGN1008" t="s">
        <v>619</v>
      </c>
      <c r="PGO1008" t="s">
        <v>619</v>
      </c>
      <c r="PGP1008">
        <v>-1300000</v>
      </c>
      <c r="PGQ1008">
        <v>-1830000</v>
      </c>
      <c r="PQH1008" t="s">
        <v>1377</v>
      </c>
      <c r="PQI1008" t="s">
        <v>619</v>
      </c>
      <c r="PQJ1008" t="s">
        <v>619</v>
      </c>
      <c r="PQK1008" t="s">
        <v>619</v>
      </c>
      <c r="PQL1008">
        <v>-1300000</v>
      </c>
      <c r="PQM1008">
        <v>-1830000</v>
      </c>
      <c r="QAD1008" t="s">
        <v>1377</v>
      </c>
      <c r="QAE1008" t="s">
        <v>619</v>
      </c>
      <c r="QAF1008" t="s">
        <v>619</v>
      </c>
      <c r="QAG1008" t="s">
        <v>619</v>
      </c>
      <c r="QAH1008">
        <v>-1300000</v>
      </c>
      <c r="QAI1008">
        <v>-1830000</v>
      </c>
      <c r="QJZ1008" t="s">
        <v>1377</v>
      </c>
      <c r="QKA1008" t="s">
        <v>619</v>
      </c>
      <c r="QKB1008" t="s">
        <v>619</v>
      </c>
      <c r="QKC1008" t="s">
        <v>619</v>
      </c>
      <c r="QKD1008">
        <v>-1300000</v>
      </c>
      <c r="QKE1008">
        <v>-1830000</v>
      </c>
      <c r="QTV1008" t="s">
        <v>1377</v>
      </c>
      <c r="QTW1008" t="s">
        <v>619</v>
      </c>
      <c r="QTX1008" t="s">
        <v>619</v>
      </c>
      <c r="QTY1008" t="s">
        <v>619</v>
      </c>
      <c r="QTZ1008">
        <v>-1300000</v>
      </c>
      <c r="QUA1008">
        <v>-1830000</v>
      </c>
      <c r="RDR1008" t="s">
        <v>1377</v>
      </c>
      <c r="RDS1008" t="s">
        <v>619</v>
      </c>
      <c r="RDT1008" t="s">
        <v>619</v>
      </c>
      <c r="RDU1008" t="s">
        <v>619</v>
      </c>
      <c r="RDV1008">
        <v>-1300000</v>
      </c>
      <c r="RDW1008">
        <v>-1830000</v>
      </c>
      <c r="RNN1008" t="s">
        <v>1377</v>
      </c>
      <c r="RNO1008" t="s">
        <v>619</v>
      </c>
      <c r="RNP1008" t="s">
        <v>619</v>
      </c>
      <c r="RNQ1008" t="s">
        <v>619</v>
      </c>
      <c r="RNR1008">
        <v>-1300000</v>
      </c>
      <c r="RNS1008">
        <v>-1830000</v>
      </c>
      <c r="RXJ1008" t="s">
        <v>1377</v>
      </c>
      <c r="RXK1008" t="s">
        <v>619</v>
      </c>
      <c r="RXL1008" t="s">
        <v>619</v>
      </c>
      <c r="RXM1008" t="s">
        <v>619</v>
      </c>
      <c r="RXN1008">
        <v>-1300000</v>
      </c>
      <c r="RXO1008">
        <v>-1830000</v>
      </c>
      <c r="SHF1008" t="s">
        <v>1377</v>
      </c>
      <c r="SHG1008" t="s">
        <v>619</v>
      </c>
      <c r="SHH1008" t="s">
        <v>619</v>
      </c>
      <c r="SHI1008" t="s">
        <v>619</v>
      </c>
      <c r="SHJ1008">
        <v>-1300000</v>
      </c>
      <c r="SHK1008">
        <v>-1830000</v>
      </c>
      <c r="SRB1008" t="s">
        <v>1377</v>
      </c>
      <c r="SRC1008" t="s">
        <v>619</v>
      </c>
      <c r="SRD1008" t="s">
        <v>619</v>
      </c>
      <c r="SRE1008" t="s">
        <v>619</v>
      </c>
      <c r="SRF1008">
        <v>-1300000</v>
      </c>
      <c r="SRG1008">
        <v>-1830000</v>
      </c>
      <c r="TAX1008" t="s">
        <v>1377</v>
      </c>
      <c r="TAY1008" t="s">
        <v>619</v>
      </c>
      <c r="TAZ1008" t="s">
        <v>619</v>
      </c>
      <c r="TBA1008" t="s">
        <v>619</v>
      </c>
      <c r="TBB1008">
        <v>-1300000</v>
      </c>
      <c r="TBC1008">
        <v>-1830000</v>
      </c>
      <c r="TKT1008" t="s">
        <v>1377</v>
      </c>
      <c r="TKU1008" t="s">
        <v>619</v>
      </c>
      <c r="TKV1008" t="s">
        <v>619</v>
      </c>
      <c r="TKW1008" t="s">
        <v>619</v>
      </c>
      <c r="TKX1008">
        <v>-1300000</v>
      </c>
      <c r="TKY1008">
        <v>-1830000</v>
      </c>
      <c r="TUP1008" t="s">
        <v>1377</v>
      </c>
      <c r="TUQ1008" t="s">
        <v>619</v>
      </c>
      <c r="TUR1008" t="s">
        <v>619</v>
      </c>
      <c r="TUS1008" t="s">
        <v>619</v>
      </c>
      <c r="TUT1008">
        <v>-1300000</v>
      </c>
      <c r="TUU1008">
        <v>-1830000</v>
      </c>
      <c r="UEL1008" t="s">
        <v>1377</v>
      </c>
      <c r="UEM1008" t="s">
        <v>619</v>
      </c>
      <c r="UEN1008" t="s">
        <v>619</v>
      </c>
      <c r="UEO1008" t="s">
        <v>619</v>
      </c>
      <c r="UEP1008">
        <v>-1300000</v>
      </c>
      <c r="UEQ1008">
        <v>-1830000</v>
      </c>
      <c r="UOH1008" t="s">
        <v>1377</v>
      </c>
      <c r="UOI1008" t="s">
        <v>619</v>
      </c>
      <c r="UOJ1008" t="s">
        <v>619</v>
      </c>
      <c r="UOK1008" t="s">
        <v>619</v>
      </c>
      <c r="UOL1008">
        <v>-1300000</v>
      </c>
      <c r="UOM1008">
        <v>-1830000</v>
      </c>
      <c r="UYD1008" t="s">
        <v>1377</v>
      </c>
      <c r="UYE1008" t="s">
        <v>619</v>
      </c>
      <c r="UYF1008" t="s">
        <v>619</v>
      </c>
      <c r="UYG1008" t="s">
        <v>619</v>
      </c>
      <c r="UYH1008">
        <v>-1300000</v>
      </c>
      <c r="UYI1008">
        <v>-1830000</v>
      </c>
      <c r="VHZ1008" t="s">
        <v>1377</v>
      </c>
      <c r="VIA1008" t="s">
        <v>619</v>
      </c>
      <c r="VIB1008" t="s">
        <v>619</v>
      </c>
      <c r="VIC1008" t="s">
        <v>619</v>
      </c>
      <c r="VID1008">
        <v>-1300000</v>
      </c>
      <c r="VIE1008">
        <v>-1830000</v>
      </c>
      <c r="VRV1008" t="s">
        <v>1377</v>
      </c>
      <c r="VRW1008" t="s">
        <v>619</v>
      </c>
      <c r="VRX1008" t="s">
        <v>619</v>
      </c>
      <c r="VRY1008" t="s">
        <v>619</v>
      </c>
      <c r="VRZ1008">
        <v>-1300000</v>
      </c>
      <c r="VSA1008">
        <v>-1830000</v>
      </c>
      <c r="WBR1008" t="s">
        <v>1377</v>
      </c>
      <c r="WBS1008" t="s">
        <v>619</v>
      </c>
      <c r="WBT1008" t="s">
        <v>619</v>
      </c>
      <c r="WBU1008" t="s">
        <v>619</v>
      </c>
      <c r="WBV1008">
        <v>-1300000</v>
      </c>
      <c r="WBW1008">
        <v>-1830000</v>
      </c>
      <c r="WLN1008" t="s">
        <v>1377</v>
      </c>
      <c r="WLO1008" t="s">
        <v>619</v>
      </c>
      <c r="WLP1008" t="s">
        <v>619</v>
      </c>
      <c r="WLQ1008" t="s">
        <v>619</v>
      </c>
      <c r="WLR1008">
        <v>-1300000</v>
      </c>
      <c r="WLS1008">
        <v>-1830000</v>
      </c>
      <c r="WVJ1008" t="s">
        <v>1377</v>
      </c>
      <c r="WVK1008" t="s">
        <v>619</v>
      </c>
      <c r="WVL1008" t="s">
        <v>619</v>
      </c>
      <c r="WVM1008" t="s">
        <v>619</v>
      </c>
      <c r="WVN1008">
        <v>-1300000</v>
      </c>
      <c r="WVO1008">
        <v>-1830000</v>
      </c>
    </row>
    <row r="1009" spans="1:775 1026:1799 2050:2823 3074:3847 4098:4871 5122:5895 6146:6919 7170:7943 8194:8967 9218:9991 10242:11015 11266:12039 12290:13063 13314:14087 14338:15111 15362:16135" s="1302" customFormat="1">
      <c r="A1009" s="1796" t="s">
        <v>1378</v>
      </c>
      <c r="B1009" s="1302" t="s">
        <v>807</v>
      </c>
      <c r="C1009" s="1797">
        <v>0</v>
      </c>
      <c r="D1009" s="1797">
        <v>0</v>
      </c>
      <c r="E1009" s="1797">
        <v>0</v>
      </c>
      <c r="F1009" s="1797">
        <v>0</v>
      </c>
      <c r="G1009" s="1798">
        <v>270000</v>
      </c>
      <c r="H1009" s="1798"/>
      <c r="IX1009" s="1302" t="s">
        <v>1378</v>
      </c>
      <c r="IY1009" s="1302" t="s">
        <v>619</v>
      </c>
      <c r="IZ1009" s="1302" t="s">
        <v>619</v>
      </c>
      <c r="JA1009" s="1302" t="s">
        <v>619</v>
      </c>
      <c r="JB1009" s="1302" t="s">
        <v>619</v>
      </c>
      <c r="JC1009" s="1302">
        <v>270000</v>
      </c>
      <c r="ST1009" s="1302" t="s">
        <v>1378</v>
      </c>
      <c r="SU1009" s="1302" t="s">
        <v>619</v>
      </c>
      <c r="SV1009" s="1302" t="s">
        <v>619</v>
      </c>
      <c r="SW1009" s="1302" t="s">
        <v>619</v>
      </c>
      <c r="SX1009" s="1302" t="s">
        <v>619</v>
      </c>
      <c r="SY1009" s="1302">
        <v>270000</v>
      </c>
      <c r="ACP1009" s="1302" t="s">
        <v>1378</v>
      </c>
      <c r="ACQ1009" s="1302" t="s">
        <v>619</v>
      </c>
      <c r="ACR1009" s="1302" t="s">
        <v>619</v>
      </c>
      <c r="ACS1009" s="1302" t="s">
        <v>619</v>
      </c>
      <c r="ACT1009" s="1302" t="s">
        <v>619</v>
      </c>
      <c r="ACU1009" s="1302">
        <v>270000</v>
      </c>
      <c r="AML1009" s="1302" t="s">
        <v>1378</v>
      </c>
      <c r="AMM1009" s="1302" t="s">
        <v>619</v>
      </c>
      <c r="AMN1009" s="1302" t="s">
        <v>619</v>
      </c>
      <c r="AMO1009" s="1302" t="s">
        <v>619</v>
      </c>
      <c r="AMP1009" s="1302" t="s">
        <v>619</v>
      </c>
      <c r="AMQ1009" s="1302">
        <v>270000</v>
      </c>
      <c r="AWH1009" s="1302" t="s">
        <v>1378</v>
      </c>
      <c r="AWI1009" s="1302" t="s">
        <v>619</v>
      </c>
      <c r="AWJ1009" s="1302" t="s">
        <v>619</v>
      </c>
      <c r="AWK1009" s="1302" t="s">
        <v>619</v>
      </c>
      <c r="AWL1009" s="1302" t="s">
        <v>619</v>
      </c>
      <c r="AWM1009" s="1302">
        <v>270000</v>
      </c>
      <c r="BGD1009" s="1302" t="s">
        <v>1378</v>
      </c>
      <c r="BGE1009" s="1302" t="s">
        <v>619</v>
      </c>
      <c r="BGF1009" s="1302" t="s">
        <v>619</v>
      </c>
      <c r="BGG1009" s="1302" t="s">
        <v>619</v>
      </c>
      <c r="BGH1009" s="1302" t="s">
        <v>619</v>
      </c>
      <c r="BGI1009" s="1302">
        <v>270000</v>
      </c>
      <c r="BPZ1009" s="1302" t="s">
        <v>1378</v>
      </c>
      <c r="BQA1009" s="1302" t="s">
        <v>619</v>
      </c>
      <c r="BQB1009" s="1302" t="s">
        <v>619</v>
      </c>
      <c r="BQC1009" s="1302" t="s">
        <v>619</v>
      </c>
      <c r="BQD1009" s="1302" t="s">
        <v>619</v>
      </c>
      <c r="BQE1009" s="1302">
        <v>270000</v>
      </c>
      <c r="BZV1009" s="1302" t="s">
        <v>1378</v>
      </c>
      <c r="BZW1009" s="1302" t="s">
        <v>619</v>
      </c>
      <c r="BZX1009" s="1302" t="s">
        <v>619</v>
      </c>
      <c r="BZY1009" s="1302" t="s">
        <v>619</v>
      </c>
      <c r="BZZ1009" s="1302" t="s">
        <v>619</v>
      </c>
      <c r="CAA1009" s="1302">
        <v>270000</v>
      </c>
      <c r="CJR1009" s="1302" t="s">
        <v>1378</v>
      </c>
      <c r="CJS1009" s="1302" t="s">
        <v>619</v>
      </c>
      <c r="CJT1009" s="1302" t="s">
        <v>619</v>
      </c>
      <c r="CJU1009" s="1302" t="s">
        <v>619</v>
      </c>
      <c r="CJV1009" s="1302" t="s">
        <v>619</v>
      </c>
      <c r="CJW1009" s="1302">
        <v>270000</v>
      </c>
      <c r="CTN1009" s="1302" t="s">
        <v>1378</v>
      </c>
      <c r="CTO1009" s="1302" t="s">
        <v>619</v>
      </c>
      <c r="CTP1009" s="1302" t="s">
        <v>619</v>
      </c>
      <c r="CTQ1009" s="1302" t="s">
        <v>619</v>
      </c>
      <c r="CTR1009" s="1302" t="s">
        <v>619</v>
      </c>
      <c r="CTS1009" s="1302">
        <v>270000</v>
      </c>
      <c r="DDJ1009" s="1302" t="s">
        <v>1378</v>
      </c>
      <c r="DDK1009" s="1302" t="s">
        <v>619</v>
      </c>
      <c r="DDL1009" s="1302" t="s">
        <v>619</v>
      </c>
      <c r="DDM1009" s="1302" t="s">
        <v>619</v>
      </c>
      <c r="DDN1009" s="1302" t="s">
        <v>619</v>
      </c>
      <c r="DDO1009" s="1302">
        <v>270000</v>
      </c>
      <c r="DNF1009" s="1302" t="s">
        <v>1378</v>
      </c>
      <c r="DNG1009" s="1302" t="s">
        <v>619</v>
      </c>
      <c r="DNH1009" s="1302" t="s">
        <v>619</v>
      </c>
      <c r="DNI1009" s="1302" t="s">
        <v>619</v>
      </c>
      <c r="DNJ1009" s="1302" t="s">
        <v>619</v>
      </c>
      <c r="DNK1009" s="1302">
        <v>270000</v>
      </c>
      <c r="DXB1009" s="1302" t="s">
        <v>1378</v>
      </c>
      <c r="DXC1009" s="1302" t="s">
        <v>619</v>
      </c>
      <c r="DXD1009" s="1302" t="s">
        <v>619</v>
      </c>
      <c r="DXE1009" s="1302" t="s">
        <v>619</v>
      </c>
      <c r="DXF1009" s="1302" t="s">
        <v>619</v>
      </c>
      <c r="DXG1009" s="1302">
        <v>270000</v>
      </c>
      <c r="EGX1009" s="1302" t="s">
        <v>1378</v>
      </c>
      <c r="EGY1009" s="1302" t="s">
        <v>619</v>
      </c>
      <c r="EGZ1009" s="1302" t="s">
        <v>619</v>
      </c>
      <c r="EHA1009" s="1302" t="s">
        <v>619</v>
      </c>
      <c r="EHB1009" s="1302" t="s">
        <v>619</v>
      </c>
      <c r="EHC1009" s="1302">
        <v>270000</v>
      </c>
      <c r="EQT1009" s="1302" t="s">
        <v>1378</v>
      </c>
      <c r="EQU1009" s="1302" t="s">
        <v>619</v>
      </c>
      <c r="EQV1009" s="1302" t="s">
        <v>619</v>
      </c>
      <c r="EQW1009" s="1302" t="s">
        <v>619</v>
      </c>
      <c r="EQX1009" s="1302" t="s">
        <v>619</v>
      </c>
      <c r="EQY1009" s="1302">
        <v>270000</v>
      </c>
      <c r="FAP1009" s="1302" t="s">
        <v>1378</v>
      </c>
      <c r="FAQ1009" s="1302" t="s">
        <v>619</v>
      </c>
      <c r="FAR1009" s="1302" t="s">
        <v>619</v>
      </c>
      <c r="FAS1009" s="1302" t="s">
        <v>619</v>
      </c>
      <c r="FAT1009" s="1302" t="s">
        <v>619</v>
      </c>
      <c r="FAU1009" s="1302">
        <v>270000</v>
      </c>
      <c r="FKL1009" s="1302" t="s">
        <v>1378</v>
      </c>
      <c r="FKM1009" s="1302" t="s">
        <v>619</v>
      </c>
      <c r="FKN1009" s="1302" t="s">
        <v>619</v>
      </c>
      <c r="FKO1009" s="1302" t="s">
        <v>619</v>
      </c>
      <c r="FKP1009" s="1302" t="s">
        <v>619</v>
      </c>
      <c r="FKQ1009" s="1302">
        <v>270000</v>
      </c>
      <c r="FUH1009" s="1302" t="s">
        <v>1378</v>
      </c>
      <c r="FUI1009" s="1302" t="s">
        <v>619</v>
      </c>
      <c r="FUJ1009" s="1302" t="s">
        <v>619</v>
      </c>
      <c r="FUK1009" s="1302" t="s">
        <v>619</v>
      </c>
      <c r="FUL1009" s="1302" t="s">
        <v>619</v>
      </c>
      <c r="FUM1009" s="1302">
        <v>270000</v>
      </c>
      <c r="GED1009" s="1302" t="s">
        <v>1378</v>
      </c>
      <c r="GEE1009" s="1302" t="s">
        <v>619</v>
      </c>
      <c r="GEF1009" s="1302" t="s">
        <v>619</v>
      </c>
      <c r="GEG1009" s="1302" t="s">
        <v>619</v>
      </c>
      <c r="GEH1009" s="1302" t="s">
        <v>619</v>
      </c>
      <c r="GEI1009" s="1302">
        <v>270000</v>
      </c>
      <c r="GNZ1009" s="1302" t="s">
        <v>1378</v>
      </c>
      <c r="GOA1009" s="1302" t="s">
        <v>619</v>
      </c>
      <c r="GOB1009" s="1302" t="s">
        <v>619</v>
      </c>
      <c r="GOC1009" s="1302" t="s">
        <v>619</v>
      </c>
      <c r="GOD1009" s="1302" t="s">
        <v>619</v>
      </c>
      <c r="GOE1009" s="1302">
        <v>270000</v>
      </c>
      <c r="GXV1009" s="1302" t="s">
        <v>1378</v>
      </c>
      <c r="GXW1009" s="1302" t="s">
        <v>619</v>
      </c>
      <c r="GXX1009" s="1302" t="s">
        <v>619</v>
      </c>
      <c r="GXY1009" s="1302" t="s">
        <v>619</v>
      </c>
      <c r="GXZ1009" s="1302" t="s">
        <v>619</v>
      </c>
      <c r="GYA1009" s="1302">
        <v>270000</v>
      </c>
      <c r="HHR1009" s="1302" t="s">
        <v>1378</v>
      </c>
      <c r="HHS1009" s="1302" t="s">
        <v>619</v>
      </c>
      <c r="HHT1009" s="1302" t="s">
        <v>619</v>
      </c>
      <c r="HHU1009" s="1302" t="s">
        <v>619</v>
      </c>
      <c r="HHV1009" s="1302" t="s">
        <v>619</v>
      </c>
      <c r="HHW1009" s="1302">
        <v>270000</v>
      </c>
      <c r="HRN1009" s="1302" t="s">
        <v>1378</v>
      </c>
      <c r="HRO1009" s="1302" t="s">
        <v>619</v>
      </c>
      <c r="HRP1009" s="1302" t="s">
        <v>619</v>
      </c>
      <c r="HRQ1009" s="1302" t="s">
        <v>619</v>
      </c>
      <c r="HRR1009" s="1302" t="s">
        <v>619</v>
      </c>
      <c r="HRS1009" s="1302">
        <v>270000</v>
      </c>
      <c r="IBJ1009" s="1302" t="s">
        <v>1378</v>
      </c>
      <c r="IBK1009" s="1302" t="s">
        <v>619</v>
      </c>
      <c r="IBL1009" s="1302" t="s">
        <v>619</v>
      </c>
      <c r="IBM1009" s="1302" t="s">
        <v>619</v>
      </c>
      <c r="IBN1009" s="1302" t="s">
        <v>619</v>
      </c>
      <c r="IBO1009" s="1302">
        <v>270000</v>
      </c>
      <c r="ILF1009" s="1302" t="s">
        <v>1378</v>
      </c>
      <c r="ILG1009" s="1302" t="s">
        <v>619</v>
      </c>
      <c r="ILH1009" s="1302" t="s">
        <v>619</v>
      </c>
      <c r="ILI1009" s="1302" t="s">
        <v>619</v>
      </c>
      <c r="ILJ1009" s="1302" t="s">
        <v>619</v>
      </c>
      <c r="ILK1009" s="1302">
        <v>270000</v>
      </c>
      <c r="IVB1009" s="1302" t="s">
        <v>1378</v>
      </c>
      <c r="IVC1009" s="1302" t="s">
        <v>619</v>
      </c>
      <c r="IVD1009" s="1302" t="s">
        <v>619</v>
      </c>
      <c r="IVE1009" s="1302" t="s">
        <v>619</v>
      </c>
      <c r="IVF1009" s="1302" t="s">
        <v>619</v>
      </c>
      <c r="IVG1009" s="1302">
        <v>270000</v>
      </c>
      <c r="JEX1009" s="1302" t="s">
        <v>1378</v>
      </c>
      <c r="JEY1009" s="1302" t="s">
        <v>619</v>
      </c>
      <c r="JEZ1009" s="1302" t="s">
        <v>619</v>
      </c>
      <c r="JFA1009" s="1302" t="s">
        <v>619</v>
      </c>
      <c r="JFB1009" s="1302" t="s">
        <v>619</v>
      </c>
      <c r="JFC1009" s="1302">
        <v>270000</v>
      </c>
      <c r="JOT1009" s="1302" t="s">
        <v>1378</v>
      </c>
      <c r="JOU1009" s="1302" t="s">
        <v>619</v>
      </c>
      <c r="JOV1009" s="1302" t="s">
        <v>619</v>
      </c>
      <c r="JOW1009" s="1302" t="s">
        <v>619</v>
      </c>
      <c r="JOX1009" s="1302" t="s">
        <v>619</v>
      </c>
      <c r="JOY1009" s="1302">
        <v>270000</v>
      </c>
      <c r="JYP1009" s="1302" t="s">
        <v>1378</v>
      </c>
      <c r="JYQ1009" s="1302" t="s">
        <v>619</v>
      </c>
      <c r="JYR1009" s="1302" t="s">
        <v>619</v>
      </c>
      <c r="JYS1009" s="1302" t="s">
        <v>619</v>
      </c>
      <c r="JYT1009" s="1302" t="s">
        <v>619</v>
      </c>
      <c r="JYU1009" s="1302">
        <v>270000</v>
      </c>
      <c r="KIL1009" s="1302" t="s">
        <v>1378</v>
      </c>
      <c r="KIM1009" s="1302" t="s">
        <v>619</v>
      </c>
      <c r="KIN1009" s="1302" t="s">
        <v>619</v>
      </c>
      <c r="KIO1009" s="1302" t="s">
        <v>619</v>
      </c>
      <c r="KIP1009" s="1302" t="s">
        <v>619</v>
      </c>
      <c r="KIQ1009" s="1302">
        <v>270000</v>
      </c>
      <c r="KSH1009" s="1302" t="s">
        <v>1378</v>
      </c>
      <c r="KSI1009" s="1302" t="s">
        <v>619</v>
      </c>
      <c r="KSJ1009" s="1302" t="s">
        <v>619</v>
      </c>
      <c r="KSK1009" s="1302" t="s">
        <v>619</v>
      </c>
      <c r="KSL1009" s="1302" t="s">
        <v>619</v>
      </c>
      <c r="KSM1009" s="1302">
        <v>270000</v>
      </c>
      <c r="LCD1009" s="1302" t="s">
        <v>1378</v>
      </c>
      <c r="LCE1009" s="1302" t="s">
        <v>619</v>
      </c>
      <c r="LCF1009" s="1302" t="s">
        <v>619</v>
      </c>
      <c r="LCG1009" s="1302" t="s">
        <v>619</v>
      </c>
      <c r="LCH1009" s="1302" t="s">
        <v>619</v>
      </c>
      <c r="LCI1009" s="1302">
        <v>270000</v>
      </c>
      <c r="LLZ1009" s="1302" t="s">
        <v>1378</v>
      </c>
      <c r="LMA1009" s="1302" t="s">
        <v>619</v>
      </c>
      <c r="LMB1009" s="1302" t="s">
        <v>619</v>
      </c>
      <c r="LMC1009" s="1302" t="s">
        <v>619</v>
      </c>
      <c r="LMD1009" s="1302" t="s">
        <v>619</v>
      </c>
      <c r="LME1009" s="1302">
        <v>270000</v>
      </c>
      <c r="LVV1009" s="1302" t="s">
        <v>1378</v>
      </c>
      <c r="LVW1009" s="1302" t="s">
        <v>619</v>
      </c>
      <c r="LVX1009" s="1302" t="s">
        <v>619</v>
      </c>
      <c r="LVY1009" s="1302" t="s">
        <v>619</v>
      </c>
      <c r="LVZ1009" s="1302" t="s">
        <v>619</v>
      </c>
      <c r="LWA1009" s="1302">
        <v>270000</v>
      </c>
      <c r="MFR1009" s="1302" t="s">
        <v>1378</v>
      </c>
      <c r="MFS1009" s="1302" t="s">
        <v>619</v>
      </c>
      <c r="MFT1009" s="1302" t="s">
        <v>619</v>
      </c>
      <c r="MFU1009" s="1302" t="s">
        <v>619</v>
      </c>
      <c r="MFV1009" s="1302" t="s">
        <v>619</v>
      </c>
      <c r="MFW1009" s="1302">
        <v>270000</v>
      </c>
      <c r="MPN1009" s="1302" t="s">
        <v>1378</v>
      </c>
      <c r="MPO1009" s="1302" t="s">
        <v>619</v>
      </c>
      <c r="MPP1009" s="1302" t="s">
        <v>619</v>
      </c>
      <c r="MPQ1009" s="1302" t="s">
        <v>619</v>
      </c>
      <c r="MPR1009" s="1302" t="s">
        <v>619</v>
      </c>
      <c r="MPS1009" s="1302">
        <v>270000</v>
      </c>
      <c r="MZJ1009" s="1302" t="s">
        <v>1378</v>
      </c>
      <c r="MZK1009" s="1302" t="s">
        <v>619</v>
      </c>
      <c r="MZL1009" s="1302" t="s">
        <v>619</v>
      </c>
      <c r="MZM1009" s="1302" t="s">
        <v>619</v>
      </c>
      <c r="MZN1009" s="1302" t="s">
        <v>619</v>
      </c>
      <c r="MZO1009" s="1302">
        <v>270000</v>
      </c>
      <c r="NJF1009" s="1302" t="s">
        <v>1378</v>
      </c>
      <c r="NJG1009" s="1302" t="s">
        <v>619</v>
      </c>
      <c r="NJH1009" s="1302" t="s">
        <v>619</v>
      </c>
      <c r="NJI1009" s="1302" t="s">
        <v>619</v>
      </c>
      <c r="NJJ1009" s="1302" t="s">
        <v>619</v>
      </c>
      <c r="NJK1009" s="1302">
        <v>270000</v>
      </c>
      <c r="NTB1009" s="1302" t="s">
        <v>1378</v>
      </c>
      <c r="NTC1009" s="1302" t="s">
        <v>619</v>
      </c>
      <c r="NTD1009" s="1302" t="s">
        <v>619</v>
      </c>
      <c r="NTE1009" s="1302" t="s">
        <v>619</v>
      </c>
      <c r="NTF1009" s="1302" t="s">
        <v>619</v>
      </c>
      <c r="NTG1009" s="1302">
        <v>270000</v>
      </c>
      <c r="OCX1009" s="1302" t="s">
        <v>1378</v>
      </c>
      <c r="OCY1009" s="1302" t="s">
        <v>619</v>
      </c>
      <c r="OCZ1009" s="1302" t="s">
        <v>619</v>
      </c>
      <c r="ODA1009" s="1302" t="s">
        <v>619</v>
      </c>
      <c r="ODB1009" s="1302" t="s">
        <v>619</v>
      </c>
      <c r="ODC1009" s="1302">
        <v>270000</v>
      </c>
      <c r="OMT1009" s="1302" t="s">
        <v>1378</v>
      </c>
      <c r="OMU1009" s="1302" t="s">
        <v>619</v>
      </c>
      <c r="OMV1009" s="1302" t="s">
        <v>619</v>
      </c>
      <c r="OMW1009" s="1302" t="s">
        <v>619</v>
      </c>
      <c r="OMX1009" s="1302" t="s">
        <v>619</v>
      </c>
      <c r="OMY1009" s="1302">
        <v>270000</v>
      </c>
      <c r="OWP1009" s="1302" t="s">
        <v>1378</v>
      </c>
      <c r="OWQ1009" s="1302" t="s">
        <v>619</v>
      </c>
      <c r="OWR1009" s="1302" t="s">
        <v>619</v>
      </c>
      <c r="OWS1009" s="1302" t="s">
        <v>619</v>
      </c>
      <c r="OWT1009" s="1302" t="s">
        <v>619</v>
      </c>
      <c r="OWU1009" s="1302">
        <v>270000</v>
      </c>
      <c r="PGL1009" s="1302" t="s">
        <v>1378</v>
      </c>
      <c r="PGM1009" s="1302" t="s">
        <v>619</v>
      </c>
      <c r="PGN1009" s="1302" t="s">
        <v>619</v>
      </c>
      <c r="PGO1009" s="1302" t="s">
        <v>619</v>
      </c>
      <c r="PGP1009" s="1302" t="s">
        <v>619</v>
      </c>
      <c r="PGQ1009" s="1302">
        <v>270000</v>
      </c>
      <c r="PQH1009" s="1302" t="s">
        <v>1378</v>
      </c>
      <c r="PQI1009" s="1302" t="s">
        <v>619</v>
      </c>
      <c r="PQJ1009" s="1302" t="s">
        <v>619</v>
      </c>
      <c r="PQK1009" s="1302" t="s">
        <v>619</v>
      </c>
      <c r="PQL1009" s="1302" t="s">
        <v>619</v>
      </c>
      <c r="PQM1009" s="1302">
        <v>270000</v>
      </c>
      <c r="QAD1009" s="1302" t="s">
        <v>1378</v>
      </c>
      <c r="QAE1009" s="1302" t="s">
        <v>619</v>
      </c>
      <c r="QAF1009" s="1302" t="s">
        <v>619</v>
      </c>
      <c r="QAG1009" s="1302" t="s">
        <v>619</v>
      </c>
      <c r="QAH1009" s="1302" t="s">
        <v>619</v>
      </c>
      <c r="QAI1009" s="1302">
        <v>270000</v>
      </c>
      <c r="QJZ1009" s="1302" t="s">
        <v>1378</v>
      </c>
      <c r="QKA1009" s="1302" t="s">
        <v>619</v>
      </c>
      <c r="QKB1009" s="1302" t="s">
        <v>619</v>
      </c>
      <c r="QKC1009" s="1302" t="s">
        <v>619</v>
      </c>
      <c r="QKD1009" s="1302" t="s">
        <v>619</v>
      </c>
      <c r="QKE1009" s="1302">
        <v>270000</v>
      </c>
      <c r="QTV1009" s="1302" t="s">
        <v>1378</v>
      </c>
      <c r="QTW1009" s="1302" t="s">
        <v>619</v>
      </c>
      <c r="QTX1009" s="1302" t="s">
        <v>619</v>
      </c>
      <c r="QTY1009" s="1302" t="s">
        <v>619</v>
      </c>
      <c r="QTZ1009" s="1302" t="s">
        <v>619</v>
      </c>
      <c r="QUA1009" s="1302">
        <v>270000</v>
      </c>
      <c r="RDR1009" s="1302" t="s">
        <v>1378</v>
      </c>
      <c r="RDS1009" s="1302" t="s">
        <v>619</v>
      </c>
      <c r="RDT1009" s="1302" t="s">
        <v>619</v>
      </c>
      <c r="RDU1009" s="1302" t="s">
        <v>619</v>
      </c>
      <c r="RDV1009" s="1302" t="s">
        <v>619</v>
      </c>
      <c r="RDW1009" s="1302">
        <v>270000</v>
      </c>
      <c r="RNN1009" s="1302" t="s">
        <v>1378</v>
      </c>
      <c r="RNO1009" s="1302" t="s">
        <v>619</v>
      </c>
      <c r="RNP1009" s="1302" t="s">
        <v>619</v>
      </c>
      <c r="RNQ1009" s="1302" t="s">
        <v>619</v>
      </c>
      <c r="RNR1009" s="1302" t="s">
        <v>619</v>
      </c>
      <c r="RNS1009" s="1302">
        <v>270000</v>
      </c>
      <c r="RXJ1009" s="1302" t="s">
        <v>1378</v>
      </c>
      <c r="RXK1009" s="1302" t="s">
        <v>619</v>
      </c>
      <c r="RXL1009" s="1302" t="s">
        <v>619</v>
      </c>
      <c r="RXM1009" s="1302" t="s">
        <v>619</v>
      </c>
      <c r="RXN1009" s="1302" t="s">
        <v>619</v>
      </c>
      <c r="RXO1009" s="1302">
        <v>270000</v>
      </c>
      <c r="SHF1009" s="1302" t="s">
        <v>1378</v>
      </c>
      <c r="SHG1009" s="1302" t="s">
        <v>619</v>
      </c>
      <c r="SHH1009" s="1302" t="s">
        <v>619</v>
      </c>
      <c r="SHI1009" s="1302" t="s">
        <v>619</v>
      </c>
      <c r="SHJ1009" s="1302" t="s">
        <v>619</v>
      </c>
      <c r="SHK1009" s="1302">
        <v>270000</v>
      </c>
      <c r="SRB1009" s="1302" t="s">
        <v>1378</v>
      </c>
      <c r="SRC1009" s="1302" t="s">
        <v>619</v>
      </c>
      <c r="SRD1009" s="1302" t="s">
        <v>619</v>
      </c>
      <c r="SRE1009" s="1302" t="s">
        <v>619</v>
      </c>
      <c r="SRF1009" s="1302" t="s">
        <v>619</v>
      </c>
      <c r="SRG1009" s="1302">
        <v>270000</v>
      </c>
      <c r="TAX1009" s="1302" t="s">
        <v>1378</v>
      </c>
      <c r="TAY1009" s="1302" t="s">
        <v>619</v>
      </c>
      <c r="TAZ1009" s="1302" t="s">
        <v>619</v>
      </c>
      <c r="TBA1009" s="1302" t="s">
        <v>619</v>
      </c>
      <c r="TBB1009" s="1302" t="s">
        <v>619</v>
      </c>
      <c r="TBC1009" s="1302">
        <v>270000</v>
      </c>
      <c r="TKT1009" s="1302" t="s">
        <v>1378</v>
      </c>
      <c r="TKU1009" s="1302" t="s">
        <v>619</v>
      </c>
      <c r="TKV1009" s="1302" t="s">
        <v>619</v>
      </c>
      <c r="TKW1009" s="1302" t="s">
        <v>619</v>
      </c>
      <c r="TKX1009" s="1302" t="s">
        <v>619</v>
      </c>
      <c r="TKY1009" s="1302">
        <v>270000</v>
      </c>
      <c r="TUP1009" s="1302" t="s">
        <v>1378</v>
      </c>
      <c r="TUQ1009" s="1302" t="s">
        <v>619</v>
      </c>
      <c r="TUR1009" s="1302" t="s">
        <v>619</v>
      </c>
      <c r="TUS1009" s="1302" t="s">
        <v>619</v>
      </c>
      <c r="TUT1009" s="1302" t="s">
        <v>619</v>
      </c>
      <c r="TUU1009" s="1302">
        <v>270000</v>
      </c>
      <c r="UEL1009" s="1302" t="s">
        <v>1378</v>
      </c>
      <c r="UEM1009" s="1302" t="s">
        <v>619</v>
      </c>
      <c r="UEN1009" s="1302" t="s">
        <v>619</v>
      </c>
      <c r="UEO1009" s="1302" t="s">
        <v>619</v>
      </c>
      <c r="UEP1009" s="1302" t="s">
        <v>619</v>
      </c>
      <c r="UEQ1009" s="1302">
        <v>270000</v>
      </c>
      <c r="UOH1009" s="1302" t="s">
        <v>1378</v>
      </c>
      <c r="UOI1009" s="1302" t="s">
        <v>619</v>
      </c>
      <c r="UOJ1009" s="1302" t="s">
        <v>619</v>
      </c>
      <c r="UOK1009" s="1302" t="s">
        <v>619</v>
      </c>
      <c r="UOL1009" s="1302" t="s">
        <v>619</v>
      </c>
      <c r="UOM1009" s="1302">
        <v>270000</v>
      </c>
      <c r="UYD1009" s="1302" t="s">
        <v>1378</v>
      </c>
      <c r="UYE1009" s="1302" t="s">
        <v>619</v>
      </c>
      <c r="UYF1009" s="1302" t="s">
        <v>619</v>
      </c>
      <c r="UYG1009" s="1302" t="s">
        <v>619</v>
      </c>
      <c r="UYH1009" s="1302" t="s">
        <v>619</v>
      </c>
      <c r="UYI1009" s="1302">
        <v>270000</v>
      </c>
      <c r="VHZ1009" s="1302" t="s">
        <v>1378</v>
      </c>
      <c r="VIA1009" s="1302" t="s">
        <v>619</v>
      </c>
      <c r="VIB1009" s="1302" t="s">
        <v>619</v>
      </c>
      <c r="VIC1009" s="1302" t="s">
        <v>619</v>
      </c>
      <c r="VID1009" s="1302" t="s">
        <v>619</v>
      </c>
      <c r="VIE1009" s="1302">
        <v>270000</v>
      </c>
      <c r="VRV1009" s="1302" t="s">
        <v>1378</v>
      </c>
      <c r="VRW1009" s="1302" t="s">
        <v>619</v>
      </c>
      <c r="VRX1009" s="1302" t="s">
        <v>619</v>
      </c>
      <c r="VRY1009" s="1302" t="s">
        <v>619</v>
      </c>
      <c r="VRZ1009" s="1302" t="s">
        <v>619</v>
      </c>
      <c r="VSA1009" s="1302">
        <v>270000</v>
      </c>
      <c r="WBR1009" s="1302" t="s">
        <v>1378</v>
      </c>
      <c r="WBS1009" s="1302" t="s">
        <v>619</v>
      </c>
      <c r="WBT1009" s="1302" t="s">
        <v>619</v>
      </c>
      <c r="WBU1009" s="1302" t="s">
        <v>619</v>
      </c>
      <c r="WBV1009" s="1302" t="s">
        <v>619</v>
      </c>
      <c r="WBW1009" s="1302">
        <v>270000</v>
      </c>
      <c r="WLN1009" s="1302" t="s">
        <v>1378</v>
      </c>
      <c r="WLO1009" s="1302" t="s">
        <v>619</v>
      </c>
      <c r="WLP1009" s="1302" t="s">
        <v>619</v>
      </c>
      <c r="WLQ1009" s="1302" t="s">
        <v>619</v>
      </c>
      <c r="WLR1009" s="1302" t="s">
        <v>619</v>
      </c>
      <c r="WLS1009" s="1302">
        <v>270000</v>
      </c>
      <c r="WVJ1009" s="1302" t="s">
        <v>1378</v>
      </c>
      <c r="WVK1009" s="1302" t="s">
        <v>619</v>
      </c>
      <c r="WVL1009" s="1302" t="s">
        <v>619</v>
      </c>
      <c r="WVM1009" s="1302" t="s">
        <v>619</v>
      </c>
      <c r="WVN1009" s="1302" t="s">
        <v>619</v>
      </c>
      <c r="WVO1009" s="1302">
        <v>270000</v>
      </c>
    </row>
    <row r="1010" spans="1:775 1026:1799 2050:2823 3074:3847 4098:4871 5122:5895 6146:6919 7170:7943 8194:8967 9218:9991 10242:11015 11266:12039 12290:13063 13314:14087 14338:15111 15362:16135">
      <c r="A1010" s="96" t="s">
        <v>1379</v>
      </c>
      <c r="B1010" t="s">
        <v>804</v>
      </c>
      <c r="C1010" s="98">
        <v>0</v>
      </c>
      <c r="D1010" s="98">
        <v>0</v>
      </c>
      <c r="E1010" s="98">
        <v>0</v>
      </c>
      <c r="F1010" s="100">
        <v>-650000</v>
      </c>
      <c r="G1010" s="100">
        <v>-120000</v>
      </c>
      <c r="H1010" s="100"/>
      <c r="IX1010" t="s">
        <v>1379</v>
      </c>
      <c r="IY1010" t="s">
        <v>619</v>
      </c>
      <c r="IZ1010" t="s">
        <v>619</v>
      </c>
      <c r="JA1010" t="s">
        <v>619</v>
      </c>
      <c r="JB1010">
        <v>-650000</v>
      </c>
      <c r="JC1010">
        <v>-120000</v>
      </c>
      <c r="ST1010" t="s">
        <v>1379</v>
      </c>
      <c r="SU1010" t="s">
        <v>619</v>
      </c>
      <c r="SV1010" t="s">
        <v>619</v>
      </c>
      <c r="SW1010" t="s">
        <v>619</v>
      </c>
      <c r="SX1010">
        <v>-650000</v>
      </c>
      <c r="SY1010">
        <v>-120000</v>
      </c>
      <c r="ACP1010" t="s">
        <v>1379</v>
      </c>
      <c r="ACQ1010" t="s">
        <v>619</v>
      </c>
      <c r="ACR1010" t="s">
        <v>619</v>
      </c>
      <c r="ACS1010" t="s">
        <v>619</v>
      </c>
      <c r="ACT1010">
        <v>-650000</v>
      </c>
      <c r="ACU1010">
        <v>-120000</v>
      </c>
      <c r="AML1010" t="s">
        <v>1379</v>
      </c>
      <c r="AMM1010" t="s">
        <v>619</v>
      </c>
      <c r="AMN1010" t="s">
        <v>619</v>
      </c>
      <c r="AMO1010" t="s">
        <v>619</v>
      </c>
      <c r="AMP1010">
        <v>-650000</v>
      </c>
      <c r="AMQ1010">
        <v>-120000</v>
      </c>
      <c r="AWH1010" t="s">
        <v>1379</v>
      </c>
      <c r="AWI1010" t="s">
        <v>619</v>
      </c>
      <c r="AWJ1010" t="s">
        <v>619</v>
      </c>
      <c r="AWK1010" t="s">
        <v>619</v>
      </c>
      <c r="AWL1010">
        <v>-650000</v>
      </c>
      <c r="AWM1010">
        <v>-120000</v>
      </c>
      <c r="BGD1010" t="s">
        <v>1379</v>
      </c>
      <c r="BGE1010" t="s">
        <v>619</v>
      </c>
      <c r="BGF1010" t="s">
        <v>619</v>
      </c>
      <c r="BGG1010" t="s">
        <v>619</v>
      </c>
      <c r="BGH1010">
        <v>-650000</v>
      </c>
      <c r="BGI1010">
        <v>-120000</v>
      </c>
      <c r="BPZ1010" t="s">
        <v>1379</v>
      </c>
      <c r="BQA1010" t="s">
        <v>619</v>
      </c>
      <c r="BQB1010" t="s">
        <v>619</v>
      </c>
      <c r="BQC1010" t="s">
        <v>619</v>
      </c>
      <c r="BQD1010">
        <v>-650000</v>
      </c>
      <c r="BQE1010">
        <v>-120000</v>
      </c>
      <c r="BZV1010" t="s">
        <v>1379</v>
      </c>
      <c r="BZW1010" t="s">
        <v>619</v>
      </c>
      <c r="BZX1010" t="s">
        <v>619</v>
      </c>
      <c r="BZY1010" t="s">
        <v>619</v>
      </c>
      <c r="BZZ1010">
        <v>-650000</v>
      </c>
      <c r="CAA1010">
        <v>-120000</v>
      </c>
      <c r="CJR1010" t="s">
        <v>1379</v>
      </c>
      <c r="CJS1010" t="s">
        <v>619</v>
      </c>
      <c r="CJT1010" t="s">
        <v>619</v>
      </c>
      <c r="CJU1010" t="s">
        <v>619</v>
      </c>
      <c r="CJV1010">
        <v>-650000</v>
      </c>
      <c r="CJW1010">
        <v>-120000</v>
      </c>
      <c r="CTN1010" t="s">
        <v>1379</v>
      </c>
      <c r="CTO1010" t="s">
        <v>619</v>
      </c>
      <c r="CTP1010" t="s">
        <v>619</v>
      </c>
      <c r="CTQ1010" t="s">
        <v>619</v>
      </c>
      <c r="CTR1010">
        <v>-650000</v>
      </c>
      <c r="CTS1010">
        <v>-120000</v>
      </c>
      <c r="DDJ1010" t="s">
        <v>1379</v>
      </c>
      <c r="DDK1010" t="s">
        <v>619</v>
      </c>
      <c r="DDL1010" t="s">
        <v>619</v>
      </c>
      <c r="DDM1010" t="s">
        <v>619</v>
      </c>
      <c r="DDN1010">
        <v>-650000</v>
      </c>
      <c r="DDO1010">
        <v>-120000</v>
      </c>
      <c r="DNF1010" t="s">
        <v>1379</v>
      </c>
      <c r="DNG1010" t="s">
        <v>619</v>
      </c>
      <c r="DNH1010" t="s">
        <v>619</v>
      </c>
      <c r="DNI1010" t="s">
        <v>619</v>
      </c>
      <c r="DNJ1010">
        <v>-650000</v>
      </c>
      <c r="DNK1010">
        <v>-120000</v>
      </c>
      <c r="DXB1010" t="s">
        <v>1379</v>
      </c>
      <c r="DXC1010" t="s">
        <v>619</v>
      </c>
      <c r="DXD1010" t="s">
        <v>619</v>
      </c>
      <c r="DXE1010" t="s">
        <v>619</v>
      </c>
      <c r="DXF1010">
        <v>-650000</v>
      </c>
      <c r="DXG1010">
        <v>-120000</v>
      </c>
      <c r="EGX1010" t="s">
        <v>1379</v>
      </c>
      <c r="EGY1010" t="s">
        <v>619</v>
      </c>
      <c r="EGZ1010" t="s">
        <v>619</v>
      </c>
      <c r="EHA1010" t="s">
        <v>619</v>
      </c>
      <c r="EHB1010">
        <v>-650000</v>
      </c>
      <c r="EHC1010">
        <v>-120000</v>
      </c>
      <c r="EQT1010" t="s">
        <v>1379</v>
      </c>
      <c r="EQU1010" t="s">
        <v>619</v>
      </c>
      <c r="EQV1010" t="s">
        <v>619</v>
      </c>
      <c r="EQW1010" t="s">
        <v>619</v>
      </c>
      <c r="EQX1010">
        <v>-650000</v>
      </c>
      <c r="EQY1010">
        <v>-120000</v>
      </c>
      <c r="FAP1010" t="s">
        <v>1379</v>
      </c>
      <c r="FAQ1010" t="s">
        <v>619</v>
      </c>
      <c r="FAR1010" t="s">
        <v>619</v>
      </c>
      <c r="FAS1010" t="s">
        <v>619</v>
      </c>
      <c r="FAT1010">
        <v>-650000</v>
      </c>
      <c r="FAU1010">
        <v>-120000</v>
      </c>
      <c r="FKL1010" t="s">
        <v>1379</v>
      </c>
      <c r="FKM1010" t="s">
        <v>619</v>
      </c>
      <c r="FKN1010" t="s">
        <v>619</v>
      </c>
      <c r="FKO1010" t="s">
        <v>619</v>
      </c>
      <c r="FKP1010">
        <v>-650000</v>
      </c>
      <c r="FKQ1010">
        <v>-120000</v>
      </c>
      <c r="FUH1010" t="s">
        <v>1379</v>
      </c>
      <c r="FUI1010" t="s">
        <v>619</v>
      </c>
      <c r="FUJ1010" t="s">
        <v>619</v>
      </c>
      <c r="FUK1010" t="s">
        <v>619</v>
      </c>
      <c r="FUL1010">
        <v>-650000</v>
      </c>
      <c r="FUM1010">
        <v>-120000</v>
      </c>
      <c r="GED1010" t="s">
        <v>1379</v>
      </c>
      <c r="GEE1010" t="s">
        <v>619</v>
      </c>
      <c r="GEF1010" t="s">
        <v>619</v>
      </c>
      <c r="GEG1010" t="s">
        <v>619</v>
      </c>
      <c r="GEH1010">
        <v>-650000</v>
      </c>
      <c r="GEI1010">
        <v>-120000</v>
      </c>
      <c r="GNZ1010" t="s">
        <v>1379</v>
      </c>
      <c r="GOA1010" t="s">
        <v>619</v>
      </c>
      <c r="GOB1010" t="s">
        <v>619</v>
      </c>
      <c r="GOC1010" t="s">
        <v>619</v>
      </c>
      <c r="GOD1010">
        <v>-650000</v>
      </c>
      <c r="GOE1010">
        <v>-120000</v>
      </c>
      <c r="GXV1010" t="s">
        <v>1379</v>
      </c>
      <c r="GXW1010" t="s">
        <v>619</v>
      </c>
      <c r="GXX1010" t="s">
        <v>619</v>
      </c>
      <c r="GXY1010" t="s">
        <v>619</v>
      </c>
      <c r="GXZ1010">
        <v>-650000</v>
      </c>
      <c r="GYA1010">
        <v>-120000</v>
      </c>
      <c r="HHR1010" t="s">
        <v>1379</v>
      </c>
      <c r="HHS1010" t="s">
        <v>619</v>
      </c>
      <c r="HHT1010" t="s">
        <v>619</v>
      </c>
      <c r="HHU1010" t="s">
        <v>619</v>
      </c>
      <c r="HHV1010">
        <v>-650000</v>
      </c>
      <c r="HHW1010">
        <v>-120000</v>
      </c>
      <c r="HRN1010" t="s">
        <v>1379</v>
      </c>
      <c r="HRO1010" t="s">
        <v>619</v>
      </c>
      <c r="HRP1010" t="s">
        <v>619</v>
      </c>
      <c r="HRQ1010" t="s">
        <v>619</v>
      </c>
      <c r="HRR1010">
        <v>-650000</v>
      </c>
      <c r="HRS1010">
        <v>-120000</v>
      </c>
      <c r="IBJ1010" t="s">
        <v>1379</v>
      </c>
      <c r="IBK1010" t="s">
        <v>619</v>
      </c>
      <c r="IBL1010" t="s">
        <v>619</v>
      </c>
      <c r="IBM1010" t="s">
        <v>619</v>
      </c>
      <c r="IBN1010">
        <v>-650000</v>
      </c>
      <c r="IBO1010">
        <v>-120000</v>
      </c>
      <c r="ILF1010" t="s">
        <v>1379</v>
      </c>
      <c r="ILG1010" t="s">
        <v>619</v>
      </c>
      <c r="ILH1010" t="s">
        <v>619</v>
      </c>
      <c r="ILI1010" t="s">
        <v>619</v>
      </c>
      <c r="ILJ1010">
        <v>-650000</v>
      </c>
      <c r="ILK1010">
        <v>-120000</v>
      </c>
      <c r="IVB1010" t="s">
        <v>1379</v>
      </c>
      <c r="IVC1010" t="s">
        <v>619</v>
      </c>
      <c r="IVD1010" t="s">
        <v>619</v>
      </c>
      <c r="IVE1010" t="s">
        <v>619</v>
      </c>
      <c r="IVF1010">
        <v>-650000</v>
      </c>
      <c r="IVG1010">
        <v>-120000</v>
      </c>
      <c r="JEX1010" t="s">
        <v>1379</v>
      </c>
      <c r="JEY1010" t="s">
        <v>619</v>
      </c>
      <c r="JEZ1010" t="s">
        <v>619</v>
      </c>
      <c r="JFA1010" t="s">
        <v>619</v>
      </c>
      <c r="JFB1010">
        <v>-650000</v>
      </c>
      <c r="JFC1010">
        <v>-120000</v>
      </c>
      <c r="JOT1010" t="s">
        <v>1379</v>
      </c>
      <c r="JOU1010" t="s">
        <v>619</v>
      </c>
      <c r="JOV1010" t="s">
        <v>619</v>
      </c>
      <c r="JOW1010" t="s">
        <v>619</v>
      </c>
      <c r="JOX1010">
        <v>-650000</v>
      </c>
      <c r="JOY1010">
        <v>-120000</v>
      </c>
      <c r="JYP1010" t="s">
        <v>1379</v>
      </c>
      <c r="JYQ1010" t="s">
        <v>619</v>
      </c>
      <c r="JYR1010" t="s">
        <v>619</v>
      </c>
      <c r="JYS1010" t="s">
        <v>619</v>
      </c>
      <c r="JYT1010">
        <v>-650000</v>
      </c>
      <c r="JYU1010">
        <v>-120000</v>
      </c>
      <c r="KIL1010" t="s">
        <v>1379</v>
      </c>
      <c r="KIM1010" t="s">
        <v>619</v>
      </c>
      <c r="KIN1010" t="s">
        <v>619</v>
      </c>
      <c r="KIO1010" t="s">
        <v>619</v>
      </c>
      <c r="KIP1010">
        <v>-650000</v>
      </c>
      <c r="KIQ1010">
        <v>-120000</v>
      </c>
      <c r="KSH1010" t="s">
        <v>1379</v>
      </c>
      <c r="KSI1010" t="s">
        <v>619</v>
      </c>
      <c r="KSJ1010" t="s">
        <v>619</v>
      </c>
      <c r="KSK1010" t="s">
        <v>619</v>
      </c>
      <c r="KSL1010">
        <v>-650000</v>
      </c>
      <c r="KSM1010">
        <v>-120000</v>
      </c>
      <c r="LCD1010" t="s">
        <v>1379</v>
      </c>
      <c r="LCE1010" t="s">
        <v>619</v>
      </c>
      <c r="LCF1010" t="s">
        <v>619</v>
      </c>
      <c r="LCG1010" t="s">
        <v>619</v>
      </c>
      <c r="LCH1010">
        <v>-650000</v>
      </c>
      <c r="LCI1010">
        <v>-120000</v>
      </c>
      <c r="LLZ1010" t="s">
        <v>1379</v>
      </c>
      <c r="LMA1010" t="s">
        <v>619</v>
      </c>
      <c r="LMB1010" t="s">
        <v>619</v>
      </c>
      <c r="LMC1010" t="s">
        <v>619</v>
      </c>
      <c r="LMD1010">
        <v>-650000</v>
      </c>
      <c r="LME1010">
        <v>-120000</v>
      </c>
      <c r="LVV1010" t="s">
        <v>1379</v>
      </c>
      <c r="LVW1010" t="s">
        <v>619</v>
      </c>
      <c r="LVX1010" t="s">
        <v>619</v>
      </c>
      <c r="LVY1010" t="s">
        <v>619</v>
      </c>
      <c r="LVZ1010">
        <v>-650000</v>
      </c>
      <c r="LWA1010">
        <v>-120000</v>
      </c>
      <c r="MFR1010" t="s">
        <v>1379</v>
      </c>
      <c r="MFS1010" t="s">
        <v>619</v>
      </c>
      <c r="MFT1010" t="s">
        <v>619</v>
      </c>
      <c r="MFU1010" t="s">
        <v>619</v>
      </c>
      <c r="MFV1010">
        <v>-650000</v>
      </c>
      <c r="MFW1010">
        <v>-120000</v>
      </c>
      <c r="MPN1010" t="s">
        <v>1379</v>
      </c>
      <c r="MPO1010" t="s">
        <v>619</v>
      </c>
      <c r="MPP1010" t="s">
        <v>619</v>
      </c>
      <c r="MPQ1010" t="s">
        <v>619</v>
      </c>
      <c r="MPR1010">
        <v>-650000</v>
      </c>
      <c r="MPS1010">
        <v>-120000</v>
      </c>
      <c r="MZJ1010" t="s">
        <v>1379</v>
      </c>
      <c r="MZK1010" t="s">
        <v>619</v>
      </c>
      <c r="MZL1010" t="s">
        <v>619</v>
      </c>
      <c r="MZM1010" t="s">
        <v>619</v>
      </c>
      <c r="MZN1010">
        <v>-650000</v>
      </c>
      <c r="MZO1010">
        <v>-120000</v>
      </c>
      <c r="NJF1010" t="s">
        <v>1379</v>
      </c>
      <c r="NJG1010" t="s">
        <v>619</v>
      </c>
      <c r="NJH1010" t="s">
        <v>619</v>
      </c>
      <c r="NJI1010" t="s">
        <v>619</v>
      </c>
      <c r="NJJ1010">
        <v>-650000</v>
      </c>
      <c r="NJK1010">
        <v>-120000</v>
      </c>
      <c r="NTB1010" t="s">
        <v>1379</v>
      </c>
      <c r="NTC1010" t="s">
        <v>619</v>
      </c>
      <c r="NTD1010" t="s">
        <v>619</v>
      </c>
      <c r="NTE1010" t="s">
        <v>619</v>
      </c>
      <c r="NTF1010">
        <v>-650000</v>
      </c>
      <c r="NTG1010">
        <v>-120000</v>
      </c>
      <c r="OCX1010" t="s">
        <v>1379</v>
      </c>
      <c r="OCY1010" t="s">
        <v>619</v>
      </c>
      <c r="OCZ1010" t="s">
        <v>619</v>
      </c>
      <c r="ODA1010" t="s">
        <v>619</v>
      </c>
      <c r="ODB1010">
        <v>-650000</v>
      </c>
      <c r="ODC1010">
        <v>-120000</v>
      </c>
      <c r="OMT1010" t="s">
        <v>1379</v>
      </c>
      <c r="OMU1010" t="s">
        <v>619</v>
      </c>
      <c r="OMV1010" t="s">
        <v>619</v>
      </c>
      <c r="OMW1010" t="s">
        <v>619</v>
      </c>
      <c r="OMX1010">
        <v>-650000</v>
      </c>
      <c r="OMY1010">
        <v>-120000</v>
      </c>
      <c r="OWP1010" t="s">
        <v>1379</v>
      </c>
      <c r="OWQ1010" t="s">
        <v>619</v>
      </c>
      <c r="OWR1010" t="s">
        <v>619</v>
      </c>
      <c r="OWS1010" t="s">
        <v>619</v>
      </c>
      <c r="OWT1010">
        <v>-650000</v>
      </c>
      <c r="OWU1010">
        <v>-120000</v>
      </c>
      <c r="PGL1010" t="s">
        <v>1379</v>
      </c>
      <c r="PGM1010" t="s">
        <v>619</v>
      </c>
      <c r="PGN1010" t="s">
        <v>619</v>
      </c>
      <c r="PGO1010" t="s">
        <v>619</v>
      </c>
      <c r="PGP1010">
        <v>-650000</v>
      </c>
      <c r="PGQ1010">
        <v>-120000</v>
      </c>
      <c r="PQH1010" t="s">
        <v>1379</v>
      </c>
      <c r="PQI1010" t="s">
        <v>619</v>
      </c>
      <c r="PQJ1010" t="s">
        <v>619</v>
      </c>
      <c r="PQK1010" t="s">
        <v>619</v>
      </c>
      <c r="PQL1010">
        <v>-650000</v>
      </c>
      <c r="PQM1010">
        <v>-120000</v>
      </c>
      <c r="QAD1010" t="s">
        <v>1379</v>
      </c>
      <c r="QAE1010" t="s">
        <v>619</v>
      </c>
      <c r="QAF1010" t="s">
        <v>619</v>
      </c>
      <c r="QAG1010" t="s">
        <v>619</v>
      </c>
      <c r="QAH1010">
        <v>-650000</v>
      </c>
      <c r="QAI1010">
        <v>-120000</v>
      </c>
      <c r="QJZ1010" t="s">
        <v>1379</v>
      </c>
      <c r="QKA1010" t="s">
        <v>619</v>
      </c>
      <c r="QKB1010" t="s">
        <v>619</v>
      </c>
      <c r="QKC1010" t="s">
        <v>619</v>
      </c>
      <c r="QKD1010">
        <v>-650000</v>
      </c>
      <c r="QKE1010">
        <v>-120000</v>
      </c>
      <c r="QTV1010" t="s">
        <v>1379</v>
      </c>
      <c r="QTW1010" t="s">
        <v>619</v>
      </c>
      <c r="QTX1010" t="s">
        <v>619</v>
      </c>
      <c r="QTY1010" t="s">
        <v>619</v>
      </c>
      <c r="QTZ1010">
        <v>-650000</v>
      </c>
      <c r="QUA1010">
        <v>-120000</v>
      </c>
      <c r="RDR1010" t="s">
        <v>1379</v>
      </c>
      <c r="RDS1010" t="s">
        <v>619</v>
      </c>
      <c r="RDT1010" t="s">
        <v>619</v>
      </c>
      <c r="RDU1010" t="s">
        <v>619</v>
      </c>
      <c r="RDV1010">
        <v>-650000</v>
      </c>
      <c r="RDW1010">
        <v>-120000</v>
      </c>
      <c r="RNN1010" t="s">
        <v>1379</v>
      </c>
      <c r="RNO1010" t="s">
        <v>619</v>
      </c>
      <c r="RNP1010" t="s">
        <v>619</v>
      </c>
      <c r="RNQ1010" t="s">
        <v>619</v>
      </c>
      <c r="RNR1010">
        <v>-650000</v>
      </c>
      <c r="RNS1010">
        <v>-120000</v>
      </c>
      <c r="RXJ1010" t="s">
        <v>1379</v>
      </c>
      <c r="RXK1010" t="s">
        <v>619</v>
      </c>
      <c r="RXL1010" t="s">
        <v>619</v>
      </c>
      <c r="RXM1010" t="s">
        <v>619</v>
      </c>
      <c r="RXN1010">
        <v>-650000</v>
      </c>
      <c r="RXO1010">
        <v>-120000</v>
      </c>
      <c r="SHF1010" t="s">
        <v>1379</v>
      </c>
      <c r="SHG1010" t="s">
        <v>619</v>
      </c>
      <c r="SHH1010" t="s">
        <v>619</v>
      </c>
      <c r="SHI1010" t="s">
        <v>619</v>
      </c>
      <c r="SHJ1010">
        <v>-650000</v>
      </c>
      <c r="SHK1010">
        <v>-120000</v>
      </c>
      <c r="SRB1010" t="s">
        <v>1379</v>
      </c>
      <c r="SRC1010" t="s">
        <v>619</v>
      </c>
      <c r="SRD1010" t="s">
        <v>619</v>
      </c>
      <c r="SRE1010" t="s">
        <v>619</v>
      </c>
      <c r="SRF1010">
        <v>-650000</v>
      </c>
      <c r="SRG1010">
        <v>-120000</v>
      </c>
      <c r="TAX1010" t="s">
        <v>1379</v>
      </c>
      <c r="TAY1010" t="s">
        <v>619</v>
      </c>
      <c r="TAZ1010" t="s">
        <v>619</v>
      </c>
      <c r="TBA1010" t="s">
        <v>619</v>
      </c>
      <c r="TBB1010">
        <v>-650000</v>
      </c>
      <c r="TBC1010">
        <v>-120000</v>
      </c>
      <c r="TKT1010" t="s">
        <v>1379</v>
      </c>
      <c r="TKU1010" t="s">
        <v>619</v>
      </c>
      <c r="TKV1010" t="s">
        <v>619</v>
      </c>
      <c r="TKW1010" t="s">
        <v>619</v>
      </c>
      <c r="TKX1010">
        <v>-650000</v>
      </c>
      <c r="TKY1010">
        <v>-120000</v>
      </c>
      <c r="TUP1010" t="s">
        <v>1379</v>
      </c>
      <c r="TUQ1010" t="s">
        <v>619</v>
      </c>
      <c r="TUR1010" t="s">
        <v>619</v>
      </c>
      <c r="TUS1010" t="s">
        <v>619</v>
      </c>
      <c r="TUT1010">
        <v>-650000</v>
      </c>
      <c r="TUU1010">
        <v>-120000</v>
      </c>
      <c r="UEL1010" t="s">
        <v>1379</v>
      </c>
      <c r="UEM1010" t="s">
        <v>619</v>
      </c>
      <c r="UEN1010" t="s">
        <v>619</v>
      </c>
      <c r="UEO1010" t="s">
        <v>619</v>
      </c>
      <c r="UEP1010">
        <v>-650000</v>
      </c>
      <c r="UEQ1010">
        <v>-120000</v>
      </c>
      <c r="UOH1010" t="s">
        <v>1379</v>
      </c>
      <c r="UOI1010" t="s">
        <v>619</v>
      </c>
      <c r="UOJ1010" t="s">
        <v>619</v>
      </c>
      <c r="UOK1010" t="s">
        <v>619</v>
      </c>
      <c r="UOL1010">
        <v>-650000</v>
      </c>
      <c r="UOM1010">
        <v>-120000</v>
      </c>
      <c r="UYD1010" t="s">
        <v>1379</v>
      </c>
      <c r="UYE1010" t="s">
        <v>619</v>
      </c>
      <c r="UYF1010" t="s">
        <v>619</v>
      </c>
      <c r="UYG1010" t="s">
        <v>619</v>
      </c>
      <c r="UYH1010">
        <v>-650000</v>
      </c>
      <c r="UYI1010">
        <v>-120000</v>
      </c>
      <c r="VHZ1010" t="s">
        <v>1379</v>
      </c>
      <c r="VIA1010" t="s">
        <v>619</v>
      </c>
      <c r="VIB1010" t="s">
        <v>619</v>
      </c>
      <c r="VIC1010" t="s">
        <v>619</v>
      </c>
      <c r="VID1010">
        <v>-650000</v>
      </c>
      <c r="VIE1010">
        <v>-120000</v>
      </c>
      <c r="VRV1010" t="s">
        <v>1379</v>
      </c>
      <c r="VRW1010" t="s">
        <v>619</v>
      </c>
      <c r="VRX1010" t="s">
        <v>619</v>
      </c>
      <c r="VRY1010" t="s">
        <v>619</v>
      </c>
      <c r="VRZ1010">
        <v>-650000</v>
      </c>
      <c r="VSA1010">
        <v>-120000</v>
      </c>
      <c r="WBR1010" t="s">
        <v>1379</v>
      </c>
      <c r="WBS1010" t="s">
        <v>619</v>
      </c>
      <c r="WBT1010" t="s">
        <v>619</v>
      </c>
      <c r="WBU1010" t="s">
        <v>619</v>
      </c>
      <c r="WBV1010">
        <v>-650000</v>
      </c>
      <c r="WBW1010">
        <v>-120000</v>
      </c>
      <c r="WLN1010" t="s">
        <v>1379</v>
      </c>
      <c r="WLO1010" t="s">
        <v>619</v>
      </c>
      <c r="WLP1010" t="s">
        <v>619</v>
      </c>
      <c r="WLQ1010" t="s">
        <v>619</v>
      </c>
      <c r="WLR1010">
        <v>-650000</v>
      </c>
      <c r="WLS1010">
        <v>-120000</v>
      </c>
      <c r="WVJ1010" t="s">
        <v>1379</v>
      </c>
      <c r="WVK1010" t="s">
        <v>619</v>
      </c>
      <c r="WVL1010" t="s">
        <v>619</v>
      </c>
      <c r="WVM1010" t="s">
        <v>619</v>
      </c>
      <c r="WVN1010">
        <v>-650000</v>
      </c>
      <c r="WVO1010">
        <v>-120000</v>
      </c>
    </row>
    <row r="1011" spans="1:775 1026:1799 2050:2823 3074:3847 4098:4871 5122:5895 6146:6919 7170:7943 8194:8967 9218:9991 10242:11015 11266:12039 12290:13063 13314:14087 14338:15111 15362:16135" s="1302" customFormat="1">
      <c r="A1011" s="1796" t="s">
        <v>1380</v>
      </c>
      <c r="B1011" s="1302" t="s">
        <v>807</v>
      </c>
      <c r="C1011" s="1798">
        <v>-65342</v>
      </c>
      <c r="D1011" s="1797">
        <v>0</v>
      </c>
      <c r="E1011" s="1797">
        <v>0</v>
      </c>
      <c r="F1011" s="1797">
        <v>0</v>
      </c>
      <c r="G1011" s="1797">
        <v>0</v>
      </c>
      <c r="H1011" s="1797"/>
      <c r="IX1011" s="1302" t="s">
        <v>1380</v>
      </c>
      <c r="IY1011" s="1302">
        <v>-65342</v>
      </c>
      <c r="IZ1011" s="1302" t="s">
        <v>619</v>
      </c>
      <c r="JA1011" s="1302" t="s">
        <v>619</v>
      </c>
      <c r="JB1011" s="1302" t="s">
        <v>619</v>
      </c>
      <c r="JC1011" s="1302" t="s">
        <v>619</v>
      </c>
      <c r="ST1011" s="1302" t="s">
        <v>1380</v>
      </c>
      <c r="SU1011" s="1302">
        <v>-65342</v>
      </c>
      <c r="SV1011" s="1302" t="s">
        <v>619</v>
      </c>
      <c r="SW1011" s="1302" t="s">
        <v>619</v>
      </c>
      <c r="SX1011" s="1302" t="s">
        <v>619</v>
      </c>
      <c r="SY1011" s="1302" t="s">
        <v>619</v>
      </c>
      <c r="ACP1011" s="1302" t="s">
        <v>1380</v>
      </c>
      <c r="ACQ1011" s="1302">
        <v>-65342</v>
      </c>
      <c r="ACR1011" s="1302" t="s">
        <v>619</v>
      </c>
      <c r="ACS1011" s="1302" t="s">
        <v>619</v>
      </c>
      <c r="ACT1011" s="1302" t="s">
        <v>619</v>
      </c>
      <c r="ACU1011" s="1302" t="s">
        <v>619</v>
      </c>
      <c r="AML1011" s="1302" t="s">
        <v>1380</v>
      </c>
      <c r="AMM1011" s="1302">
        <v>-65342</v>
      </c>
      <c r="AMN1011" s="1302" t="s">
        <v>619</v>
      </c>
      <c r="AMO1011" s="1302" t="s">
        <v>619</v>
      </c>
      <c r="AMP1011" s="1302" t="s">
        <v>619</v>
      </c>
      <c r="AMQ1011" s="1302" t="s">
        <v>619</v>
      </c>
      <c r="AWH1011" s="1302" t="s">
        <v>1380</v>
      </c>
      <c r="AWI1011" s="1302">
        <v>-65342</v>
      </c>
      <c r="AWJ1011" s="1302" t="s">
        <v>619</v>
      </c>
      <c r="AWK1011" s="1302" t="s">
        <v>619</v>
      </c>
      <c r="AWL1011" s="1302" t="s">
        <v>619</v>
      </c>
      <c r="AWM1011" s="1302" t="s">
        <v>619</v>
      </c>
      <c r="BGD1011" s="1302" t="s">
        <v>1380</v>
      </c>
      <c r="BGE1011" s="1302">
        <v>-65342</v>
      </c>
      <c r="BGF1011" s="1302" t="s">
        <v>619</v>
      </c>
      <c r="BGG1011" s="1302" t="s">
        <v>619</v>
      </c>
      <c r="BGH1011" s="1302" t="s">
        <v>619</v>
      </c>
      <c r="BGI1011" s="1302" t="s">
        <v>619</v>
      </c>
      <c r="BPZ1011" s="1302" t="s">
        <v>1380</v>
      </c>
      <c r="BQA1011" s="1302">
        <v>-65342</v>
      </c>
      <c r="BQB1011" s="1302" t="s">
        <v>619</v>
      </c>
      <c r="BQC1011" s="1302" t="s">
        <v>619</v>
      </c>
      <c r="BQD1011" s="1302" t="s">
        <v>619</v>
      </c>
      <c r="BQE1011" s="1302" t="s">
        <v>619</v>
      </c>
      <c r="BZV1011" s="1302" t="s">
        <v>1380</v>
      </c>
      <c r="BZW1011" s="1302">
        <v>-65342</v>
      </c>
      <c r="BZX1011" s="1302" t="s">
        <v>619</v>
      </c>
      <c r="BZY1011" s="1302" t="s">
        <v>619</v>
      </c>
      <c r="BZZ1011" s="1302" t="s">
        <v>619</v>
      </c>
      <c r="CAA1011" s="1302" t="s">
        <v>619</v>
      </c>
      <c r="CJR1011" s="1302" t="s">
        <v>1380</v>
      </c>
      <c r="CJS1011" s="1302">
        <v>-65342</v>
      </c>
      <c r="CJT1011" s="1302" t="s">
        <v>619</v>
      </c>
      <c r="CJU1011" s="1302" t="s">
        <v>619</v>
      </c>
      <c r="CJV1011" s="1302" t="s">
        <v>619</v>
      </c>
      <c r="CJW1011" s="1302" t="s">
        <v>619</v>
      </c>
      <c r="CTN1011" s="1302" t="s">
        <v>1380</v>
      </c>
      <c r="CTO1011" s="1302">
        <v>-65342</v>
      </c>
      <c r="CTP1011" s="1302" t="s">
        <v>619</v>
      </c>
      <c r="CTQ1011" s="1302" t="s">
        <v>619</v>
      </c>
      <c r="CTR1011" s="1302" t="s">
        <v>619</v>
      </c>
      <c r="CTS1011" s="1302" t="s">
        <v>619</v>
      </c>
      <c r="DDJ1011" s="1302" t="s">
        <v>1380</v>
      </c>
      <c r="DDK1011" s="1302">
        <v>-65342</v>
      </c>
      <c r="DDL1011" s="1302" t="s">
        <v>619</v>
      </c>
      <c r="DDM1011" s="1302" t="s">
        <v>619</v>
      </c>
      <c r="DDN1011" s="1302" t="s">
        <v>619</v>
      </c>
      <c r="DDO1011" s="1302" t="s">
        <v>619</v>
      </c>
      <c r="DNF1011" s="1302" t="s">
        <v>1380</v>
      </c>
      <c r="DNG1011" s="1302">
        <v>-65342</v>
      </c>
      <c r="DNH1011" s="1302" t="s">
        <v>619</v>
      </c>
      <c r="DNI1011" s="1302" t="s">
        <v>619</v>
      </c>
      <c r="DNJ1011" s="1302" t="s">
        <v>619</v>
      </c>
      <c r="DNK1011" s="1302" t="s">
        <v>619</v>
      </c>
      <c r="DXB1011" s="1302" t="s">
        <v>1380</v>
      </c>
      <c r="DXC1011" s="1302">
        <v>-65342</v>
      </c>
      <c r="DXD1011" s="1302" t="s">
        <v>619</v>
      </c>
      <c r="DXE1011" s="1302" t="s">
        <v>619</v>
      </c>
      <c r="DXF1011" s="1302" t="s">
        <v>619</v>
      </c>
      <c r="DXG1011" s="1302" t="s">
        <v>619</v>
      </c>
      <c r="EGX1011" s="1302" t="s">
        <v>1380</v>
      </c>
      <c r="EGY1011" s="1302">
        <v>-65342</v>
      </c>
      <c r="EGZ1011" s="1302" t="s">
        <v>619</v>
      </c>
      <c r="EHA1011" s="1302" t="s">
        <v>619</v>
      </c>
      <c r="EHB1011" s="1302" t="s">
        <v>619</v>
      </c>
      <c r="EHC1011" s="1302" t="s">
        <v>619</v>
      </c>
      <c r="EQT1011" s="1302" t="s">
        <v>1380</v>
      </c>
      <c r="EQU1011" s="1302">
        <v>-65342</v>
      </c>
      <c r="EQV1011" s="1302" t="s">
        <v>619</v>
      </c>
      <c r="EQW1011" s="1302" t="s">
        <v>619</v>
      </c>
      <c r="EQX1011" s="1302" t="s">
        <v>619</v>
      </c>
      <c r="EQY1011" s="1302" t="s">
        <v>619</v>
      </c>
      <c r="FAP1011" s="1302" t="s">
        <v>1380</v>
      </c>
      <c r="FAQ1011" s="1302">
        <v>-65342</v>
      </c>
      <c r="FAR1011" s="1302" t="s">
        <v>619</v>
      </c>
      <c r="FAS1011" s="1302" t="s">
        <v>619</v>
      </c>
      <c r="FAT1011" s="1302" t="s">
        <v>619</v>
      </c>
      <c r="FAU1011" s="1302" t="s">
        <v>619</v>
      </c>
      <c r="FKL1011" s="1302" t="s">
        <v>1380</v>
      </c>
      <c r="FKM1011" s="1302">
        <v>-65342</v>
      </c>
      <c r="FKN1011" s="1302" t="s">
        <v>619</v>
      </c>
      <c r="FKO1011" s="1302" t="s">
        <v>619</v>
      </c>
      <c r="FKP1011" s="1302" t="s">
        <v>619</v>
      </c>
      <c r="FKQ1011" s="1302" t="s">
        <v>619</v>
      </c>
      <c r="FUH1011" s="1302" t="s">
        <v>1380</v>
      </c>
      <c r="FUI1011" s="1302">
        <v>-65342</v>
      </c>
      <c r="FUJ1011" s="1302" t="s">
        <v>619</v>
      </c>
      <c r="FUK1011" s="1302" t="s">
        <v>619</v>
      </c>
      <c r="FUL1011" s="1302" t="s">
        <v>619</v>
      </c>
      <c r="FUM1011" s="1302" t="s">
        <v>619</v>
      </c>
      <c r="GED1011" s="1302" t="s">
        <v>1380</v>
      </c>
      <c r="GEE1011" s="1302">
        <v>-65342</v>
      </c>
      <c r="GEF1011" s="1302" t="s">
        <v>619</v>
      </c>
      <c r="GEG1011" s="1302" t="s">
        <v>619</v>
      </c>
      <c r="GEH1011" s="1302" t="s">
        <v>619</v>
      </c>
      <c r="GEI1011" s="1302" t="s">
        <v>619</v>
      </c>
      <c r="GNZ1011" s="1302" t="s">
        <v>1380</v>
      </c>
      <c r="GOA1011" s="1302">
        <v>-65342</v>
      </c>
      <c r="GOB1011" s="1302" t="s">
        <v>619</v>
      </c>
      <c r="GOC1011" s="1302" t="s">
        <v>619</v>
      </c>
      <c r="GOD1011" s="1302" t="s">
        <v>619</v>
      </c>
      <c r="GOE1011" s="1302" t="s">
        <v>619</v>
      </c>
      <c r="GXV1011" s="1302" t="s">
        <v>1380</v>
      </c>
      <c r="GXW1011" s="1302">
        <v>-65342</v>
      </c>
      <c r="GXX1011" s="1302" t="s">
        <v>619</v>
      </c>
      <c r="GXY1011" s="1302" t="s">
        <v>619</v>
      </c>
      <c r="GXZ1011" s="1302" t="s">
        <v>619</v>
      </c>
      <c r="GYA1011" s="1302" t="s">
        <v>619</v>
      </c>
      <c r="HHR1011" s="1302" t="s">
        <v>1380</v>
      </c>
      <c r="HHS1011" s="1302">
        <v>-65342</v>
      </c>
      <c r="HHT1011" s="1302" t="s">
        <v>619</v>
      </c>
      <c r="HHU1011" s="1302" t="s">
        <v>619</v>
      </c>
      <c r="HHV1011" s="1302" t="s">
        <v>619</v>
      </c>
      <c r="HHW1011" s="1302" t="s">
        <v>619</v>
      </c>
      <c r="HRN1011" s="1302" t="s">
        <v>1380</v>
      </c>
      <c r="HRO1011" s="1302">
        <v>-65342</v>
      </c>
      <c r="HRP1011" s="1302" t="s">
        <v>619</v>
      </c>
      <c r="HRQ1011" s="1302" t="s">
        <v>619</v>
      </c>
      <c r="HRR1011" s="1302" t="s">
        <v>619</v>
      </c>
      <c r="HRS1011" s="1302" t="s">
        <v>619</v>
      </c>
      <c r="IBJ1011" s="1302" t="s">
        <v>1380</v>
      </c>
      <c r="IBK1011" s="1302">
        <v>-65342</v>
      </c>
      <c r="IBL1011" s="1302" t="s">
        <v>619</v>
      </c>
      <c r="IBM1011" s="1302" t="s">
        <v>619</v>
      </c>
      <c r="IBN1011" s="1302" t="s">
        <v>619</v>
      </c>
      <c r="IBO1011" s="1302" t="s">
        <v>619</v>
      </c>
      <c r="ILF1011" s="1302" t="s">
        <v>1380</v>
      </c>
      <c r="ILG1011" s="1302">
        <v>-65342</v>
      </c>
      <c r="ILH1011" s="1302" t="s">
        <v>619</v>
      </c>
      <c r="ILI1011" s="1302" t="s">
        <v>619</v>
      </c>
      <c r="ILJ1011" s="1302" t="s">
        <v>619</v>
      </c>
      <c r="ILK1011" s="1302" t="s">
        <v>619</v>
      </c>
      <c r="IVB1011" s="1302" t="s">
        <v>1380</v>
      </c>
      <c r="IVC1011" s="1302">
        <v>-65342</v>
      </c>
      <c r="IVD1011" s="1302" t="s">
        <v>619</v>
      </c>
      <c r="IVE1011" s="1302" t="s">
        <v>619</v>
      </c>
      <c r="IVF1011" s="1302" t="s">
        <v>619</v>
      </c>
      <c r="IVG1011" s="1302" t="s">
        <v>619</v>
      </c>
      <c r="JEX1011" s="1302" t="s">
        <v>1380</v>
      </c>
      <c r="JEY1011" s="1302">
        <v>-65342</v>
      </c>
      <c r="JEZ1011" s="1302" t="s">
        <v>619</v>
      </c>
      <c r="JFA1011" s="1302" t="s">
        <v>619</v>
      </c>
      <c r="JFB1011" s="1302" t="s">
        <v>619</v>
      </c>
      <c r="JFC1011" s="1302" t="s">
        <v>619</v>
      </c>
      <c r="JOT1011" s="1302" t="s">
        <v>1380</v>
      </c>
      <c r="JOU1011" s="1302">
        <v>-65342</v>
      </c>
      <c r="JOV1011" s="1302" t="s">
        <v>619</v>
      </c>
      <c r="JOW1011" s="1302" t="s">
        <v>619</v>
      </c>
      <c r="JOX1011" s="1302" t="s">
        <v>619</v>
      </c>
      <c r="JOY1011" s="1302" t="s">
        <v>619</v>
      </c>
      <c r="JYP1011" s="1302" t="s">
        <v>1380</v>
      </c>
      <c r="JYQ1011" s="1302">
        <v>-65342</v>
      </c>
      <c r="JYR1011" s="1302" t="s">
        <v>619</v>
      </c>
      <c r="JYS1011" s="1302" t="s">
        <v>619</v>
      </c>
      <c r="JYT1011" s="1302" t="s">
        <v>619</v>
      </c>
      <c r="JYU1011" s="1302" t="s">
        <v>619</v>
      </c>
      <c r="KIL1011" s="1302" t="s">
        <v>1380</v>
      </c>
      <c r="KIM1011" s="1302">
        <v>-65342</v>
      </c>
      <c r="KIN1011" s="1302" t="s">
        <v>619</v>
      </c>
      <c r="KIO1011" s="1302" t="s">
        <v>619</v>
      </c>
      <c r="KIP1011" s="1302" t="s">
        <v>619</v>
      </c>
      <c r="KIQ1011" s="1302" t="s">
        <v>619</v>
      </c>
      <c r="KSH1011" s="1302" t="s">
        <v>1380</v>
      </c>
      <c r="KSI1011" s="1302">
        <v>-65342</v>
      </c>
      <c r="KSJ1011" s="1302" t="s">
        <v>619</v>
      </c>
      <c r="KSK1011" s="1302" t="s">
        <v>619</v>
      </c>
      <c r="KSL1011" s="1302" t="s">
        <v>619</v>
      </c>
      <c r="KSM1011" s="1302" t="s">
        <v>619</v>
      </c>
      <c r="LCD1011" s="1302" t="s">
        <v>1380</v>
      </c>
      <c r="LCE1011" s="1302">
        <v>-65342</v>
      </c>
      <c r="LCF1011" s="1302" t="s">
        <v>619</v>
      </c>
      <c r="LCG1011" s="1302" t="s">
        <v>619</v>
      </c>
      <c r="LCH1011" s="1302" t="s">
        <v>619</v>
      </c>
      <c r="LCI1011" s="1302" t="s">
        <v>619</v>
      </c>
      <c r="LLZ1011" s="1302" t="s">
        <v>1380</v>
      </c>
      <c r="LMA1011" s="1302">
        <v>-65342</v>
      </c>
      <c r="LMB1011" s="1302" t="s">
        <v>619</v>
      </c>
      <c r="LMC1011" s="1302" t="s">
        <v>619</v>
      </c>
      <c r="LMD1011" s="1302" t="s">
        <v>619</v>
      </c>
      <c r="LME1011" s="1302" t="s">
        <v>619</v>
      </c>
      <c r="LVV1011" s="1302" t="s">
        <v>1380</v>
      </c>
      <c r="LVW1011" s="1302">
        <v>-65342</v>
      </c>
      <c r="LVX1011" s="1302" t="s">
        <v>619</v>
      </c>
      <c r="LVY1011" s="1302" t="s">
        <v>619</v>
      </c>
      <c r="LVZ1011" s="1302" t="s">
        <v>619</v>
      </c>
      <c r="LWA1011" s="1302" t="s">
        <v>619</v>
      </c>
      <c r="MFR1011" s="1302" t="s">
        <v>1380</v>
      </c>
      <c r="MFS1011" s="1302">
        <v>-65342</v>
      </c>
      <c r="MFT1011" s="1302" t="s">
        <v>619</v>
      </c>
      <c r="MFU1011" s="1302" t="s">
        <v>619</v>
      </c>
      <c r="MFV1011" s="1302" t="s">
        <v>619</v>
      </c>
      <c r="MFW1011" s="1302" t="s">
        <v>619</v>
      </c>
      <c r="MPN1011" s="1302" t="s">
        <v>1380</v>
      </c>
      <c r="MPO1011" s="1302">
        <v>-65342</v>
      </c>
      <c r="MPP1011" s="1302" t="s">
        <v>619</v>
      </c>
      <c r="MPQ1011" s="1302" t="s">
        <v>619</v>
      </c>
      <c r="MPR1011" s="1302" t="s">
        <v>619</v>
      </c>
      <c r="MPS1011" s="1302" t="s">
        <v>619</v>
      </c>
      <c r="MZJ1011" s="1302" t="s">
        <v>1380</v>
      </c>
      <c r="MZK1011" s="1302">
        <v>-65342</v>
      </c>
      <c r="MZL1011" s="1302" t="s">
        <v>619</v>
      </c>
      <c r="MZM1011" s="1302" t="s">
        <v>619</v>
      </c>
      <c r="MZN1011" s="1302" t="s">
        <v>619</v>
      </c>
      <c r="MZO1011" s="1302" t="s">
        <v>619</v>
      </c>
      <c r="NJF1011" s="1302" t="s">
        <v>1380</v>
      </c>
      <c r="NJG1011" s="1302">
        <v>-65342</v>
      </c>
      <c r="NJH1011" s="1302" t="s">
        <v>619</v>
      </c>
      <c r="NJI1011" s="1302" t="s">
        <v>619</v>
      </c>
      <c r="NJJ1011" s="1302" t="s">
        <v>619</v>
      </c>
      <c r="NJK1011" s="1302" t="s">
        <v>619</v>
      </c>
      <c r="NTB1011" s="1302" t="s">
        <v>1380</v>
      </c>
      <c r="NTC1011" s="1302">
        <v>-65342</v>
      </c>
      <c r="NTD1011" s="1302" t="s">
        <v>619</v>
      </c>
      <c r="NTE1011" s="1302" t="s">
        <v>619</v>
      </c>
      <c r="NTF1011" s="1302" t="s">
        <v>619</v>
      </c>
      <c r="NTG1011" s="1302" t="s">
        <v>619</v>
      </c>
      <c r="OCX1011" s="1302" t="s">
        <v>1380</v>
      </c>
      <c r="OCY1011" s="1302">
        <v>-65342</v>
      </c>
      <c r="OCZ1011" s="1302" t="s">
        <v>619</v>
      </c>
      <c r="ODA1011" s="1302" t="s">
        <v>619</v>
      </c>
      <c r="ODB1011" s="1302" t="s">
        <v>619</v>
      </c>
      <c r="ODC1011" s="1302" t="s">
        <v>619</v>
      </c>
      <c r="OMT1011" s="1302" t="s">
        <v>1380</v>
      </c>
      <c r="OMU1011" s="1302">
        <v>-65342</v>
      </c>
      <c r="OMV1011" s="1302" t="s">
        <v>619</v>
      </c>
      <c r="OMW1011" s="1302" t="s">
        <v>619</v>
      </c>
      <c r="OMX1011" s="1302" t="s">
        <v>619</v>
      </c>
      <c r="OMY1011" s="1302" t="s">
        <v>619</v>
      </c>
      <c r="OWP1011" s="1302" t="s">
        <v>1380</v>
      </c>
      <c r="OWQ1011" s="1302">
        <v>-65342</v>
      </c>
      <c r="OWR1011" s="1302" t="s">
        <v>619</v>
      </c>
      <c r="OWS1011" s="1302" t="s">
        <v>619</v>
      </c>
      <c r="OWT1011" s="1302" t="s">
        <v>619</v>
      </c>
      <c r="OWU1011" s="1302" t="s">
        <v>619</v>
      </c>
      <c r="PGL1011" s="1302" t="s">
        <v>1380</v>
      </c>
      <c r="PGM1011" s="1302">
        <v>-65342</v>
      </c>
      <c r="PGN1011" s="1302" t="s">
        <v>619</v>
      </c>
      <c r="PGO1011" s="1302" t="s">
        <v>619</v>
      </c>
      <c r="PGP1011" s="1302" t="s">
        <v>619</v>
      </c>
      <c r="PGQ1011" s="1302" t="s">
        <v>619</v>
      </c>
      <c r="PQH1011" s="1302" t="s">
        <v>1380</v>
      </c>
      <c r="PQI1011" s="1302">
        <v>-65342</v>
      </c>
      <c r="PQJ1011" s="1302" t="s">
        <v>619</v>
      </c>
      <c r="PQK1011" s="1302" t="s">
        <v>619</v>
      </c>
      <c r="PQL1011" s="1302" t="s">
        <v>619</v>
      </c>
      <c r="PQM1011" s="1302" t="s">
        <v>619</v>
      </c>
      <c r="QAD1011" s="1302" t="s">
        <v>1380</v>
      </c>
      <c r="QAE1011" s="1302">
        <v>-65342</v>
      </c>
      <c r="QAF1011" s="1302" t="s">
        <v>619</v>
      </c>
      <c r="QAG1011" s="1302" t="s">
        <v>619</v>
      </c>
      <c r="QAH1011" s="1302" t="s">
        <v>619</v>
      </c>
      <c r="QAI1011" s="1302" t="s">
        <v>619</v>
      </c>
      <c r="QJZ1011" s="1302" t="s">
        <v>1380</v>
      </c>
      <c r="QKA1011" s="1302">
        <v>-65342</v>
      </c>
      <c r="QKB1011" s="1302" t="s">
        <v>619</v>
      </c>
      <c r="QKC1011" s="1302" t="s">
        <v>619</v>
      </c>
      <c r="QKD1011" s="1302" t="s">
        <v>619</v>
      </c>
      <c r="QKE1011" s="1302" t="s">
        <v>619</v>
      </c>
      <c r="QTV1011" s="1302" t="s">
        <v>1380</v>
      </c>
      <c r="QTW1011" s="1302">
        <v>-65342</v>
      </c>
      <c r="QTX1011" s="1302" t="s">
        <v>619</v>
      </c>
      <c r="QTY1011" s="1302" t="s">
        <v>619</v>
      </c>
      <c r="QTZ1011" s="1302" t="s">
        <v>619</v>
      </c>
      <c r="QUA1011" s="1302" t="s">
        <v>619</v>
      </c>
      <c r="RDR1011" s="1302" t="s">
        <v>1380</v>
      </c>
      <c r="RDS1011" s="1302">
        <v>-65342</v>
      </c>
      <c r="RDT1011" s="1302" t="s">
        <v>619</v>
      </c>
      <c r="RDU1011" s="1302" t="s">
        <v>619</v>
      </c>
      <c r="RDV1011" s="1302" t="s">
        <v>619</v>
      </c>
      <c r="RDW1011" s="1302" t="s">
        <v>619</v>
      </c>
      <c r="RNN1011" s="1302" t="s">
        <v>1380</v>
      </c>
      <c r="RNO1011" s="1302">
        <v>-65342</v>
      </c>
      <c r="RNP1011" s="1302" t="s">
        <v>619</v>
      </c>
      <c r="RNQ1011" s="1302" t="s">
        <v>619</v>
      </c>
      <c r="RNR1011" s="1302" t="s">
        <v>619</v>
      </c>
      <c r="RNS1011" s="1302" t="s">
        <v>619</v>
      </c>
      <c r="RXJ1011" s="1302" t="s">
        <v>1380</v>
      </c>
      <c r="RXK1011" s="1302">
        <v>-65342</v>
      </c>
      <c r="RXL1011" s="1302" t="s">
        <v>619</v>
      </c>
      <c r="RXM1011" s="1302" t="s">
        <v>619</v>
      </c>
      <c r="RXN1011" s="1302" t="s">
        <v>619</v>
      </c>
      <c r="RXO1011" s="1302" t="s">
        <v>619</v>
      </c>
      <c r="SHF1011" s="1302" t="s">
        <v>1380</v>
      </c>
      <c r="SHG1011" s="1302">
        <v>-65342</v>
      </c>
      <c r="SHH1011" s="1302" t="s">
        <v>619</v>
      </c>
      <c r="SHI1011" s="1302" t="s">
        <v>619</v>
      </c>
      <c r="SHJ1011" s="1302" t="s">
        <v>619</v>
      </c>
      <c r="SHK1011" s="1302" t="s">
        <v>619</v>
      </c>
      <c r="SRB1011" s="1302" t="s">
        <v>1380</v>
      </c>
      <c r="SRC1011" s="1302">
        <v>-65342</v>
      </c>
      <c r="SRD1011" s="1302" t="s">
        <v>619</v>
      </c>
      <c r="SRE1011" s="1302" t="s">
        <v>619</v>
      </c>
      <c r="SRF1011" s="1302" t="s">
        <v>619</v>
      </c>
      <c r="SRG1011" s="1302" t="s">
        <v>619</v>
      </c>
      <c r="TAX1011" s="1302" t="s">
        <v>1380</v>
      </c>
      <c r="TAY1011" s="1302">
        <v>-65342</v>
      </c>
      <c r="TAZ1011" s="1302" t="s">
        <v>619</v>
      </c>
      <c r="TBA1011" s="1302" t="s">
        <v>619</v>
      </c>
      <c r="TBB1011" s="1302" t="s">
        <v>619</v>
      </c>
      <c r="TBC1011" s="1302" t="s">
        <v>619</v>
      </c>
      <c r="TKT1011" s="1302" t="s">
        <v>1380</v>
      </c>
      <c r="TKU1011" s="1302">
        <v>-65342</v>
      </c>
      <c r="TKV1011" s="1302" t="s">
        <v>619</v>
      </c>
      <c r="TKW1011" s="1302" t="s">
        <v>619</v>
      </c>
      <c r="TKX1011" s="1302" t="s">
        <v>619</v>
      </c>
      <c r="TKY1011" s="1302" t="s">
        <v>619</v>
      </c>
      <c r="TUP1011" s="1302" t="s">
        <v>1380</v>
      </c>
      <c r="TUQ1011" s="1302">
        <v>-65342</v>
      </c>
      <c r="TUR1011" s="1302" t="s">
        <v>619</v>
      </c>
      <c r="TUS1011" s="1302" t="s">
        <v>619</v>
      </c>
      <c r="TUT1011" s="1302" t="s">
        <v>619</v>
      </c>
      <c r="TUU1011" s="1302" t="s">
        <v>619</v>
      </c>
      <c r="UEL1011" s="1302" t="s">
        <v>1380</v>
      </c>
      <c r="UEM1011" s="1302">
        <v>-65342</v>
      </c>
      <c r="UEN1011" s="1302" t="s">
        <v>619</v>
      </c>
      <c r="UEO1011" s="1302" t="s">
        <v>619</v>
      </c>
      <c r="UEP1011" s="1302" t="s">
        <v>619</v>
      </c>
      <c r="UEQ1011" s="1302" t="s">
        <v>619</v>
      </c>
      <c r="UOH1011" s="1302" t="s">
        <v>1380</v>
      </c>
      <c r="UOI1011" s="1302">
        <v>-65342</v>
      </c>
      <c r="UOJ1011" s="1302" t="s">
        <v>619</v>
      </c>
      <c r="UOK1011" s="1302" t="s">
        <v>619</v>
      </c>
      <c r="UOL1011" s="1302" t="s">
        <v>619</v>
      </c>
      <c r="UOM1011" s="1302" t="s">
        <v>619</v>
      </c>
      <c r="UYD1011" s="1302" t="s">
        <v>1380</v>
      </c>
      <c r="UYE1011" s="1302">
        <v>-65342</v>
      </c>
      <c r="UYF1011" s="1302" t="s">
        <v>619</v>
      </c>
      <c r="UYG1011" s="1302" t="s">
        <v>619</v>
      </c>
      <c r="UYH1011" s="1302" t="s">
        <v>619</v>
      </c>
      <c r="UYI1011" s="1302" t="s">
        <v>619</v>
      </c>
      <c r="VHZ1011" s="1302" t="s">
        <v>1380</v>
      </c>
      <c r="VIA1011" s="1302">
        <v>-65342</v>
      </c>
      <c r="VIB1011" s="1302" t="s">
        <v>619</v>
      </c>
      <c r="VIC1011" s="1302" t="s">
        <v>619</v>
      </c>
      <c r="VID1011" s="1302" t="s">
        <v>619</v>
      </c>
      <c r="VIE1011" s="1302" t="s">
        <v>619</v>
      </c>
      <c r="VRV1011" s="1302" t="s">
        <v>1380</v>
      </c>
      <c r="VRW1011" s="1302">
        <v>-65342</v>
      </c>
      <c r="VRX1011" s="1302" t="s">
        <v>619</v>
      </c>
      <c r="VRY1011" s="1302" t="s">
        <v>619</v>
      </c>
      <c r="VRZ1011" s="1302" t="s">
        <v>619</v>
      </c>
      <c r="VSA1011" s="1302" t="s">
        <v>619</v>
      </c>
      <c r="WBR1011" s="1302" t="s">
        <v>1380</v>
      </c>
      <c r="WBS1011" s="1302">
        <v>-65342</v>
      </c>
      <c r="WBT1011" s="1302" t="s">
        <v>619</v>
      </c>
      <c r="WBU1011" s="1302" t="s">
        <v>619</v>
      </c>
      <c r="WBV1011" s="1302" t="s">
        <v>619</v>
      </c>
      <c r="WBW1011" s="1302" t="s">
        <v>619</v>
      </c>
      <c r="WLN1011" s="1302" t="s">
        <v>1380</v>
      </c>
      <c r="WLO1011" s="1302">
        <v>-65342</v>
      </c>
      <c r="WLP1011" s="1302" t="s">
        <v>619</v>
      </c>
      <c r="WLQ1011" s="1302" t="s">
        <v>619</v>
      </c>
      <c r="WLR1011" s="1302" t="s">
        <v>619</v>
      </c>
      <c r="WLS1011" s="1302" t="s">
        <v>619</v>
      </c>
      <c r="WVJ1011" s="1302" t="s">
        <v>1380</v>
      </c>
      <c r="WVK1011" s="1302">
        <v>-65342</v>
      </c>
      <c r="WVL1011" s="1302" t="s">
        <v>619</v>
      </c>
      <c r="WVM1011" s="1302" t="s">
        <v>619</v>
      </c>
      <c r="WVN1011" s="1302" t="s">
        <v>619</v>
      </c>
      <c r="WVO1011" s="1302" t="s">
        <v>619</v>
      </c>
    </row>
    <row r="1012" spans="1:775 1026:1799 2050:2823 3074:3847 4098:4871 5122:5895 6146:6919 7170:7943 8194:8967 9218:9991 10242:11015 11266:12039 12290:13063 13314:14087 14338:15111 15362:16135" s="1800" customFormat="1" ht="14.5" thickBot="1">
      <c r="A1012" s="1799" t="s">
        <v>1381</v>
      </c>
      <c r="B1012" s="1800" t="s">
        <v>807</v>
      </c>
      <c r="C1012" s="1801">
        <v>34066</v>
      </c>
      <c r="D1012" s="1802">
        <v>0</v>
      </c>
      <c r="E1012" s="1802">
        <v>0</v>
      </c>
      <c r="F1012" s="1801">
        <v>50000</v>
      </c>
      <c r="G1012" s="1802">
        <v>0</v>
      </c>
      <c r="H1012" s="1802"/>
      <c r="IX1012" s="1800" t="s">
        <v>1381</v>
      </c>
      <c r="IY1012" s="1800">
        <v>34066</v>
      </c>
      <c r="IZ1012" s="1800" t="s">
        <v>619</v>
      </c>
      <c r="JA1012" s="1800" t="s">
        <v>619</v>
      </c>
      <c r="JB1012" s="1800">
        <v>50000</v>
      </c>
      <c r="JC1012" s="1800" t="s">
        <v>619</v>
      </c>
      <c r="ST1012" s="1800" t="s">
        <v>1381</v>
      </c>
      <c r="SU1012" s="1800">
        <v>34066</v>
      </c>
      <c r="SV1012" s="1800" t="s">
        <v>619</v>
      </c>
      <c r="SW1012" s="1800" t="s">
        <v>619</v>
      </c>
      <c r="SX1012" s="1800">
        <v>50000</v>
      </c>
      <c r="SY1012" s="1800" t="s">
        <v>619</v>
      </c>
      <c r="ACP1012" s="1800" t="s">
        <v>1381</v>
      </c>
      <c r="ACQ1012" s="1800">
        <v>34066</v>
      </c>
      <c r="ACR1012" s="1800" t="s">
        <v>619</v>
      </c>
      <c r="ACS1012" s="1800" t="s">
        <v>619</v>
      </c>
      <c r="ACT1012" s="1800">
        <v>50000</v>
      </c>
      <c r="ACU1012" s="1800" t="s">
        <v>619</v>
      </c>
      <c r="AML1012" s="1800" t="s">
        <v>1381</v>
      </c>
      <c r="AMM1012" s="1800">
        <v>34066</v>
      </c>
      <c r="AMN1012" s="1800" t="s">
        <v>619</v>
      </c>
      <c r="AMO1012" s="1800" t="s">
        <v>619</v>
      </c>
      <c r="AMP1012" s="1800">
        <v>50000</v>
      </c>
      <c r="AMQ1012" s="1800" t="s">
        <v>619</v>
      </c>
      <c r="AWH1012" s="1800" t="s">
        <v>1381</v>
      </c>
      <c r="AWI1012" s="1800">
        <v>34066</v>
      </c>
      <c r="AWJ1012" s="1800" t="s">
        <v>619</v>
      </c>
      <c r="AWK1012" s="1800" t="s">
        <v>619</v>
      </c>
      <c r="AWL1012" s="1800">
        <v>50000</v>
      </c>
      <c r="AWM1012" s="1800" t="s">
        <v>619</v>
      </c>
      <c r="BGD1012" s="1800" t="s">
        <v>1381</v>
      </c>
      <c r="BGE1012" s="1800">
        <v>34066</v>
      </c>
      <c r="BGF1012" s="1800" t="s">
        <v>619</v>
      </c>
      <c r="BGG1012" s="1800" t="s">
        <v>619</v>
      </c>
      <c r="BGH1012" s="1800">
        <v>50000</v>
      </c>
      <c r="BGI1012" s="1800" t="s">
        <v>619</v>
      </c>
      <c r="BPZ1012" s="1800" t="s">
        <v>1381</v>
      </c>
      <c r="BQA1012" s="1800">
        <v>34066</v>
      </c>
      <c r="BQB1012" s="1800" t="s">
        <v>619</v>
      </c>
      <c r="BQC1012" s="1800" t="s">
        <v>619</v>
      </c>
      <c r="BQD1012" s="1800">
        <v>50000</v>
      </c>
      <c r="BQE1012" s="1800" t="s">
        <v>619</v>
      </c>
      <c r="BZV1012" s="1800" t="s">
        <v>1381</v>
      </c>
      <c r="BZW1012" s="1800">
        <v>34066</v>
      </c>
      <c r="BZX1012" s="1800" t="s">
        <v>619</v>
      </c>
      <c r="BZY1012" s="1800" t="s">
        <v>619</v>
      </c>
      <c r="BZZ1012" s="1800">
        <v>50000</v>
      </c>
      <c r="CAA1012" s="1800" t="s">
        <v>619</v>
      </c>
      <c r="CJR1012" s="1800" t="s">
        <v>1381</v>
      </c>
      <c r="CJS1012" s="1800">
        <v>34066</v>
      </c>
      <c r="CJT1012" s="1800" t="s">
        <v>619</v>
      </c>
      <c r="CJU1012" s="1800" t="s">
        <v>619</v>
      </c>
      <c r="CJV1012" s="1800">
        <v>50000</v>
      </c>
      <c r="CJW1012" s="1800" t="s">
        <v>619</v>
      </c>
      <c r="CTN1012" s="1800" t="s">
        <v>1381</v>
      </c>
      <c r="CTO1012" s="1800">
        <v>34066</v>
      </c>
      <c r="CTP1012" s="1800" t="s">
        <v>619</v>
      </c>
      <c r="CTQ1012" s="1800" t="s">
        <v>619</v>
      </c>
      <c r="CTR1012" s="1800">
        <v>50000</v>
      </c>
      <c r="CTS1012" s="1800" t="s">
        <v>619</v>
      </c>
      <c r="DDJ1012" s="1800" t="s">
        <v>1381</v>
      </c>
      <c r="DDK1012" s="1800">
        <v>34066</v>
      </c>
      <c r="DDL1012" s="1800" t="s">
        <v>619</v>
      </c>
      <c r="DDM1012" s="1800" t="s">
        <v>619</v>
      </c>
      <c r="DDN1012" s="1800">
        <v>50000</v>
      </c>
      <c r="DDO1012" s="1800" t="s">
        <v>619</v>
      </c>
      <c r="DNF1012" s="1800" t="s">
        <v>1381</v>
      </c>
      <c r="DNG1012" s="1800">
        <v>34066</v>
      </c>
      <c r="DNH1012" s="1800" t="s">
        <v>619</v>
      </c>
      <c r="DNI1012" s="1800" t="s">
        <v>619</v>
      </c>
      <c r="DNJ1012" s="1800">
        <v>50000</v>
      </c>
      <c r="DNK1012" s="1800" t="s">
        <v>619</v>
      </c>
      <c r="DXB1012" s="1800" t="s">
        <v>1381</v>
      </c>
      <c r="DXC1012" s="1800">
        <v>34066</v>
      </c>
      <c r="DXD1012" s="1800" t="s">
        <v>619</v>
      </c>
      <c r="DXE1012" s="1800" t="s">
        <v>619</v>
      </c>
      <c r="DXF1012" s="1800">
        <v>50000</v>
      </c>
      <c r="DXG1012" s="1800" t="s">
        <v>619</v>
      </c>
      <c r="EGX1012" s="1800" t="s">
        <v>1381</v>
      </c>
      <c r="EGY1012" s="1800">
        <v>34066</v>
      </c>
      <c r="EGZ1012" s="1800" t="s">
        <v>619</v>
      </c>
      <c r="EHA1012" s="1800" t="s">
        <v>619</v>
      </c>
      <c r="EHB1012" s="1800">
        <v>50000</v>
      </c>
      <c r="EHC1012" s="1800" t="s">
        <v>619</v>
      </c>
      <c r="EQT1012" s="1800" t="s">
        <v>1381</v>
      </c>
      <c r="EQU1012" s="1800">
        <v>34066</v>
      </c>
      <c r="EQV1012" s="1800" t="s">
        <v>619</v>
      </c>
      <c r="EQW1012" s="1800" t="s">
        <v>619</v>
      </c>
      <c r="EQX1012" s="1800">
        <v>50000</v>
      </c>
      <c r="EQY1012" s="1800" t="s">
        <v>619</v>
      </c>
      <c r="FAP1012" s="1800" t="s">
        <v>1381</v>
      </c>
      <c r="FAQ1012" s="1800">
        <v>34066</v>
      </c>
      <c r="FAR1012" s="1800" t="s">
        <v>619</v>
      </c>
      <c r="FAS1012" s="1800" t="s">
        <v>619</v>
      </c>
      <c r="FAT1012" s="1800">
        <v>50000</v>
      </c>
      <c r="FAU1012" s="1800" t="s">
        <v>619</v>
      </c>
      <c r="FKL1012" s="1800" t="s">
        <v>1381</v>
      </c>
      <c r="FKM1012" s="1800">
        <v>34066</v>
      </c>
      <c r="FKN1012" s="1800" t="s">
        <v>619</v>
      </c>
      <c r="FKO1012" s="1800" t="s">
        <v>619</v>
      </c>
      <c r="FKP1012" s="1800">
        <v>50000</v>
      </c>
      <c r="FKQ1012" s="1800" t="s">
        <v>619</v>
      </c>
      <c r="FUH1012" s="1800" t="s">
        <v>1381</v>
      </c>
      <c r="FUI1012" s="1800">
        <v>34066</v>
      </c>
      <c r="FUJ1012" s="1800" t="s">
        <v>619</v>
      </c>
      <c r="FUK1012" s="1800" t="s">
        <v>619</v>
      </c>
      <c r="FUL1012" s="1800">
        <v>50000</v>
      </c>
      <c r="FUM1012" s="1800" t="s">
        <v>619</v>
      </c>
      <c r="GED1012" s="1800" t="s">
        <v>1381</v>
      </c>
      <c r="GEE1012" s="1800">
        <v>34066</v>
      </c>
      <c r="GEF1012" s="1800" t="s">
        <v>619</v>
      </c>
      <c r="GEG1012" s="1800" t="s">
        <v>619</v>
      </c>
      <c r="GEH1012" s="1800">
        <v>50000</v>
      </c>
      <c r="GEI1012" s="1800" t="s">
        <v>619</v>
      </c>
      <c r="GNZ1012" s="1800" t="s">
        <v>1381</v>
      </c>
      <c r="GOA1012" s="1800">
        <v>34066</v>
      </c>
      <c r="GOB1012" s="1800" t="s">
        <v>619</v>
      </c>
      <c r="GOC1012" s="1800" t="s">
        <v>619</v>
      </c>
      <c r="GOD1012" s="1800">
        <v>50000</v>
      </c>
      <c r="GOE1012" s="1800" t="s">
        <v>619</v>
      </c>
      <c r="GXV1012" s="1800" t="s">
        <v>1381</v>
      </c>
      <c r="GXW1012" s="1800">
        <v>34066</v>
      </c>
      <c r="GXX1012" s="1800" t="s">
        <v>619</v>
      </c>
      <c r="GXY1012" s="1800" t="s">
        <v>619</v>
      </c>
      <c r="GXZ1012" s="1800">
        <v>50000</v>
      </c>
      <c r="GYA1012" s="1800" t="s">
        <v>619</v>
      </c>
      <c r="HHR1012" s="1800" t="s">
        <v>1381</v>
      </c>
      <c r="HHS1012" s="1800">
        <v>34066</v>
      </c>
      <c r="HHT1012" s="1800" t="s">
        <v>619</v>
      </c>
      <c r="HHU1012" s="1800" t="s">
        <v>619</v>
      </c>
      <c r="HHV1012" s="1800">
        <v>50000</v>
      </c>
      <c r="HHW1012" s="1800" t="s">
        <v>619</v>
      </c>
      <c r="HRN1012" s="1800" t="s">
        <v>1381</v>
      </c>
      <c r="HRO1012" s="1800">
        <v>34066</v>
      </c>
      <c r="HRP1012" s="1800" t="s">
        <v>619</v>
      </c>
      <c r="HRQ1012" s="1800" t="s">
        <v>619</v>
      </c>
      <c r="HRR1012" s="1800">
        <v>50000</v>
      </c>
      <c r="HRS1012" s="1800" t="s">
        <v>619</v>
      </c>
      <c r="IBJ1012" s="1800" t="s">
        <v>1381</v>
      </c>
      <c r="IBK1012" s="1800">
        <v>34066</v>
      </c>
      <c r="IBL1012" s="1800" t="s">
        <v>619</v>
      </c>
      <c r="IBM1012" s="1800" t="s">
        <v>619</v>
      </c>
      <c r="IBN1012" s="1800">
        <v>50000</v>
      </c>
      <c r="IBO1012" s="1800" t="s">
        <v>619</v>
      </c>
      <c r="ILF1012" s="1800" t="s">
        <v>1381</v>
      </c>
      <c r="ILG1012" s="1800">
        <v>34066</v>
      </c>
      <c r="ILH1012" s="1800" t="s">
        <v>619</v>
      </c>
      <c r="ILI1012" s="1800" t="s">
        <v>619</v>
      </c>
      <c r="ILJ1012" s="1800">
        <v>50000</v>
      </c>
      <c r="ILK1012" s="1800" t="s">
        <v>619</v>
      </c>
      <c r="IVB1012" s="1800" t="s">
        <v>1381</v>
      </c>
      <c r="IVC1012" s="1800">
        <v>34066</v>
      </c>
      <c r="IVD1012" s="1800" t="s">
        <v>619</v>
      </c>
      <c r="IVE1012" s="1800" t="s">
        <v>619</v>
      </c>
      <c r="IVF1012" s="1800">
        <v>50000</v>
      </c>
      <c r="IVG1012" s="1800" t="s">
        <v>619</v>
      </c>
      <c r="JEX1012" s="1800" t="s">
        <v>1381</v>
      </c>
      <c r="JEY1012" s="1800">
        <v>34066</v>
      </c>
      <c r="JEZ1012" s="1800" t="s">
        <v>619</v>
      </c>
      <c r="JFA1012" s="1800" t="s">
        <v>619</v>
      </c>
      <c r="JFB1012" s="1800">
        <v>50000</v>
      </c>
      <c r="JFC1012" s="1800" t="s">
        <v>619</v>
      </c>
      <c r="JOT1012" s="1800" t="s">
        <v>1381</v>
      </c>
      <c r="JOU1012" s="1800">
        <v>34066</v>
      </c>
      <c r="JOV1012" s="1800" t="s">
        <v>619</v>
      </c>
      <c r="JOW1012" s="1800" t="s">
        <v>619</v>
      </c>
      <c r="JOX1012" s="1800">
        <v>50000</v>
      </c>
      <c r="JOY1012" s="1800" t="s">
        <v>619</v>
      </c>
      <c r="JYP1012" s="1800" t="s">
        <v>1381</v>
      </c>
      <c r="JYQ1012" s="1800">
        <v>34066</v>
      </c>
      <c r="JYR1012" s="1800" t="s">
        <v>619</v>
      </c>
      <c r="JYS1012" s="1800" t="s">
        <v>619</v>
      </c>
      <c r="JYT1012" s="1800">
        <v>50000</v>
      </c>
      <c r="JYU1012" s="1800" t="s">
        <v>619</v>
      </c>
      <c r="KIL1012" s="1800" t="s">
        <v>1381</v>
      </c>
      <c r="KIM1012" s="1800">
        <v>34066</v>
      </c>
      <c r="KIN1012" s="1800" t="s">
        <v>619</v>
      </c>
      <c r="KIO1012" s="1800" t="s">
        <v>619</v>
      </c>
      <c r="KIP1012" s="1800">
        <v>50000</v>
      </c>
      <c r="KIQ1012" s="1800" t="s">
        <v>619</v>
      </c>
      <c r="KSH1012" s="1800" t="s">
        <v>1381</v>
      </c>
      <c r="KSI1012" s="1800">
        <v>34066</v>
      </c>
      <c r="KSJ1012" s="1800" t="s">
        <v>619</v>
      </c>
      <c r="KSK1012" s="1800" t="s">
        <v>619</v>
      </c>
      <c r="KSL1012" s="1800">
        <v>50000</v>
      </c>
      <c r="KSM1012" s="1800" t="s">
        <v>619</v>
      </c>
      <c r="LCD1012" s="1800" t="s">
        <v>1381</v>
      </c>
      <c r="LCE1012" s="1800">
        <v>34066</v>
      </c>
      <c r="LCF1012" s="1800" t="s">
        <v>619</v>
      </c>
      <c r="LCG1012" s="1800" t="s">
        <v>619</v>
      </c>
      <c r="LCH1012" s="1800">
        <v>50000</v>
      </c>
      <c r="LCI1012" s="1800" t="s">
        <v>619</v>
      </c>
      <c r="LLZ1012" s="1800" t="s">
        <v>1381</v>
      </c>
      <c r="LMA1012" s="1800">
        <v>34066</v>
      </c>
      <c r="LMB1012" s="1800" t="s">
        <v>619</v>
      </c>
      <c r="LMC1012" s="1800" t="s">
        <v>619</v>
      </c>
      <c r="LMD1012" s="1800">
        <v>50000</v>
      </c>
      <c r="LME1012" s="1800" t="s">
        <v>619</v>
      </c>
      <c r="LVV1012" s="1800" t="s">
        <v>1381</v>
      </c>
      <c r="LVW1012" s="1800">
        <v>34066</v>
      </c>
      <c r="LVX1012" s="1800" t="s">
        <v>619</v>
      </c>
      <c r="LVY1012" s="1800" t="s">
        <v>619</v>
      </c>
      <c r="LVZ1012" s="1800">
        <v>50000</v>
      </c>
      <c r="LWA1012" s="1800" t="s">
        <v>619</v>
      </c>
      <c r="MFR1012" s="1800" t="s">
        <v>1381</v>
      </c>
      <c r="MFS1012" s="1800">
        <v>34066</v>
      </c>
      <c r="MFT1012" s="1800" t="s">
        <v>619</v>
      </c>
      <c r="MFU1012" s="1800" t="s">
        <v>619</v>
      </c>
      <c r="MFV1012" s="1800">
        <v>50000</v>
      </c>
      <c r="MFW1012" s="1800" t="s">
        <v>619</v>
      </c>
      <c r="MPN1012" s="1800" t="s">
        <v>1381</v>
      </c>
      <c r="MPO1012" s="1800">
        <v>34066</v>
      </c>
      <c r="MPP1012" s="1800" t="s">
        <v>619</v>
      </c>
      <c r="MPQ1012" s="1800" t="s">
        <v>619</v>
      </c>
      <c r="MPR1012" s="1800">
        <v>50000</v>
      </c>
      <c r="MPS1012" s="1800" t="s">
        <v>619</v>
      </c>
      <c r="MZJ1012" s="1800" t="s">
        <v>1381</v>
      </c>
      <c r="MZK1012" s="1800">
        <v>34066</v>
      </c>
      <c r="MZL1012" s="1800" t="s">
        <v>619</v>
      </c>
      <c r="MZM1012" s="1800" t="s">
        <v>619</v>
      </c>
      <c r="MZN1012" s="1800">
        <v>50000</v>
      </c>
      <c r="MZO1012" s="1800" t="s">
        <v>619</v>
      </c>
      <c r="NJF1012" s="1800" t="s">
        <v>1381</v>
      </c>
      <c r="NJG1012" s="1800">
        <v>34066</v>
      </c>
      <c r="NJH1012" s="1800" t="s">
        <v>619</v>
      </c>
      <c r="NJI1012" s="1800" t="s">
        <v>619</v>
      </c>
      <c r="NJJ1012" s="1800">
        <v>50000</v>
      </c>
      <c r="NJK1012" s="1800" t="s">
        <v>619</v>
      </c>
      <c r="NTB1012" s="1800" t="s">
        <v>1381</v>
      </c>
      <c r="NTC1012" s="1800">
        <v>34066</v>
      </c>
      <c r="NTD1012" s="1800" t="s">
        <v>619</v>
      </c>
      <c r="NTE1012" s="1800" t="s">
        <v>619</v>
      </c>
      <c r="NTF1012" s="1800">
        <v>50000</v>
      </c>
      <c r="NTG1012" s="1800" t="s">
        <v>619</v>
      </c>
      <c r="OCX1012" s="1800" t="s">
        <v>1381</v>
      </c>
      <c r="OCY1012" s="1800">
        <v>34066</v>
      </c>
      <c r="OCZ1012" s="1800" t="s">
        <v>619</v>
      </c>
      <c r="ODA1012" s="1800" t="s">
        <v>619</v>
      </c>
      <c r="ODB1012" s="1800">
        <v>50000</v>
      </c>
      <c r="ODC1012" s="1800" t="s">
        <v>619</v>
      </c>
      <c r="OMT1012" s="1800" t="s">
        <v>1381</v>
      </c>
      <c r="OMU1012" s="1800">
        <v>34066</v>
      </c>
      <c r="OMV1012" s="1800" t="s">
        <v>619</v>
      </c>
      <c r="OMW1012" s="1800" t="s">
        <v>619</v>
      </c>
      <c r="OMX1012" s="1800">
        <v>50000</v>
      </c>
      <c r="OMY1012" s="1800" t="s">
        <v>619</v>
      </c>
      <c r="OWP1012" s="1800" t="s">
        <v>1381</v>
      </c>
      <c r="OWQ1012" s="1800">
        <v>34066</v>
      </c>
      <c r="OWR1012" s="1800" t="s">
        <v>619</v>
      </c>
      <c r="OWS1012" s="1800" t="s">
        <v>619</v>
      </c>
      <c r="OWT1012" s="1800">
        <v>50000</v>
      </c>
      <c r="OWU1012" s="1800" t="s">
        <v>619</v>
      </c>
      <c r="PGL1012" s="1800" t="s">
        <v>1381</v>
      </c>
      <c r="PGM1012" s="1800">
        <v>34066</v>
      </c>
      <c r="PGN1012" s="1800" t="s">
        <v>619</v>
      </c>
      <c r="PGO1012" s="1800" t="s">
        <v>619</v>
      </c>
      <c r="PGP1012" s="1800">
        <v>50000</v>
      </c>
      <c r="PGQ1012" s="1800" t="s">
        <v>619</v>
      </c>
      <c r="PQH1012" s="1800" t="s">
        <v>1381</v>
      </c>
      <c r="PQI1012" s="1800">
        <v>34066</v>
      </c>
      <c r="PQJ1012" s="1800" t="s">
        <v>619</v>
      </c>
      <c r="PQK1012" s="1800" t="s">
        <v>619</v>
      </c>
      <c r="PQL1012" s="1800">
        <v>50000</v>
      </c>
      <c r="PQM1012" s="1800" t="s">
        <v>619</v>
      </c>
      <c r="QAD1012" s="1800" t="s">
        <v>1381</v>
      </c>
      <c r="QAE1012" s="1800">
        <v>34066</v>
      </c>
      <c r="QAF1012" s="1800" t="s">
        <v>619</v>
      </c>
      <c r="QAG1012" s="1800" t="s">
        <v>619</v>
      </c>
      <c r="QAH1012" s="1800">
        <v>50000</v>
      </c>
      <c r="QAI1012" s="1800" t="s">
        <v>619</v>
      </c>
      <c r="QJZ1012" s="1800" t="s">
        <v>1381</v>
      </c>
      <c r="QKA1012" s="1800">
        <v>34066</v>
      </c>
      <c r="QKB1012" s="1800" t="s">
        <v>619</v>
      </c>
      <c r="QKC1012" s="1800" t="s">
        <v>619</v>
      </c>
      <c r="QKD1012" s="1800">
        <v>50000</v>
      </c>
      <c r="QKE1012" s="1800" t="s">
        <v>619</v>
      </c>
      <c r="QTV1012" s="1800" t="s">
        <v>1381</v>
      </c>
      <c r="QTW1012" s="1800">
        <v>34066</v>
      </c>
      <c r="QTX1012" s="1800" t="s">
        <v>619</v>
      </c>
      <c r="QTY1012" s="1800" t="s">
        <v>619</v>
      </c>
      <c r="QTZ1012" s="1800">
        <v>50000</v>
      </c>
      <c r="QUA1012" s="1800" t="s">
        <v>619</v>
      </c>
      <c r="RDR1012" s="1800" t="s">
        <v>1381</v>
      </c>
      <c r="RDS1012" s="1800">
        <v>34066</v>
      </c>
      <c r="RDT1012" s="1800" t="s">
        <v>619</v>
      </c>
      <c r="RDU1012" s="1800" t="s">
        <v>619</v>
      </c>
      <c r="RDV1012" s="1800">
        <v>50000</v>
      </c>
      <c r="RDW1012" s="1800" t="s">
        <v>619</v>
      </c>
      <c r="RNN1012" s="1800" t="s">
        <v>1381</v>
      </c>
      <c r="RNO1012" s="1800">
        <v>34066</v>
      </c>
      <c r="RNP1012" s="1800" t="s">
        <v>619</v>
      </c>
      <c r="RNQ1012" s="1800" t="s">
        <v>619</v>
      </c>
      <c r="RNR1012" s="1800">
        <v>50000</v>
      </c>
      <c r="RNS1012" s="1800" t="s">
        <v>619</v>
      </c>
      <c r="RXJ1012" s="1800" t="s">
        <v>1381</v>
      </c>
      <c r="RXK1012" s="1800">
        <v>34066</v>
      </c>
      <c r="RXL1012" s="1800" t="s">
        <v>619</v>
      </c>
      <c r="RXM1012" s="1800" t="s">
        <v>619</v>
      </c>
      <c r="RXN1012" s="1800">
        <v>50000</v>
      </c>
      <c r="RXO1012" s="1800" t="s">
        <v>619</v>
      </c>
      <c r="SHF1012" s="1800" t="s">
        <v>1381</v>
      </c>
      <c r="SHG1012" s="1800">
        <v>34066</v>
      </c>
      <c r="SHH1012" s="1800" t="s">
        <v>619</v>
      </c>
      <c r="SHI1012" s="1800" t="s">
        <v>619</v>
      </c>
      <c r="SHJ1012" s="1800">
        <v>50000</v>
      </c>
      <c r="SHK1012" s="1800" t="s">
        <v>619</v>
      </c>
      <c r="SRB1012" s="1800" t="s">
        <v>1381</v>
      </c>
      <c r="SRC1012" s="1800">
        <v>34066</v>
      </c>
      <c r="SRD1012" s="1800" t="s">
        <v>619</v>
      </c>
      <c r="SRE1012" s="1800" t="s">
        <v>619</v>
      </c>
      <c r="SRF1012" s="1800">
        <v>50000</v>
      </c>
      <c r="SRG1012" s="1800" t="s">
        <v>619</v>
      </c>
      <c r="TAX1012" s="1800" t="s">
        <v>1381</v>
      </c>
      <c r="TAY1012" s="1800">
        <v>34066</v>
      </c>
      <c r="TAZ1012" s="1800" t="s">
        <v>619</v>
      </c>
      <c r="TBA1012" s="1800" t="s">
        <v>619</v>
      </c>
      <c r="TBB1012" s="1800">
        <v>50000</v>
      </c>
      <c r="TBC1012" s="1800" t="s">
        <v>619</v>
      </c>
      <c r="TKT1012" s="1800" t="s">
        <v>1381</v>
      </c>
      <c r="TKU1012" s="1800">
        <v>34066</v>
      </c>
      <c r="TKV1012" s="1800" t="s">
        <v>619</v>
      </c>
      <c r="TKW1012" s="1800" t="s">
        <v>619</v>
      </c>
      <c r="TKX1012" s="1800">
        <v>50000</v>
      </c>
      <c r="TKY1012" s="1800" t="s">
        <v>619</v>
      </c>
      <c r="TUP1012" s="1800" t="s">
        <v>1381</v>
      </c>
      <c r="TUQ1012" s="1800">
        <v>34066</v>
      </c>
      <c r="TUR1012" s="1800" t="s">
        <v>619</v>
      </c>
      <c r="TUS1012" s="1800" t="s">
        <v>619</v>
      </c>
      <c r="TUT1012" s="1800">
        <v>50000</v>
      </c>
      <c r="TUU1012" s="1800" t="s">
        <v>619</v>
      </c>
      <c r="UEL1012" s="1800" t="s">
        <v>1381</v>
      </c>
      <c r="UEM1012" s="1800">
        <v>34066</v>
      </c>
      <c r="UEN1012" s="1800" t="s">
        <v>619</v>
      </c>
      <c r="UEO1012" s="1800" t="s">
        <v>619</v>
      </c>
      <c r="UEP1012" s="1800">
        <v>50000</v>
      </c>
      <c r="UEQ1012" s="1800" t="s">
        <v>619</v>
      </c>
      <c r="UOH1012" s="1800" t="s">
        <v>1381</v>
      </c>
      <c r="UOI1012" s="1800">
        <v>34066</v>
      </c>
      <c r="UOJ1012" s="1800" t="s">
        <v>619</v>
      </c>
      <c r="UOK1012" s="1800" t="s">
        <v>619</v>
      </c>
      <c r="UOL1012" s="1800">
        <v>50000</v>
      </c>
      <c r="UOM1012" s="1800" t="s">
        <v>619</v>
      </c>
      <c r="UYD1012" s="1800" t="s">
        <v>1381</v>
      </c>
      <c r="UYE1012" s="1800">
        <v>34066</v>
      </c>
      <c r="UYF1012" s="1800" t="s">
        <v>619</v>
      </c>
      <c r="UYG1012" s="1800" t="s">
        <v>619</v>
      </c>
      <c r="UYH1012" s="1800">
        <v>50000</v>
      </c>
      <c r="UYI1012" s="1800" t="s">
        <v>619</v>
      </c>
      <c r="VHZ1012" s="1800" t="s">
        <v>1381</v>
      </c>
      <c r="VIA1012" s="1800">
        <v>34066</v>
      </c>
      <c r="VIB1012" s="1800" t="s">
        <v>619</v>
      </c>
      <c r="VIC1012" s="1800" t="s">
        <v>619</v>
      </c>
      <c r="VID1012" s="1800">
        <v>50000</v>
      </c>
      <c r="VIE1012" s="1800" t="s">
        <v>619</v>
      </c>
      <c r="VRV1012" s="1800" t="s">
        <v>1381</v>
      </c>
      <c r="VRW1012" s="1800">
        <v>34066</v>
      </c>
      <c r="VRX1012" s="1800" t="s">
        <v>619</v>
      </c>
      <c r="VRY1012" s="1800" t="s">
        <v>619</v>
      </c>
      <c r="VRZ1012" s="1800">
        <v>50000</v>
      </c>
      <c r="VSA1012" s="1800" t="s">
        <v>619</v>
      </c>
      <c r="WBR1012" s="1800" t="s">
        <v>1381</v>
      </c>
      <c r="WBS1012" s="1800">
        <v>34066</v>
      </c>
      <c r="WBT1012" s="1800" t="s">
        <v>619</v>
      </c>
      <c r="WBU1012" s="1800" t="s">
        <v>619</v>
      </c>
      <c r="WBV1012" s="1800">
        <v>50000</v>
      </c>
      <c r="WBW1012" s="1800" t="s">
        <v>619</v>
      </c>
      <c r="WLN1012" s="1800" t="s">
        <v>1381</v>
      </c>
      <c r="WLO1012" s="1800">
        <v>34066</v>
      </c>
      <c r="WLP1012" s="1800" t="s">
        <v>619</v>
      </c>
      <c r="WLQ1012" s="1800" t="s">
        <v>619</v>
      </c>
      <c r="WLR1012" s="1800">
        <v>50000</v>
      </c>
      <c r="WLS1012" s="1800" t="s">
        <v>619</v>
      </c>
      <c r="WVJ1012" s="1800" t="s">
        <v>1381</v>
      </c>
      <c r="WVK1012" s="1800">
        <v>34066</v>
      </c>
      <c r="WVL1012" s="1800" t="s">
        <v>619</v>
      </c>
      <c r="WVM1012" s="1800" t="s">
        <v>619</v>
      </c>
      <c r="WVN1012" s="1800">
        <v>50000</v>
      </c>
      <c r="WVO1012" s="1800" t="s">
        <v>619</v>
      </c>
    </row>
    <row r="1013" spans="1:775 1026:1799 2050:2823 3074:3847 4098:4871 5122:5895 6146:6919 7170:7943 8194:8967 9218:9991 10242:11015 11266:12039 12290:13063 13314:14087 14338:15111 15362:16135">
      <c r="A1013" s="96" t="s">
        <v>813</v>
      </c>
      <c r="C1013" s="100">
        <v>-7940843</v>
      </c>
      <c r="D1013" s="100">
        <v>3382069</v>
      </c>
      <c r="E1013" s="100">
        <v>-5071060</v>
      </c>
      <c r="F1013" s="100">
        <v>-39764704</v>
      </c>
      <c r="G1013" s="100">
        <v>10385017</v>
      </c>
      <c r="H1013" s="100"/>
      <c r="IX1013" t="s">
        <v>813</v>
      </c>
      <c r="IY1013">
        <v>-7940843</v>
      </c>
      <c r="IZ1013">
        <v>3382069</v>
      </c>
      <c r="JA1013">
        <v>-5071060</v>
      </c>
      <c r="JB1013">
        <v>-39764704</v>
      </c>
      <c r="JC1013">
        <v>10385017</v>
      </c>
      <c r="ST1013" t="s">
        <v>813</v>
      </c>
      <c r="SU1013">
        <v>-7940843</v>
      </c>
      <c r="SV1013">
        <v>3382069</v>
      </c>
      <c r="SW1013">
        <v>-5071060</v>
      </c>
      <c r="SX1013">
        <v>-39764704</v>
      </c>
      <c r="SY1013">
        <v>10385017</v>
      </c>
      <c r="ACP1013" t="s">
        <v>813</v>
      </c>
      <c r="ACQ1013">
        <v>-7940843</v>
      </c>
      <c r="ACR1013">
        <v>3382069</v>
      </c>
      <c r="ACS1013">
        <v>-5071060</v>
      </c>
      <c r="ACT1013">
        <v>-39764704</v>
      </c>
      <c r="ACU1013">
        <v>10385017</v>
      </c>
      <c r="AML1013" t="s">
        <v>813</v>
      </c>
      <c r="AMM1013">
        <v>-7940843</v>
      </c>
      <c r="AMN1013">
        <v>3382069</v>
      </c>
      <c r="AMO1013">
        <v>-5071060</v>
      </c>
      <c r="AMP1013">
        <v>-39764704</v>
      </c>
      <c r="AMQ1013">
        <v>10385017</v>
      </c>
      <c r="AWH1013" t="s">
        <v>813</v>
      </c>
      <c r="AWI1013">
        <v>-7940843</v>
      </c>
      <c r="AWJ1013">
        <v>3382069</v>
      </c>
      <c r="AWK1013">
        <v>-5071060</v>
      </c>
      <c r="AWL1013">
        <v>-39764704</v>
      </c>
      <c r="AWM1013">
        <v>10385017</v>
      </c>
      <c r="BGD1013" t="s">
        <v>813</v>
      </c>
      <c r="BGE1013">
        <v>-7940843</v>
      </c>
      <c r="BGF1013">
        <v>3382069</v>
      </c>
      <c r="BGG1013">
        <v>-5071060</v>
      </c>
      <c r="BGH1013">
        <v>-39764704</v>
      </c>
      <c r="BGI1013">
        <v>10385017</v>
      </c>
      <c r="BPZ1013" t="s">
        <v>813</v>
      </c>
      <c r="BQA1013">
        <v>-7940843</v>
      </c>
      <c r="BQB1013">
        <v>3382069</v>
      </c>
      <c r="BQC1013">
        <v>-5071060</v>
      </c>
      <c r="BQD1013">
        <v>-39764704</v>
      </c>
      <c r="BQE1013">
        <v>10385017</v>
      </c>
      <c r="BZV1013" t="s">
        <v>813</v>
      </c>
      <c r="BZW1013">
        <v>-7940843</v>
      </c>
      <c r="BZX1013">
        <v>3382069</v>
      </c>
      <c r="BZY1013">
        <v>-5071060</v>
      </c>
      <c r="BZZ1013">
        <v>-39764704</v>
      </c>
      <c r="CAA1013">
        <v>10385017</v>
      </c>
      <c r="CJR1013" t="s">
        <v>813</v>
      </c>
      <c r="CJS1013">
        <v>-7940843</v>
      </c>
      <c r="CJT1013">
        <v>3382069</v>
      </c>
      <c r="CJU1013">
        <v>-5071060</v>
      </c>
      <c r="CJV1013">
        <v>-39764704</v>
      </c>
      <c r="CJW1013">
        <v>10385017</v>
      </c>
      <c r="CTN1013" t="s">
        <v>813</v>
      </c>
      <c r="CTO1013">
        <v>-7940843</v>
      </c>
      <c r="CTP1013">
        <v>3382069</v>
      </c>
      <c r="CTQ1013">
        <v>-5071060</v>
      </c>
      <c r="CTR1013">
        <v>-39764704</v>
      </c>
      <c r="CTS1013">
        <v>10385017</v>
      </c>
      <c r="DDJ1013" t="s">
        <v>813</v>
      </c>
      <c r="DDK1013">
        <v>-7940843</v>
      </c>
      <c r="DDL1013">
        <v>3382069</v>
      </c>
      <c r="DDM1013">
        <v>-5071060</v>
      </c>
      <c r="DDN1013">
        <v>-39764704</v>
      </c>
      <c r="DDO1013">
        <v>10385017</v>
      </c>
      <c r="DNF1013" t="s">
        <v>813</v>
      </c>
      <c r="DNG1013">
        <v>-7940843</v>
      </c>
      <c r="DNH1013">
        <v>3382069</v>
      </c>
      <c r="DNI1013">
        <v>-5071060</v>
      </c>
      <c r="DNJ1013">
        <v>-39764704</v>
      </c>
      <c r="DNK1013">
        <v>10385017</v>
      </c>
      <c r="DXB1013" t="s">
        <v>813</v>
      </c>
      <c r="DXC1013">
        <v>-7940843</v>
      </c>
      <c r="DXD1013">
        <v>3382069</v>
      </c>
      <c r="DXE1013">
        <v>-5071060</v>
      </c>
      <c r="DXF1013">
        <v>-39764704</v>
      </c>
      <c r="DXG1013">
        <v>10385017</v>
      </c>
      <c r="EGX1013" t="s">
        <v>813</v>
      </c>
      <c r="EGY1013">
        <v>-7940843</v>
      </c>
      <c r="EGZ1013">
        <v>3382069</v>
      </c>
      <c r="EHA1013">
        <v>-5071060</v>
      </c>
      <c r="EHB1013">
        <v>-39764704</v>
      </c>
      <c r="EHC1013">
        <v>10385017</v>
      </c>
      <c r="EQT1013" t="s">
        <v>813</v>
      </c>
      <c r="EQU1013">
        <v>-7940843</v>
      </c>
      <c r="EQV1013">
        <v>3382069</v>
      </c>
      <c r="EQW1013">
        <v>-5071060</v>
      </c>
      <c r="EQX1013">
        <v>-39764704</v>
      </c>
      <c r="EQY1013">
        <v>10385017</v>
      </c>
      <c r="FAP1013" t="s">
        <v>813</v>
      </c>
      <c r="FAQ1013">
        <v>-7940843</v>
      </c>
      <c r="FAR1013">
        <v>3382069</v>
      </c>
      <c r="FAS1013">
        <v>-5071060</v>
      </c>
      <c r="FAT1013">
        <v>-39764704</v>
      </c>
      <c r="FAU1013">
        <v>10385017</v>
      </c>
      <c r="FKL1013" t="s">
        <v>813</v>
      </c>
      <c r="FKM1013">
        <v>-7940843</v>
      </c>
      <c r="FKN1013">
        <v>3382069</v>
      </c>
      <c r="FKO1013">
        <v>-5071060</v>
      </c>
      <c r="FKP1013">
        <v>-39764704</v>
      </c>
      <c r="FKQ1013">
        <v>10385017</v>
      </c>
      <c r="FUH1013" t="s">
        <v>813</v>
      </c>
      <c r="FUI1013">
        <v>-7940843</v>
      </c>
      <c r="FUJ1013">
        <v>3382069</v>
      </c>
      <c r="FUK1013">
        <v>-5071060</v>
      </c>
      <c r="FUL1013">
        <v>-39764704</v>
      </c>
      <c r="FUM1013">
        <v>10385017</v>
      </c>
      <c r="GED1013" t="s">
        <v>813</v>
      </c>
      <c r="GEE1013">
        <v>-7940843</v>
      </c>
      <c r="GEF1013">
        <v>3382069</v>
      </c>
      <c r="GEG1013">
        <v>-5071060</v>
      </c>
      <c r="GEH1013">
        <v>-39764704</v>
      </c>
      <c r="GEI1013">
        <v>10385017</v>
      </c>
      <c r="GNZ1013" t="s">
        <v>813</v>
      </c>
      <c r="GOA1013">
        <v>-7940843</v>
      </c>
      <c r="GOB1013">
        <v>3382069</v>
      </c>
      <c r="GOC1013">
        <v>-5071060</v>
      </c>
      <c r="GOD1013">
        <v>-39764704</v>
      </c>
      <c r="GOE1013">
        <v>10385017</v>
      </c>
      <c r="GXV1013" t="s">
        <v>813</v>
      </c>
      <c r="GXW1013">
        <v>-7940843</v>
      </c>
      <c r="GXX1013">
        <v>3382069</v>
      </c>
      <c r="GXY1013">
        <v>-5071060</v>
      </c>
      <c r="GXZ1013">
        <v>-39764704</v>
      </c>
      <c r="GYA1013">
        <v>10385017</v>
      </c>
      <c r="HHR1013" t="s">
        <v>813</v>
      </c>
      <c r="HHS1013">
        <v>-7940843</v>
      </c>
      <c r="HHT1013">
        <v>3382069</v>
      </c>
      <c r="HHU1013">
        <v>-5071060</v>
      </c>
      <c r="HHV1013">
        <v>-39764704</v>
      </c>
      <c r="HHW1013">
        <v>10385017</v>
      </c>
      <c r="HRN1013" t="s">
        <v>813</v>
      </c>
      <c r="HRO1013">
        <v>-7940843</v>
      </c>
      <c r="HRP1013">
        <v>3382069</v>
      </c>
      <c r="HRQ1013">
        <v>-5071060</v>
      </c>
      <c r="HRR1013">
        <v>-39764704</v>
      </c>
      <c r="HRS1013">
        <v>10385017</v>
      </c>
      <c r="IBJ1013" t="s">
        <v>813</v>
      </c>
      <c r="IBK1013">
        <v>-7940843</v>
      </c>
      <c r="IBL1013">
        <v>3382069</v>
      </c>
      <c r="IBM1013">
        <v>-5071060</v>
      </c>
      <c r="IBN1013">
        <v>-39764704</v>
      </c>
      <c r="IBO1013">
        <v>10385017</v>
      </c>
      <c r="ILF1013" t="s">
        <v>813</v>
      </c>
      <c r="ILG1013">
        <v>-7940843</v>
      </c>
      <c r="ILH1013">
        <v>3382069</v>
      </c>
      <c r="ILI1013">
        <v>-5071060</v>
      </c>
      <c r="ILJ1013">
        <v>-39764704</v>
      </c>
      <c r="ILK1013">
        <v>10385017</v>
      </c>
      <c r="IVB1013" t="s">
        <v>813</v>
      </c>
      <c r="IVC1013">
        <v>-7940843</v>
      </c>
      <c r="IVD1013">
        <v>3382069</v>
      </c>
      <c r="IVE1013">
        <v>-5071060</v>
      </c>
      <c r="IVF1013">
        <v>-39764704</v>
      </c>
      <c r="IVG1013">
        <v>10385017</v>
      </c>
      <c r="JEX1013" t="s">
        <v>813</v>
      </c>
      <c r="JEY1013">
        <v>-7940843</v>
      </c>
      <c r="JEZ1013">
        <v>3382069</v>
      </c>
      <c r="JFA1013">
        <v>-5071060</v>
      </c>
      <c r="JFB1013">
        <v>-39764704</v>
      </c>
      <c r="JFC1013">
        <v>10385017</v>
      </c>
      <c r="JOT1013" t="s">
        <v>813</v>
      </c>
      <c r="JOU1013">
        <v>-7940843</v>
      </c>
      <c r="JOV1013">
        <v>3382069</v>
      </c>
      <c r="JOW1013">
        <v>-5071060</v>
      </c>
      <c r="JOX1013">
        <v>-39764704</v>
      </c>
      <c r="JOY1013">
        <v>10385017</v>
      </c>
      <c r="JYP1013" t="s">
        <v>813</v>
      </c>
      <c r="JYQ1013">
        <v>-7940843</v>
      </c>
      <c r="JYR1013">
        <v>3382069</v>
      </c>
      <c r="JYS1013">
        <v>-5071060</v>
      </c>
      <c r="JYT1013">
        <v>-39764704</v>
      </c>
      <c r="JYU1013">
        <v>10385017</v>
      </c>
      <c r="KIL1013" t="s">
        <v>813</v>
      </c>
      <c r="KIM1013">
        <v>-7940843</v>
      </c>
      <c r="KIN1013">
        <v>3382069</v>
      </c>
      <c r="KIO1013">
        <v>-5071060</v>
      </c>
      <c r="KIP1013">
        <v>-39764704</v>
      </c>
      <c r="KIQ1013">
        <v>10385017</v>
      </c>
      <c r="KSH1013" t="s">
        <v>813</v>
      </c>
      <c r="KSI1013">
        <v>-7940843</v>
      </c>
      <c r="KSJ1013">
        <v>3382069</v>
      </c>
      <c r="KSK1013">
        <v>-5071060</v>
      </c>
      <c r="KSL1013">
        <v>-39764704</v>
      </c>
      <c r="KSM1013">
        <v>10385017</v>
      </c>
      <c r="LCD1013" t="s">
        <v>813</v>
      </c>
      <c r="LCE1013">
        <v>-7940843</v>
      </c>
      <c r="LCF1013">
        <v>3382069</v>
      </c>
      <c r="LCG1013">
        <v>-5071060</v>
      </c>
      <c r="LCH1013">
        <v>-39764704</v>
      </c>
      <c r="LCI1013">
        <v>10385017</v>
      </c>
      <c r="LLZ1013" t="s">
        <v>813</v>
      </c>
      <c r="LMA1013">
        <v>-7940843</v>
      </c>
      <c r="LMB1013">
        <v>3382069</v>
      </c>
      <c r="LMC1013">
        <v>-5071060</v>
      </c>
      <c r="LMD1013">
        <v>-39764704</v>
      </c>
      <c r="LME1013">
        <v>10385017</v>
      </c>
      <c r="LVV1013" t="s">
        <v>813</v>
      </c>
      <c r="LVW1013">
        <v>-7940843</v>
      </c>
      <c r="LVX1013">
        <v>3382069</v>
      </c>
      <c r="LVY1013">
        <v>-5071060</v>
      </c>
      <c r="LVZ1013">
        <v>-39764704</v>
      </c>
      <c r="LWA1013">
        <v>10385017</v>
      </c>
      <c r="MFR1013" t="s">
        <v>813</v>
      </c>
      <c r="MFS1013">
        <v>-7940843</v>
      </c>
      <c r="MFT1013">
        <v>3382069</v>
      </c>
      <c r="MFU1013">
        <v>-5071060</v>
      </c>
      <c r="MFV1013">
        <v>-39764704</v>
      </c>
      <c r="MFW1013">
        <v>10385017</v>
      </c>
      <c r="MPN1013" t="s">
        <v>813</v>
      </c>
      <c r="MPO1013">
        <v>-7940843</v>
      </c>
      <c r="MPP1013">
        <v>3382069</v>
      </c>
      <c r="MPQ1013">
        <v>-5071060</v>
      </c>
      <c r="MPR1013">
        <v>-39764704</v>
      </c>
      <c r="MPS1013">
        <v>10385017</v>
      </c>
      <c r="MZJ1013" t="s">
        <v>813</v>
      </c>
      <c r="MZK1013">
        <v>-7940843</v>
      </c>
      <c r="MZL1013">
        <v>3382069</v>
      </c>
      <c r="MZM1013">
        <v>-5071060</v>
      </c>
      <c r="MZN1013">
        <v>-39764704</v>
      </c>
      <c r="MZO1013">
        <v>10385017</v>
      </c>
      <c r="NJF1013" t="s">
        <v>813</v>
      </c>
      <c r="NJG1013">
        <v>-7940843</v>
      </c>
      <c r="NJH1013">
        <v>3382069</v>
      </c>
      <c r="NJI1013">
        <v>-5071060</v>
      </c>
      <c r="NJJ1013">
        <v>-39764704</v>
      </c>
      <c r="NJK1013">
        <v>10385017</v>
      </c>
      <c r="NTB1013" t="s">
        <v>813</v>
      </c>
      <c r="NTC1013">
        <v>-7940843</v>
      </c>
      <c r="NTD1013">
        <v>3382069</v>
      </c>
      <c r="NTE1013">
        <v>-5071060</v>
      </c>
      <c r="NTF1013">
        <v>-39764704</v>
      </c>
      <c r="NTG1013">
        <v>10385017</v>
      </c>
      <c r="OCX1013" t="s">
        <v>813</v>
      </c>
      <c r="OCY1013">
        <v>-7940843</v>
      </c>
      <c r="OCZ1013">
        <v>3382069</v>
      </c>
      <c r="ODA1013">
        <v>-5071060</v>
      </c>
      <c r="ODB1013">
        <v>-39764704</v>
      </c>
      <c r="ODC1013">
        <v>10385017</v>
      </c>
      <c r="OMT1013" t="s">
        <v>813</v>
      </c>
      <c r="OMU1013">
        <v>-7940843</v>
      </c>
      <c r="OMV1013">
        <v>3382069</v>
      </c>
      <c r="OMW1013">
        <v>-5071060</v>
      </c>
      <c r="OMX1013">
        <v>-39764704</v>
      </c>
      <c r="OMY1013">
        <v>10385017</v>
      </c>
      <c r="OWP1013" t="s">
        <v>813</v>
      </c>
      <c r="OWQ1013">
        <v>-7940843</v>
      </c>
      <c r="OWR1013">
        <v>3382069</v>
      </c>
      <c r="OWS1013">
        <v>-5071060</v>
      </c>
      <c r="OWT1013">
        <v>-39764704</v>
      </c>
      <c r="OWU1013">
        <v>10385017</v>
      </c>
      <c r="PGL1013" t="s">
        <v>813</v>
      </c>
      <c r="PGM1013">
        <v>-7940843</v>
      </c>
      <c r="PGN1013">
        <v>3382069</v>
      </c>
      <c r="PGO1013">
        <v>-5071060</v>
      </c>
      <c r="PGP1013">
        <v>-39764704</v>
      </c>
      <c r="PGQ1013">
        <v>10385017</v>
      </c>
      <c r="PQH1013" t="s">
        <v>813</v>
      </c>
      <c r="PQI1013">
        <v>-7940843</v>
      </c>
      <c r="PQJ1013">
        <v>3382069</v>
      </c>
      <c r="PQK1013">
        <v>-5071060</v>
      </c>
      <c r="PQL1013">
        <v>-39764704</v>
      </c>
      <c r="PQM1013">
        <v>10385017</v>
      </c>
      <c r="QAD1013" t="s">
        <v>813</v>
      </c>
      <c r="QAE1013">
        <v>-7940843</v>
      </c>
      <c r="QAF1013">
        <v>3382069</v>
      </c>
      <c r="QAG1013">
        <v>-5071060</v>
      </c>
      <c r="QAH1013">
        <v>-39764704</v>
      </c>
      <c r="QAI1013">
        <v>10385017</v>
      </c>
      <c r="QJZ1013" t="s">
        <v>813</v>
      </c>
      <c r="QKA1013">
        <v>-7940843</v>
      </c>
      <c r="QKB1013">
        <v>3382069</v>
      </c>
      <c r="QKC1013">
        <v>-5071060</v>
      </c>
      <c r="QKD1013">
        <v>-39764704</v>
      </c>
      <c r="QKE1013">
        <v>10385017</v>
      </c>
      <c r="QTV1013" t="s">
        <v>813</v>
      </c>
      <c r="QTW1013">
        <v>-7940843</v>
      </c>
      <c r="QTX1013">
        <v>3382069</v>
      </c>
      <c r="QTY1013">
        <v>-5071060</v>
      </c>
      <c r="QTZ1013">
        <v>-39764704</v>
      </c>
      <c r="QUA1013">
        <v>10385017</v>
      </c>
      <c r="RDR1013" t="s">
        <v>813</v>
      </c>
      <c r="RDS1013">
        <v>-7940843</v>
      </c>
      <c r="RDT1013">
        <v>3382069</v>
      </c>
      <c r="RDU1013">
        <v>-5071060</v>
      </c>
      <c r="RDV1013">
        <v>-39764704</v>
      </c>
      <c r="RDW1013">
        <v>10385017</v>
      </c>
      <c r="RNN1013" t="s">
        <v>813</v>
      </c>
      <c r="RNO1013">
        <v>-7940843</v>
      </c>
      <c r="RNP1013">
        <v>3382069</v>
      </c>
      <c r="RNQ1013">
        <v>-5071060</v>
      </c>
      <c r="RNR1013">
        <v>-39764704</v>
      </c>
      <c r="RNS1013">
        <v>10385017</v>
      </c>
      <c r="RXJ1013" t="s">
        <v>813</v>
      </c>
      <c r="RXK1013">
        <v>-7940843</v>
      </c>
      <c r="RXL1013">
        <v>3382069</v>
      </c>
      <c r="RXM1013">
        <v>-5071060</v>
      </c>
      <c r="RXN1013">
        <v>-39764704</v>
      </c>
      <c r="RXO1013">
        <v>10385017</v>
      </c>
      <c r="SHF1013" t="s">
        <v>813</v>
      </c>
      <c r="SHG1013">
        <v>-7940843</v>
      </c>
      <c r="SHH1013">
        <v>3382069</v>
      </c>
      <c r="SHI1013">
        <v>-5071060</v>
      </c>
      <c r="SHJ1013">
        <v>-39764704</v>
      </c>
      <c r="SHK1013">
        <v>10385017</v>
      </c>
      <c r="SRB1013" t="s">
        <v>813</v>
      </c>
      <c r="SRC1013">
        <v>-7940843</v>
      </c>
      <c r="SRD1013">
        <v>3382069</v>
      </c>
      <c r="SRE1013">
        <v>-5071060</v>
      </c>
      <c r="SRF1013">
        <v>-39764704</v>
      </c>
      <c r="SRG1013">
        <v>10385017</v>
      </c>
      <c r="TAX1013" t="s">
        <v>813</v>
      </c>
      <c r="TAY1013">
        <v>-7940843</v>
      </c>
      <c r="TAZ1013">
        <v>3382069</v>
      </c>
      <c r="TBA1013">
        <v>-5071060</v>
      </c>
      <c r="TBB1013">
        <v>-39764704</v>
      </c>
      <c r="TBC1013">
        <v>10385017</v>
      </c>
      <c r="TKT1013" t="s">
        <v>813</v>
      </c>
      <c r="TKU1013">
        <v>-7940843</v>
      </c>
      <c r="TKV1013">
        <v>3382069</v>
      </c>
      <c r="TKW1013">
        <v>-5071060</v>
      </c>
      <c r="TKX1013">
        <v>-39764704</v>
      </c>
      <c r="TKY1013">
        <v>10385017</v>
      </c>
      <c r="TUP1013" t="s">
        <v>813</v>
      </c>
      <c r="TUQ1013">
        <v>-7940843</v>
      </c>
      <c r="TUR1013">
        <v>3382069</v>
      </c>
      <c r="TUS1013">
        <v>-5071060</v>
      </c>
      <c r="TUT1013">
        <v>-39764704</v>
      </c>
      <c r="TUU1013">
        <v>10385017</v>
      </c>
      <c r="UEL1013" t="s">
        <v>813</v>
      </c>
      <c r="UEM1013">
        <v>-7940843</v>
      </c>
      <c r="UEN1013">
        <v>3382069</v>
      </c>
      <c r="UEO1013">
        <v>-5071060</v>
      </c>
      <c r="UEP1013">
        <v>-39764704</v>
      </c>
      <c r="UEQ1013">
        <v>10385017</v>
      </c>
      <c r="UOH1013" t="s">
        <v>813</v>
      </c>
      <c r="UOI1013">
        <v>-7940843</v>
      </c>
      <c r="UOJ1013">
        <v>3382069</v>
      </c>
      <c r="UOK1013">
        <v>-5071060</v>
      </c>
      <c r="UOL1013">
        <v>-39764704</v>
      </c>
      <c r="UOM1013">
        <v>10385017</v>
      </c>
      <c r="UYD1013" t="s">
        <v>813</v>
      </c>
      <c r="UYE1013">
        <v>-7940843</v>
      </c>
      <c r="UYF1013">
        <v>3382069</v>
      </c>
      <c r="UYG1013">
        <v>-5071060</v>
      </c>
      <c r="UYH1013">
        <v>-39764704</v>
      </c>
      <c r="UYI1013">
        <v>10385017</v>
      </c>
      <c r="VHZ1013" t="s">
        <v>813</v>
      </c>
      <c r="VIA1013">
        <v>-7940843</v>
      </c>
      <c r="VIB1013">
        <v>3382069</v>
      </c>
      <c r="VIC1013">
        <v>-5071060</v>
      </c>
      <c r="VID1013">
        <v>-39764704</v>
      </c>
      <c r="VIE1013">
        <v>10385017</v>
      </c>
      <c r="VRV1013" t="s">
        <v>813</v>
      </c>
      <c r="VRW1013">
        <v>-7940843</v>
      </c>
      <c r="VRX1013">
        <v>3382069</v>
      </c>
      <c r="VRY1013">
        <v>-5071060</v>
      </c>
      <c r="VRZ1013">
        <v>-39764704</v>
      </c>
      <c r="VSA1013">
        <v>10385017</v>
      </c>
      <c r="WBR1013" t="s">
        <v>813</v>
      </c>
      <c r="WBS1013">
        <v>-7940843</v>
      </c>
      <c r="WBT1013">
        <v>3382069</v>
      </c>
      <c r="WBU1013">
        <v>-5071060</v>
      </c>
      <c r="WBV1013">
        <v>-39764704</v>
      </c>
      <c r="WBW1013">
        <v>10385017</v>
      </c>
      <c r="WLN1013" t="s">
        <v>813</v>
      </c>
      <c r="WLO1013">
        <v>-7940843</v>
      </c>
      <c r="WLP1013">
        <v>3382069</v>
      </c>
      <c r="WLQ1013">
        <v>-5071060</v>
      </c>
      <c r="WLR1013">
        <v>-39764704</v>
      </c>
      <c r="WLS1013">
        <v>10385017</v>
      </c>
      <c r="WVJ1013" t="s">
        <v>813</v>
      </c>
      <c r="WVK1013">
        <v>-7940843</v>
      </c>
      <c r="WVL1013">
        <v>3382069</v>
      </c>
      <c r="WVM1013">
        <v>-5071060</v>
      </c>
      <c r="WVN1013">
        <v>-39764704</v>
      </c>
      <c r="WVO1013">
        <v>10385017</v>
      </c>
    </row>
    <row r="1014" spans="1:775 1026:1799 2050:2823 3074:3847 4098:4871 5122:5895 6146:6919 7170:7943 8194:8967 9218:9991 10242:11015 11266:12039 12290:13063 13314:14087 14338:15111 15362:16135">
      <c r="A1014" s="96"/>
      <c r="C1014" s="100"/>
      <c r="D1014" s="100"/>
      <c r="E1014" s="100"/>
      <c r="F1014" s="100"/>
      <c r="G1014" s="100"/>
      <c r="H1014" s="100"/>
    </row>
    <row r="1015" spans="1:775 1026:1799 2050:2823 3074:3847 4098:4871 5122:5895 6146:6919 7170:7943 8194:8967 9218:9991 10242:11015 11266:12039 12290:13063 13314:14087 14338:15111 15362:16135" s="1337" customFormat="1" ht="14.5" thickBot="1">
      <c r="A1015" s="1433" t="s">
        <v>814</v>
      </c>
      <c r="C1015" s="1430"/>
      <c r="D1015" s="1430"/>
      <c r="E1015" s="1430"/>
      <c r="F1015" s="1430"/>
      <c r="G1015" s="1430"/>
      <c r="H1015" s="1430"/>
      <c r="IX1015" s="1337" t="s">
        <v>1382</v>
      </c>
      <c r="ST1015" s="1337" t="s">
        <v>1382</v>
      </c>
      <c r="ACP1015" s="1337" t="s">
        <v>1382</v>
      </c>
      <c r="AML1015" s="1337" t="s">
        <v>1382</v>
      </c>
      <c r="AWH1015" s="1337" t="s">
        <v>1382</v>
      </c>
      <c r="BGD1015" s="1337" t="s">
        <v>1382</v>
      </c>
      <c r="BPZ1015" s="1337" t="s">
        <v>1382</v>
      </c>
      <c r="BZV1015" s="1337" t="s">
        <v>1382</v>
      </c>
      <c r="CJR1015" s="1337" t="s">
        <v>1382</v>
      </c>
      <c r="CTN1015" s="1337" t="s">
        <v>1382</v>
      </c>
      <c r="DDJ1015" s="1337" t="s">
        <v>1382</v>
      </c>
      <c r="DNF1015" s="1337" t="s">
        <v>1382</v>
      </c>
      <c r="DXB1015" s="1337" t="s">
        <v>1382</v>
      </c>
      <c r="EGX1015" s="1337" t="s">
        <v>1382</v>
      </c>
      <c r="EQT1015" s="1337" t="s">
        <v>1382</v>
      </c>
      <c r="FAP1015" s="1337" t="s">
        <v>1382</v>
      </c>
      <c r="FKL1015" s="1337" t="s">
        <v>1382</v>
      </c>
      <c r="FUH1015" s="1337" t="s">
        <v>1382</v>
      </c>
      <c r="GED1015" s="1337" t="s">
        <v>1382</v>
      </c>
      <c r="GNZ1015" s="1337" t="s">
        <v>1382</v>
      </c>
      <c r="GXV1015" s="1337" t="s">
        <v>1382</v>
      </c>
      <c r="HHR1015" s="1337" t="s">
        <v>1382</v>
      </c>
      <c r="HRN1015" s="1337" t="s">
        <v>1382</v>
      </c>
      <c r="IBJ1015" s="1337" t="s">
        <v>1382</v>
      </c>
      <c r="ILF1015" s="1337" t="s">
        <v>1382</v>
      </c>
      <c r="IVB1015" s="1337" t="s">
        <v>1382</v>
      </c>
      <c r="JEX1015" s="1337" t="s">
        <v>1382</v>
      </c>
      <c r="JOT1015" s="1337" t="s">
        <v>1382</v>
      </c>
      <c r="JYP1015" s="1337" t="s">
        <v>1382</v>
      </c>
      <c r="KIL1015" s="1337" t="s">
        <v>1382</v>
      </c>
      <c r="KSH1015" s="1337" t="s">
        <v>1382</v>
      </c>
      <c r="LCD1015" s="1337" t="s">
        <v>1382</v>
      </c>
      <c r="LLZ1015" s="1337" t="s">
        <v>1382</v>
      </c>
      <c r="LVV1015" s="1337" t="s">
        <v>1382</v>
      </c>
      <c r="MFR1015" s="1337" t="s">
        <v>1382</v>
      </c>
      <c r="MPN1015" s="1337" t="s">
        <v>1382</v>
      </c>
      <c r="MZJ1015" s="1337" t="s">
        <v>1382</v>
      </c>
      <c r="NJF1015" s="1337" t="s">
        <v>1382</v>
      </c>
      <c r="NTB1015" s="1337" t="s">
        <v>1382</v>
      </c>
      <c r="OCX1015" s="1337" t="s">
        <v>1382</v>
      </c>
      <c r="OMT1015" s="1337" t="s">
        <v>1382</v>
      </c>
      <c r="OWP1015" s="1337" t="s">
        <v>1382</v>
      </c>
      <c r="PGL1015" s="1337" t="s">
        <v>1382</v>
      </c>
      <c r="PQH1015" s="1337" t="s">
        <v>1382</v>
      </c>
      <c r="QAD1015" s="1337" t="s">
        <v>1382</v>
      </c>
      <c r="QJZ1015" s="1337" t="s">
        <v>1382</v>
      </c>
      <c r="QTV1015" s="1337" t="s">
        <v>1382</v>
      </c>
      <c r="RDR1015" s="1337" t="s">
        <v>1382</v>
      </c>
      <c r="RNN1015" s="1337" t="s">
        <v>1382</v>
      </c>
      <c r="RXJ1015" s="1337" t="s">
        <v>1382</v>
      </c>
      <c r="SHF1015" s="1337" t="s">
        <v>1382</v>
      </c>
      <c r="SRB1015" s="1337" t="s">
        <v>1382</v>
      </c>
      <c r="TAX1015" s="1337" t="s">
        <v>1382</v>
      </c>
      <c r="TKT1015" s="1337" t="s">
        <v>1382</v>
      </c>
      <c r="TUP1015" s="1337" t="s">
        <v>1382</v>
      </c>
      <c r="UEL1015" s="1337" t="s">
        <v>1382</v>
      </c>
      <c r="UOH1015" s="1337" t="s">
        <v>1382</v>
      </c>
      <c r="UYD1015" s="1337" t="s">
        <v>1382</v>
      </c>
      <c r="VHZ1015" s="1337" t="s">
        <v>1382</v>
      </c>
      <c r="VRV1015" s="1337" t="s">
        <v>1382</v>
      </c>
      <c r="WBR1015" s="1337" t="s">
        <v>1382</v>
      </c>
      <c r="WLN1015" s="1337" t="s">
        <v>1382</v>
      </c>
      <c r="WVJ1015" s="1337" t="s">
        <v>1382</v>
      </c>
    </row>
    <row r="1016" spans="1:775 1026:1799 2050:2823 3074:3847 4098:4871 5122:5895 6146:6919 7170:7943 8194:8967 9218:9991 10242:11015 11266:12039 12290:13063 13314:14087 14338:15111 15362:16135">
      <c r="A1016" s="96" t="s">
        <v>1383</v>
      </c>
      <c r="B1016" t="s">
        <v>816</v>
      </c>
      <c r="C1016" s="100">
        <v>82863</v>
      </c>
      <c r="D1016" s="98">
        <v>0</v>
      </c>
      <c r="E1016" s="98">
        <v>0</v>
      </c>
      <c r="F1016" s="98">
        <v>0</v>
      </c>
      <c r="G1016" s="98">
        <v>0</v>
      </c>
      <c r="H1016" s="98"/>
      <c r="IX1016" t="s">
        <v>1383</v>
      </c>
      <c r="IY1016">
        <v>82863</v>
      </c>
      <c r="IZ1016" t="s">
        <v>619</v>
      </c>
      <c r="JA1016" t="s">
        <v>619</v>
      </c>
      <c r="JB1016" t="s">
        <v>619</v>
      </c>
      <c r="JC1016" t="s">
        <v>619</v>
      </c>
      <c r="ST1016" t="s">
        <v>1383</v>
      </c>
      <c r="SU1016">
        <v>82863</v>
      </c>
      <c r="SV1016" t="s">
        <v>619</v>
      </c>
      <c r="SW1016" t="s">
        <v>619</v>
      </c>
      <c r="SX1016" t="s">
        <v>619</v>
      </c>
      <c r="SY1016" t="s">
        <v>619</v>
      </c>
      <c r="ACP1016" t="s">
        <v>1383</v>
      </c>
      <c r="ACQ1016">
        <v>82863</v>
      </c>
      <c r="ACR1016" t="s">
        <v>619</v>
      </c>
      <c r="ACS1016" t="s">
        <v>619</v>
      </c>
      <c r="ACT1016" t="s">
        <v>619</v>
      </c>
      <c r="ACU1016" t="s">
        <v>619</v>
      </c>
      <c r="AML1016" t="s">
        <v>1383</v>
      </c>
      <c r="AMM1016">
        <v>82863</v>
      </c>
      <c r="AMN1016" t="s">
        <v>619</v>
      </c>
      <c r="AMO1016" t="s">
        <v>619</v>
      </c>
      <c r="AMP1016" t="s">
        <v>619</v>
      </c>
      <c r="AMQ1016" t="s">
        <v>619</v>
      </c>
      <c r="AWH1016" t="s">
        <v>1383</v>
      </c>
      <c r="AWI1016">
        <v>82863</v>
      </c>
      <c r="AWJ1016" t="s">
        <v>619</v>
      </c>
      <c r="AWK1016" t="s">
        <v>619</v>
      </c>
      <c r="AWL1016" t="s">
        <v>619</v>
      </c>
      <c r="AWM1016" t="s">
        <v>619</v>
      </c>
      <c r="BGD1016" t="s">
        <v>1383</v>
      </c>
      <c r="BGE1016">
        <v>82863</v>
      </c>
      <c r="BGF1016" t="s">
        <v>619</v>
      </c>
      <c r="BGG1016" t="s">
        <v>619</v>
      </c>
      <c r="BGH1016" t="s">
        <v>619</v>
      </c>
      <c r="BGI1016" t="s">
        <v>619</v>
      </c>
      <c r="BPZ1016" t="s">
        <v>1383</v>
      </c>
      <c r="BQA1016">
        <v>82863</v>
      </c>
      <c r="BQB1016" t="s">
        <v>619</v>
      </c>
      <c r="BQC1016" t="s">
        <v>619</v>
      </c>
      <c r="BQD1016" t="s">
        <v>619</v>
      </c>
      <c r="BQE1016" t="s">
        <v>619</v>
      </c>
      <c r="BZV1016" t="s">
        <v>1383</v>
      </c>
      <c r="BZW1016">
        <v>82863</v>
      </c>
      <c r="BZX1016" t="s">
        <v>619</v>
      </c>
      <c r="BZY1016" t="s">
        <v>619</v>
      </c>
      <c r="BZZ1016" t="s">
        <v>619</v>
      </c>
      <c r="CAA1016" t="s">
        <v>619</v>
      </c>
      <c r="CJR1016" t="s">
        <v>1383</v>
      </c>
      <c r="CJS1016">
        <v>82863</v>
      </c>
      <c r="CJT1016" t="s">
        <v>619</v>
      </c>
      <c r="CJU1016" t="s">
        <v>619</v>
      </c>
      <c r="CJV1016" t="s">
        <v>619</v>
      </c>
      <c r="CJW1016" t="s">
        <v>619</v>
      </c>
      <c r="CTN1016" t="s">
        <v>1383</v>
      </c>
      <c r="CTO1016">
        <v>82863</v>
      </c>
      <c r="CTP1016" t="s">
        <v>619</v>
      </c>
      <c r="CTQ1016" t="s">
        <v>619</v>
      </c>
      <c r="CTR1016" t="s">
        <v>619</v>
      </c>
      <c r="CTS1016" t="s">
        <v>619</v>
      </c>
      <c r="DDJ1016" t="s">
        <v>1383</v>
      </c>
      <c r="DDK1016">
        <v>82863</v>
      </c>
      <c r="DDL1016" t="s">
        <v>619</v>
      </c>
      <c r="DDM1016" t="s">
        <v>619</v>
      </c>
      <c r="DDN1016" t="s">
        <v>619</v>
      </c>
      <c r="DDO1016" t="s">
        <v>619</v>
      </c>
      <c r="DNF1016" t="s">
        <v>1383</v>
      </c>
      <c r="DNG1016">
        <v>82863</v>
      </c>
      <c r="DNH1016" t="s">
        <v>619</v>
      </c>
      <c r="DNI1016" t="s">
        <v>619</v>
      </c>
      <c r="DNJ1016" t="s">
        <v>619</v>
      </c>
      <c r="DNK1016" t="s">
        <v>619</v>
      </c>
      <c r="DXB1016" t="s">
        <v>1383</v>
      </c>
      <c r="DXC1016">
        <v>82863</v>
      </c>
      <c r="DXD1016" t="s">
        <v>619</v>
      </c>
      <c r="DXE1016" t="s">
        <v>619</v>
      </c>
      <c r="DXF1016" t="s">
        <v>619</v>
      </c>
      <c r="DXG1016" t="s">
        <v>619</v>
      </c>
      <c r="EGX1016" t="s">
        <v>1383</v>
      </c>
      <c r="EGY1016">
        <v>82863</v>
      </c>
      <c r="EGZ1016" t="s">
        <v>619</v>
      </c>
      <c r="EHA1016" t="s">
        <v>619</v>
      </c>
      <c r="EHB1016" t="s">
        <v>619</v>
      </c>
      <c r="EHC1016" t="s">
        <v>619</v>
      </c>
      <c r="EQT1016" t="s">
        <v>1383</v>
      </c>
      <c r="EQU1016">
        <v>82863</v>
      </c>
      <c r="EQV1016" t="s">
        <v>619</v>
      </c>
      <c r="EQW1016" t="s">
        <v>619</v>
      </c>
      <c r="EQX1016" t="s">
        <v>619</v>
      </c>
      <c r="EQY1016" t="s">
        <v>619</v>
      </c>
      <c r="FAP1016" t="s">
        <v>1383</v>
      </c>
      <c r="FAQ1016">
        <v>82863</v>
      </c>
      <c r="FAR1016" t="s">
        <v>619</v>
      </c>
      <c r="FAS1016" t="s">
        <v>619</v>
      </c>
      <c r="FAT1016" t="s">
        <v>619</v>
      </c>
      <c r="FAU1016" t="s">
        <v>619</v>
      </c>
      <c r="FKL1016" t="s">
        <v>1383</v>
      </c>
      <c r="FKM1016">
        <v>82863</v>
      </c>
      <c r="FKN1016" t="s">
        <v>619</v>
      </c>
      <c r="FKO1016" t="s">
        <v>619</v>
      </c>
      <c r="FKP1016" t="s">
        <v>619</v>
      </c>
      <c r="FKQ1016" t="s">
        <v>619</v>
      </c>
      <c r="FUH1016" t="s">
        <v>1383</v>
      </c>
      <c r="FUI1016">
        <v>82863</v>
      </c>
      <c r="FUJ1016" t="s">
        <v>619</v>
      </c>
      <c r="FUK1016" t="s">
        <v>619</v>
      </c>
      <c r="FUL1016" t="s">
        <v>619</v>
      </c>
      <c r="FUM1016" t="s">
        <v>619</v>
      </c>
      <c r="GED1016" t="s">
        <v>1383</v>
      </c>
      <c r="GEE1016">
        <v>82863</v>
      </c>
      <c r="GEF1016" t="s">
        <v>619</v>
      </c>
      <c r="GEG1016" t="s">
        <v>619</v>
      </c>
      <c r="GEH1016" t="s">
        <v>619</v>
      </c>
      <c r="GEI1016" t="s">
        <v>619</v>
      </c>
      <c r="GNZ1016" t="s">
        <v>1383</v>
      </c>
      <c r="GOA1016">
        <v>82863</v>
      </c>
      <c r="GOB1016" t="s">
        <v>619</v>
      </c>
      <c r="GOC1016" t="s">
        <v>619</v>
      </c>
      <c r="GOD1016" t="s">
        <v>619</v>
      </c>
      <c r="GOE1016" t="s">
        <v>619</v>
      </c>
      <c r="GXV1016" t="s">
        <v>1383</v>
      </c>
      <c r="GXW1016">
        <v>82863</v>
      </c>
      <c r="GXX1016" t="s">
        <v>619</v>
      </c>
      <c r="GXY1016" t="s">
        <v>619</v>
      </c>
      <c r="GXZ1016" t="s">
        <v>619</v>
      </c>
      <c r="GYA1016" t="s">
        <v>619</v>
      </c>
      <c r="HHR1016" t="s">
        <v>1383</v>
      </c>
      <c r="HHS1016">
        <v>82863</v>
      </c>
      <c r="HHT1016" t="s">
        <v>619</v>
      </c>
      <c r="HHU1016" t="s">
        <v>619</v>
      </c>
      <c r="HHV1016" t="s">
        <v>619</v>
      </c>
      <c r="HHW1016" t="s">
        <v>619</v>
      </c>
      <c r="HRN1016" t="s">
        <v>1383</v>
      </c>
      <c r="HRO1016">
        <v>82863</v>
      </c>
      <c r="HRP1016" t="s">
        <v>619</v>
      </c>
      <c r="HRQ1016" t="s">
        <v>619</v>
      </c>
      <c r="HRR1016" t="s">
        <v>619</v>
      </c>
      <c r="HRS1016" t="s">
        <v>619</v>
      </c>
      <c r="IBJ1016" t="s">
        <v>1383</v>
      </c>
      <c r="IBK1016">
        <v>82863</v>
      </c>
      <c r="IBL1016" t="s">
        <v>619</v>
      </c>
      <c r="IBM1016" t="s">
        <v>619</v>
      </c>
      <c r="IBN1016" t="s">
        <v>619</v>
      </c>
      <c r="IBO1016" t="s">
        <v>619</v>
      </c>
      <c r="ILF1016" t="s">
        <v>1383</v>
      </c>
      <c r="ILG1016">
        <v>82863</v>
      </c>
      <c r="ILH1016" t="s">
        <v>619</v>
      </c>
      <c r="ILI1016" t="s">
        <v>619</v>
      </c>
      <c r="ILJ1016" t="s">
        <v>619</v>
      </c>
      <c r="ILK1016" t="s">
        <v>619</v>
      </c>
      <c r="IVB1016" t="s">
        <v>1383</v>
      </c>
      <c r="IVC1016">
        <v>82863</v>
      </c>
      <c r="IVD1016" t="s">
        <v>619</v>
      </c>
      <c r="IVE1016" t="s">
        <v>619</v>
      </c>
      <c r="IVF1016" t="s">
        <v>619</v>
      </c>
      <c r="IVG1016" t="s">
        <v>619</v>
      </c>
      <c r="JEX1016" t="s">
        <v>1383</v>
      </c>
      <c r="JEY1016">
        <v>82863</v>
      </c>
      <c r="JEZ1016" t="s">
        <v>619</v>
      </c>
      <c r="JFA1016" t="s">
        <v>619</v>
      </c>
      <c r="JFB1016" t="s">
        <v>619</v>
      </c>
      <c r="JFC1016" t="s">
        <v>619</v>
      </c>
      <c r="JOT1016" t="s">
        <v>1383</v>
      </c>
      <c r="JOU1016">
        <v>82863</v>
      </c>
      <c r="JOV1016" t="s">
        <v>619</v>
      </c>
      <c r="JOW1016" t="s">
        <v>619</v>
      </c>
      <c r="JOX1016" t="s">
        <v>619</v>
      </c>
      <c r="JOY1016" t="s">
        <v>619</v>
      </c>
      <c r="JYP1016" t="s">
        <v>1383</v>
      </c>
      <c r="JYQ1016">
        <v>82863</v>
      </c>
      <c r="JYR1016" t="s">
        <v>619</v>
      </c>
      <c r="JYS1016" t="s">
        <v>619</v>
      </c>
      <c r="JYT1016" t="s">
        <v>619</v>
      </c>
      <c r="JYU1016" t="s">
        <v>619</v>
      </c>
      <c r="KIL1016" t="s">
        <v>1383</v>
      </c>
      <c r="KIM1016">
        <v>82863</v>
      </c>
      <c r="KIN1016" t="s">
        <v>619</v>
      </c>
      <c r="KIO1016" t="s">
        <v>619</v>
      </c>
      <c r="KIP1016" t="s">
        <v>619</v>
      </c>
      <c r="KIQ1016" t="s">
        <v>619</v>
      </c>
      <c r="KSH1016" t="s">
        <v>1383</v>
      </c>
      <c r="KSI1016">
        <v>82863</v>
      </c>
      <c r="KSJ1016" t="s">
        <v>619</v>
      </c>
      <c r="KSK1016" t="s">
        <v>619</v>
      </c>
      <c r="KSL1016" t="s">
        <v>619</v>
      </c>
      <c r="KSM1016" t="s">
        <v>619</v>
      </c>
      <c r="LCD1016" t="s">
        <v>1383</v>
      </c>
      <c r="LCE1016">
        <v>82863</v>
      </c>
      <c r="LCF1016" t="s">
        <v>619</v>
      </c>
      <c r="LCG1016" t="s">
        <v>619</v>
      </c>
      <c r="LCH1016" t="s">
        <v>619</v>
      </c>
      <c r="LCI1016" t="s">
        <v>619</v>
      </c>
      <c r="LLZ1016" t="s">
        <v>1383</v>
      </c>
      <c r="LMA1016">
        <v>82863</v>
      </c>
      <c r="LMB1016" t="s">
        <v>619</v>
      </c>
      <c r="LMC1016" t="s">
        <v>619</v>
      </c>
      <c r="LMD1016" t="s">
        <v>619</v>
      </c>
      <c r="LME1016" t="s">
        <v>619</v>
      </c>
      <c r="LVV1016" t="s">
        <v>1383</v>
      </c>
      <c r="LVW1016">
        <v>82863</v>
      </c>
      <c r="LVX1016" t="s">
        <v>619</v>
      </c>
      <c r="LVY1016" t="s">
        <v>619</v>
      </c>
      <c r="LVZ1016" t="s">
        <v>619</v>
      </c>
      <c r="LWA1016" t="s">
        <v>619</v>
      </c>
      <c r="MFR1016" t="s">
        <v>1383</v>
      </c>
      <c r="MFS1016">
        <v>82863</v>
      </c>
      <c r="MFT1016" t="s">
        <v>619</v>
      </c>
      <c r="MFU1016" t="s">
        <v>619</v>
      </c>
      <c r="MFV1016" t="s">
        <v>619</v>
      </c>
      <c r="MFW1016" t="s">
        <v>619</v>
      </c>
      <c r="MPN1016" t="s">
        <v>1383</v>
      </c>
      <c r="MPO1016">
        <v>82863</v>
      </c>
      <c r="MPP1016" t="s">
        <v>619</v>
      </c>
      <c r="MPQ1016" t="s">
        <v>619</v>
      </c>
      <c r="MPR1016" t="s">
        <v>619</v>
      </c>
      <c r="MPS1016" t="s">
        <v>619</v>
      </c>
      <c r="MZJ1016" t="s">
        <v>1383</v>
      </c>
      <c r="MZK1016">
        <v>82863</v>
      </c>
      <c r="MZL1016" t="s">
        <v>619</v>
      </c>
      <c r="MZM1016" t="s">
        <v>619</v>
      </c>
      <c r="MZN1016" t="s">
        <v>619</v>
      </c>
      <c r="MZO1016" t="s">
        <v>619</v>
      </c>
      <c r="NJF1016" t="s">
        <v>1383</v>
      </c>
      <c r="NJG1016">
        <v>82863</v>
      </c>
      <c r="NJH1016" t="s">
        <v>619</v>
      </c>
      <c r="NJI1016" t="s">
        <v>619</v>
      </c>
      <c r="NJJ1016" t="s">
        <v>619</v>
      </c>
      <c r="NJK1016" t="s">
        <v>619</v>
      </c>
      <c r="NTB1016" t="s">
        <v>1383</v>
      </c>
      <c r="NTC1016">
        <v>82863</v>
      </c>
      <c r="NTD1016" t="s">
        <v>619</v>
      </c>
      <c r="NTE1016" t="s">
        <v>619</v>
      </c>
      <c r="NTF1016" t="s">
        <v>619</v>
      </c>
      <c r="NTG1016" t="s">
        <v>619</v>
      </c>
      <c r="OCX1016" t="s">
        <v>1383</v>
      </c>
      <c r="OCY1016">
        <v>82863</v>
      </c>
      <c r="OCZ1016" t="s">
        <v>619</v>
      </c>
      <c r="ODA1016" t="s">
        <v>619</v>
      </c>
      <c r="ODB1016" t="s">
        <v>619</v>
      </c>
      <c r="ODC1016" t="s">
        <v>619</v>
      </c>
      <c r="OMT1016" t="s">
        <v>1383</v>
      </c>
      <c r="OMU1016">
        <v>82863</v>
      </c>
      <c r="OMV1016" t="s">
        <v>619</v>
      </c>
      <c r="OMW1016" t="s">
        <v>619</v>
      </c>
      <c r="OMX1016" t="s">
        <v>619</v>
      </c>
      <c r="OMY1016" t="s">
        <v>619</v>
      </c>
      <c r="OWP1016" t="s">
        <v>1383</v>
      </c>
      <c r="OWQ1016">
        <v>82863</v>
      </c>
      <c r="OWR1016" t="s">
        <v>619</v>
      </c>
      <c r="OWS1016" t="s">
        <v>619</v>
      </c>
      <c r="OWT1016" t="s">
        <v>619</v>
      </c>
      <c r="OWU1016" t="s">
        <v>619</v>
      </c>
      <c r="PGL1016" t="s">
        <v>1383</v>
      </c>
      <c r="PGM1016">
        <v>82863</v>
      </c>
      <c r="PGN1016" t="s">
        <v>619</v>
      </c>
      <c r="PGO1016" t="s">
        <v>619</v>
      </c>
      <c r="PGP1016" t="s">
        <v>619</v>
      </c>
      <c r="PGQ1016" t="s">
        <v>619</v>
      </c>
      <c r="PQH1016" t="s">
        <v>1383</v>
      </c>
      <c r="PQI1016">
        <v>82863</v>
      </c>
      <c r="PQJ1016" t="s">
        <v>619</v>
      </c>
      <c r="PQK1016" t="s">
        <v>619</v>
      </c>
      <c r="PQL1016" t="s">
        <v>619</v>
      </c>
      <c r="PQM1016" t="s">
        <v>619</v>
      </c>
      <c r="QAD1016" t="s">
        <v>1383</v>
      </c>
      <c r="QAE1016">
        <v>82863</v>
      </c>
      <c r="QAF1016" t="s">
        <v>619</v>
      </c>
      <c r="QAG1016" t="s">
        <v>619</v>
      </c>
      <c r="QAH1016" t="s">
        <v>619</v>
      </c>
      <c r="QAI1016" t="s">
        <v>619</v>
      </c>
      <c r="QJZ1016" t="s">
        <v>1383</v>
      </c>
      <c r="QKA1016">
        <v>82863</v>
      </c>
      <c r="QKB1016" t="s">
        <v>619</v>
      </c>
      <c r="QKC1016" t="s">
        <v>619</v>
      </c>
      <c r="QKD1016" t="s">
        <v>619</v>
      </c>
      <c r="QKE1016" t="s">
        <v>619</v>
      </c>
      <c r="QTV1016" t="s">
        <v>1383</v>
      </c>
      <c r="QTW1016">
        <v>82863</v>
      </c>
      <c r="QTX1016" t="s">
        <v>619</v>
      </c>
      <c r="QTY1016" t="s">
        <v>619</v>
      </c>
      <c r="QTZ1016" t="s">
        <v>619</v>
      </c>
      <c r="QUA1016" t="s">
        <v>619</v>
      </c>
      <c r="RDR1016" t="s">
        <v>1383</v>
      </c>
      <c r="RDS1016">
        <v>82863</v>
      </c>
      <c r="RDT1016" t="s">
        <v>619</v>
      </c>
      <c r="RDU1016" t="s">
        <v>619</v>
      </c>
      <c r="RDV1016" t="s">
        <v>619</v>
      </c>
      <c r="RDW1016" t="s">
        <v>619</v>
      </c>
      <c r="RNN1016" t="s">
        <v>1383</v>
      </c>
      <c r="RNO1016">
        <v>82863</v>
      </c>
      <c r="RNP1016" t="s">
        <v>619</v>
      </c>
      <c r="RNQ1016" t="s">
        <v>619</v>
      </c>
      <c r="RNR1016" t="s">
        <v>619</v>
      </c>
      <c r="RNS1016" t="s">
        <v>619</v>
      </c>
      <c r="RXJ1016" t="s">
        <v>1383</v>
      </c>
      <c r="RXK1016">
        <v>82863</v>
      </c>
      <c r="RXL1016" t="s">
        <v>619</v>
      </c>
      <c r="RXM1016" t="s">
        <v>619</v>
      </c>
      <c r="RXN1016" t="s">
        <v>619</v>
      </c>
      <c r="RXO1016" t="s">
        <v>619</v>
      </c>
      <c r="SHF1016" t="s">
        <v>1383</v>
      </c>
      <c r="SHG1016">
        <v>82863</v>
      </c>
      <c r="SHH1016" t="s">
        <v>619</v>
      </c>
      <c r="SHI1016" t="s">
        <v>619</v>
      </c>
      <c r="SHJ1016" t="s">
        <v>619</v>
      </c>
      <c r="SHK1016" t="s">
        <v>619</v>
      </c>
      <c r="SRB1016" t="s">
        <v>1383</v>
      </c>
      <c r="SRC1016">
        <v>82863</v>
      </c>
      <c r="SRD1016" t="s">
        <v>619</v>
      </c>
      <c r="SRE1016" t="s">
        <v>619</v>
      </c>
      <c r="SRF1016" t="s">
        <v>619</v>
      </c>
      <c r="SRG1016" t="s">
        <v>619</v>
      </c>
      <c r="TAX1016" t="s">
        <v>1383</v>
      </c>
      <c r="TAY1016">
        <v>82863</v>
      </c>
      <c r="TAZ1016" t="s">
        <v>619</v>
      </c>
      <c r="TBA1016" t="s">
        <v>619</v>
      </c>
      <c r="TBB1016" t="s">
        <v>619</v>
      </c>
      <c r="TBC1016" t="s">
        <v>619</v>
      </c>
      <c r="TKT1016" t="s">
        <v>1383</v>
      </c>
      <c r="TKU1016">
        <v>82863</v>
      </c>
      <c r="TKV1016" t="s">
        <v>619</v>
      </c>
      <c r="TKW1016" t="s">
        <v>619</v>
      </c>
      <c r="TKX1016" t="s">
        <v>619</v>
      </c>
      <c r="TKY1016" t="s">
        <v>619</v>
      </c>
      <c r="TUP1016" t="s">
        <v>1383</v>
      </c>
      <c r="TUQ1016">
        <v>82863</v>
      </c>
      <c r="TUR1016" t="s">
        <v>619</v>
      </c>
      <c r="TUS1016" t="s">
        <v>619</v>
      </c>
      <c r="TUT1016" t="s">
        <v>619</v>
      </c>
      <c r="TUU1016" t="s">
        <v>619</v>
      </c>
      <c r="UEL1016" t="s">
        <v>1383</v>
      </c>
      <c r="UEM1016">
        <v>82863</v>
      </c>
      <c r="UEN1016" t="s">
        <v>619</v>
      </c>
      <c r="UEO1016" t="s">
        <v>619</v>
      </c>
      <c r="UEP1016" t="s">
        <v>619</v>
      </c>
      <c r="UEQ1016" t="s">
        <v>619</v>
      </c>
      <c r="UOH1016" t="s">
        <v>1383</v>
      </c>
      <c r="UOI1016">
        <v>82863</v>
      </c>
      <c r="UOJ1016" t="s">
        <v>619</v>
      </c>
      <c r="UOK1016" t="s">
        <v>619</v>
      </c>
      <c r="UOL1016" t="s">
        <v>619</v>
      </c>
      <c r="UOM1016" t="s">
        <v>619</v>
      </c>
      <c r="UYD1016" t="s">
        <v>1383</v>
      </c>
      <c r="UYE1016">
        <v>82863</v>
      </c>
      <c r="UYF1016" t="s">
        <v>619</v>
      </c>
      <c r="UYG1016" t="s">
        <v>619</v>
      </c>
      <c r="UYH1016" t="s">
        <v>619</v>
      </c>
      <c r="UYI1016" t="s">
        <v>619</v>
      </c>
      <c r="VHZ1016" t="s">
        <v>1383</v>
      </c>
      <c r="VIA1016">
        <v>82863</v>
      </c>
      <c r="VIB1016" t="s">
        <v>619</v>
      </c>
      <c r="VIC1016" t="s">
        <v>619</v>
      </c>
      <c r="VID1016" t="s">
        <v>619</v>
      </c>
      <c r="VIE1016" t="s">
        <v>619</v>
      </c>
      <c r="VRV1016" t="s">
        <v>1383</v>
      </c>
      <c r="VRW1016">
        <v>82863</v>
      </c>
      <c r="VRX1016" t="s">
        <v>619</v>
      </c>
      <c r="VRY1016" t="s">
        <v>619</v>
      </c>
      <c r="VRZ1016" t="s">
        <v>619</v>
      </c>
      <c r="VSA1016" t="s">
        <v>619</v>
      </c>
      <c r="WBR1016" t="s">
        <v>1383</v>
      </c>
      <c r="WBS1016">
        <v>82863</v>
      </c>
      <c r="WBT1016" t="s">
        <v>619</v>
      </c>
      <c r="WBU1016" t="s">
        <v>619</v>
      </c>
      <c r="WBV1016" t="s">
        <v>619</v>
      </c>
      <c r="WBW1016" t="s">
        <v>619</v>
      </c>
      <c r="WLN1016" t="s">
        <v>1383</v>
      </c>
      <c r="WLO1016">
        <v>82863</v>
      </c>
      <c r="WLP1016" t="s">
        <v>619</v>
      </c>
      <c r="WLQ1016" t="s">
        <v>619</v>
      </c>
      <c r="WLR1016" t="s">
        <v>619</v>
      </c>
      <c r="WLS1016" t="s">
        <v>619</v>
      </c>
      <c r="WVJ1016" t="s">
        <v>1383</v>
      </c>
      <c r="WVK1016">
        <v>82863</v>
      </c>
      <c r="WVL1016" t="s">
        <v>619</v>
      </c>
      <c r="WVM1016" t="s">
        <v>619</v>
      </c>
      <c r="WVN1016" t="s">
        <v>619</v>
      </c>
      <c r="WVO1016" t="s">
        <v>619</v>
      </c>
    </row>
    <row r="1017" spans="1:775 1026:1799 2050:2823 3074:3847 4098:4871 5122:5895 6146:6919 7170:7943 8194:8967 9218:9991 10242:11015 11266:12039 12290:13063 13314:14087 14338:15111 15362:16135">
      <c r="A1017" s="96" t="s">
        <v>1384</v>
      </c>
      <c r="B1017" t="s">
        <v>816</v>
      </c>
      <c r="C1017" s="100">
        <v>2668461</v>
      </c>
      <c r="D1017" s="100">
        <v>1350781</v>
      </c>
      <c r="E1017" s="100">
        <v>1605464</v>
      </c>
      <c r="F1017" s="100">
        <v>6112000</v>
      </c>
      <c r="G1017" s="100">
        <v>6918564</v>
      </c>
      <c r="H1017" s="100"/>
      <c r="IX1017" t="s">
        <v>1384</v>
      </c>
      <c r="IY1017">
        <v>2668461</v>
      </c>
      <c r="IZ1017">
        <v>1350781</v>
      </c>
      <c r="JA1017">
        <v>1605464</v>
      </c>
      <c r="JB1017">
        <v>6112000</v>
      </c>
      <c r="JC1017">
        <v>6918564</v>
      </c>
      <c r="ST1017" t="s">
        <v>1384</v>
      </c>
      <c r="SU1017">
        <v>2668461</v>
      </c>
      <c r="SV1017">
        <v>1350781</v>
      </c>
      <c r="SW1017">
        <v>1605464</v>
      </c>
      <c r="SX1017">
        <v>6112000</v>
      </c>
      <c r="SY1017">
        <v>6918564</v>
      </c>
      <c r="ACP1017" t="s">
        <v>1384</v>
      </c>
      <c r="ACQ1017">
        <v>2668461</v>
      </c>
      <c r="ACR1017">
        <v>1350781</v>
      </c>
      <c r="ACS1017">
        <v>1605464</v>
      </c>
      <c r="ACT1017">
        <v>6112000</v>
      </c>
      <c r="ACU1017">
        <v>6918564</v>
      </c>
      <c r="AML1017" t="s">
        <v>1384</v>
      </c>
      <c r="AMM1017">
        <v>2668461</v>
      </c>
      <c r="AMN1017">
        <v>1350781</v>
      </c>
      <c r="AMO1017">
        <v>1605464</v>
      </c>
      <c r="AMP1017">
        <v>6112000</v>
      </c>
      <c r="AMQ1017">
        <v>6918564</v>
      </c>
      <c r="AWH1017" t="s">
        <v>1384</v>
      </c>
      <c r="AWI1017">
        <v>2668461</v>
      </c>
      <c r="AWJ1017">
        <v>1350781</v>
      </c>
      <c r="AWK1017">
        <v>1605464</v>
      </c>
      <c r="AWL1017">
        <v>6112000</v>
      </c>
      <c r="AWM1017">
        <v>6918564</v>
      </c>
      <c r="BGD1017" t="s">
        <v>1384</v>
      </c>
      <c r="BGE1017">
        <v>2668461</v>
      </c>
      <c r="BGF1017">
        <v>1350781</v>
      </c>
      <c r="BGG1017">
        <v>1605464</v>
      </c>
      <c r="BGH1017">
        <v>6112000</v>
      </c>
      <c r="BGI1017">
        <v>6918564</v>
      </c>
      <c r="BPZ1017" t="s">
        <v>1384</v>
      </c>
      <c r="BQA1017">
        <v>2668461</v>
      </c>
      <c r="BQB1017">
        <v>1350781</v>
      </c>
      <c r="BQC1017">
        <v>1605464</v>
      </c>
      <c r="BQD1017">
        <v>6112000</v>
      </c>
      <c r="BQE1017">
        <v>6918564</v>
      </c>
      <c r="BZV1017" t="s">
        <v>1384</v>
      </c>
      <c r="BZW1017">
        <v>2668461</v>
      </c>
      <c r="BZX1017">
        <v>1350781</v>
      </c>
      <c r="BZY1017">
        <v>1605464</v>
      </c>
      <c r="BZZ1017">
        <v>6112000</v>
      </c>
      <c r="CAA1017">
        <v>6918564</v>
      </c>
      <c r="CJR1017" t="s">
        <v>1384</v>
      </c>
      <c r="CJS1017">
        <v>2668461</v>
      </c>
      <c r="CJT1017">
        <v>1350781</v>
      </c>
      <c r="CJU1017">
        <v>1605464</v>
      </c>
      <c r="CJV1017">
        <v>6112000</v>
      </c>
      <c r="CJW1017">
        <v>6918564</v>
      </c>
      <c r="CTN1017" t="s">
        <v>1384</v>
      </c>
      <c r="CTO1017">
        <v>2668461</v>
      </c>
      <c r="CTP1017">
        <v>1350781</v>
      </c>
      <c r="CTQ1017">
        <v>1605464</v>
      </c>
      <c r="CTR1017">
        <v>6112000</v>
      </c>
      <c r="CTS1017">
        <v>6918564</v>
      </c>
      <c r="DDJ1017" t="s">
        <v>1384</v>
      </c>
      <c r="DDK1017">
        <v>2668461</v>
      </c>
      <c r="DDL1017">
        <v>1350781</v>
      </c>
      <c r="DDM1017">
        <v>1605464</v>
      </c>
      <c r="DDN1017">
        <v>6112000</v>
      </c>
      <c r="DDO1017">
        <v>6918564</v>
      </c>
      <c r="DNF1017" t="s">
        <v>1384</v>
      </c>
      <c r="DNG1017">
        <v>2668461</v>
      </c>
      <c r="DNH1017">
        <v>1350781</v>
      </c>
      <c r="DNI1017">
        <v>1605464</v>
      </c>
      <c r="DNJ1017">
        <v>6112000</v>
      </c>
      <c r="DNK1017">
        <v>6918564</v>
      </c>
      <c r="DXB1017" t="s">
        <v>1384</v>
      </c>
      <c r="DXC1017">
        <v>2668461</v>
      </c>
      <c r="DXD1017">
        <v>1350781</v>
      </c>
      <c r="DXE1017">
        <v>1605464</v>
      </c>
      <c r="DXF1017">
        <v>6112000</v>
      </c>
      <c r="DXG1017">
        <v>6918564</v>
      </c>
      <c r="EGX1017" t="s">
        <v>1384</v>
      </c>
      <c r="EGY1017">
        <v>2668461</v>
      </c>
      <c r="EGZ1017">
        <v>1350781</v>
      </c>
      <c r="EHA1017">
        <v>1605464</v>
      </c>
      <c r="EHB1017">
        <v>6112000</v>
      </c>
      <c r="EHC1017">
        <v>6918564</v>
      </c>
      <c r="EQT1017" t="s">
        <v>1384</v>
      </c>
      <c r="EQU1017">
        <v>2668461</v>
      </c>
      <c r="EQV1017">
        <v>1350781</v>
      </c>
      <c r="EQW1017">
        <v>1605464</v>
      </c>
      <c r="EQX1017">
        <v>6112000</v>
      </c>
      <c r="EQY1017">
        <v>6918564</v>
      </c>
      <c r="FAP1017" t="s">
        <v>1384</v>
      </c>
      <c r="FAQ1017">
        <v>2668461</v>
      </c>
      <c r="FAR1017">
        <v>1350781</v>
      </c>
      <c r="FAS1017">
        <v>1605464</v>
      </c>
      <c r="FAT1017">
        <v>6112000</v>
      </c>
      <c r="FAU1017">
        <v>6918564</v>
      </c>
      <c r="FKL1017" t="s">
        <v>1384</v>
      </c>
      <c r="FKM1017">
        <v>2668461</v>
      </c>
      <c r="FKN1017">
        <v>1350781</v>
      </c>
      <c r="FKO1017">
        <v>1605464</v>
      </c>
      <c r="FKP1017">
        <v>6112000</v>
      </c>
      <c r="FKQ1017">
        <v>6918564</v>
      </c>
      <c r="FUH1017" t="s">
        <v>1384</v>
      </c>
      <c r="FUI1017">
        <v>2668461</v>
      </c>
      <c r="FUJ1017">
        <v>1350781</v>
      </c>
      <c r="FUK1017">
        <v>1605464</v>
      </c>
      <c r="FUL1017">
        <v>6112000</v>
      </c>
      <c r="FUM1017">
        <v>6918564</v>
      </c>
      <c r="GED1017" t="s">
        <v>1384</v>
      </c>
      <c r="GEE1017">
        <v>2668461</v>
      </c>
      <c r="GEF1017">
        <v>1350781</v>
      </c>
      <c r="GEG1017">
        <v>1605464</v>
      </c>
      <c r="GEH1017">
        <v>6112000</v>
      </c>
      <c r="GEI1017">
        <v>6918564</v>
      </c>
      <c r="GNZ1017" t="s">
        <v>1384</v>
      </c>
      <c r="GOA1017">
        <v>2668461</v>
      </c>
      <c r="GOB1017">
        <v>1350781</v>
      </c>
      <c r="GOC1017">
        <v>1605464</v>
      </c>
      <c r="GOD1017">
        <v>6112000</v>
      </c>
      <c r="GOE1017">
        <v>6918564</v>
      </c>
      <c r="GXV1017" t="s">
        <v>1384</v>
      </c>
      <c r="GXW1017">
        <v>2668461</v>
      </c>
      <c r="GXX1017">
        <v>1350781</v>
      </c>
      <c r="GXY1017">
        <v>1605464</v>
      </c>
      <c r="GXZ1017">
        <v>6112000</v>
      </c>
      <c r="GYA1017">
        <v>6918564</v>
      </c>
      <c r="HHR1017" t="s">
        <v>1384</v>
      </c>
      <c r="HHS1017">
        <v>2668461</v>
      </c>
      <c r="HHT1017">
        <v>1350781</v>
      </c>
      <c r="HHU1017">
        <v>1605464</v>
      </c>
      <c r="HHV1017">
        <v>6112000</v>
      </c>
      <c r="HHW1017">
        <v>6918564</v>
      </c>
      <c r="HRN1017" t="s">
        <v>1384</v>
      </c>
      <c r="HRO1017">
        <v>2668461</v>
      </c>
      <c r="HRP1017">
        <v>1350781</v>
      </c>
      <c r="HRQ1017">
        <v>1605464</v>
      </c>
      <c r="HRR1017">
        <v>6112000</v>
      </c>
      <c r="HRS1017">
        <v>6918564</v>
      </c>
      <c r="IBJ1017" t="s">
        <v>1384</v>
      </c>
      <c r="IBK1017">
        <v>2668461</v>
      </c>
      <c r="IBL1017">
        <v>1350781</v>
      </c>
      <c r="IBM1017">
        <v>1605464</v>
      </c>
      <c r="IBN1017">
        <v>6112000</v>
      </c>
      <c r="IBO1017">
        <v>6918564</v>
      </c>
      <c r="ILF1017" t="s">
        <v>1384</v>
      </c>
      <c r="ILG1017">
        <v>2668461</v>
      </c>
      <c r="ILH1017">
        <v>1350781</v>
      </c>
      <c r="ILI1017">
        <v>1605464</v>
      </c>
      <c r="ILJ1017">
        <v>6112000</v>
      </c>
      <c r="ILK1017">
        <v>6918564</v>
      </c>
      <c r="IVB1017" t="s">
        <v>1384</v>
      </c>
      <c r="IVC1017">
        <v>2668461</v>
      </c>
      <c r="IVD1017">
        <v>1350781</v>
      </c>
      <c r="IVE1017">
        <v>1605464</v>
      </c>
      <c r="IVF1017">
        <v>6112000</v>
      </c>
      <c r="IVG1017">
        <v>6918564</v>
      </c>
      <c r="JEX1017" t="s">
        <v>1384</v>
      </c>
      <c r="JEY1017">
        <v>2668461</v>
      </c>
      <c r="JEZ1017">
        <v>1350781</v>
      </c>
      <c r="JFA1017">
        <v>1605464</v>
      </c>
      <c r="JFB1017">
        <v>6112000</v>
      </c>
      <c r="JFC1017">
        <v>6918564</v>
      </c>
      <c r="JOT1017" t="s">
        <v>1384</v>
      </c>
      <c r="JOU1017">
        <v>2668461</v>
      </c>
      <c r="JOV1017">
        <v>1350781</v>
      </c>
      <c r="JOW1017">
        <v>1605464</v>
      </c>
      <c r="JOX1017">
        <v>6112000</v>
      </c>
      <c r="JOY1017">
        <v>6918564</v>
      </c>
      <c r="JYP1017" t="s">
        <v>1384</v>
      </c>
      <c r="JYQ1017">
        <v>2668461</v>
      </c>
      <c r="JYR1017">
        <v>1350781</v>
      </c>
      <c r="JYS1017">
        <v>1605464</v>
      </c>
      <c r="JYT1017">
        <v>6112000</v>
      </c>
      <c r="JYU1017">
        <v>6918564</v>
      </c>
      <c r="KIL1017" t="s">
        <v>1384</v>
      </c>
      <c r="KIM1017">
        <v>2668461</v>
      </c>
      <c r="KIN1017">
        <v>1350781</v>
      </c>
      <c r="KIO1017">
        <v>1605464</v>
      </c>
      <c r="KIP1017">
        <v>6112000</v>
      </c>
      <c r="KIQ1017">
        <v>6918564</v>
      </c>
      <c r="KSH1017" t="s">
        <v>1384</v>
      </c>
      <c r="KSI1017">
        <v>2668461</v>
      </c>
      <c r="KSJ1017">
        <v>1350781</v>
      </c>
      <c r="KSK1017">
        <v>1605464</v>
      </c>
      <c r="KSL1017">
        <v>6112000</v>
      </c>
      <c r="KSM1017">
        <v>6918564</v>
      </c>
      <c r="LCD1017" t="s">
        <v>1384</v>
      </c>
      <c r="LCE1017">
        <v>2668461</v>
      </c>
      <c r="LCF1017">
        <v>1350781</v>
      </c>
      <c r="LCG1017">
        <v>1605464</v>
      </c>
      <c r="LCH1017">
        <v>6112000</v>
      </c>
      <c r="LCI1017">
        <v>6918564</v>
      </c>
      <c r="LLZ1017" t="s">
        <v>1384</v>
      </c>
      <c r="LMA1017">
        <v>2668461</v>
      </c>
      <c r="LMB1017">
        <v>1350781</v>
      </c>
      <c r="LMC1017">
        <v>1605464</v>
      </c>
      <c r="LMD1017">
        <v>6112000</v>
      </c>
      <c r="LME1017">
        <v>6918564</v>
      </c>
      <c r="LVV1017" t="s">
        <v>1384</v>
      </c>
      <c r="LVW1017">
        <v>2668461</v>
      </c>
      <c r="LVX1017">
        <v>1350781</v>
      </c>
      <c r="LVY1017">
        <v>1605464</v>
      </c>
      <c r="LVZ1017">
        <v>6112000</v>
      </c>
      <c r="LWA1017">
        <v>6918564</v>
      </c>
      <c r="MFR1017" t="s">
        <v>1384</v>
      </c>
      <c r="MFS1017">
        <v>2668461</v>
      </c>
      <c r="MFT1017">
        <v>1350781</v>
      </c>
      <c r="MFU1017">
        <v>1605464</v>
      </c>
      <c r="MFV1017">
        <v>6112000</v>
      </c>
      <c r="MFW1017">
        <v>6918564</v>
      </c>
      <c r="MPN1017" t="s">
        <v>1384</v>
      </c>
      <c r="MPO1017">
        <v>2668461</v>
      </c>
      <c r="MPP1017">
        <v>1350781</v>
      </c>
      <c r="MPQ1017">
        <v>1605464</v>
      </c>
      <c r="MPR1017">
        <v>6112000</v>
      </c>
      <c r="MPS1017">
        <v>6918564</v>
      </c>
      <c r="MZJ1017" t="s">
        <v>1384</v>
      </c>
      <c r="MZK1017">
        <v>2668461</v>
      </c>
      <c r="MZL1017">
        <v>1350781</v>
      </c>
      <c r="MZM1017">
        <v>1605464</v>
      </c>
      <c r="MZN1017">
        <v>6112000</v>
      </c>
      <c r="MZO1017">
        <v>6918564</v>
      </c>
      <c r="NJF1017" t="s">
        <v>1384</v>
      </c>
      <c r="NJG1017">
        <v>2668461</v>
      </c>
      <c r="NJH1017">
        <v>1350781</v>
      </c>
      <c r="NJI1017">
        <v>1605464</v>
      </c>
      <c r="NJJ1017">
        <v>6112000</v>
      </c>
      <c r="NJK1017">
        <v>6918564</v>
      </c>
      <c r="NTB1017" t="s">
        <v>1384</v>
      </c>
      <c r="NTC1017">
        <v>2668461</v>
      </c>
      <c r="NTD1017">
        <v>1350781</v>
      </c>
      <c r="NTE1017">
        <v>1605464</v>
      </c>
      <c r="NTF1017">
        <v>6112000</v>
      </c>
      <c r="NTG1017">
        <v>6918564</v>
      </c>
      <c r="OCX1017" t="s">
        <v>1384</v>
      </c>
      <c r="OCY1017">
        <v>2668461</v>
      </c>
      <c r="OCZ1017">
        <v>1350781</v>
      </c>
      <c r="ODA1017">
        <v>1605464</v>
      </c>
      <c r="ODB1017">
        <v>6112000</v>
      </c>
      <c r="ODC1017">
        <v>6918564</v>
      </c>
      <c r="OMT1017" t="s">
        <v>1384</v>
      </c>
      <c r="OMU1017">
        <v>2668461</v>
      </c>
      <c r="OMV1017">
        <v>1350781</v>
      </c>
      <c r="OMW1017">
        <v>1605464</v>
      </c>
      <c r="OMX1017">
        <v>6112000</v>
      </c>
      <c r="OMY1017">
        <v>6918564</v>
      </c>
      <c r="OWP1017" t="s">
        <v>1384</v>
      </c>
      <c r="OWQ1017">
        <v>2668461</v>
      </c>
      <c r="OWR1017">
        <v>1350781</v>
      </c>
      <c r="OWS1017">
        <v>1605464</v>
      </c>
      <c r="OWT1017">
        <v>6112000</v>
      </c>
      <c r="OWU1017">
        <v>6918564</v>
      </c>
      <c r="PGL1017" t="s">
        <v>1384</v>
      </c>
      <c r="PGM1017">
        <v>2668461</v>
      </c>
      <c r="PGN1017">
        <v>1350781</v>
      </c>
      <c r="PGO1017">
        <v>1605464</v>
      </c>
      <c r="PGP1017">
        <v>6112000</v>
      </c>
      <c r="PGQ1017">
        <v>6918564</v>
      </c>
      <c r="PQH1017" t="s">
        <v>1384</v>
      </c>
      <c r="PQI1017">
        <v>2668461</v>
      </c>
      <c r="PQJ1017">
        <v>1350781</v>
      </c>
      <c r="PQK1017">
        <v>1605464</v>
      </c>
      <c r="PQL1017">
        <v>6112000</v>
      </c>
      <c r="PQM1017">
        <v>6918564</v>
      </c>
      <c r="QAD1017" t="s">
        <v>1384</v>
      </c>
      <c r="QAE1017">
        <v>2668461</v>
      </c>
      <c r="QAF1017">
        <v>1350781</v>
      </c>
      <c r="QAG1017">
        <v>1605464</v>
      </c>
      <c r="QAH1017">
        <v>6112000</v>
      </c>
      <c r="QAI1017">
        <v>6918564</v>
      </c>
      <c r="QJZ1017" t="s">
        <v>1384</v>
      </c>
      <c r="QKA1017">
        <v>2668461</v>
      </c>
      <c r="QKB1017">
        <v>1350781</v>
      </c>
      <c r="QKC1017">
        <v>1605464</v>
      </c>
      <c r="QKD1017">
        <v>6112000</v>
      </c>
      <c r="QKE1017">
        <v>6918564</v>
      </c>
      <c r="QTV1017" t="s">
        <v>1384</v>
      </c>
      <c r="QTW1017">
        <v>2668461</v>
      </c>
      <c r="QTX1017">
        <v>1350781</v>
      </c>
      <c r="QTY1017">
        <v>1605464</v>
      </c>
      <c r="QTZ1017">
        <v>6112000</v>
      </c>
      <c r="QUA1017">
        <v>6918564</v>
      </c>
      <c r="RDR1017" t="s">
        <v>1384</v>
      </c>
      <c r="RDS1017">
        <v>2668461</v>
      </c>
      <c r="RDT1017">
        <v>1350781</v>
      </c>
      <c r="RDU1017">
        <v>1605464</v>
      </c>
      <c r="RDV1017">
        <v>6112000</v>
      </c>
      <c r="RDW1017">
        <v>6918564</v>
      </c>
      <c r="RNN1017" t="s">
        <v>1384</v>
      </c>
      <c r="RNO1017">
        <v>2668461</v>
      </c>
      <c r="RNP1017">
        <v>1350781</v>
      </c>
      <c r="RNQ1017">
        <v>1605464</v>
      </c>
      <c r="RNR1017">
        <v>6112000</v>
      </c>
      <c r="RNS1017">
        <v>6918564</v>
      </c>
      <c r="RXJ1017" t="s">
        <v>1384</v>
      </c>
      <c r="RXK1017">
        <v>2668461</v>
      </c>
      <c r="RXL1017">
        <v>1350781</v>
      </c>
      <c r="RXM1017">
        <v>1605464</v>
      </c>
      <c r="RXN1017">
        <v>6112000</v>
      </c>
      <c r="RXO1017">
        <v>6918564</v>
      </c>
      <c r="SHF1017" t="s">
        <v>1384</v>
      </c>
      <c r="SHG1017">
        <v>2668461</v>
      </c>
      <c r="SHH1017">
        <v>1350781</v>
      </c>
      <c r="SHI1017">
        <v>1605464</v>
      </c>
      <c r="SHJ1017">
        <v>6112000</v>
      </c>
      <c r="SHK1017">
        <v>6918564</v>
      </c>
      <c r="SRB1017" t="s">
        <v>1384</v>
      </c>
      <c r="SRC1017">
        <v>2668461</v>
      </c>
      <c r="SRD1017">
        <v>1350781</v>
      </c>
      <c r="SRE1017">
        <v>1605464</v>
      </c>
      <c r="SRF1017">
        <v>6112000</v>
      </c>
      <c r="SRG1017">
        <v>6918564</v>
      </c>
      <c r="TAX1017" t="s">
        <v>1384</v>
      </c>
      <c r="TAY1017">
        <v>2668461</v>
      </c>
      <c r="TAZ1017">
        <v>1350781</v>
      </c>
      <c r="TBA1017">
        <v>1605464</v>
      </c>
      <c r="TBB1017">
        <v>6112000</v>
      </c>
      <c r="TBC1017">
        <v>6918564</v>
      </c>
      <c r="TKT1017" t="s">
        <v>1384</v>
      </c>
      <c r="TKU1017">
        <v>2668461</v>
      </c>
      <c r="TKV1017">
        <v>1350781</v>
      </c>
      <c r="TKW1017">
        <v>1605464</v>
      </c>
      <c r="TKX1017">
        <v>6112000</v>
      </c>
      <c r="TKY1017">
        <v>6918564</v>
      </c>
      <c r="TUP1017" t="s">
        <v>1384</v>
      </c>
      <c r="TUQ1017">
        <v>2668461</v>
      </c>
      <c r="TUR1017">
        <v>1350781</v>
      </c>
      <c r="TUS1017">
        <v>1605464</v>
      </c>
      <c r="TUT1017">
        <v>6112000</v>
      </c>
      <c r="TUU1017">
        <v>6918564</v>
      </c>
      <c r="UEL1017" t="s">
        <v>1384</v>
      </c>
      <c r="UEM1017">
        <v>2668461</v>
      </c>
      <c r="UEN1017">
        <v>1350781</v>
      </c>
      <c r="UEO1017">
        <v>1605464</v>
      </c>
      <c r="UEP1017">
        <v>6112000</v>
      </c>
      <c r="UEQ1017">
        <v>6918564</v>
      </c>
      <c r="UOH1017" t="s">
        <v>1384</v>
      </c>
      <c r="UOI1017">
        <v>2668461</v>
      </c>
      <c r="UOJ1017">
        <v>1350781</v>
      </c>
      <c r="UOK1017">
        <v>1605464</v>
      </c>
      <c r="UOL1017">
        <v>6112000</v>
      </c>
      <c r="UOM1017">
        <v>6918564</v>
      </c>
      <c r="UYD1017" t="s">
        <v>1384</v>
      </c>
      <c r="UYE1017">
        <v>2668461</v>
      </c>
      <c r="UYF1017">
        <v>1350781</v>
      </c>
      <c r="UYG1017">
        <v>1605464</v>
      </c>
      <c r="UYH1017">
        <v>6112000</v>
      </c>
      <c r="UYI1017">
        <v>6918564</v>
      </c>
      <c r="VHZ1017" t="s">
        <v>1384</v>
      </c>
      <c r="VIA1017">
        <v>2668461</v>
      </c>
      <c r="VIB1017">
        <v>1350781</v>
      </c>
      <c r="VIC1017">
        <v>1605464</v>
      </c>
      <c r="VID1017">
        <v>6112000</v>
      </c>
      <c r="VIE1017">
        <v>6918564</v>
      </c>
      <c r="VRV1017" t="s">
        <v>1384</v>
      </c>
      <c r="VRW1017">
        <v>2668461</v>
      </c>
      <c r="VRX1017">
        <v>1350781</v>
      </c>
      <c r="VRY1017">
        <v>1605464</v>
      </c>
      <c r="VRZ1017">
        <v>6112000</v>
      </c>
      <c r="VSA1017">
        <v>6918564</v>
      </c>
      <c r="WBR1017" t="s">
        <v>1384</v>
      </c>
      <c r="WBS1017">
        <v>2668461</v>
      </c>
      <c r="WBT1017">
        <v>1350781</v>
      </c>
      <c r="WBU1017">
        <v>1605464</v>
      </c>
      <c r="WBV1017">
        <v>6112000</v>
      </c>
      <c r="WBW1017">
        <v>6918564</v>
      </c>
      <c r="WLN1017" t="s">
        <v>1384</v>
      </c>
      <c r="WLO1017">
        <v>2668461</v>
      </c>
      <c r="WLP1017">
        <v>1350781</v>
      </c>
      <c r="WLQ1017">
        <v>1605464</v>
      </c>
      <c r="WLR1017">
        <v>6112000</v>
      </c>
      <c r="WLS1017">
        <v>6918564</v>
      </c>
      <c r="WVJ1017" t="s">
        <v>1384</v>
      </c>
      <c r="WVK1017">
        <v>2668461</v>
      </c>
      <c r="WVL1017">
        <v>1350781</v>
      </c>
      <c r="WVM1017">
        <v>1605464</v>
      </c>
      <c r="WVN1017">
        <v>6112000</v>
      </c>
      <c r="WVO1017">
        <v>6918564</v>
      </c>
    </row>
    <row r="1018" spans="1:775 1026:1799 2050:2823 3074:3847 4098:4871 5122:5895 6146:6919 7170:7943 8194:8967 9218:9991 10242:11015 11266:12039 12290:13063 13314:14087 14338:15111 15362:16135">
      <c r="A1018" s="96" t="s">
        <v>1385</v>
      </c>
      <c r="B1018" t="s">
        <v>816</v>
      </c>
      <c r="C1018" s="100">
        <v>-120205</v>
      </c>
      <c r="D1018" s="100">
        <v>-2610958</v>
      </c>
      <c r="E1018" s="98">
        <v>0</v>
      </c>
      <c r="F1018" s="98">
        <v>0</v>
      </c>
      <c r="G1018" s="98">
        <v>0</v>
      </c>
      <c r="H1018" s="98"/>
      <c r="IX1018" t="s">
        <v>1385</v>
      </c>
      <c r="IY1018">
        <v>-120205</v>
      </c>
      <c r="IZ1018">
        <v>-2610958</v>
      </c>
      <c r="JA1018" t="s">
        <v>619</v>
      </c>
      <c r="JB1018" t="s">
        <v>619</v>
      </c>
      <c r="JC1018" t="s">
        <v>619</v>
      </c>
      <c r="ST1018" t="s">
        <v>1385</v>
      </c>
      <c r="SU1018">
        <v>-120205</v>
      </c>
      <c r="SV1018">
        <v>-2610958</v>
      </c>
      <c r="SW1018" t="s">
        <v>619</v>
      </c>
      <c r="SX1018" t="s">
        <v>619</v>
      </c>
      <c r="SY1018" t="s">
        <v>619</v>
      </c>
      <c r="ACP1018" t="s">
        <v>1385</v>
      </c>
      <c r="ACQ1018">
        <v>-120205</v>
      </c>
      <c r="ACR1018">
        <v>-2610958</v>
      </c>
      <c r="ACS1018" t="s">
        <v>619</v>
      </c>
      <c r="ACT1018" t="s">
        <v>619</v>
      </c>
      <c r="ACU1018" t="s">
        <v>619</v>
      </c>
      <c r="AML1018" t="s">
        <v>1385</v>
      </c>
      <c r="AMM1018">
        <v>-120205</v>
      </c>
      <c r="AMN1018">
        <v>-2610958</v>
      </c>
      <c r="AMO1018" t="s">
        <v>619</v>
      </c>
      <c r="AMP1018" t="s">
        <v>619</v>
      </c>
      <c r="AMQ1018" t="s">
        <v>619</v>
      </c>
      <c r="AWH1018" t="s">
        <v>1385</v>
      </c>
      <c r="AWI1018">
        <v>-120205</v>
      </c>
      <c r="AWJ1018">
        <v>-2610958</v>
      </c>
      <c r="AWK1018" t="s">
        <v>619</v>
      </c>
      <c r="AWL1018" t="s">
        <v>619</v>
      </c>
      <c r="AWM1018" t="s">
        <v>619</v>
      </c>
      <c r="BGD1018" t="s">
        <v>1385</v>
      </c>
      <c r="BGE1018">
        <v>-120205</v>
      </c>
      <c r="BGF1018">
        <v>-2610958</v>
      </c>
      <c r="BGG1018" t="s">
        <v>619</v>
      </c>
      <c r="BGH1018" t="s">
        <v>619</v>
      </c>
      <c r="BGI1018" t="s">
        <v>619</v>
      </c>
      <c r="BPZ1018" t="s">
        <v>1385</v>
      </c>
      <c r="BQA1018">
        <v>-120205</v>
      </c>
      <c r="BQB1018">
        <v>-2610958</v>
      </c>
      <c r="BQC1018" t="s">
        <v>619</v>
      </c>
      <c r="BQD1018" t="s">
        <v>619</v>
      </c>
      <c r="BQE1018" t="s">
        <v>619</v>
      </c>
      <c r="BZV1018" t="s">
        <v>1385</v>
      </c>
      <c r="BZW1018">
        <v>-120205</v>
      </c>
      <c r="BZX1018">
        <v>-2610958</v>
      </c>
      <c r="BZY1018" t="s">
        <v>619</v>
      </c>
      <c r="BZZ1018" t="s">
        <v>619</v>
      </c>
      <c r="CAA1018" t="s">
        <v>619</v>
      </c>
      <c r="CJR1018" t="s">
        <v>1385</v>
      </c>
      <c r="CJS1018">
        <v>-120205</v>
      </c>
      <c r="CJT1018">
        <v>-2610958</v>
      </c>
      <c r="CJU1018" t="s">
        <v>619</v>
      </c>
      <c r="CJV1018" t="s">
        <v>619</v>
      </c>
      <c r="CJW1018" t="s">
        <v>619</v>
      </c>
      <c r="CTN1018" t="s">
        <v>1385</v>
      </c>
      <c r="CTO1018">
        <v>-120205</v>
      </c>
      <c r="CTP1018">
        <v>-2610958</v>
      </c>
      <c r="CTQ1018" t="s">
        <v>619</v>
      </c>
      <c r="CTR1018" t="s">
        <v>619</v>
      </c>
      <c r="CTS1018" t="s">
        <v>619</v>
      </c>
      <c r="DDJ1018" t="s">
        <v>1385</v>
      </c>
      <c r="DDK1018">
        <v>-120205</v>
      </c>
      <c r="DDL1018">
        <v>-2610958</v>
      </c>
      <c r="DDM1018" t="s">
        <v>619</v>
      </c>
      <c r="DDN1018" t="s">
        <v>619</v>
      </c>
      <c r="DDO1018" t="s">
        <v>619</v>
      </c>
      <c r="DNF1018" t="s">
        <v>1385</v>
      </c>
      <c r="DNG1018">
        <v>-120205</v>
      </c>
      <c r="DNH1018">
        <v>-2610958</v>
      </c>
      <c r="DNI1018" t="s">
        <v>619</v>
      </c>
      <c r="DNJ1018" t="s">
        <v>619</v>
      </c>
      <c r="DNK1018" t="s">
        <v>619</v>
      </c>
      <c r="DXB1018" t="s">
        <v>1385</v>
      </c>
      <c r="DXC1018">
        <v>-120205</v>
      </c>
      <c r="DXD1018">
        <v>-2610958</v>
      </c>
      <c r="DXE1018" t="s">
        <v>619</v>
      </c>
      <c r="DXF1018" t="s">
        <v>619</v>
      </c>
      <c r="DXG1018" t="s">
        <v>619</v>
      </c>
      <c r="EGX1018" t="s">
        <v>1385</v>
      </c>
      <c r="EGY1018">
        <v>-120205</v>
      </c>
      <c r="EGZ1018">
        <v>-2610958</v>
      </c>
      <c r="EHA1018" t="s">
        <v>619</v>
      </c>
      <c r="EHB1018" t="s">
        <v>619</v>
      </c>
      <c r="EHC1018" t="s">
        <v>619</v>
      </c>
      <c r="EQT1018" t="s">
        <v>1385</v>
      </c>
      <c r="EQU1018">
        <v>-120205</v>
      </c>
      <c r="EQV1018">
        <v>-2610958</v>
      </c>
      <c r="EQW1018" t="s">
        <v>619</v>
      </c>
      <c r="EQX1018" t="s">
        <v>619</v>
      </c>
      <c r="EQY1018" t="s">
        <v>619</v>
      </c>
      <c r="FAP1018" t="s">
        <v>1385</v>
      </c>
      <c r="FAQ1018">
        <v>-120205</v>
      </c>
      <c r="FAR1018">
        <v>-2610958</v>
      </c>
      <c r="FAS1018" t="s">
        <v>619</v>
      </c>
      <c r="FAT1018" t="s">
        <v>619</v>
      </c>
      <c r="FAU1018" t="s">
        <v>619</v>
      </c>
      <c r="FKL1018" t="s">
        <v>1385</v>
      </c>
      <c r="FKM1018">
        <v>-120205</v>
      </c>
      <c r="FKN1018">
        <v>-2610958</v>
      </c>
      <c r="FKO1018" t="s">
        <v>619</v>
      </c>
      <c r="FKP1018" t="s">
        <v>619</v>
      </c>
      <c r="FKQ1018" t="s">
        <v>619</v>
      </c>
      <c r="FUH1018" t="s">
        <v>1385</v>
      </c>
      <c r="FUI1018">
        <v>-120205</v>
      </c>
      <c r="FUJ1018">
        <v>-2610958</v>
      </c>
      <c r="FUK1018" t="s">
        <v>619</v>
      </c>
      <c r="FUL1018" t="s">
        <v>619</v>
      </c>
      <c r="FUM1018" t="s">
        <v>619</v>
      </c>
      <c r="GED1018" t="s">
        <v>1385</v>
      </c>
      <c r="GEE1018">
        <v>-120205</v>
      </c>
      <c r="GEF1018">
        <v>-2610958</v>
      </c>
      <c r="GEG1018" t="s">
        <v>619</v>
      </c>
      <c r="GEH1018" t="s">
        <v>619</v>
      </c>
      <c r="GEI1018" t="s">
        <v>619</v>
      </c>
      <c r="GNZ1018" t="s">
        <v>1385</v>
      </c>
      <c r="GOA1018">
        <v>-120205</v>
      </c>
      <c r="GOB1018">
        <v>-2610958</v>
      </c>
      <c r="GOC1018" t="s">
        <v>619</v>
      </c>
      <c r="GOD1018" t="s">
        <v>619</v>
      </c>
      <c r="GOE1018" t="s">
        <v>619</v>
      </c>
      <c r="GXV1018" t="s">
        <v>1385</v>
      </c>
      <c r="GXW1018">
        <v>-120205</v>
      </c>
      <c r="GXX1018">
        <v>-2610958</v>
      </c>
      <c r="GXY1018" t="s">
        <v>619</v>
      </c>
      <c r="GXZ1018" t="s">
        <v>619</v>
      </c>
      <c r="GYA1018" t="s">
        <v>619</v>
      </c>
      <c r="HHR1018" t="s">
        <v>1385</v>
      </c>
      <c r="HHS1018">
        <v>-120205</v>
      </c>
      <c r="HHT1018">
        <v>-2610958</v>
      </c>
      <c r="HHU1018" t="s">
        <v>619</v>
      </c>
      <c r="HHV1018" t="s">
        <v>619</v>
      </c>
      <c r="HHW1018" t="s">
        <v>619</v>
      </c>
      <c r="HRN1018" t="s">
        <v>1385</v>
      </c>
      <c r="HRO1018">
        <v>-120205</v>
      </c>
      <c r="HRP1018">
        <v>-2610958</v>
      </c>
      <c r="HRQ1018" t="s">
        <v>619</v>
      </c>
      <c r="HRR1018" t="s">
        <v>619</v>
      </c>
      <c r="HRS1018" t="s">
        <v>619</v>
      </c>
      <c r="IBJ1018" t="s">
        <v>1385</v>
      </c>
      <c r="IBK1018">
        <v>-120205</v>
      </c>
      <c r="IBL1018">
        <v>-2610958</v>
      </c>
      <c r="IBM1018" t="s">
        <v>619</v>
      </c>
      <c r="IBN1018" t="s">
        <v>619</v>
      </c>
      <c r="IBO1018" t="s">
        <v>619</v>
      </c>
      <c r="ILF1018" t="s">
        <v>1385</v>
      </c>
      <c r="ILG1018">
        <v>-120205</v>
      </c>
      <c r="ILH1018">
        <v>-2610958</v>
      </c>
      <c r="ILI1018" t="s">
        <v>619</v>
      </c>
      <c r="ILJ1018" t="s">
        <v>619</v>
      </c>
      <c r="ILK1018" t="s">
        <v>619</v>
      </c>
      <c r="IVB1018" t="s">
        <v>1385</v>
      </c>
      <c r="IVC1018">
        <v>-120205</v>
      </c>
      <c r="IVD1018">
        <v>-2610958</v>
      </c>
      <c r="IVE1018" t="s">
        <v>619</v>
      </c>
      <c r="IVF1018" t="s">
        <v>619</v>
      </c>
      <c r="IVG1018" t="s">
        <v>619</v>
      </c>
      <c r="JEX1018" t="s">
        <v>1385</v>
      </c>
      <c r="JEY1018">
        <v>-120205</v>
      </c>
      <c r="JEZ1018">
        <v>-2610958</v>
      </c>
      <c r="JFA1018" t="s">
        <v>619</v>
      </c>
      <c r="JFB1018" t="s">
        <v>619</v>
      </c>
      <c r="JFC1018" t="s">
        <v>619</v>
      </c>
      <c r="JOT1018" t="s">
        <v>1385</v>
      </c>
      <c r="JOU1018">
        <v>-120205</v>
      </c>
      <c r="JOV1018">
        <v>-2610958</v>
      </c>
      <c r="JOW1018" t="s">
        <v>619</v>
      </c>
      <c r="JOX1018" t="s">
        <v>619</v>
      </c>
      <c r="JOY1018" t="s">
        <v>619</v>
      </c>
      <c r="JYP1018" t="s">
        <v>1385</v>
      </c>
      <c r="JYQ1018">
        <v>-120205</v>
      </c>
      <c r="JYR1018">
        <v>-2610958</v>
      </c>
      <c r="JYS1018" t="s">
        <v>619</v>
      </c>
      <c r="JYT1018" t="s">
        <v>619</v>
      </c>
      <c r="JYU1018" t="s">
        <v>619</v>
      </c>
      <c r="KIL1018" t="s">
        <v>1385</v>
      </c>
      <c r="KIM1018">
        <v>-120205</v>
      </c>
      <c r="KIN1018">
        <v>-2610958</v>
      </c>
      <c r="KIO1018" t="s">
        <v>619</v>
      </c>
      <c r="KIP1018" t="s">
        <v>619</v>
      </c>
      <c r="KIQ1018" t="s">
        <v>619</v>
      </c>
      <c r="KSH1018" t="s">
        <v>1385</v>
      </c>
      <c r="KSI1018">
        <v>-120205</v>
      </c>
      <c r="KSJ1018">
        <v>-2610958</v>
      </c>
      <c r="KSK1018" t="s">
        <v>619</v>
      </c>
      <c r="KSL1018" t="s">
        <v>619</v>
      </c>
      <c r="KSM1018" t="s">
        <v>619</v>
      </c>
      <c r="LCD1018" t="s">
        <v>1385</v>
      </c>
      <c r="LCE1018">
        <v>-120205</v>
      </c>
      <c r="LCF1018">
        <v>-2610958</v>
      </c>
      <c r="LCG1018" t="s">
        <v>619</v>
      </c>
      <c r="LCH1018" t="s">
        <v>619</v>
      </c>
      <c r="LCI1018" t="s">
        <v>619</v>
      </c>
      <c r="LLZ1018" t="s">
        <v>1385</v>
      </c>
      <c r="LMA1018">
        <v>-120205</v>
      </c>
      <c r="LMB1018">
        <v>-2610958</v>
      </c>
      <c r="LMC1018" t="s">
        <v>619</v>
      </c>
      <c r="LMD1018" t="s">
        <v>619</v>
      </c>
      <c r="LME1018" t="s">
        <v>619</v>
      </c>
      <c r="LVV1018" t="s">
        <v>1385</v>
      </c>
      <c r="LVW1018">
        <v>-120205</v>
      </c>
      <c r="LVX1018">
        <v>-2610958</v>
      </c>
      <c r="LVY1018" t="s">
        <v>619</v>
      </c>
      <c r="LVZ1018" t="s">
        <v>619</v>
      </c>
      <c r="LWA1018" t="s">
        <v>619</v>
      </c>
      <c r="MFR1018" t="s">
        <v>1385</v>
      </c>
      <c r="MFS1018">
        <v>-120205</v>
      </c>
      <c r="MFT1018">
        <v>-2610958</v>
      </c>
      <c r="MFU1018" t="s">
        <v>619</v>
      </c>
      <c r="MFV1018" t="s">
        <v>619</v>
      </c>
      <c r="MFW1018" t="s">
        <v>619</v>
      </c>
      <c r="MPN1018" t="s">
        <v>1385</v>
      </c>
      <c r="MPO1018">
        <v>-120205</v>
      </c>
      <c r="MPP1018">
        <v>-2610958</v>
      </c>
      <c r="MPQ1018" t="s">
        <v>619</v>
      </c>
      <c r="MPR1018" t="s">
        <v>619</v>
      </c>
      <c r="MPS1018" t="s">
        <v>619</v>
      </c>
      <c r="MZJ1018" t="s">
        <v>1385</v>
      </c>
      <c r="MZK1018">
        <v>-120205</v>
      </c>
      <c r="MZL1018">
        <v>-2610958</v>
      </c>
      <c r="MZM1018" t="s">
        <v>619</v>
      </c>
      <c r="MZN1018" t="s">
        <v>619</v>
      </c>
      <c r="MZO1018" t="s">
        <v>619</v>
      </c>
      <c r="NJF1018" t="s">
        <v>1385</v>
      </c>
      <c r="NJG1018">
        <v>-120205</v>
      </c>
      <c r="NJH1018">
        <v>-2610958</v>
      </c>
      <c r="NJI1018" t="s">
        <v>619</v>
      </c>
      <c r="NJJ1018" t="s">
        <v>619</v>
      </c>
      <c r="NJK1018" t="s">
        <v>619</v>
      </c>
      <c r="NTB1018" t="s">
        <v>1385</v>
      </c>
      <c r="NTC1018">
        <v>-120205</v>
      </c>
      <c r="NTD1018">
        <v>-2610958</v>
      </c>
      <c r="NTE1018" t="s">
        <v>619</v>
      </c>
      <c r="NTF1018" t="s">
        <v>619</v>
      </c>
      <c r="NTG1018" t="s">
        <v>619</v>
      </c>
      <c r="OCX1018" t="s">
        <v>1385</v>
      </c>
      <c r="OCY1018">
        <v>-120205</v>
      </c>
      <c r="OCZ1018">
        <v>-2610958</v>
      </c>
      <c r="ODA1018" t="s">
        <v>619</v>
      </c>
      <c r="ODB1018" t="s">
        <v>619</v>
      </c>
      <c r="ODC1018" t="s">
        <v>619</v>
      </c>
      <c r="OMT1018" t="s">
        <v>1385</v>
      </c>
      <c r="OMU1018">
        <v>-120205</v>
      </c>
      <c r="OMV1018">
        <v>-2610958</v>
      </c>
      <c r="OMW1018" t="s">
        <v>619</v>
      </c>
      <c r="OMX1018" t="s">
        <v>619</v>
      </c>
      <c r="OMY1018" t="s">
        <v>619</v>
      </c>
      <c r="OWP1018" t="s">
        <v>1385</v>
      </c>
      <c r="OWQ1018">
        <v>-120205</v>
      </c>
      <c r="OWR1018">
        <v>-2610958</v>
      </c>
      <c r="OWS1018" t="s">
        <v>619</v>
      </c>
      <c r="OWT1018" t="s">
        <v>619</v>
      </c>
      <c r="OWU1018" t="s">
        <v>619</v>
      </c>
      <c r="PGL1018" t="s">
        <v>1385</v>
      </c>
      <c r="PGM1018">
        <v>-120205</v>
      </c>
      <c r="PGN1018">
        <v>-2610958</v>
      </c>
      <c r="PGO1018" t="s">
        <v>619</v>
      </c>
      <c r="PGP1018" t="s">
        <v>619</v>
      </c>
      <c r="PGQ1018" t="s">
        <v>619</v>
      </c>
      <c r="PQH1018" t="s">
        <v>1385</v>
      </c>
      <c r="PQI1018">
        <v>-120205</v>
      </c>
      <c r="PQJ1018">
        <v>-2610958</v>
      </c>
      <c r="PQK1018" t="s">
        <v>619</v>
      </c>
      <c r="PQL1018" t="s">
        <v>619</v>
      </c>
      <c r="PQM1018" t="s">
        <v>619</v>
      </c>
      <c r="QAD1018" t="s">
        <v>1385</v>
      </c>
      <c r="QAE1018">
        <v>-120205</v>
      </c>
      <c r="QAF1018">
        <v>-2610958</v>
      </c>
      <c r="QAG1018" t="s">
        <v>619</v>
      </c>
      <c r="QAH1018" t="s">
        <v>619</v>
      </c>
      <c r="QAI1018" t="s">
        <v>619</v>
      </c>
      <c r="QJZ1018" t="s">
        <v>1385</v>
      </c>
      <c r="QKA1018">
        <v>-120205</v>
      </c>
      <c r="QKB1018">
        <v>-2610958</v>
      </c>
      <c r="QKC1018" t="s">
        <v>619</v>
      </c>
      <c r="QKD1018" t="s">
        <v>619</v>
      </c>
      <c r="QKE1018" t="s">
        <v>619</v>
      </c>
      <c r="QTV1018" t="s">
        <v>1385</v>
      </c>
      <c r="QTW1018">
        <v>-120205</v>
      </c>
      <c r="QTX1018">
        <v>-2610958</v>
      </c>
      <c r="QTY1018" t="s">
        <v>619</v>
      </c>
      <c r="QTZ1018" t="s">
        <v>619</v>
      </c>
      <c r="QUA1018" t="s">
        <v>619</v>
      </c>
      <c r="RDR1018" t="s">
        <v>1385</v>
      </c>
      <c r="RDS1018">
        <v>-120205</v>
      </c>
      <c r="RDT1018">
        <v>-2610958</v>
      </c>
      <c r="RDU1018" t="s">
        <v>619</v>
      </c>
      <c r="RDV1018" t="s">
        <v>619</v>
      </c>
      <c r="RDW1018" t="s">
        <v>619</v>
      </c>
      <c r="RNN1018" t="s">
        <v>1385</v>
      </c>
      <c r="RNO1018">
        <v>-120205</v>
      </c>
      <c r="RNP1018">
        <v>-2610958</v>
      </c>
      <c r="RNQ1018" t="s">
        <v>619</v>
      </c>
      <c r="RNR1018" t="s">
        <v>619</v>
      </c>
      <c r="RNS1018" t="s">
        <v>619</v>
      </c>
      <c r="RXJ1018" t="s">
        <v>1385</v>
      </c>
      <c r="RXK1018">
        <v>-120205</v>
      </c>
      <c r="RXL1018">
        <v>-2610958</v>
      </c>
      <c r="RXM1018" t="s">
        <v>619</v>
      </c>
      <c r="RXN1018" t="s">
        <v>619</v>
      </c>
      <c r="RXO1018" t="s">
        <v>619</v>
      </c>
      <c r="SHF1018" t="s">
        <v>1385</v>
      </c>
      <c r="SHG1018">
        <v>-120205</v>
      </c>
      <c r="SHH1018">
        <v>-2610958</v>
      </c>
      <c r="SHI1018" t="s">
        <v>619</v>
      </c>
      <c r="SHJ1018" t="s">
        <v>619</v>
      </c>
      <c r="SHK1018" t="s">
        <v>619</v>
      </c>
      <c r="SRB1018" t="s">
        <v>1385</v>
      </c>
      <c r="SRC1018">
        <v>-120205</v>
      </c>
      <c r="SRD1018">
        <v>-2610958</v>
      </c>
      <c r="SRE1018" t="s">
        <v>619</v>
      </c>
      <c r="SRF1018" t="s">
        <v>619</v>
      </c>
      <c r="SRG1018" t="s">
        <v>619</v>
      </c>
      <c r="TAX1018" t="s">
        <v>1385</v>
      </c>
      <c r="TAY1018">
        <v>-120205</v>
      </c>
      <c r="TAZ1018">
        <v>-2610958</v>
      </c>
      <c r="TBA1018" t="s">
        <v>619</v>
      </c>
      <c r="TBB1018" t="s">
        <v>619</v>
      </c>
      <c r="TBC1018" t="s">
        <v>619</v>
      </c>
      <c r="TKT1018" t="s">
        <v>1385</v>
      </c>
      <c r="TKU1018">
        <v>-120205</v>
      </c>
      <c r="TKV1018">
        <v>-2610958</v>
      </c>
      <c r="TKW1018" t="s">
        <v>619</v>
      </c>
      <c r="TKX1018" t="s">
        <v>619</v>
      </c>
      <c r="TKY1018" t="s">
        <v>619</v>
      </c>
      <c r="TUP1018" t="s">
        <v>1385</v>
      </c>
      <c r="TUQ1018">
        <v>-120205</v>
      </c>
      <c r="TUR1018">
        <v>-2610958</v>
      </c>
      <c r="TUS1018" t="s">
        <v>619</v>
      </c>
      <c r="TUT1018" t="s">
        <v>619</v>
      </c>
      <c r="TUU1018" t="s">
        <v>619</v>
      </c>
      <c r="UEL1018" t="s">
        <v>1385</v>
      </c>
      <c r="UEM1018">
        <v>-120205</v>
      </c>
      <c r="UEN1018">
        <v>-2610958</v>
      </c>
      <c r="UEO1018" t="s">
        <v>619</v>
      </c>
      <c r="UEP1018" t="s">
        <v>619</v>
      </c>
      <c r="UEQ1018" t="s">
        <v>619</v>
      </c>
      <c r="UOH1018" t="s">
        <v>1385</v>
      </c>
      <c r="UOI1018">
        <v>-120205</v>
      </c>
      <c r="UOJ1018">
        <v>-2610958</v>
      </c>
      <c r="UOK1018" t="s">
        <v>619</v>
      </c>
      <c r="UOL1018" t="s">
        <v>619</v>
      </c>
      <c r="UOM1018" t="s">
        <v>619</v>
      </c>
      <c r="UYD1018" t="s">
        <v>1385</v>
      </c>
      <c r="UYE1018">
        <v>-120205</v>
      </c>
      <c r="UYF1018">
        <v>-2610958</v>
      </c>
      <c r="UYG1018" t="s">
        <v>619</v>
      </c>
      <c r="UYH1018" t="s">
        <v>619</v>
      </c>
      <c r="UYI1018" t="s">
        <v>619</v>
      </c>
      <c r="VHZ1018" t="s">
        <v>1385</v>
      </c>
      <c r="VIA1018">
        <v>-120205</v>
      </c>
      <c r="VIB1018">
        <v>-2610958</v>
      </c>
      <c r="VIC1018" t="s">
        <v>619</v>
      </c>
      <c r="VID1018" t="s">
        <v>619</v>
      </c>
      <c r="VIE1018" t="s">
        <v>619</v>
      </c>
      <c r="VRV1018" t="s">
        <v>1385</v>
      </c>
      <c r="VRW1018">
        <v>-120205</v>
      </c>
      <c r="VRX1018">
        <v>-2610958</v>
      </c>
      <c r="VRY1018" t="s">
        <v>619</v>
      </c>
      <c r="VRZ1018" t="s">
        <v>619</v>
      </c>
      <c r="VSA1018" t="s">
        <v>619</v>
      </c>
      <c r="WBR1018" t="s">
        <v>1385</v>
      </c>
      <c r="WBS1018">
        <v>-120205</v>
      </c>
      <c r="WBT1018">
        <v>-2610958</v>
      </c>
      <c r="WBU1018" t="s">
        <v>619</v>
      </c>
      <c r="WBV1018" t="s">
        <v>619</v>
      </c>
      <c r="WBW1018" t="s">
        <v>619</v>
      </c>
      <c r="WLN1018" t="s">
        <v>1385</v>
      </c>
      <c r="WLO1018">
        <v>-120205</v>
      </c>
      <c r="WLP1018">
        <v>-2610958</v>
      </c>
      <c r="WLQ1018" t="s">
        <v>619</v>
      </c>
      <c r="WLR1018" t="s">
        <v>619</v>
      </c>
      <c r="WLS1018" t="s">
        <v>619</v>
      </c>
      <c r="WVJ1018" t="s">
        <v>1385</v>
      </c>
      <c r="WVK1018">
        <v>-120205</v>
      </c>
      <c r="WVL1018">
        <v>-2610958</v>
      </c>
      <c r="WVM1018" t="s">
        <v>619</v>
      </c>
      <c r="WVN1018" t="s">
        <v>619</v>
      </c>
      <c r="WVO1018" t="s">
        <v>619</v>
      </c>
    </row>
    <row r="1019" spans="1:775 1026:1799 2050:2823 3074:3847 4098:4871 5122:5895 6146:6919 7170:7943 8194:8967 9218:9991 10242:11015 11266:12039 12290:13063 13314:14087 14338:15111 15362:16135">
      <c r="A1019" s="96" t="s">
        <v>1386</v>
      </c>
      <c r="B1019" t="s">
        <v>816</v>
      </c>
      <c r="C1019" s="98">
        <v>0</v>
      </c>
      <c r="D1019" s="98">
        <v>0</v>
      </c>
      <c r="E1019" s="100">
        <v>-964813</v>
      </c>
      <c r="F1019" s="100">
        <v>-2432255</v>
      </c>
      <c r="G1019" s="100">
        <v>-8550306</v>
      </c>
      <c r="H1019" s="100"/>
      <c r="IX1019" t="s">
        <v>1386</v>
      </c>
      <c r="IY1019" t="s">
        <v>619</v>
      </c>
      <c r="IZ1019" t="s">
        <v>619</v>
      </c>
      <c r="JA1019">
        <v>-964813</v>
      </c>
      <c r="JB1019">
        <v>-2432255</v>
      </c>
      <c r="JC1019">
        <v>-8550306</v>
      </c>
      <c r="ST1019" t="s">
        <v>1386</v>
      </c>
      <c r="SU1019" t="s">
        <v>619</v>
      </c>
      <c r="SV1019" t="s">
        <v>619</v>
      </c>
      <c r="SW1019">
        <v>-964813</v>
      </c>
      <c r="SX1019">
        <v>-2432255</v>
      </c>
      <c r="SY1019">
        <v>-8550306</v>
      </c>
      <c r="ACP1019" t="s">
        <v>1386</v>
      </c>
      <c r="ACQ1019" t="s">
        <v>619</v>
      </c>
      <c r="ACR1019" t="s">
        <v>619</v>
      </c>
      <c r="ACS1019">
        <v>-964813</v>
      </c>
      <c r="ACT1019">
        <v>-2432255</v>
      </c>
      <c r="ACU1019">
        <v>-8550306</v>
      </c>
      <c r="AML1019" t="s">
        <v>1386</v>
      </c>
      <c r="AMM1019" t="s">
        <v>619</v>
      </c>
      <c r="AMN1019" t="s">
        <v>619</v>
      </c>
      <c r="AMO1019">
        <v>-964813</v>
      </c>
      <c r="AMP1019">
        <v>-2432255</v>
      </c>
      <c r="AMQ1019">
        <v>-8550306</v>
      </c>
      <c r="AWH1019" t="s">
        <v>1386</v>
      </c>
      <c r="AWI1019" t="s">
        <v>619</v>
      </c>
      <c r="AWJ1019" t="s">
        <v>619</v>
      </c>
      <c r="AWK1019">
        <v>-964813</v>
      </c>
      <c r="AWL1019">
        <v>-2432255</v>
      </c>
      <c r="AWM1019">
        <v>-8550306</v>
      </c>
      <c r="BGD1019" t="s">
        <v>1386</v>
      </c>
      <c r="BGE1019" t="s">
        <v>619</v>
      </c>
      <c r="BGF1019" t="s">
        <v>619</v>
      </c>
      <c r="BGG1019">
        <v>-964813</v>
      </c>
      <c r="BGH1019">
        <v>-2432255</v>
      </c>
      <c r="BGI1019">
        <v>-8550306</v>
      </c>
      <c r="BPZ1019" t="s">
        <v>1386</v>
      </c>
      <c r="BQA1019" t="s">
        <v>619</v>
      </c>
      <c r="BQB1019" t="s">
        <v>619</v>
      </c>
      <c r="BQC1019">
        <v>-964813</v>
      </c>
      <c r="BQD1019">
        <v>-2432255</v>
      </c>
      <c r="BQE1019">
        <v>-8550306</v>
      </c>
      <c r="BZV1019" t="s">
        <v>1386</v>
      </c>
      <c r="BZW1019" t="s">
        <v>619</v>
      </c>
      <c r="BZX1019" t="s">
        <v>619</v>
      </c>
      <c r="BZY1019">
        <v>-964813</v>
      </c>
      <c r="BZZ1019">
        <v>-2432255</v>
      </c>
      <c r="CAA1019">
        <v>-8550306</v>
      </c>
      <c r="CJR1019" t="s">
        <v>1386</v>
      </c>
      <c r="CJS1019" t="s">
        <v>619</v>
      </c>
      <c r="CJT1019" t="s">
        <v>619</v>
      </c>
      <c r="CJU1019">
        <v>-964813</v>
      </c>
      <c r="CJV1019">
        <v>-2432255</v>
      </c>
      <c r="CJW1019">
        <v>-8550306</v>
      </c>
      <c r="CTN1019" t="s">
        <v>1386</v>
      </c>
      <c r="CTO1019" t="s">
        <v>619</v>
      </c>
      <c r="CTP1019" t="s">
        <v>619</v>
      </c>
      <c r="CTQ1019">
        <v>-964813</v>
      </c>
      <c r="CTR1019">
        <v>-2432255</v>
      </c>
      <c r="CTS1019">
        <v>-8550306</v>
      </c>
      <c r="DDJ1019" t="s">
        <v>1386</v>
      </c>
      <c r="DDK1019" t="s">
        <v>619</v>
      </c>
      <c r="DDL1019" t="s">
        <v>619</v>
      </c>
      <c r="DDM1019">
        <v>-964813</v>
      </c>
      <c r="DDN1019">
        <v>-2432255</v>
      </c>
      <c r="DDO1019">
        <v>-8550306</v>
      </c>
      <c r="DNF1019" t="s">
        <v>1386</v>
      </c>
      <c r="DNG1019" t="s">
        <v>619</v>
      </c>
      <c r="DNH1019" t="s">
        <v>619</v>
      </c>
      <c r="DNI1019">
        <v>-964813</v>
      </c>
      <c r="DNJ1019">
        <v>-2432255</v>
      </c>
      <c r="DNK1019">
        <v>-8550306</v>
      </c>
      <c r="DXB1019" t="s">
        <v>1386</v>
      </c>
      <c r="DXC1019" t="s">
        <v>619</v>
      </c>
      <c r="DXD1019" t="s">
        <v>619</v>
      </c>
      <c r="DXE1019">
        <v>-964813</v>
      </c>
      <c r="DXF1019">
        <v>-2432255</v>
      </c>
      <c r="DXG1019">
        <v>-8550306</v>
      </c>
      <c r="EGX1019" t="s">
        <v>1386</v>
      </c>
      <c r="EGY1019" t="s">
        <v>619</v>
      </c>
      <c r="EGZ1019" t="s">
        <v>619</v>
      </c>
      <c r="EHA1019">
        <v>-964813</v>
      </c>
      <c r="EHB1019">
        <v>-2432255</v>
      </c>
      <c r="EHC1019">
        <v>-8550306</v>
      </c>
      <c r="EQT1019" t="s">
        <v>1386</v>
      </c>
      <c r="EQU1019" t="s">
        <v>619</v>
      </c>
      <c r="EQV1019" t="s">
        <v>619</v>
      </c>
      <c r="EQW1019">
        <v>-964813</v>
      </c>
      <c r="EQX1019">
        <v>-2432255</v>
      </c>
      <c r="EQY1019">
        <v>-8550306</v>
      </c>
      <c r="FAP1019" t="s">
        <v>1386</v>
      </c>
      <c r="FAQ1019" t="s">
        <v>619</v>
      </c>
      <c r="FAR1019" t="s">
        <v>619</v>
      </c>
      <c r="FAS1019">
        <v>-964813</v>
      </c>
      <c r="FAT1019">
        <v>-2432255</v>
      </c>
      <c r="FAU1019">
        <v>-8550306</v>
      </c>
      <c r="FKL1019" t="s">
        <v>1386</v>
      </c>
      <c r="FKM1019" t="s">
        <v>619</v>
      </c>
      <c r="FKN1019" t="s">
        <v>619</v>
      </c>
      <c r="FKO1019">
        <v>-964813</v>
      </c>
      <c r="FKP1019">
        <v>-2432255</v>
      </c>
      <c r="FKQ1019">
        <v>-8550306</v>
      </c>
      <c r="FUH1019" t="s">
        <v>1386</v>
      </c>
      <c r="FUI1019" t="s">
        <v>619</v>
      </c>
      <c r="FUJ1019" t="s">
        <v>619</v>
      </c>
      <c r="FUK1019">
        <v>-964813</v>
      </c>
      <c r="FUL1019">
        <v>-2432255</v>
      </c>
      <c r="FUM1019">
        <v>-8550306</v>
      </c>
      <c r="GED1019" t="s">
        <v>1386</v>
      </c>
      <c r="GEE1019" t="s">
        <v>619</v>
      </c>
      <c r="GEF1019" t="s">
        <v>619</v>
      </c>
      <c r="GEG1019">
        <v>-964813</v>
      </c>
      <c r="GEH1019">
        <v>-2432255</v>
      </c>
      <c r="GEI1019">
        <v>-8550306</v>
      </c>
      <c r="GNZ1019" t="s">
        <v>1386</v>
      </c>
      <c r="GOA1019" t="s">
        <v>619</v>
      </c>
      <c r="GOB1019" t="s">
        <v>619</v>
      </c>
      <c r="GOC1019">
        <v>-964813</v>
      </c>
      <c r="GOD1019">
        <v>-2432255</v>
      </c>
      <c r="GOE1019">
        <v>-8550306</v>
      </c>
      <c r="GXV1019" t="s">
        <v>1386</v>
      </c>
      <c r="GXW1019" t="s">
        <v>619</v>
      </c>
      <c r="GXX1019" t="s">
        <v>619</v>
      </c>
      <c r="GXY1019">
        <v>-964813</v>
      </c>
      <c r="GXZ1019">
        <v>-2432255</v>
      </c>
      <c r="GYA1019">
        <v>-8550306</v>
      </c>
      <c r="HHR1019" t="s">
        <v>1386</v>
      </c>
      <c r="HHS1019" t="s">
        <v>619</v>
      </c>
      <c r="HHT1019" t="s">
        <v>619</v>
      </c>
      <c r="HHU1019">
        <v>-964813</v>
      </c>
      <c r="HHV1019">
        <v>-2432255</v>
      </c>
      <c r="HHW1019">
        <v>-8550306</v>
      </c>
      <c r="HRN1019" t="s">
        <v>1386</v>
      </c>
      <c r="HRO1019" t="s">
        <v>619</v>
      </c>
      <c r="HRP1019" t="s">
        <v>619</v>
      </c>
      <c r="HRQ1019">
        <v>-964813</v>
      </c>
      <c r="HRR1019">
        <v>-2432255</v>
      </c>
      <c r="HRS1019">
        <v>-8550306</v>
      </c>
      <c r="IBJ1019" t="s">
        <v>1386</v>
      </c>
      <c r="IBK1019" t="s">
        <v>619</v>
      </c>
      <c r="IBL1019" t="s">
        <v>619</v>
      </c>
      <c r="IBM1019">
        <v>-964813</v>
      </c>
      <c r="IBN1019">
        <v>-2432255</v>
      </c>
      <c r="IBO1019">
        <v>-8550306</v>
      </c>
      <c r="ILF1019" t="s">
        <v>1386</v>
      </c>
      <c r="ILG1019" t="s">
        <v>619</v>
      </c>
      <c r="ILH1019" t="s">
        <v>619</v>
      </c>
      <c r="ILI1019">
        <v>-964813</v>
      </c>
      <c r="ILJ1019">
        <v>-2432255</v>
      </c>
      <c r="ILK1019">
        <v>-8550306</v>
      </c>
      <c r="IVB1019" t="s">
        <v>1386</v>
      </c>
      <c r="IVC1019" t="s">
        <v>619</v>
      </c>
      <c r="IVD1019" t="s">
        <v>619</v>
      </c>
      <c r="IVE1019">
        <v>-964813</v>
      </c>
      <c r="IVF1019">
        <v>-2432255</v>
      </c>
      <c r="IVG1019">
        <v>-8550306</v>
      </c>
      <c r="JEX1019" t="s">
        <v>1386</v>
      </c>
      <c r="JEY1019" t="s">
        <v>619</v>
      </c>
      <c r="JEZ1019" t="s">
        <v>619</v>
      </c>
      <c r="JFA1019">
        <v>-964813</v>
      </c>
      <c r="JFB1019">
        <v>-2432255</v>
      </c>
      <c r="JFC1019">
        <v>-8550306</v>
      </c>
      <c r="JOT1019" t="s">
        <v>1386</v>
      </c>
      <c r="JOU1019" t="s">
        <v>619</v>
      </c>
      <c r="JOV1019" t="s">
        <v>619</v>
      </c>
      <c r="JOW1019">
        <v>-964813</v>
      </c>
      <c r="JOX1019">
        <v>-2432255</v>
      </c>
      <c r="JOY1019">
        <v>-8550306</v>
      </c>
      <c r="JYP1019" t="s">
        <v>1386</v>
      </c>
      <c r="JYQ1019" t="s">
        <v>619</v>
      </c>
      <c r="JYR1019" t="s">
        <v>619</v>
      </c>
      <c r="JYS1019">
        <v>-964813</v>
      </c>
      <c r="JYT1019">
        <v>-2432255</v>
      </c>
      <c r="JYU1019">
        <v>-8550306</v>
      </c>
      <c r="KIL1019" t="s">
        <v>1386</v>
      </c>
      <c r="KIM1019" t="s">
        <v>619</v>
      </c>
      <c r="KIN1019" t="s">
        <v>619</v>
      </c>
      <c r="KIO1019">
        <v>-964813</v>
      </c>
      <c r="KIP1019">
        <v>-2432255</v>
      </c>
      <c r="KIQ1019">
        <v>-8550306</v>
      </c>
      <c r="KSH1019" t="s">
        <v>1386</v>
      </c>
      <c r="KSI1019" t="s">
        <v>619</v>
      </c>
      <c r="KSJ1019" t="s">
        <v>619</v>
      </c>
      <c r="KSK1019">
        <v>-964813</v>
      </c>
      <c r="KSL1019">
        <v>-2432255</v>
      </c>
      <c r="KSM1019">
        <v>-8550306</v>
      </c>
      <c r="LCD1019" t="s">
        <v>1386</v>
      </c>
      <c r="LCE1019" t="s">
        <v>619</v>
      </c>
      <c r="LCF1019" t="s">
        <v>619</v>
      </c>
      <c r="LCG1019">
        <v>-964813</v>
      </c>
      <c r="LCH1019">
        <v>-2432255</v>
      </c>
      <c r="LCI1019">
        <v>-8550306</v>
      </c>
      <c r="LLZ1019" t="s">
        <v>1386</v>
      </c>
      <c r="LMA1019" t="s">
        <v>619</v>
      </c>
      <c r="LMB1019" t="s">
        <v>619</v>
      </c>
      <c r="LMC1019">
        <v>-964813</v>
      </c>
      <c r="LMD1019">
        <v>-2432255</v>
      </c>
      <c r="LME1019">
        <v>-8550306</v>
      </c>
      <c r="LVV1019" t="s">
        <v>1386</v>
      </c>
      <c r="LVW1019" t="s">
        <v>619</v>
      </c>
      <c r="LVX1019" t="s">
        <v>619</v>
      </c>
      <c r="LVY1019">
        <v>-964813</v>
      </c>
      <c r="LVZ1019">
        <v>-2432255</v>
      </c>
      <c r="LWA1019">
        <v>-8550306</v>
      </c>
      <c r="MFR1019" t="s">
        <v>1386</v>
      </c>
      <c r="MFS1019" t="s">
        <v>619</v>
      </c>
      <c r="MFT1019" t="s">
        <v>619</v>
      </c>
      <c r="MFU1019">
        <v>-964813</v>
      </c>
      <c r="MFV1019">
        <v>-2432255</v>
      </c>
      <c r="MFW1019">
        <v>-8550306</v>
      </c>
      <c r="MPN1019" t="s">
        <v>1386</v>
      </c>
      <c r="MPO1019" t="s">
        <v>619</v>
      </c>
      <c r="MPP1019" t="s">
        <v>619</v>
      </c>
      <c r="MPQ1019">
        <v>-964813</v>
      </c>
      <c r="MPR1019">
        <v>-2432255</v>
      </c>
      <c r="MPS1019">
        <v>-8550306</v>
      </c>
      <c r="MZJ1019" t="s">
        <v>1386</v>
      </c>
      <c r="MZK1019" t="s">
        <v>619</v>
      </c>
      <c r="MZL1019" t="s">
        <v>619</v>
      </c>
      <c r="MZM1019">
        <v>-964813</v>
      </c>
      <c r="MZN1019">
        <v>-2432255</v>
      </c>
      <c r="MZO1019">
        <v>-8550306</v>
      </c>
      <c r="NJF1019" t="s">
        <v>1386</v>
      </c>
      <c r="NJG1019" t="s">
        <v>619</v>
      </c>
      <c r="NJH1019" t="s">
        <v>619</v>
      </c>
      <c r="NJI1019">
        <v>-964813</v>
      </c>
      <c r="NJJ1019">
        <v>-2432255</v>
      </c>
      <c r="NJK1019">
        <v>-8550306</v>
      </c>
      <c r="NTB1019" t="s">
        <v>1386</v>
      </c>
      <c r="NTC1019" t="s">
        <v>619</v>
      </c>
      <c r="NTD1019" t="s">
        <v>619</v>
      </c>
      <c r="NTE1019">
        <v>-964813</v>
      </c>
      <c r="NTF1019">
        <v>-2432255</v>
      </c>
      <c r="NTG1019">
        <v>-8550306</v>
      </c>
      <c r="OCX1019" t="s">
        <v>1386</v>
      </c>
      <c r="OCY1019" t="s">
        <v>619</v>
      </c>
      <c r="OCZ1019" t="s">
        <v>619</v>
      </c>
      <c r="ODA1019">
        <v>-964813</v>
      </c>
      <c r="ODB1019">
        <v>-2432255</v>
      </c>
      <c r="ODC1019">
        <v>-8550306</v>
      </c>
      <c r="OMT1019" t="s">
        <v>1386</v>
      </c>
      <c r="OMU1019" t="s">
        <v>619</v>
      </c>
      <c r="OMV1019" t="s">
        <v>619</v>
      </c>
      <c r="OMW1019">
        <v>-964813</v>
      </c>
      <c r="OMX1019">
        <v>-2432255</v>
      </c>
      <c r="OMY1019">
        <v>-8550306</v>
      </c>
      <c r="OWP1019" t="s">
        <v>1386</v>
      </c>
      <c r="OWQ1019" t="s">
        <v>619</v>
      </c>
      <c r="OWR1019" t="s">
        <v>619</v>
      </c>
      <c r="OWS1019">
        <v>-964813</v>
      </c>
      <c r="OWT1019">
        <v>-2432255</v>
      </c>
      <c r="OWU1019">
        <v>-8550306</v>
      </c>
      <c r="PGL1019" t="s">
        <v>1386</v>
      </c>
      <c r="PGM1019" t="s">
        <v>619</v>
      </c>
      <c r="PGN1019" t="s">
        <v>619</v>
      </c>
      <c r="PGO1019">
        <v>-964813</v>
      </c>
      <c r="PGP1019">
        <v>-2432255</v>
      </c>
      <c r="PGQ1019">
        <v>-8550306</v>
      </c>
      <c r="PQH1019" t="s">
        <v>1386</v>
      </c>
      <c r="PQI1019" t="s">
        <v>619</v>
      </c>
      <c r="PQJ1019" t="s">
        <v>619</v>
      </c>
      <c r="PQK1019">
        <v>-964813</v>
      </c>
      <c r="PQL1019">
        <v>-2432255</v>
      </c>
      <c r="PQM1019">
        <v>-8550306</v>
      </c>
      <c r="QAD1019" t="s">
        <v>1386</v>
      </c>
      <c r="QAE1019" t="s">
        <v>619</v>
      </c>
      <c r="QAF1019" t="s">
        <v>619</v>
      </c>
      <c r="QAG1019">
        <v>-964813</v>
      </c>
      <c r="QAH1019">
        <v>-2432255</v>
      </c>
      <c r="QAI1019">
        <v>-8550306</v>
      </c>
      <c r="QJZ1019" t="s">
        <v>1386</v>
      </c>
      <c r="QKA1019" t="s">
        <v>619</v>
      </c>
      <c r="QKB1019" t="s">
        <v>619</v>
      </c>
      <c r="QKC1019">
        <v>-964813</v>
      </c>
      <c r="QKD1019">
        <v>-2432255</v>
      </c>
      <c r="QKE1019">
        <v>-8550306</v>
      </c>
      <c r="QTV1019" t="s">
        <v>1386</v>
      </c>
      <c r="QTW1019" t="s">
        <v>619</v>
      </c>
      <c r="QTX1019" t="s">
        <v>619</v>
      </c>
      <c r="QTY1019">
        <v>-964813</v>
      </c>
      <c r="QTZ1019">
        <v>-2432255</v>
      </c>
      <c r="QUA1019">
        <v>-8550306</v>
      </c>
      <c r="RDR1019" t="s">
        <v>1386</v>
      </c>
      <c r="RDS1019" t="s">
        <v>619</v>
      </c>
      <c r="RDT1019" t="s">
        <v>619</v>
      </c>
      <c r="RDU1019">
        <v>-964813</v>
      </c>
      <c r="RDV1019">
        <v>-2432255</v>
      </c>
      <c r="RDW1019">
        <v>-8550306</v>
      </c>
      <c r="RNN1019" t="s">
        <v>1386</v>
      </c>
      <c r="RNO1019" t="s">
        <v>619</v>
      </c>
      <c r="RNP1019" t="s">
        <v>619</v>
      </c>
      <c r="RNQ1019">
        <v>-964813</v>
      </c>
      <c r="RNR1019">
        <v>-2432255</v>
      </c>
      <c r="RNS1019">
        <v>-8550306</v>
      </c>
      <c r="RXJ1019" t="s">
        <v>1386</v>
      </c>
      <c r="RXK1019" t="s">
        <v>619</v>
      </c>
      <c r="RXL1019" t="s">
        <v>619</v>
      </c>
      <c r="RXM1019">
        <v>-964813</v>
      </c>
      <c r="RXN1019">
        <v>-2432255</v>
      </c>
      <c r="RXO1019">
        <v>-8550306</v>
      </c>
      <c r="SHF1019" t="s">
        <v>1386</v>
      </c>
      <c r="SHG1019" t="s">
        <v>619</v>
      </c>
      <c r="SHH1019" t="s">
        <v>619</v>
      </c>
      <c r="SHI1019">
        <v>-964813</v>
      </c>
      <c r="SHJ1019">
        <v>-2432255</v>
      </c>
      <c r="SHK1019">
        <v>-8550306</v>
      </c>
      <c r="SRB1019" t="s">
        <v>1386</v>
      </c>
      <c r="SRC1019" t="s">
        <v>619</v>
      </c>
      <c r="SRD1019" t="s">
        <v>619</v>
      </c>
      <c r="SRE1019">
        <v>-964813</v>
      </c>
      <c r="SRF1019">
        <v>-2432255</v>
      </c>
      <c r="SRG1019">
        <v>-8550306</v>
      </c>
      <c r="TAX1019" t="s">
        <v>1386</v>
      </c>
      <c r="TAY1019" t="s">
        <v>619</v>
      </c>
      <c r="TAZ1019" t="s">
        <v>619</v>
      </c>
      <c r="TBA1019">
        <v>-964813</v>
      </c>
      <c r="TBB1019">
        <v>-2432255</v>
      </c>
      <c r="TBC1019">
        <v>-8550306</v>
      </c>
      <c r="TKT1019" t="s">
        <v>1386</v>
      </c>
      <c r="TKU1019" t="s">
        <v>619</v>
      </c>
      <c r="TKV1019" t="s">
        <v>619</v>
      </c>
      <c r="TKW1019">
        <v>-964813</v>
      </c>
      <c r="TKX1019">
        <v>-2432255</v>
      </c>
      <c r="TKY1019">
        <v>-8550306</v>
      </c>
      <c r="TUP1019" t="s">
        <v>1386</v>
      </c>
      <c r="TUQ1019" t="s">
        <v>619</v>
      </c>
      <c r="TUR1019" t="s">
        <v>619</v>
      </c>
      <c r="TUS1019">
        <v>-964813</v>
      </c>
      <c r="TUT1019">
        <v>-2432255</v>
      </c>
      <c r="TUU1019">
        <v>-8550306</v>
      </c>
      <c r="UEL1019" t="s">
        <v>1386</v>
      </c>
      <c r="UEM1019" t="s">
        <v>619</v>
      </c>
      <c r="UEN1019" t="s">
        <v>619</v>
      </c>
      <c r="UEO1019">
        <v>-964813</v>
      </c>
      <c r="UEP1019">
        <v>-2432255</v>
      </c>
      <c r="UEQ1019">
        <v>-8550306</v>
      </c>
      <c r="UOH1019" t="s">
        <v>1386</v>
      </c>
      <c r="UOI1019" t="s">
        <v>619</v>
      </c>
      <c r="UOJ1019" t="s">
        <v>619</v>
      </c>
      <c r="UOK1019">
        <v>-964813</v>
      </c>
      <c r="UOL1019">
        <v>-2432255</v>
      </c>
      <c r="UOM1019">
        <v>-8550306</v>
      </c>
      <c r="UYD1019" t="s">
        <v>1386</v>
      </c>
      <c r="UYE1019" t="s">
        <v>619</v>
      </c>
      <c r="UYF1019" t="s">
        <v>619</v>
      </c>
      <c r="UYG1019">
        <v>-964813</v>
      </c>
      <c r="UYH1019">
        <v>-2432255</v>
      </c>
      <c r="UYI1019">
        <v>-8550306</v>
      </c>
      <c r="VHZ1019" t="s">
        <v>1386</v>
      </c>
      <c r="VIA1019" t="s">
        <v>619</v>
      </c>
      <c r="VIB1019" t="s">
        <v>619</v>
      </c>
      <c r="VIC1019">
        <v>-964813</v>
      </c>
      <c r="VID1019">
        <v>-2432255</v>
      </c>
      <c r="VIE1019">
        <v>-8550306</v>
      </c>
      <c r="VRV1019" t="s">
        <v>1386</v>
      </c>
      <c r="VRW1019" t="s">
        <v>619</v>
      </c>
      <c r="VRX1019" t="s">
        <v>619</v>
      </c>
      <c r="VRY1019">
        <v>-964813</v>
      </c>
      <c r="VRZ1019">
        <v>-2432255</v>
      </c>
      <c r="VSA1019">
        <v>-8550306</v>
      </c>
      <c r="WBR1019" t="s">
        <v>1386</v>
      </c>
      <c r="WBS1019" t="s">
        <v>619</v>
      </c>
      <c r="WBT1019" t="s">
        <v>619</v>
      </c>
      <c r="WBU1019">
        <v>-964813</v>
      </c>
      <c r="WBV1019">
        <v>-2432255</v>
      </c>
      <c r="WBW1019">
        <v>-8550306</v>
      </c>
      <c r="WLN1019" t="s">
        <v>1386</v>
      </c>
      <c r="WLO1019" t="s">
        <v>619</v>
      </c>
      <c r="WLP1019" t="s">
        <v>619</v>
      </c>
      <c r="WLQ1019">
        <v>-964813</v>
      </c>
      <c r="WLR1019">
        <v>-2432255</v>
      </c>
      <c r="WLS1019">
        <v>-8550306</v>
      </c>
      <c r="WVJ1019" t="s">
        <v>1386</v>
      </c>
      <c r="WVK1019" t="s">
        <v>619</v>
      </c>
      <c r="WVL1019" t="s">
        <v>619</v>
      </c>
      <c r="WVM1019">
        <v>-964813</v>
      </c>
      <c r="WVN1019">
        <v>-2432255</v>
      </c>
      <c r="WVO1019">
        <v>-8550306</v>
      </c>
    </row>
    <row r="1020" spans="1:775 1026:1799 2050:2823 3074:3847 4098:4871 5122:5895 6146:6919 7170:7943 8194:8967 9218:9991 10242:11015 11266:12039 12290:13063 13314:14087 14338:15111 15362:16135">
      <c r="A1020" s="96" t="s">
        <v>1387</v>
      </c>
      <c r="B1020" t="s">
        <v>816</v>
      </c>
      <c r="C1020" s="98">
        <v>0</v>
      </c>
      <c r="D1020" s="100">
        <v>25799</v>
      </c>
      <c r="E1020" s="100">
        <v>260000</v>
      </c>
      <c r="F1020" s="98">
        <v>0</v>
      </c>
      <c r="G1020" s="98">
        <v>0</v>
      </c>
      <c r="H1020" s="98"/>
      <c r="IX1020" t="s">
        <v>1387</v>
      </c>
      <c r="IY1020" t="s">
        <v>619</v>
      </c>
      <c r="IZ1020">
        <v>25799</v>
      </c>
      <c r="JA1020">
        <v>260000</v>
      </c>
      <c r="JB1020" t="s">
        <v>619</v>
      </c>
      <c r="JC1020" t="s">
        <v>619</v>
      </c>
      <c r="ST1020" t="s">
        <v>1387</v>
      </c>
      <c r="SU1020" t="s">
        <v>619</v>
      </c>
      <c r="SV1020">
        <v>25799</v>
      </c>
      <c r="SW1020">
        <v>260000</v>
      </c>
      <c r="SX1020" t="s">
        <v>619</v>
      </c>
      <c r="SY1020" t="s">
        <v>619</v>
      </c>
      <c r="ACP1020" t="s">
        <v>1387</v>
      </c>
      <c r="ACQ1020" t="s">
        <v>619</v>
      </c>
      <c r="ACR1020">
        <v>25799</v>
      </c>
      <c r="ACS1020">
        <v>260000</v>
      </c>
      <c r="ACT1020" t="s">
        <v>619</v>
      </c>
      <c r="ACU1020" t="s">
        <v>619</v>
      </c>
      <c r="AML1020" t="s">
        <v>1387</v>
      </c>
      <c r="AMM1020" t="s">
        <v>619</v>
      </c>
      <c r="AMN1020">
        <v>25799</v>
      </c>
      <c r="AMO1020">
        <v>260000</v>
      </c>
      <c r="AMP1020" t="s">
        <v>619</v>
      </c>
      <c r="AMQ1020" t="s">
        <v>619</v>
      </c>
      <c r="AWH1020" t="s">
        <v>1387</v>
      </c>
      <c r="AWI1020" t="s">
        <v>619</v>
      </c>
      <c r="AWJ1020">
        <v>25799</v>
      </c>
      <c r="AWK1020">
        <v>260000</v>
      </c>
      <c r="AWL1020" t="s">
        <v>619</v>
      </c>
      <c r="AWM1020" t="s">
        <v>619</v>
      </c>
      <c r="BGD1020" t="s">
        <v>1387</v>
      </c>
      <c r="BGE1020" t="s">
        <v>619</v>
      </c>
      <c r="BGF1020">
        <v>25799</v>
      </c>
      <c r="BGG1020">
        <v>260000</v>
      </c>
      <c r="BGH1020" t="s">
        <v>619</v>
      </c>
      <c r="BGI1020" t="s">
        <v>619</v>
      </c>
      <c r="BPZ1020" t="s">
        <v>1387</v>
      </c>
      <c r="BQA1020" t="s">
        <v>619</v>
      </c>
      <c r="BQB1020">
        <v>25799</v>
      </c>
      <c r="BQC1020">
        <v>260000</v>
      </c>
      <c r="BQD1020" t="s">
        <v>619</v>
      </c>
      <c r="BQE1020" t="s">
        <v>619</v>
      </c>
      <c r="BZV1020" t="s">
        <v>1387</v>
      </c>
      <c r="BZW1020" t="s">
        <v>619</v>
      </c>
      <c r="BZX1020">
        <v>25799</v>
      </c>
      <c r="BZY1020">
        <v>260000</v>
      </c>
      <c r="BZZ1020" t="s">
        <v>619</v>
      </c>
      <c r="CAA1020" t="s">
        <v>619</v>
      </c>
      <c r="CJR1020" t="s">
        <v>1387</v>
      </c>
      <c r="CJS1020" t="s">
        <v>619</v>
      </c>
      <c r="CJT1020">
        <v>25799</v>
      </c>
      <c r="CJU1020">
        <v>260000</v>
      </c>
      <c r="CJV1020" t="s">
        <v>619</v>
      </c>
      <c r="CJW1020" t="s">
        <v>619</v>
      </c>
      <c r="CTN1020" t="s">
        <v>1387</v>
      </c>
      <c r="CTO1020" t="s">
        <v>619</v>
      </c>
      <c r="CTP1020">
        <v>25799</v>
      </c>
      <c r="CTQ1020">
        <v>260000</v>
      </c>
      <c r="CTR1020" t="s">
        <v>619</v>
      </c>
      <c r="CTS1020" t="s">
        <v>619</v>
      </c>
      <c r="DDJ1020" t="s">
        <v>1387</v>
      </c>
      <c r="DDK1020" t="s">
        <v>619</v>
      </c>
      <c r="DDL1020">
        <v>25799</v>
      </c>
      <c r="DDM1020">
        <v>260000</v>
      </c>
      <c r="DDN1020" t="s">
        <v>619</v>
      </c>
      <c r="DDO1020" t="s">
        <v>619</v>
      </c>
      <c r="DNF1020" t="s">
        <v>1387</v>
      </c>
      <c r="DNG1020" t="s">
        <v>619</v>
      </c>
      <c r="DNH1020">
        <v>25799</v>
      </c>
      <c r="DNI1020">
        <v>260000</v>
      </c>
      <c r="DNJ1020" t="s">
        <v>619</v>
      </c>
      <c r="DNK1020" t="s">
        <v>619</v>
      </c>
      <c r="DXB1020" t="s">
        <v>1387</v>
      </c>
      <c r="DXC1020" t="s">
        <v>619</v>
      </c>
      <c r="DXD1020">
        <v>25799</v>
      </c>
      <c r="DXE1020">
        <v>260000</v>
      </c>
      <c r="DXF1020" t="s">
        <v>619</v>
      </c>
      <c r="DXG1020" t="s">
        <v>619</v>
      </c>
      <c r="EGX1020" t="s">
        <v>1387</v>
      </c>
      <c r="EGY1020" t="s">
        <v>619</v>
      </c>
      <c r="EGZ1020">
        <v>25799</v>
      </c>
      <c r="EHA1020">
        <v>260000</v>
      </c>
      <c r="EHB1020" t="s">
        <v>619</v>
      </c>
      <c r="EHC1020" t="s">
        <v>619</v>
      </c>
      <c r="EQT1020" t="s">
        <v>1387</v>
      </c>
      <c r="EQU1020" t="s">
        <v>619</v>
      </c>
      <c r="EQV1020">
        <v>25799</v>
      </c>
      <c r="EQW1020">
        <v>260000</v>
      </c>
      <c r="EQX1020" t="s">
        <v>619</v>
      </c>
      <c r="EQY1020" t="s">
        <v>619</v>
      </c>
      <c r="FAP1020" t="s">
        <v>1387</v>
      </c>
      <c r="FAQ1020" t="s">
        <v>619</v>
      </c>
      <c r="FAR1020">
        <v>25799</v>
      </c>
      <c r="FAS1020">
        <v>260000</v>
      </c>
      <c r="FAT1020" t="s">
        <v>619</v>
      </c>
      <c r="FAU1020" t="s">
        <v>619</v>
      </c>
      <c r="FKL1020" t="s">
        <v>1387</v>
      </c>
      <c r="FKM1020" t="s">
        <v>619</v>
      </c>
      <c r="FKN1020">
        <v>25799</v>
      </c>
      <c r="FKO1020">
        <v>260000</v>
      </c>
      <c r="FKP1020" t="s">
        <v>619</v>
      </c>
      <c r="FKQ1020" t="s">
        <v>619</v>
      </c>
      <c r="FUH1020" t="s">
        <v>1387</v>
      </c>
      <c r="FUI1020" t="s">
        <v>619</v>
      </c>
      <c r="FUJ1020">
        <v>25799</v>
      </c>
      <c r="FUK1020">
        <v>260000</v>
      </c>
      <c r="FUL1020" t="s">
        <v>619</v>
      </c>
      <c r="FUM1020" t="s">
        <v>619</v>
      </c>
      <c r="GED1020" t="s">
        <v>1387</v>
      </c>
      <c r="GEE1020" t="s">
        <v>619</v>
      </c>
      <c r="GEF1020">
        <v>25799</v>
      </c>
      <c r="GEG1020">
        <v>260000</v>
      </c>
      <c r="GEH1020" t="s">
        <v>619</v>
      </c>
      <c r="GEI1020" t="s">
        <v>619</v>
      </c>
      <c r="GNZ1020" t="s">
        <v>1387</v>
      </c>
      <c r="GOA1020" t="s">
        <v>619</v>
      </c>
      <c r="GOB1020">
        <v>25799</v>
      </c>
      <c r="GOC1020">
        <v>260000</v>
      </c>
      <c r="GOD1020" t="s">
        <v>619</v>
      </c>
      <c r="GOE1020" t="s">
        <v>619</v>
      </c>
      <c r="GXV1020" t="s">
        <v>1387</v>
      </c>
      <c r="GXW1020" t="s">
        <v>619</v>
      </c>
      <c r="GXX1020">
        <v>25799</v>
      </c>
      <c r="GXY1020">
        <v>260000</v>
      </c>
      <c r="GXZ1020" t="s">
        <v>619</v>
      </c>
      <c r="GYA1020" t="s">
        <v>619</v>
      </c>
      <c r="HHR1020" t="s">
        <v>1387</v>
      </c>
      <c r="HHS1020" t="s">
        <v>619</v>
      </c>
      <c r="HHT1020">
        <v>25799</v>
      </c>
      <c r="HHU1020">
        <v>260000</v>
      </c>
      <c r="HHV1020" t="s">
        <v>619</v>
      </c>
      <c r="HHW1020" t="s">
        <v>619</v>
      </c>
      <c r="HRN1020" t="s">
        <v>1387</v>
      </c>
      <c r="HRO1020" t="s">
        <v>619</v>
      </c>
      <c r="HRP1020">
        <v>25799</v>
      </c>
      <c r="HRQ1020">
        <v>260000</v>
      </c>
      <c r="HRR1020" t="s">
        <v>619</v>
      </c>
      <c r="HRS1020" t="s">
        <v>619</v>
      </c>
      <c r="IBJ1020" t="s">
        <v>1387</v>
      </c>
      <c r="IBK1020" t="s">
        <v>619</v>
      </c>
      <c r="IBL1020">
        <v>25799</v>
      </c>
      <c r="IBM1020">
        <v>260000</v>
      </c>
      <c r="IBN1020" t="s">
        <v>619</v>
      </c>
      <c r="IBO1020" t="s">
        <v>619</v>
      </c>
      <c r="ILF1020" t="s">
        <v>1387</v>
      </c>
      <c r="ILG1020" t="s">
        <v>619</v>
      </c>
      <c r="ILH1020">
        <v>25799</v>
      </c>
      <c r="ILI1020">
        <v>260000</v>
      </c>
      <c r="ILJ1020" t="s">
        <v>619</v>
      </c>
      <c r="ILK1020" t="s">
        <v>619</v>
      </c>
      <c r="IVB1020" t="s">
        <v>1387</v>
      </c>
      <c r="IVC1020" t="s">
        <v>619</v>
      </c>
      <c r="IVD1020">
        <v>25799</v>
      </c>
      <c r="IVE1020">
        <v>260000</v>
      </c>
      <c r="IVF1020" t="s">
        <v>619</v>
      </c>
      <c r="IVG1020" t="s">
        <v>619</v>
      </c>
      <c r="JEX1020" t="s">
        <v>1387</v>
      </c>
      <c r="JEY1020" t="s">
        <v>619</v>
      </c>
      <c r="JEZ1020">
        <v>25799</v>
      </c>
      <c r="JFA1020">
        <v>260000</v>
      </c>
      <c r="JFB1020" t="s">
        <v>619</v>
      </c>
      <c r="JFC1020" t="s">
        <v>619</v>
      </c>
      <c r="JOT1020" t="s">
        <v>1387</v>
      </c>
      <c r="JOU1020" t="s">
        <v>619</v>
      </c>
      <c r="JOV1020">
        <v>25799</v>
      </c>
      <c r="JOW1020">
        <v>260000</v>
      </c>
      <c r="JOX1020" t="s">
        <v>619</v>
      </c>
      <c r="JOY1020" t="s">
        <v>619</v>
      </c>
      <c r="JYP1020" t="s">
        <v>1387</v>
      </c>
      <c r="JYQ1020" t="s">
        <v>619</v>
      </c>
      <c r="JYR1020">
        <v>25799</v>
      </c>
      <c r="JYS1020">
        <v>260000</v>
      </c>
      <c r="JYT1020" t="s">
        <v>619</v>
      </c>
      <c r="JYU1020" t="s">
        <v>619</v>
      </c>
      <c r="KIL1020" t="s">
        <v>1387</v>
      </c>
      <c r="KIM1020" t="s">
        <v>619</v>
      </c>
      <c r="KIN1020">
        <v>25799</v>
      </c>
      <c r="KIO1020">
        <v>260000</v>
      </c>
      <c r="KIP1020" t="s">
        <v>619</v>
      </c>
      <c r="KIQ1020" t="s">
        <v>619</v>
      </c>
      <c r="KSH1020" t="s">
        <v>1387</v>
      </c>
      <c r="KSI1020" t="s">
        <v>619</v>
      </c>
      <c r="KSJ1020">
        <v>25799</v>
      </c>
      <c r="KSK1020">
        <v>260000</v>
      </c>
      <c r="KSL1020" t="s">
        <v>619</v>
      </c>
      <c r="KSM1020" t="s">
        <v>619</v>
      </c>
      <c r="LCD1020" t="s">
        <v>1387</v>
      </c>
      <c r="LCE1020" t="s">
        <v>619</v>
      </c>
      <c r="LCF1020">
        <v>25799</v>
      </c>
      <c r="LCG1020">
        <v>260000</v>
      </c>
      <c r="LCH1020" t="s">
        <v>619</v>
      </c>
      <c r="LCI1020" t="s">
        <v>619</v>
      </c>
      <c r="LLZ1020" t="s">
        <v>1387</v>
      </c>
      <c r="LMA1020" t="s">
        <v>619</v>
      </c>
      <c r="LMB1020">
        <v>25799</v>
      </c>
      <c r="LMC1020">
        <v>260000</v>
      </c>
      <c r="LMD1020" t="s">
        <v>619</v>
      </c>
      <c r="LME1020" t="s">
        <v>619</v>
      </c>
      <c r="LVV1020" t="s">
        <v>1387</v>
      </c>
      <c r="LVW1020" t="s">
        <v>619</v>
      </c>
      <c r="LVX1020">
        <v>25799</v>
      </c>
      <c r="LVY1020">
        <v>260000</v>
      </c>
      <c r="LVZ1020" t="s">
        <v>619</v>
      </c>
      <c r="LWA1020" t="s">
        <v>619</v>
      </c>
      <c r="MFR1020" t="s">
        <v>1387</v>
      </c>
      <c r="MFS1020" t="s">
        <v>619</v>
      </c>
      <c r="MFT1020">
        <v>25799</v>
      </c>
      <c r="MFU1020">
        <v>260000</v>
      </c>
      <c r="MFV1020" t="s">
        <v>619</v>
      </c>
      <c r="MFW1020" t="s">
        <v>619</v>
      </c>
      <c r="MPN1020" t="s">
        <v>1387</v>
      </c>
      <c r="MPO1020" t="s">
        <v>619</v>
      </c>
      <c r="MPP1020">
        <v>25799</v>
      </c>
      <c r="MPQ1020">
        <v>260000</v>
      </c>
      <c r="MPR1020" t="s">
        <v>619</v>
      </c>
      <c r="MPS1020" t="s">
        <v>619</v>
      </c>
      <c r="MZJ1020" t="s">
        <v>1387</v>
      </c>
      <c r="MZK1020" t="s">
        <v>619</v>
      </c>
      <c r="MZL1020">
        <v>25799</v>
      </c>
      <c r="MZM1020">
        <v>260000</v>
      </c>
      <c r="MZN1020" t="s">
        <v>619</v>
      </c>
      <c r="MZO1020" t="s">
        <v>619</v>
      </c>
      <c r="NJF1020" t="s">
        <v>1387</v>
      </c>
      <c r="NJG1020" t="s">
        <v>619</v>
      </c>
      <c r="NJH1020">
        <v>25799</v>
      </c>
      <c r="NJI1020">
        <v>260000</v>
      </c>
      <c r="NJJ1020" t="s">
        <v>619</v>
      </c>
      <c r="NJK1020" t="s">
        <v>619</v>
      </c>
      <c r="NTB1020" t="s">
        <v>1387</v>
      </c>
      <c r="NTC1020" t="s">
        <v>619</v>
      </c>
      <c r="NTD1020">
        <v>25799</v>
      </c>
      <c r="NTE1020">
        <v>260000</v>
      </c>
      <c r="NTF1020" t="s">
        <v>619</v>
      </c>
      <c r="NTG1020" t="s">
        <v>619</v>
      </c>
      <c r="OCX1020" t="s">
        <v>1387</v>
      </c>
      <c r="OCY1020" t="s">
        <v>619</v>
      </c>
      <c r="OCZ1020">
        <v>25799</v>
      </c>
      <c r="ODA1020">
        <v>260000</v>
      </c>
      <c r="ODB1020" t="s">
        <v>619</v>
      </c>
      <c r="ODC1020" t="s">
        <v>619</v>
      </c>
      <c r="OMT1020" t="s">
        <v>1387</v>
      </c>
      <c r="OMU1020" t="s">
        <v>619</v>
      </c>
      <c r="OMV1020">
        <v>25799</v>
      </c>
      <c r="OMW1020">
        <v>260000</v>
      </c>
      <c r="OMX1020" t="s">
        <v>619</v>
      </c>
      <c r="OMY1020" t="s">
        <v>619</v>
      </c>
      <c r="OWP1020" t="s">
        <v>1387</v>
      </c>
      <c r="OWQ1020" t="s">
        <v>619</v>
      </c>
      <c r="OWR1020">
        <v>25799</v>
      </c>
      <c r="OWS1020">
        <v>260000</v>
      </c>
      <c r="OWT1020" t="s">
        <v>619</v>
      </c>
      <c r="OWU1020" t="s">
        <v>619</v>
      </c>
      <c r="PGL1020" t="s">
        <v>1387</v>
      </c>
      <c r="PGM1020" t="s">
        <v>619</v>
      </c>
      <c r="PGN1020">
        <v>25799</v>
      </c>
      <c r="PGO1020">
        <v>260000</v>
      </c>
      <c r="PGP1020" t="s">
        <v>619</v>
      </c>
      <c r="PGQ1020" t="s">
        <v>619</v>
      </c>
      <c r="PQH1020" t="s">
        <v>1387</v>
      </c>
      <c r="PQI1020" t="s">
        <v>619</v>
      </c>
      <c r="PQJ1020">
        <v>25799</v>
      </c>
      <c r="PQK1020">
        <v>260000</v>
      </c>
      <c r="PQL1020" t="s">
        <v>619</v>
      </c>
      <c r="PQM1020" t="s">
        <v>619</v>
      </c>
      <c r="QAD1020" t="s">
        <v>1387</v>
      </c>
      <c r="QAE1020" t="s">
        <v>619</v>
      </c>
      <c r="QAF1020">
        <v>25799</v>
      </c>
      <c r="QAG1020">
        <v>260000</v>
      </c>
      <c r="QAH1020" t="s">
        <v>619</v>
      </c>
      <c r="QAI1020" t="s">
        <v>619</v>
      </c>
      <c r="QJZ1020" t="s">
        <v>1387</v>
      </c>
      <c r="QKA1020" t="s">
        <v>619</v>
      </c>
      <c r="QKB1020">
        <v>25799</v>
      </c>
      <c r="QKC1020">
        <v>260000</v>
      </c>
      <c r="QKD1020" t="s">
        <v>619</v>
      </c>
      <c r="QKE1020" t="s">
        <v>619</v>
      </c>
      <c r="QTV1020" t="s">
        <v>1387</v>
      </c>
      <c r="QTW1020" t="s">
        <v>619</v>
      </c>
      <c r="QTX1020">
        <v>25799</v>
      </c>
      <c r="QTY1020">
        <v>260000</v>
      </c>
      <c r="QTZ1020" t="s">
        <v>619</v>
      </c>
      <c r="QUA1020" t="s">
        <v>619</v>
      </c>
      <c r="RDR1020" t="s">
        <v>1387</v>
      </c>
      <c r="RDS1020" t="s">
        <v>619</v>
      </c>
      <c r="RDT1020">
        <v>25799</v>
      </c>
      <c r="RDU1020">
        <v>260000</v>
      </c>
      <c r="RDV1020" t="s">
        <v>619</v>
      </c>
      <c r="RDW1020" t="s">
        <v>619</v>
      </c>
      <c r="RNN1020" t="s">
        <v>1387</v>
      </c>
      <c r="RNO1020" t="s">
        <v>619</v>
      </c>
      <c r="RNP1020">
        <v>25799</v>
      </c>
      <c r="RNQ1020">
        <v>260000</v>
      </c>
      <c r="RNR1020" t="s">
        <v>619</v>
      </c>
      <c r="RNS1020" t="s">
        <v>619</v>
      </c>
      <c r="RXJ1020" t="s">
        <v>1387</v>
      </c>
      <c r="RXK1020" t="s">
        <v>619</v>
      </c>
      <c r="RXL1020">
        <v>25799</v>
      </c>
      <c r="RXM1020">
        <v>260000</v>
      </c>
      <c r="RXN1020" t="s">
        <v>619</v>
      </c>
      <c r="RXO1020" t="s">
        <v>619</v>
      </c>
      <c r="SHF1020" t="s">
        <v>1387</v>
      </c>
      <c r="SHG1020" t="s">
        <v>619</v>
      </c>
      <c r="SHH1020">
        <v>25799</v>
      </c>
      <c r="SHI1020">
        <v>260000</v>
      </c>
      <c r="SHJ1020" t="s">
        <v>619</v>
      </c>
      <c r="SHK1020" t="s">
        <v>619</v>
      </c>
      <c r="SRB1020" t="s">
        <v>1387</v>
      </c>
      <c r="SRC1020" t="s">
        <v>619</v>
      </c>
      <c r="SRD1020">
        <v>25799</v>
      </c>
      <c r="SRE1020">
        <v>260000</v>
      </c>
      <c r="SRF1020" t="s">
        <v>619</v>
      </c>
      <c r="SRG1020" t="s">
        <v>619</v>
      </c>
      <c r="TAX1020" t="s">
        <v>1387</v>
      </c>
      <c r="TAY1020" t="s">
        <v>619</v>
      </c>
      <c r="TAZ1020">
        <v>25799</v>
      </c>
      <c r="TBA1020">
        <v>260000</v>
      </c>
      <c r="TBB1020" t="s">
        <v>619</v>
      </c>
      <c r="TBC1020" t="s">
        <v>619</v>
      </c>
      <c r="TKT1020" t="s">
        <v>1387</v>
      </c>
      <c r="TKU1020" t="s">
        <v>619</v>
      </c>
      <c r="TKV1020">
        <v>25799</v>
      </c>
      <c r="TKW1020">
        <v>260000</v>
      </c>
      <c r="TKX1020" t="s">
        <v>619</v>
      </c>
      <c r="TKY1020" t="s">
        <v>619</v>
      </c>
      <c r="TUP1020" t="s">
        <v>1387</v>
      </c>
      <c r="TUQ1020" t="s">
        <v>619</v>
      </c>
      <c r="TUR1020">
        <v>25799</v>
      </c>
      <c r="TUS1020">
        <v>260000</v>
      </c>
      <c r="TUT1020" t="s">
        <v>619</v>
      </c>
      <c r="TUU1020" t="s">
        <v>619</v>
      </c>
      <c r="UEL1020" t="s">
        <v>1387</v>
      </c>
      <c r="UEM1020" t="s">
        <v>619</v>
      </c>
      <c r="UEN1020">
        <v>25799</v>
      </c>
      <c r="UEO1020">
        <v>260000</v>
      </c>
      <c r="UEP1020" t="s">
        <v>619</v>
      </c>
      <c r="UEQ1020" t="s">
        <v>619</v>
      </c>
      <c r="UOH1020" t="s">
        <v>1387</v>
      </c>
      <c r="UOI1020" t="s">
        <v>619</v>
      </c>
      <c r="UOJ1020">
        <v>25799</v>
      </c>
      <c r="UOK1020">
        <v>260000</v>
      </c>
      <c r="UOL1020" t="s">
        <v>619</v>
      </c>
      <c r="UOM1020" t="s">
        <v>619</v>
      </c>
      <c r="UYD1020" t="s">
        <v>1387</v>
      </c>
      <c r="UYE1020" t="s">
        <v>619</v>
      </c>
      <c r="UYF1020">
        <v>25799</v>
      </c>
      <c r="UYG1020">
        <v>260000</v>
      </c>
      <c r="UYH1020" t="s">
        <v>619</v>
      </c>
      <c r="UYI1020" t="s">
        <v>619</v>
      </c>
      <c r="VHZ1020" t="s">
        <v>1387</v>
      </c>
      <c r="VIA1020" t="s">
        <v>619</v>
      </c>
      <c r="VIB1020">
        <v>25799</v>
      </c>
      <c r="VIC1020">
        <v>260000</v>
      </c>
      <c r="VID1020" t="s">
        <v>619</v>
      </c>
      <c r="VIE1020" t="s">
        <v>619</v>
      </c>
      <c r="VRV1020" t="s">
        <v>1387</v>
      </c>
      <c r="VRW1020" t="s">
        <v>619</v>
      </c>
      <c r="VRX1020">
        <v>25799</v>
      </c>
      <c r="VRY1020">
        <v>260000</v>
      </c>
      <c r="VRZ1020" t="s">
        <v>619</v>
      </c>
      <c r="VSA1020" t="s">
        <v>619</v>
      </c>
      <c r="WBR1020" t="s">
        <v>1387</v>
      </c>
      <c r="WBS1020" t="s">
        <v>619</v>
      </c>
      <c r="WBT1020">
        <v>25799</v>
      </c>
      <c r="WBU1020">
        <v>260000</v>
      </c>
      <c r="WBV1020" t="s">
        <v>619</v>
      </c>
      <c r="WBW1020" t="s">
        <v>619</v>
      </c>
      <c r="WLN1020" t="s">
        <v>1387</v>
      </c>
      <c r="WLO1020" t="s">
        <v>619</v>
      </c>
      <c r="WLP1020">
        <v>25799</v>
      </c>
      <c r="WLQ1020">
        <v>260000</v>
      </c>
      <c r="WLR1020" t="s">
        <v>619</v>
      </c>
      <c r="WLS1020" t="s">
        <v>619</v>
      </c>
      <c r="WVJ1020" t="s">
        <v>1387</v>
      </c>
      <c r="WVK1020" t="s">
        <v>619</v>
      </c>
      <c r="WVL1020">
        <v>25799</v>
      </c>
      <c r="WVM1020">
        <v>260000</v>
      </c>
      <c r="WVN1020" t="s">
        <v>619</v>
      </c>
      <c r="WVO1020" t="s">
        <v>619</v>
      </c>
    </row>
    <row r="1021" spans="1:775 1026:1799 2050:2823 3074:3847 4098:4871 5122:5895 6146:6919 7170:7943 8194:8967 9218:9991 10242:11015 11266:12039 12290:13063 13314:14087 14338:15111 15362:16135">
      <c r="A1021" s="96" t="s">
        <v>1388</v>
      </c>
      <c r="B1021" t="s">
        <v>816</v>
      </c>
      <c r="C1021" s="98">
        <v>0</v>
      </c>
      <c r="D1021" s="98">
        <v>0</v>
      </c>
      <c r="E1021" s="100">
        <v>-285799</v>
      </c>
      <c r="F1021" s="98">
        <v>0</v>
      </c>
      <c r="G1021" s="98">
        <v>0</v>
      </c>
      <c r="H1021" s="98"/>
      <c r="IX1021" t="s">
        <v>1388</v>
      </c>
      <c r="IY1021" t="s">
        <v>619</v>
      </c>
      <c r="IZ1021" t="s">
        <v>619</v>
      </c>
      <c r="JA1021">
        <v>-285799</v>
      </c>
      <c r="JB1021" t="s">
        <v>619</v>
      </c>
      <c r="JC1021" t="s">
        <v>619</v>
      </c>
      <c r="ST1021" t="s">
        <v>1388</v>
      </c>
      <c r="SU1021" t="s">
        <v>619</v>
      </c>
      <c r="SV1021" t="s">
        <v>619</v>
      </c>
      <c r="SW1021">
        <v>-285799</v>
      </c>
      <c r="SX1021" t="s">
        <v>619</v>
      </c>
      <c r="SY1021" t="s">
        <v>619</v>
      </c>
      <c r="ACP1021" t="s">
        <v>1388</v>
      </c>
      <c r="ACQ1021" t="s">
        <v>619</v>
      </c>
      <c r="ACR1021" t="s">
        <v>619</v>
      </c>
      <c r="ACS1021">
        <v>-285799</v>
      </c>
      <c r="ACT1021" t="s">
        <v>619</v>
      </c>
      <c r="ACU1021" t="s">
        <v>619</v>
      </c>
      <c r="AML1021" t="s">
        <v>1388</v>
      </c>
      <c r="AMM1021" t="s">
        <v>619</v>
      </c>
      <c r="AMN1021" t="s">
        <v>619</v>
      </c>
      <c r="AMO1021">
        <v>-285799</v>
      </c>
      <c r="AMP1021" t="s">
        <v>619</v>
      </c>
      <c r="AMQ1021" t="s">
        <v>619</v>
      </c>
      <c r="AWH1021" t="s">
        <v>1388</v>
      </c>
      <c r="AWI1021" t="s">
        <v>619</v>
      </c>
      <c r="AWJ1021" t="s">
        <v>619</v>
      </c>
      <c r="AWK1021">
        <v>-285799</v>
      </c>
      <c r="AWL1021" t="s">
        <v>619</v>
      </c>
      <c r="AWM1021" t="s">
        <v>619</v>
      </c>
      <c r="BGD1021" t="s">
        <v>1388</v>
      </c>
      <c r="BGE1021" t="s">
        <v>619</v>
      </c>
      <c r="BGF1021" t="s">
        <v>619</v>
      </c>
      <c r="BGG1021">
        <v>-285799</v>
      </c>
      <c r="BGH1021" t="s">
        <v>619</v>
      </c>
      <c r="BGI1021" t="s">
        <v>619</v>
      </c>
      <c r="BPZ1021" t="s">
        <v>1388</v>
      </c>
      <c r="BQA1021" t="s">
        <v>619</v>
      </c>
      <c r="BQB1021" t="s">
        <v>619</v>
      </c>
      <c r="BQC1021">
        <v>-285799</v>
      </c>
      <c r="BQD1021" t="s">
        <v>619</v>
      </c>
      <c r="BQE1021" t="s">
        <v>619</v>
      </c>
      <c r="BZV1021" t="s">
        <v>1388</v>
      </c>
      <c r="BZW1021" t="s">
        <v>619</v>
      </c>
      <c r="BZX1021" t="s">
        <v>619</v>
      </c>
      <c r="BZY1021">
        <v>-285799</v>
      </c>
      <c r="BZZ1021" t="s">
        <v>619</v>
      </c>
      <c r="CAA1021" t="s">
        <v>619</v>
      </c>
      <c r="CJR1021" t="s">
        <v>1388</v>
      </c>
      <c r="CJS1021" t="s">
        <v>619</v>
      </c>
      <c r="CJT1021" t="s">
        <v>619</v>
      </c>
      <c r="CJU1021">
        <v>-285799</v>
      </c>
      <c r="CJV1021" t="s">
        <v>619</v>
      </c>
      <c r="CJW1021" t="s">
        <v>619</v>
      </c>
      <c r="CTN1021" t="s">
        <v>1388</v>
      </c>
      <c r="CTO1021" t="s">
        <v>619</v>
      </c>
      <c r="CTP1021" t="s">
        <v>619</v>
      </c>
      <c r="CTQ1021">
        <v>-285799</v>
      </c>
      <c r="CTR1021" t="s">
        <v>619</v>
      </c>
      <c r="CTS1021" t="s">
        <v>619</v>
      </c>
      <c r="DDJ1021" t="s">
        <v>1388</v>
      </c>
      <c r="DDK1021" t="s">
        <v>619</v>
      </c>
      <c r="DDL1021" t="s">
        <v>619</v>
      </c>
      <c r="DDM1021">
        <v>-285799</v>
      </c>
      <c r="DDN1021" t="s">
        <v>619</v>
      </c>
      <c r="DDO1021" t="s">
        <v>619</v>
      </c>
      <c r="DNF1021" t="s">
        <v>1388</v>
      </c>
      <c r="DNG1021" t="s">
        <v>619</v>
      </c>
      <c r="DNH1021" t="s">
        <v>619</v>
      </c>
      <c r="DNI1021">
        <v>-285799</v>
      </c>
      <c r="DNJ1021" t="s">
        <v>619</v>
      </c>
      <c r="DNK1021" t="s">
        <v>619</v>
      </c>
      <c r="DXB1021" t="s">
        <v>1388</v>
      </c>
      <c r="DXC1021" t="s">
        <v>619</v>
      </c>
      <c r="DXD1021" t="s">
        <v>619</v>
      </c>
      <c r="DXE1021">
        <v>-285799</v>
      </c>
      <c r="DXF1021" t="s">
        <v>619</v>
      </c>
      <c r="DXG1021" t="s">
        <v>619</v>
      </c>
      <c r="EGX1021" t="s">
        <v>1388</v>
      </c>
      <c r="EGY1021" t="s">
        <v>619</v>
      </c>
      <c r="EGZ1021" t="s">
        <v>619</v>
      </c>
      <c r="EHA1021">
        <v>-285799</v>
      </c>
      <c r="EHB1021" t="s">
        <v>619</v>
      </c>
      <c r="EHC1021" t="s">
        <v>619</v>
      </c>
      <c r="EQT1021" t="s">
        <v>1388</v>
      </c>
      <c r="EQU1021" t="s">
        <v>619</v>
      </c>
      <c r="EQV1021" t="s">
        <v>619</v>
      </c>
      <c r="EQW1021">
        <v>-285799</v>
      </c>
      <c r="EQX1021" t="s">
        <v>619</v>
      </c>
      <c r="EQY1021" t="s">
        <v>619</v>
      </c>
      <c r="FAP1021" t="s">
        <v>1388</v>
      </c>
      <c r="FAQ1021" t="s">
        <v>619</v>
      </c>
      <c r="FAR1021" t="s">
        <v>619</v>
      </c>
      <c r="FAS1021">
        <v>-285799</v>
      </c>
      <c r="FAT1021" t="s">
        <v>619</v>
      </c>
      <c r="FAU1021" t="s">
        <v>619</v>
      </c>
      <c r="FKL1021" t="s">
        <v>1388</v>
      </c>
      <c r="FKM1021" t="s">
        <v>619</v>
      </c>
      <c r="FKN1021" t="s">
        <v>619</v>
      </c>
      <c r="FKO1021">
        <v>-285799</v>
      </c>
      <c r="FKP1021" t="s">
        <v>619</v>
      </c>
      <c r="FKQ1021" t="s">
        <v>619</v>
      </c>
      <c r="FUH1021" t="s">
        <v>1388</v>
      </c>
      <c r="FUI1021" t="s">
        <v>619</v>
      </c>
      <c r="FUJ1021" t="s">
        <v>619</v>
      </c>
      <c r="FUK1021">
        <v>-285799</v>
      </c>
      <c r="FUL1021" t="s">
        <v>619</v>
      </c>
      <c r="FUM1021" t="s">
        <v>619</v>
      </c>
      <c r="GED1021" t="s">
        <v>1388</v>
      </c>
      <c r="GEE1021" t="s">
        <v>619</v>
      </c>
      <c r="GEF1021" t="s">
        <v>619</v>
      </c>
      <c r="GEG1021">
        <v>-285799</v>
      </c>
      <c r="GEH1021" t="s">
        <v>619</v>
      </c>
      <c r="GEI1021" t="s">
        <v>619</v>
      </c>
      <c r="GNZ1021" t="s">
        <v>1388</v>
      </c>
      <c r="GOA1021" t="s">
        <v>619</v>
      </c>
      <c r="GOB1021" t="s">
        <v>619</v>
      </c>
      <c r="GOC1021">
        <v>-285799</v>
      </c>
      <c r="GOD1021" t="s">
        <v>619</v>
      </c>
      <c r="GOE1021" t="s">
        <v>619</v>
      </c>
      <c r="GXV1021" t="s">
        <v>1388</v>
      </c>
      <c r="GXW1021" t="s">
        <v>619</v>
      </c>
      <c r="GXX1021" t="s">
        <v>619</v>
      </c>
      <c r="GXY1021">
        <v>-285799</v>
      </c>
      <c r="GXZ1021" t="s">
        <v>619</v>
      </c>
      <c r="GYA1021" t="s">
        <v>619</v>
      </c>
      <c r="HHR1021" t="s">
        <v>1388</v>
      </c>
      <c r="HHS1021" t="s">
        <v>619</v>
      </c>
      <c r="HHT1021" t="s">
        <v>619</v>
      </c>
      <c r="HHU1021">
        <v>-285799</v>
      </c>
      <c r="HHV1021" t="s">
        <v>619</v>
      </c>
      <c r="HHW1021" t="s">
        <v>619</v>
      </c>
      <c r="HRN1021" t="s">
        <v>1388</v>
      </c>
      <c r="HRO1021" t="s">
        <v>619</v>
      </c>
      <c r="HRP1021" t="s">
        <v>619</v>
      </c>
      <c r="HRQ1021">
        <v>-285799</v>
      </c>
      <c r="HRR1021" t="s">
        <v>619</v>
      </c>
      <c r="HRS1021" t="s">
        <v>619</v>
      </c>
      <c r="IBJ1021" t="s">
        <v>1388</v>
      </c>
      <c r="IBK1021" t="s">
        <v>619</v>
      </c>
      <c r="IBL1021" t="s">
        <v>619</v>
      </c>
      <c r="IBM1021">
        <v>-285799</v>
      </c>
      <c r="IBN1021" t="s">
        <v>619</v>
      </c>
      <c r="IBO1021" t="s">
        <v>619</v>
      </c>
      <c r="ILF1021" t="s">
        <v>1388</v>
      </c>
      <c r="ILG1021" t="s">
        <v>619</v>
      </c>
      <c r="ILH1021" t="s">
        <v>619</v>
      </c>
      <c r="ILI1021">
        <v>-285799</v>
      </c>
      <c r="ILJ1021" t="s">
        <v>619</v>
      </c>
      <c r="ILK1021" t="s">
        <v>619</v>
      </c>
      <c r="IVB1021" t="s">
        <v>1388</v>
      </c>
      <c r="IVC1021" t="s">
        <v>619</v>
      </c>
      <c r="IVD1021" t="s">
        <v>619</v>
      </c>
      <c r="IVE1021">
        <v>-285799</v>
      </c>
      <c r="IVF1021" t="s">
        <v>619</v>
      </c>
      <c r="IVG1021" t="s">
        <v>619</v>
      </c>
      <c r="JEX1021" t="s">
        <v>1388</v>
      </c>
      <c r="JEY1021" t="s">
        <v>619</v>
      </c>
      <c r="JEZ1021" t="s">
        <v>619</v>
      </c>
      <c r="JFA1021">
        <v>-285799</v>
      </c>
      <c r="JFB1021" t="s">
        <v>619</v>
      </c>
      <c r="JFC1021" t="s">
        <v>619</v>
      </c>
      <c r="JOT1021" t="s">
        <v>1388</v>
      </c>
      <c r="JOU1021" t="s">
        <v>619</v>
      </c>
      <c r="JOV1021" t="s">
        <v>619</v>
      </c>
      <c r="JOW1021">
        <v>-285799</v>
      </c>
      <c r="JOX1021" t="s">
        <v>619</v>
      </c>
      <c r="JOY1021" t="s">
        <v>619</v>
      </c>
      <c r="JYP1021" t="s">
        <v>1388</v>
      </c>
      <c r="JYQ1021" t="s">
        <v>619</v>
      </c>
      <c r="JYR1021" t="s">
        <v>619</v>
      </c>
      <c r="JYS1021">
        <v>-285799</v>
      </c>
      <c r="JYT1021" t="s">
        <v>619</v>
      </c>
      <c r="JYU1021" t="s">
        <v>619</v>
      </c>
      <c r="KIL1021" t="s">
        <v>1388</v>
      </c>
      <c r="KIM1021" t="s">
        <v>619</v>
      </c>
      <c r="KIN1021" t="s">
        <v>619</v>
      </c>
      <c r="KIO1021">
        <v>-285799</v>
      </c>
      <c r="KIP1021" t="s">
        <v>619</v>
      </c>
      <c r="KIQ1021" t="s">
        <v>619</v>
      </c>
      <c r="KSH1021" t="s">
        <v>1388</v>
      </c>
      <c r="KSI1021" t="s">
        <v>619</v>
      </c>
      <c r="KSJ1021" t="s">
        <v>619</v>
      </c>
      <c r="KSK1021">
        <v>-285799</v>
      </c>
      <c r="KSL1021" t="s">
        <v>619</v>
      </c>
      <c r="KSM1021" t="s">
        <v>619</v>
      </c>
      <c r="LCD1021" t="s">
        <v>1388</v>
      </c>
      <c r="LCE1021" t="s">
        <v>619</v>
      </c>
      <c r="LCF1021" t="s">
        <v>619</v>
      </c>
      <c r="LCG1021">
        <v>-285799</v>
      </c>
      <c r="LCH1021" t="s">
        <v>619</v>
      </c>
      <c r="LCI1021" t="s">
        <v>619</v>
      </c>
      <c r="LLZ1021" t="s">
        <v>1388</v>
      </c>
      <c r="LMA1021" t="s">
        <v>619</v>
      </c>
      <c r="LMB1021" t="s">
        <v>619</v>
      </c>
      <c r="LMC1021">
        <v>-285799</v>
      </c>
      <c r="LMD1021" t="s">
        <v>619</v>
      </c>
      <c r="LME1021" t="s">
        <v>619</v>
      </c>
      <c r="LVV1021" t="s">
        <v>1388</v>
      </c>
      <c r="LVW1021" t="s">
        <v>619</v>
      </c>
      <c r="LVX1021" t="s">
        <v>619</v>
      </c>
      <c r="LVY1021">
        <v>-285799</v>
      </c>
      <c r="LVZ1021" t="s">
        <v>619</v>
      </c>
      <c r="LWA1021" t="s">
        <v>619</v>
      </c>
      <c r="MFR1021" t="s">
        <v>1388</v>
      </c>
      <c r="MFS1021" t="s">
        <v>619</v>
      </c>
      <c r="MFT1021" t="s">
        <v>619</v>
      </c>
      <c r="MFU1021">
        <v>-285799</v>
      </c>
      <c r="MFV1021" t="s">
        <v>619</v>
      </c>
      <c r="MFW1021" t="s">
        <v>619</v>
      </c>
      <c r="MPN1021" t="s">
        <v>1388</v>
      </c>
      <c r="MPO1021" t="s">
        <v>619</v>
      </c>
      <c r="MPP1021" t="s">
        <v>619</v>
      </c>
      <c r="MPQ1021">
        <v>-285799</v>
      </c>
      <c r="MPR1021" t="s">
        <v>619</v>
      </c>
      <c r="MPS1021" t="s">
        <v>619</v>
      </c>
      <c r="MZJ1021" t="s">
        <v>1388</v>
      </c>
      <c r="MZK1021" t="s">
        <v>619</v>
      </c>
      <c r="MZL1021" t="s">
        <v>619</v>
      </c>
      <c r="MZM1021">
        <v>-285799</v>
      </c>
      <c r="MZN1021" t="s">
        <v>619</v>
      </c>
      <c r="MZO1021" t="s">
        <v>619</v>
      </c>
      <c r="NJF1021" t="s">
        <v>1388</v>
      </c>
      <c r="NJG1021" t="s">
        <v>619</v>
      </c>
      <c r="NJH1021" t="s">
        <v>619</v>
      </c>
      <c r="NJI1021">
        <v>-285799</v>
      </c>
      <c r="NJJ1021" t="s">
        <v>619</v>
      </c>
      <c r="NJK1021" t="s">
        <v>619</v>
      </c>
      <c r="NTB1021" t="s">
        <v>1388</v>
      </c>
      <c r="NTC1021" t="s">
        <v>619</v>
      </c>
      <c r="NTD1021" t="s">
        <v>619</v>
      </c>
      <c r="NTE1021">
        <v>-285799</v>
      </c>
      <c r="NTF1021" t="s">
        <v>619</v>
      </c>
      <c r="NTG1021" t="s">
        <v>619</v>
      </c>
      <c r="OCX1021" t="s">
        <v>1388</v>
      </c>
      <c r="OCY1021" t="s">
        <v>619</v>
      </c>
      <c r="OCZ1021" t="s">
        <v>619</v>
      </c>
      <c r="ODA1021">
        <v>-285799</v>
      </c>
      <c r="ODB1021" t="s">
        <v>619</v>
      </c>
      <c r="ODC1021" t="s">
        <v>619</v>
      </c>
      <c r="OMT1021" t="s">
        <v>1388</v>
      </c>
      <c r="OMU1021" t="s">
        <v>619</v>
      </c>
      <c r="OMV1021" t="s">
        <v>619</v>
      </c>
      <c r="OMW1021">
        <v>-285799</v>
      </c>
      <c r="OMX1021" t="s">
        <v>619</v>
      </c>
      <c r="OMY1021" t="s">
        <v>619</v>
      </c>
      <c r="OWP1021" t="s">
        <v>1388</v>
      </c>
      <c r="OWQ1021" t="s">
        <v>619</v>
      </c>
      <c r="OWR1021" t="s">
        <v>619</v>
      </c>
      <c r="OWS1021">
        <v>-285799</v>
      </c>
      <c r="OWT1021" t="s">
        <v>619</v>
      </c>
      <c r="OWU1021" t="s">
        <v>619</v>
      </c>
      <c r="PGL1021" t="s">
        <v>1388</v>
      </c>
      <c r="PGM1021" t="s">
        <v>619</v>
      </c>
      <c r="PGN1021" t="s">
        <v>619</v>
      </c>
      <c r="PGO1021">
        <v>-285799</v>
      </c>
      <c r="PGP1021" t="s">
        <v>619</v>
      </c>
      <c r="PGQ1021" t="s">
        <v>619</v>
      </c>
      <c r="PQH1021" t="s">
        <v>1388</v>
      </c>
      <c r="PQI1021" t="s">
        <v>619</v>
      </c>
      <c r="PQJ1021" t="s">
        <v>619</v>
      </c>
      <c r="PQK1021">
        <v>-285799</v>
      </c>
      <c r="PQL1021" t="s">
        <v>619</v>
      </c>
      <c r="PQM1021" t="s">
        <v>619</v>
      </c>
      <c r="QAD1021" t="s">
        <v>1388</v>
      </c>
      <c r="QAE1021" t="s">
        <v>619</v>
      </c>
      <c r="QAF1021" t="s">
        <v>619</v>
      </c>
      <c r="QAG1021">
        <v>-285799</v>
      </c>
      <c r="QAH1021" t="s">
        <v>619</v>
      </c>
      <c r="QAI1021" t="s">
        <v>619</v>
      </c>
      <c r="QJZ1021" t="s">
        <v>1388</v>
      </c>
      <c r="QKA1021" t="s">
        <v>619</v>
      </c>
      <c r="QKB1021" t="s">
        <v>619</v>
      </c>
      <c r="QKC1021">
        <v>-285799</v>
      </c>
      <c r="QKD1021" t="s">
        <v>619</v>
      </c>
      <c r="QKE1021" t="s">
        <v>619</v>
      </c>
      <c r="QTV1021" t="s">
        <v>1388</v>
      </c>
      <c r="QTW1021" t="s">
        <v>619</v>
      </c>
      <c r="QTX1021" t="s">
        <v>619</v>
      </c>
      <c r="QTY1021">
        <v>-285799</v>
      </c>
      <c r="QTZ1021" t="s">
        <v>619</v>
      </c>
      <c r="QUA1021" t="s">
        <v>619</v>
      </c>
      <c r="RDR1021" t="s">
        <v>1388</v>
      </c>
      <c r="RDS1021" t="s">
        <v>619</v>
      </c>
      <c r="RDT1021" t="s">
        <v>619</v>
      </c>
      <c r="RDU1021">
        <v>-285799</v>
      </c>
      <c r="RDV1021" t="s">
        <v>619</v>
      </c>
      <c r="RDW1021" t="s">
        <v>619</v>
      </c>
      <c r="RNN1021" t="s">
        <v>1388</v>
      </c>
      <c r="RNO1021" t="s">
        <v>619</v>
      </c>
      <c r="RNP1021" t="s">
        <v>619</v>
      </c>
      <c r="RNQ1021">
        <v>-285799</v>
      </c>
      <c r="RNR1021" t="s">
        <v>619</v>
      </c>
      <c r="RNS1021" t="s">
        <v>619</v>
      </c>
      <c r="RXJ1021" t="s">
        <v>1388</v>
      </c>
      <c r="RXK1021" t="s">
        <v>619</v>
      </c>
      <c r="RXL1021" t="s">
        <v>619</v>
      </c>
      <c r="RXM1021">
        <v>-285799</v>
      </c>
      <c r="RXN1021" t="s">
        <v>619</v>
      </c>
      <c r="RXO1021" t="s">
        <v>619</v>
      </c>
      <c r="SHF1021" t="s">
        <v>1388</v>
      </c>
      <c r="SHG1021" t="s">
        <v>619</v>
      </c>
      <c r="SHH1021" t="s">
        <v>619</v>
      </c>
      <c r="SHI1021">
        <v>-285799</v>
      </c>
      <c r="SHJ1021" t="s">
        <v>619</v>
      </c>
      <c r="SHK1021" t="s">
        <v>619</v>
      </c>
      <c r="SRB1021" t="s">
        <v>1388</v>
      </c>
      <c r="SRC1021" t="s">
        <v>619</v>
      </c>
      <c r="SRD1021" t="s">
        <v>619</v>
      </c>
      <c r="SRE1021">
        <v>-285799</v>
      </c>
      <c r="SRF1021" t="s">
        <v>619</v>
      </c>
      <c r="SRG1021" t="s">
        <v>619</v>
      </c>
      <c r="TAX1021" t="s">
        <v>1388</v>
      </c>
      <c r="TAY1021" t="s">
        <v>619</v>
      </c>
      <c r="TAZ1021" t="s">
        <v>619</v>
      </c>
      <c r="TBA1021">
        <v>-285799</v>
      </c>
      <c r="TBB1021" t="s">
        <v>619</v>
      </c>
      <c r="TBC1021" t="s">
        <v>619</v>
      </c>
      <c r="TKT1021" t="s">
        <v>1388</v>
      </c>
      <c r="TKU1021" t="s">
        <v>619</v>
      </c>
      <c r="TKV1021" t="s">
        <v>619</v>
      </c>
      <c r="TKW1021">
        <v>-285799</v>
      </c>
      <c r="TKX1021" t="s">
        <v>619</v>
      </c>
      <c r="TKY1021" t="s">
        <v>619</v>
      </c>
      <c r="TUP1021" t="s">
        <v>1388</v>
      </c>
      <c r="TUQ1021" t="s">
        <v>619</v>
      </c>
      <c r="TUR1021" t="s">
        <v>619</v>
      </c>
      <c r="TUS1021">
        <v>-285799</v>
      </c>
      <c r="TUT1021" t="s">
        <v>619</v>
      </c>
      <c r="TUU1021" t="s">
        <v>619</v>
      </c>
      <c r="UEL1021" t="s">
        <v>1388</v>
      </c>
      <c r="UEM1021" t="s">
        <v>619</v>
      </c>
      <c r="UEN1021" t="s">
        <v>619</v>
      </c>
      <c r="UEO1021">
        <v>-285799</v>
      </c>
      <c r="UEP1021" t="s">
        <v>619</v>
      </c>
      <c r="UEQ1021" t="s">
        <v>619</v>
      </c>
      <c r="UOH1021" t="s">
        <v>1388</v>
      </c>
      <c r="UOI1021" t="s">
        <v>619</v>
      </c>
      <c r="UOJ1021" t="s">
        <v>619</v>
      </c>
      <c r="UOK1021">
        <v>-285799</v>
      </c>
      <c r="UOL1021" t="s">
        <v>619</v>
      </c>
      <c r="UOM1021" t="s">
        <v>619</v>
      </c>
      <c r="UYD1021" t="s">
        <v>1388</v>
      </c>
      <c r="UYE1021" t="s">
        <v>619</v>
      </c>
      <c r="UYF1021" t="s">
        <v>619</v>
      </c>
      <c r="UYG1021">
        <v>-285799</v>
      </c>
      <c r="UYH1021" t="s">
        <v>619</v>
      </c>
      <c r="UYI1021" t="s">
        <v>619</v>
      </c>
      <c r="VHZ1021" t="s">
        <v>1388</v>
      </c>
      <c r="VIA1021" t="s">
        <v>619</v>
      </c>
      <c r="VIB1021" t="s">
        <v>619</v>
      </c>
      <c r="VIC1021">
        <v>-285799</v>
      </c>
      <c r="VID1021" t="s">
        <v>619</v>
      </c>
      <c r="VIE1021" t="s">
        <v>619</v>
      </c>
      <c r="VRV1021" t="s">
        <v>1388</v>
      </c>
      <c r="VRW1021" t="s">
        <v>619</v>
      </c>
      <c r="VRX1021" t="s">
        <v>619</v>
      </c>
      <c r="VRY1021">
        <v>-285799</v>
      </c>
      <c r="VRZ1021" t="s">
        <v>619</v>
      </c>
      <c r="VSA1021" t="s">
        <v>619</v>
      </c>
      <c r="WBR1021" t="s">
        <v>1388</v>
      </c>
      <c r="WBS1021" t="s">
        <v>619</v>
      </c>
      <c r="WBT1021" t="s">
        <v>619</v>
      </c>
      <c r="WBU1021">
        <v>-285799</v>
      </c>
      <c r="WBV1021" t="s">
        <v>619</v>
      </c>
      <c r="WBW1021" t="s">
        <v>619</v>
      </c>
      <c r="WLN1021" t="s">
        <v>1388</v>
      </c>
      <c r="WLO1021" t="s">
        <v>619</v>
      </c>
      <c r="WLP1021" t="s">
        <v>619</v>
      </c>
      <c r="WLQ1021">
        <v>-285799</v>
      </c>
      <c r="WLR1021" t="s">
        <v>619</v>
      </c>
      <c r="WLS1021" t="s">
        <v>619</v>
      </c>
      <c r="WVJ1021" t="s">
        <v>1388</v>
      </c>
      <c r="WVK1021" t="s">
        <v>619</v>
      </c>
      <c r="WVL1021" t="s">
        <v>619</v>
      </c>
      <c r="WVM1021">
        <v>-285799</v>
      </c>
      <c r="WVN1021" t="s">
        <v>619</v>
      </c>
      <c r="WVO1021" t="s">
        <v>619</v>
      </c>
    </row>
    <row r="1022" spans="1:775 1026:1799 2050:2823 3074:3847 4098:4871 5122:5895 6146:6919 7170:7943 8194:8967 9218:9991 10242:11015 11266:12039 12290:13063 13314:14087 14338:15111 15362:16135">
      <c r="A1022" s="96" t="s">
        <v>821</v>
      </c>
      <c r="B1022" t="s">
        <v>816</v>
      </c>
      <c r="C1022" s="98">
        <v>0</v>
      </c>
      <c r="D1022" s="100">
        <v>-43916</v>
      </c>
      <c r="E1022" s="100">
        <v>-42529</v>
      </c>
      <c r="F1022" s="100">
        <v>-32873</v>
      </c>
      <c r="G1022" s="100">
        <v>-27489</v>
      </c>
      <c r="H1022" s="100"/>
      <c r="IX1022" t="s">
        <v>1389</v>
      </c>
      <c r="IY1022" t="s">
        <v>619</v>
      </c>
      <c r="IZ1022">
        <v>-43916</v>
      </c>
      <c r="JA1022">
        <v>-42529</v>
      </c>
      <c r="JB1022">
        <v>-32873</v>
      </c>
      <c r="JC1022">
        <v>-27489</v>
      </c>
      <c r="ST1022" t="s">
        <v>1389</v>
      </c>
      <c r="SU1022" t="s">
        <v>619</v>
      </c>
      <c r="SV1022">
        <v>-43916</v>
      </c>
      <c r="SW1022">
        <v>-42529</v>
      </c>
      <c r="SX1022">
        <v>-32873</v>
      </c>
      <c r="SY1022">
        <v>-27489</v>
      </c>
      <c r="ACP1022" t="s">
        <v>1389</v>
      </c>
      <c r="ACQ1022" t="s">
        <v>619</v>
      </c>
      <c r="ACR1022">
        <v>-43916</v>
      </c>
      <c r="ACS1022">
        <v>-42529</v>
      </c>
      <c r="ACT1022">
        <v>-32873</v>
      </c>
      <c r="ACU1022">
        <v>-27489</v>
      </c>
      <c r="AML1022" t="s">
        <v>1389</v>
      </c>
      <c r="AMM1022" t="s">
        <v>619</v>
      </c>
      <c r="AMN1022">
        <v>-43916</v>
      </c>
      <c r="AMO1022">
        <v>-42529</v>
      </c>
      <c r="AMP1022">
        <v>-32873</v>
      </c>
      <c r="AMQ1022">
        <v>-27489</v>
      </c>
      <c r="AWH1022" t="s">
        <v>1389</v>
      </c>
      <c r="AWI1022" t="s">
        <v>619</v>
      </c>
      <c r="AWJ1022">
        <v>-43916</v>
      </c>
      <c r="AWK1022">
        <v>-42529</v>
      </c>
      <c r="AWL1022">
        <v>-32873</v>
      </c>
      <c r="AWM1022">
        <v>-27489</v>
      </c>
      <c r="BGD1022" t="s">
        <v>1389</v>
      </c>
      <c r="BGE1022" t="s">
        <v>619</v>
      </c>
      <c r="BGF1022">
        <v>-43916</v>
      </c>
      <c r="BGG1022">
        <v>-42529</v>
      </c>
      <c r="BGH1022">
        <v>-32873</v>
      </c>
      <c r="BGI1022">
        <v>-27489</v>
      </c>
      <c r="BPZ1022" t="s">
        <v>1389</v>
      </c>
      <c r="BQA1022" t="s">
        <v>619</v>
      </c>
      <c r="BQB1022">
        <v>-43916</v>
      </c>
      <c r="BQC1022">
        <v>-42529</v>
      </c>
      <c r="BQD1022">
        <v>-32873</v>
      </c>
      <c r="BQE1022">
        <v>-27489</v>
      </c>
      <c r="BZV1022" t="s">
        <v>1389</v>
      </c>
      <c r="BZW1022" t="s">
        <v>619</v>
      </c>
      <c r="BZX1022">
        <v>-43916</v>
      </c>
      <c r="BZY1022">
        <v>-42529</v>
      </c>
      <c r="BZZ1022">
        <v>-32873</v>
      </c>
      <c r="CAA1022">
        <v>-27489</v>
      </c>
      <c r="CJR1022" t="s">
        <v>1389</v>
      </c>
      <c r="CJS1022" t="s">
        <v>619</v>
      </c>
      <c r="CJT1022">
        <v>-43916</v>
      </c>
      <c r="CJU1022">
        <v>-42529</v>
      </c>
      <c r="CJV1022">
        <v>-32873</v>
      </c>
      <c r="CJW1022">
        <v>-27489</v>
      </c>
      <c r="CTN1022" t="s">
        <v>1389</v>
      </c>
      <c r="CTO1022" t="s">
        <v>619</v>
      </c>
      <c r="CTP1022">
        <v>-43916</v>
      </c>
      <c r="CTQ1022">
        <v>-42529</v>
      </c>
      <c r="CTR1022">
        <v>-32873</v>
      </c>
      <c r="CTS1022">
        <v>-27489</v>
      </c>
      <c r="DDJ1022" t="s">
        <v>1389</v>
      </c>
      <c r="DDK1022" t="s">
        <v>619</v>
      </c>
      <c r="DDL1022">
        <v>-43916</v>
      </c>
      <c r="DDM1022">
        <v>-42529</v>
      </c>
      <c r="DDN1022">
        <v>-32873</v>
      </c>
      <c r="DDO1022">
        <v>-27489</v>
      </c>
      <c r="DNF1022" t="s">
        <v>1389</v>
      </c>
      <c r="DNG1022" t="s">
        <v>619</v>
      </c>
      <c r="DNH1022">
        <v>-43916</v>
      </c>
      <c r="DNI1022">
        <v>-42529</v>
      </c>
      <c r="DNJ1022">
        <v>-32873</v>
      </c>
      <c r="DNK1022">
        <v>-27489</v>
      </c>
      <c r="DXB1022" t="s">
        <v>1389</v>
      </c>
      <c r="DXC1022" t="s">
        <v>619</v>
      </c>
      <c r="DXD1022">
        <v>-43916</v>
      </c>
      <c r="DXE1022">
        <v>-42529</v>
      </c>
      <c r="DXF1022">
        <v>-32873</v>
      </c>
      <c r="DXG1022">
        <v>-27489</v>
      </c>
      <c r="EGX1022" t="s">
        <v>1389</v>
      </c>
      <c r="EGY1022" t="s">
        <v>619</v>
      </c>
      <c r="EGZ1022">
        <v>-43916</v>
      </c>
      <c r="EHA1022">
        <v>-42529</v>
      </c>
      <c r="EHB1022">
        <v>-32873</v>
      </c>
      <c r="EHC1022">
        <v>-27489</v>
      </c>
      <c r="EQT1022" t="s">
        <v>1389</v>
      </c>
      <c r="EQU1022" t="s">
        <v>619</v>
      </c>
      <c r="EQV1022">
        <v>-43916</v>
      </c>
      <c r="EQW1022">
        <v>-42529</v>
      </c>
      <c r="EQX1022">
        <v>-32873</v>
      </c>
      <c r="EQY1022">
        <v>-27489</v>
      </c>
      <c r="FAP1022" t="s">
        <v>1389</v>
      </c>
      <c r="FAQ1022" t="s">
        <v>619</v>
      </c>
      <c r="FAR1022">
        <v>-43916</v>
      </c>
      <c r="FAS1022">
        <v>-42529</v>
      </c>
      <c r="FAT1022">
        <v>-32873</v>
      </c>
      <c r="FAU1022">
        <v>-27489</v>
      </c>
      <c r="FKL1022" t="s">
        <v>1389</v>
      </c>
      <c r="FKM1022" t="s">
        <v>619</v>
      </c>
      <c r="FKN1022">
        <v>-43916</v>
      </c>
      <c r="FKO1022">
        <v>-42529</v>
      </c>
      <c r="FKP1022">
        <v>-32873</v>
      </c>
      <c r="FKQ1022">
        <v>-27489</v>
      </c>
      <c r="FUH1022" t="s">
        <v>1389</v>
      </c>
      <c r="FUI1022" t="s">
        <v>619</v>
      </c>
      <c r="FUJ1022">
        <v>-43916</v>
      </c>
      <c r="FUK1022">
        <v>-42529</v>
      </c>
      <c r="FUL1022">
        <v>-32873</v>
      </c>
      <c r="FUM1022">
        <v>-27489</v>
      </c>
      <c r="GED1022" t="s">
        <v>1389</v>
      </c>
      <c r="GEE1022" t="s">
        <v>619</v>
      </c>
      <c r="GEF1022">
        <v>-43916</v>
      </c>
      <c r="GEG1022">
        <v>-42529</v>
      </c>
      <c r="GEH1022">
        <v>-32873</v>
      </c>
      <c r="GEI1022">
        <v>-27489</v>
      </c>
      <c r="GNZ1022" t="s">
        <v>1389</v>
      </c>
      <c r="GOA1022" t="s">
        <v>619</v>
      </c>
      <c r="GOB1022">
        <v>-43916</v>
      </c>
      <c r="GOC1022">
        <v>-42529</v>
      </c>
      <c r="GOD1022">
        <v>-32873</v>
      </c>
      <c r="GOE1022">
        <v>-27489</v>
      </c>
      <c r="GXV1022" t="s">
        <v>1389</v>
      </c>
      <c r="GXW1022" t="s">
        <v>619</v>
      </c>
      <c r="GXX1022">
        <v>-43916</v>
      </c>
      <c r="GXY1022">
        <v>-42529</v>
      </c>
      <c r="GXZ1022">
        <v>-32873</v>
      </c>
      <c r="GYA1022">
        <v>-27489</v>
      </c>
      <c r="HHR1022" t="s">
        <v>1389</v>
      </c>
      <c r="HHS1022" t="s">
        <v>619</v>
      </c>
      <c r="HHT1022">
        <v>-43916</v>
      </c>
      <c r="HHU1022">
        <v>-42529</v>
      </c>
      <c r="HHV1022">
        <v>-32873</v>
      </c>
      <c r="HHW1022">
        <v>-27489</v>
      </c>
      <c r="HRN1022" t="s">
        <v>1389</v>
      </c>
      <c r="HRO1022" t="s">
        <v>619</v>
      </c>
      <c r="HRP1022">
        <v>-43916</v>
      </c>
      <c r="HRQ1022">
        <v>-42529</v>
      </c>
      <c r="HRR1022">
        <v>-32873</v>
      </c>
      <c r="HRS1022">
        <v>-27489</v>
      </c>
      <c r="IBJ1022" t="s">
        <v>1389</v>
      </c>
      <c r="IBK1022" t="s">
        <v>619</v>
      </c>
      <c r="IBL1022">
        <v>-43916</v>
      </c>
      <c r="IBM1022">
        <v>-42529</v>
      </c>
      <c r="IBN1022">
        <v>-32873</v>
      </c>
      <c r="IBO1022">
        <v>-27489</v>
      </c>
      <c r="ILF1022" t="s">
        <v>1389</v>
      </c>
      <c r="ILG1022" t="s">
        <v>619</v>
      </c>
      <c r="ILH1022">
        <v>-43916</v>
      </c>
      <c r="ILI1022">
        <v>-42529</v>
      </c>
      <c r="ILJ1022">
        <v>-32873</v>
      </c>
      <c r="ILK1022">
        <v>-27489</v>
      </c>
      <c r="IVB1022" t="s">
        <v>1389</v>
      </c>
      <c r="IVC1022" t="s">
        <v>619</v>
      </c>
      <c r="IVD1022">
        <v>-43916</v>
      </c>
      <c r="IVE1022">
        <v>-42529</v>
      </c>
      <c r="IVF1022">
        <v>-32873</v>
      </c>
      <c r="IVG1022">
        <v>-27489</v>
      </c>
      <c r="JEX1022" t="s">
        <v>1389</v>
      </c>
      <c r="JEY1022" t="s">
        <v>619</v>
      </c>
      <c r="JEZ1022">
        <v>-43916</v>
      </c>
      <c r="JFA1022">
        <v>-42529</v>
      </c>
      <c r="JFB1022">
        <v>-32873</v>
      </c>
      <c r="JFC1022">
        <v>-27489</v>
      </c>
      <c r="JOT1022" t="s">
        <v>1389</v>
      </c>
      <c r="JOU1022" t="s">
        <v>619</v>
      </c>
      <c r="JOV1022">
        <v>-43916</v>
      </c>
      <c r="JOW1022">
        <v>-42529</v>
      </c>
      <c r="JOX1022">
        <v>-32873</v>
      </c>
      <c r="JOY1022">
        <v>-27489</v>
      </c>
      <c r="JYP1022" t="s">
        <v>1389</v>
      </c>
      <c r="JYQ1022" t="s">
        <v>619</v>
      </c>
      <c r="JYR1022">
        <v>-43916</v>
      </c>
      <c r="JYS1022">
        <v>-42529</v>
      </c>
      <c r="JYT1022">
        <v>-32873</v>
      </c>
      <c r="JYU1022">
        <v>-27489</v>
      </c>
      <c r="KIL1022" t="s">
        <v>1389</v>
      </c>
      <c r="KIM1022" t="s">
        <v>619</v>
      </c>
      <c r="KIN1022">
        <v>-43916</v>
      </c>
      <c r="KIO1022">
        <v>-42529</v>
      </c>
      <c r="KIP1022">
        <v>-32873</v>
      </c>
      <c r="KIQ1022">
        <v>-27489</v>
      </c>
      <c r="KSH1022" t="s">
        <v>1389</v>
      </c>
      <c r="KSI1022" t="s">
        <v>619</v>
      </c>
      <c r="KSJ1022">
        <v>-43916</v>
      </c>
      <c r="KSK1022">
        <v>-42529</v>
      </c>
      <c r="KSL1022">
        <v>-32873</v>
      </c>
      <c r="KSM1022">
        <v>-27489</v>
      </c>
      <c r="LCD1022" t="s">
        <v>1389</v>
      </c>
      <c r="LCE1022" t="s">
        <v>619</v>
      </c>
      <c r="LCF1022">
        <v>-43916</v>
      </c>
      <c r="LCG1022">
        <v>-42529</v>
      </c>
      <c r="LCH1022">
        <v>-32873</v>
      </c>
      <c r="LCI1022">
        <v>-27489</v>
      </c>
      <c r="LLZ1022" t="s">
        <v>1389</v>
      </c>
      <c r="LMA1022" t="s">
        <v>619</v>
      </c>
      <c r="LMB1022">
        <v>-43916</v>
      </c>
      <c r="LMC1022">
        <v>-42529</v>
      </c>
      <c r="LMD1022">
        <v>-32873</v>
      </c>
      <c r="LME1022">
        <v>-27489</v>
      </c>
      <c r="LVV1022" t="s">
        <v>1389</v>
      </c>
      <c r="LVW1022" t="s">
        <v>619</v>
      </c>
      <c r="LVX1022">
        <v>-43916</v>
      </c>
      <c r="LVY1022">
        <v>-42529</v>
      </c>
      <c r="LVZ1022">
        <v>-32873</v>
      </c>
      <c r="LWA1022">
        <v>-27489</v>
      </c>
      <c r="MFR1022" t="s">
        <v>1389</v>
      </c>
      <c r="MFS1022" t="s">
        <v>619</v>
      </c>
      <c r="MFT1022">
        <v>-43916</v>
      </c>
      <c r="MFU1022">
        <v>-42529</v>
      </c>
      <c r="MFV1022">
        <v>-32873</v>
      </c>
      <c r="MFW1022">
        <v>-27489</v>
      </c>
      <c r="MPN1022" t="s">
        <v>1389</v>
      </c>
      <c r="MPO1022" t="s">
        <v>619</v>
      </c>
      <c r="MPP1022">
        <v>-43916</v>
      </c>
      <c r="MPQ1022">
        <v>-42529</v>
      </c>
      <c r="MPR1022">
        <v>-32873</v>
      </c>
      <c r="MPS1022">
        <v>-27489</v>
      </c>
      <c r="MZJ1022" t="s">
        <v>1389</v>
      </c>
      <c r="MZK1022" t="s">
        <v>619</v>
      </c>
      <c r="MZL1022">
        <v>-43916</v>
      </c>
      <c r="MZM1022">
        <v>-42529</v>
      </c>
      <c r="MZN1022">
        <v>-32873</v>
      </c>
      <c r="MZO1022">
        <v>-27489</v>
      </c>
      <c r="NJF1022" t="s">
        <v>1389</v>
      </c>
      <c r="NJG1022" t="s">
        <v>619</v>
      </c>
      <c r="NJH1022">
        <v>-43916</v>
      </c>
      <c r="NJI1022">
        <v>-42529</v>
      </c>
      <c r="NJJ1022">
        <v>-32873</v>
      </c>
      <c r="NJK1022">
        <v>-27489</v>
      </c>
      <c r="NTB1022" t="s">
        <v>1389</v>
      </c>
      <c r="NTC1022" t="s">
        <v>619</v>
      </c>
      <c r="NTD1022">
        <v>-43916</v>
      </c>
      <c r="NTE1022">
        <v>-42529</v>
      </c>
      <c r="NTF1022">
        <v>-32873</v>
      </c>
      <c r="NTG1022">
        <v>-27489</v>
      </c>
      <c r="OCX1022" t="s">
        <v>1389</v>
      </c>
      <c r="OCY1022" t="s">
        <v>619</v>
      </c>
      <c r="OCZ1022">
        <v>-43916</v>
      </c>
      <c r="ODA1022">
        <v>-42529</v>
      </c>
      <c r="ODB1022">
        <v>-32873</v>
      </c>
      <c r="ODC1022">
        <v>-27489</v>
      </c>
      <c r="OMT1022" t="s">
        <v>1389</v>
      </c>
      <c r="OMU1022" t="s">
        <v>619</v>
      </c>
      <c r="OMV1022">
        <v>-43916</v>
      </c>
      <c r="OMW1022">
        <v>-42529</v>
      </c>
      <c r="OMX1022">
        <v>-32873</v>
      </c>
      <c r="OMY1022">
        <v>-27489</v>
      </c>
      <c r="OWP1022" t="s">
        <v>1389</v>
      </c>
      <c r="OWQ1022" t="s">
        <v>619</v>
      </c>
      <c r="OWR1022">
        <v>-43916</v>
      </c>
      <c r="OWS1022">
        <v>-42529</v>
      </c>
      <c r="OWT1022">
        <v>-32873</v>
      </c>
      <c r="OWU1022">
        <v>-27489</v>
      </c>
      <c r="PGL1022" t="s">
        <v>1389</v>
      </c>
      <c r="PGM1022" t="s">
        <v>619</v>
      </c>
      <c r="PGN1022">
        <v>-43916</v>
      </c>
      <c r="PGO1022">
        <v>-42529</v>
      </c>
      <c r="PGP1022">
        <v>-32873</v>
      </c>
      <c r="PGQ1022">
        <v>-27489</v>
      </c>
      <c r="PQH1022" t="s">
        <v>1389</v>
      </c>
      <c r="PQI1022" t="s">
        <v>619</v>
      </c>
      <c r="PQJ1022">
        <v>-43916</v>
      </c>
      <c r="PQK1022">
        <v>-42529</v>
      </c>
      <c r="PQL1022">
        <v>-32873</v>
      </c>
      <c r="PQM1022">
        <v>-27489</v>
      </c>
      <c r="QAD1022" t="s">
        <v>1389</v>
      </c>
      <c r="QAE1022" t="s">
        <v>619</v>
      </c>
      <c r="QAF1022">
        <v>-43916</v>
      </c>
      <c r="QAG1022">
        <v>-42529</v>
      </c>
      <c r="QAH1022">
        <v>-32873</v>
      </c>
      <c r="QAI1022">
        <v>-27489</v>
      </c>
      <c r="QJZ1022" t="s">
        <v>1389</v>
      </c>
      <c r="QKA1022" t="s">
        <v>619</v>
      </c>
      <c r="QKB1022">
        <v>-43916</v>
      </c>
      <c r="QKC1022">
        <v>-42529</v>
      </c>
      <c r="QKD1022">
        <v>-32873</v>
      </c>
      <c r="QKE1022">
        <v>-27489</v>
      </c>
      <c r="QTV1022" t="s">
        <v>1389</v>
      </c>
      <c r="QTW1022" t="s">
        <v>619</v>
      </c>
      <c r="QTX1022">
        <v>-43916</v>
      </c>
      <c r="QTY1022">
        <v>-42529</v>
      </c>
      <c r="QTZ1022">
        <v>-32873</v>
      </c>
      <c r="QUA1022">
        <v>-27489</v>
      </c>
      <c r="RDR1022" t="s">
        <v>1389</v>
      </c>
      <c r="RDS1022" t="s">
        <v>619</v>
      </c>
      <c r="RDT1022">
        <v>-43916</v>
      </c>
      <c r="RDU1022">
        <v>-42529</v>
      </c>
      <c r="RDV1022">
        <v>-32873</v>
      </c>
      <c r="RDW1022">
        <v>-27489</v>
      </c>
      <c r="RNN1022" t="s">
        <v>1389</v>
      </c>
      <c r="RNO1022" t="s">
        <v>619</v>
      </c>
      <c r="RNP1022">
        <v>-43916</v>
      </c>
      <c r="RNQ1022">
        <v>-42529</v>
      </c>
      <c r="RNR1022">
        <v>-32873</v>
      </c>
      <c r="RNS1022">
        <v>-27489</v>
      </c>
      <c r="RXJ1022" t="s">
        <v>1389</v>
      </c>
      <c r="RXK1022" t="s">
        <v>619</v>
      </c>
      <c r="RXL1022">
        <v>-43916</v>
      </c>
      <c r="RXM1022">
        <v>-42529</v>
      </c>
      <c r="RXN1022">
        <v>-32873</v>
      </c>
      <c r="RXO1022">
        <v>-27489</v>
      </c>
      <c r="SHF1022" t="s">
        <v>1389</v>
      </c>
      <c r="SHG1022" t="s">
        <v>619</v>
      </c>
      <c r="SHH1022">
        <v>-43916</v>
      </c>
      <c r="SHI1022">
        <v>-42529</v>
      </c>
      <c r="SHJ1022">
        <v>-32873</v>
      </c>
      <c r="SHK1022">
        <v>-27489</v>
      </c>
      <c r="SRB1022" t="s">
        <v>1389</v>
      </c>
      <c r="SRC1022" t="s">
        <v>619</v>
      </c>
      <c r="SRD1022">
        <v>-43916</v>
      </c>
      <c r="SRE1022">
        <v>-42529</v>
      </c>
      <c r="SRF1022">
        <v>-32873</v>
      </c>
      <c r="SRG1022">
        <v>-27489</v>
      </c>
      <c r="TAX1022" t="s">
        <v>1389</v>
      </c>
      <c r="TAY1022" t="s">
        <v>619</v>
      </c>
      <c r="TAZ1022">
        <v>-43916</v>
      </c>
      <c r="TBA1022">
        <v>-42529</v>
      </c>
      <c r="TBB1022">
        <v>-32873</v>
      </c>
      <c r="TBC1022">
        <v>-27489</v>
      </c>
      <c r="TKT1022" t="s">
        <v>1389</v>
      </c>
      <c r="TKU1022" t="s">
        <v>619</v>
      </c>
      <c r="TKV1022">
        <v>-43916</v>
      </c>
      <c r="TKW1022">
        <v>-42529</v>
      </c>
      <c r="TKX1022">
        <v>-32873</v>
      </c>
      <c r="TKY1022">
        <v>-27489</v>
      </c>
      <c r="TUP1022" t="s">
        <v>1389</v>
      </c>
      <c r="TUQ1022" t="s">
        <v>619</v>
      </c>
      <c r="TUR1022">
        <v>-43916</v>
      </c>
      <c r="TUS1022">
        <v>-42529</v>
      </c>
      <c r="TUT1022">
        <v>-32873</v>
      </c>
      <c r="TUU1022">
        <v>-27489</v>
      </c>
      <c r="UEL1022" t="s">
        <v>1389</v>
      </c>
      <c r="UEM1022" t="s">
        <v>619</v>
      </c>
      <c r="UEN1022">
        <v>-43916</v>
      </c>
      <c r="UEO1022">
        <v>-42529</v>
      </c>
      <c r="UEP1022">
        <v>-32873</v>
      </c>
      <c r="UEQ1022">
        <v>-27489</v>
      </c>
      <c r="UOH1022" t="s">
        <v>1389</v>
      </c>
      <c r="UOI1022" t="s">
        <v>619</v>
      </c>
      <c r="UOJ1022">
        <v>-43916</v>
      </c>
      <c r="UOK1022">
        <v>-42529</v>
      </c>
      <c r="UOL1022">
        <v>-32873</v>
      </c>
      <c r="UOM1022">
        <v>-27489</v>
      </c>
      <c r="UYD1022" t="s">
        <v>1389</v>
      </c>
      <c r="UYE1022" t="s">
        <v>619</v>
      </c>
      <c r="UYF1022">
        <v>-43916</v>
      </c>
      <c r="UYG1022">
        <v>-42529</v>
      </c>
      <c r="UYH1022">
        <v>-32873</v>
      </c>
      <c r="UYI1022">
        <v>-27489</v>
      </c>
      <c r="VHZ1022" t="s">
        <v>1389</v>
      </c>
      <c r="VIA1022" t="s">
        <v>619</v>
      </c>
      <c r="VIB1022">
        <v>-43916</v>
      </c>
      <c r="VIC1022">
        <v>-42529</v>
      </c>
      <c r="VID1022">
        <v>-32873</v>
      </c>
      <c r="VIE1022">
        <v>-27489</v>
      </c>
      <c r="VRV1022" t="s">
        <v>1389</v>
      </c>
      <c r="VRW1022" t="s">
        <v>619</v>
      </c>
      <c r="VRX1022">
        <v>-43916</v>
      </c>
      <c r="VRY1022">
        <v>-42529</v>
      </c>
      <c r="VRZ1022">
        <v>-32873</v>
      </c>
      <c r="VSA1022">
        <v>-27489</v>
      </c>
      <c r="WBR1022" t="s">
        <v>1389</v>
      </c>
      <c r="WBS1022" t="s">
        <v>619</v>
      </c>
      <c r="WBT1022">
        <v>-43916</v>
      </c>
      <c r="WBU1022">
        <v>-42529</v>
      </c>
      <c r="WBV1022">
        <v>-32873</v>
      </c>
      <c r="WBW1022">
        <v>-27489</v>
      </c>
      <c r="WLN1022" t="s">
        <v>1389</v>
      </c>
      <c r="WLO1022" t="s">
        <v>619</v>
      </c>
      <c r="WLP1022">
        <v>-43916</v>
      </c>
      <c r="WLQ1022">
        <v>-42529</v>
      </c>
      <c r="WLR1022">
        <v>-32873</v>
      </c>
      <c r="WLS1022">
        <v>-27489</v>
      </c>
      <c r="WVJ1022" t="s">
        <v>1389</v>
      </c>
      <c r="WVK1022" t="s">
        <v>619</v>
      </c>
      <c r="WVL1022">
        <v>-43916</v>
      </c>
      <c r="WVM1022">
        <v>-42529</v>
      </c>
      <c r="WVN1022">
        <v>-32873</v>
      </c>
      <c r="WVO1022">
        <v>-27489</v>
      </c>
    </row>
    <row r="1023" spans="1:775 1026:1799 2050:2823 3074:3847 4098:4871 5122:5895 6146:6919 7170:7943 8194:8967 9218:9991 10242:11015 11266:12039 12290:13063 13314:14087 14338:15111 15362:16135">
      <c r="A1023" s="96" t="s">
        <v>1390</v>
      </c>
      <c r="B1023" t="s">
        <v>1003</v>
      </c>
      <c r="C1023" s="98">
        <v>0</v>
      </c>
      <c r="D1023" s="100">
        <v>1520416</v>
      </c>
      <c r="E1023" s="100">
        <v>90499</v>
      </c>
      <c r="F1023" s="98">
        <v>0</v>
      </c>
      <c r="G1023" s="98">
        <v>0</v>
      </c>
      <c r="H1023" s="98"/>
      <c r="IX1023" t="s">
        <v>1390</v>
      </c>
      <c r="IY1023" t="s">
        <v>619</v>
      </c>
      <c r="IZ1023">
        <v>1520416</v>
      </c>
      <c r="JA1023">
        <v>90499</v>
      </c>
      <c r="JB1023" t="s">
        <v>619</v>
      </c>
      <c r="JC1023" t="s">
        <v>619</v>
      </c>
      <c r="ST1023" t="s">
        <v>1390</v>
      </c>
      <c r="SU1023" t="s">
        <v>619</v>
      </c>
      <c r="SV1023">
        <v>1520416</v>
      </c>
      <c r="SW1023">
        <v>90499</v>
      </c>
      <c r="SX1023" t="s">
        <v>619</v>
      </c>
      <c r="SY1023" t="s">
        <v>619</v>
      </c>
      <c r="ACP1023" t="s">
        <v>1390</v>
      </c>
      <c r="ACQ1023" t="s">
        <v>619</v>
      </c>
      <c r="ACR1023">
        <v>1520416</v>
      </c>
      <c r="ACS1023">
        <v>90499</v>
      </c>
      <c r="ACT1023" t="s">
        <v>619</v>
      </c>
      <c r="ACU1023" t="s">
        <v>619</v>
      </c>
      <c r="AML1023" t="s">
        <v>1390</v>
      </c>
      <c r="AMM1023" t="s">
        <v>619</v>
      </c>
      <c r="AMN1023">
        <v>1520416</v>
      </c>
      <c r="AMO1023">
        <v>90499</v>
      </c>
      <c r="AMP1023" t="s">
        <v>619</v>
      </c>
      <c r="AMQ1023" t="s">
        <v>619</v>
      </c>
      <c r="AWH1023" t="s">
        <v>1390</v>
      </c>
      <c r="AWI1023" t="s">
        <v>619</v>
      </c>
      <c r="AWJ1023">
        <v>1520416</v>
      </c>
      <c r="AWK1023">
        <v>90499</v>
      </c>
      <c r="AWL1023" t="s">
        <v>619</v>
      </c>
      <c r="AWM1023" t="s">
        <v>619</v>
      </c>
      <c r="BGD1023" t="s">
        <v>1390</v>
      </c>
      <c r="BGE1023" t="s">
        <v>619</v>
      </c>
      <c r="BGF1023">
        <v>1520416</v>
      </c>
      <c r="BGG1023">
        <v>90499</v>
      </c>
      <c r="BGH1023" t="s">
        <v>619</v>
      </c>
      <c r="BGI1023" t="s">
        <v>619</v>
      </c>
      <c r="BPZ1023" t="s">
        <v>1390</v>
      </c>
      <c r="BQA1023" t="s">
        <v>619</v>
      </c>
      <c r="BQB1023">
        <v>1520416</v>
      </c>
      <c r="BQC1023">
        <v>90499</v>
      </c>
      <c r="BQD1023" t="s">
        <v>619</v>
      </c>
      <c r="BQE1023" t="s">
        <v>619</v>
      </c>
      <c r="BZV1023" t="s">
        <v>1390</v>
      </c>
      <c r="BZW1023" t="s">
        <v>619</v>
      </c>
      <c r="BZX1023">
        <v>1520416</v>
      </c>
      <c r="BZY1023">
        <v>90499</v>
      </c>
      <c r="BZZ1023" t="s">
        <v>619</v>
      </c>
      <c r="CAA1023" t="s">
        <v>619</v>
      </c>
      <c r="CJR1023" t="s">
        <v>1390</v>
      </c>
      <c r="CJS1023" t="s">
        <v>619</v>
      </c>
      <c r="CJT1023">
        <v>1520416</v>
      </c>
      <c r="CJU1023">
        <v>90499</v>
      </c>
      <c r="CJV1023" t="s">
        <v>619</v>
      </c>
      <c r="CJW1023" t="s">
        <v>619</v>
      </c>
      <c r="CTN1023" t="s">
        <v>1390</v>
      </c>
      <c r="CTO1023" t="s">
        <v>619</v>
      </c>
      <c r="CTP1023">
        <v>1520416</v>
      </c>
      <c r="CTQ1023">
        <v>90499</v>
      </c>
      <c r="CTR1023" t="s">
        <v>619</v>
      </c>
      <c r="CTS1023" t="s">
        <v>619</v>
      </c>
      <c r="DDJ1023" t="s">
        <v>1390</v>
      </c>
      <c r="DDK1023" t="s">
        <v>619</v>
      </c>
      <c r="DDL1023">
        <v>1520416</v>
      </c>
      <c r="DDM1023">
        <v>90499</v>
      </c>
      <c r="DDN1023" t="s">
        <v>619</v>
      </c>
      <c r="DDO1023" t="s">
        <v>619</v>
      </c>
      <c r="DNF1023" t="s">
        <v>1390</v>
      </c>
      <c r="DNG1023" t="s">
        <v>619</v>
      </c>
      <c r="DNH1023">
        <v>1520416</v>
      </c>
      <c r="DNI1023">
        <v>90499</v>
      </c>
      <c r="DNJ1023" t="s">
        <v>619</v>
      </c>
      <c r="DNK1023" t="s">
        <v>619</v>
      </c>
      <c r="DXB1023" t="s">
        <v>1390</v>
      </c>
      <c r="DXC1023" t="s">
        <v>619</v>
      </c>
      <c r="DXD1023">
        <v>1520416</v>
      </c>
      <c r="DXE1023">
        <v>90499</v>
      </c>
      <c r="DXF1023" t="s">
        <v>619</v>
      </c>
      <c r="DXG1023" t="s">
        <v>619</v>
      </c>
      <c r="EGX1023" t="s">
        <v>1390</v>
      </c>
      <c r="EGY1023" t="s">
        <v>619</v>
      </c>
      <c r="EGZ1023">
        <v>1520416</v>
      </c>
      <c r="EHA1023">
        <v>90499</v>
      </c>
      <c r="EHB1023" t="s">
        <v>619</v>
      </c>
      <c r="EHC1023" t="s">
        <v>619</v>
      </c>
      <c r="EQT1023" t="s">
        <v>1390</v>
      </c>
      <c r="EQU1023" t="s">
        <v>619</v>
      </c>
      <c r="EQV1023">
        <v>1520416</v>
      </c>
      <c r="EQW1023">
        <v>90499</v>
      </c>
      <c r="EQX1023" t="s">
        <v>619</v>
      </c>
      <c r="EQY1023" t="s">
        <v>619</v>
      </c>
      <c r="FAP1023" t="s">
        <v>1390</v>
      </c>
      <c r="FAQ1023" t="s">
        <v>619</v>
      </c>
      <c r="FAR1023">
        <v>1520416</v>
      </c>
      <c r="FAS1023">
        <v>90499</v>
      </c>
      <c r="FAT1023" t="s">
        <v>619</v>
      </c>
      <c r="FAU1023" t="s">
        <v>619</v>
      </c>
      <c r="FKL1023" t="s">
        <v>1390</v>
      </c>
      <c r="FKM1023" t="s">
        <v>619</v>
      </c>
      <c r="FKN1023">
        <v>1520416</v>
      </c>
      <c r="FKO1023">
        <v>90499</v>
      </c>
      <c r="FKP1023" t="s">
        <v>619</v>
      </c>
      <c r="FKQ1023" t="s">
        <v>619</v>
      </c>
      <c r="FUH1023" t="s">
        <v>1390</v>
      </c>
      <c r="FUI1023" t="s">
        <v>619</v>
      </c>
      <c r="FUJ1023">
        <v>1520416</v>
      </c>
      <c r="FUK1023">
        <v>90499</v>
      </c>
      <c r="FUL1023" t="s">
        <v>619</v>
      </c>
      <c r="FUM1023" t="s">
        <v>619</v>
      </c>
      <c r="GED1023" t="s">
        <v>1390</v>
      </c>
      <c r="GEE1023" t="s">
        <v>619</v>
      </c>
      <c r="GEF1023">
        <v>1520416</v>
      </c>
      <c r="GEG1023">
        <v>90499</v>
      </c>
      <c r="GEH1023" t="s">
        <v>619</v>
      </c>
      <c r="GEI1023" t="s">
        <v>619</v>
      </c>
      <c r="GNZ1023" t="s">
        <v>1390</v>
      </c>
      <c r="GOA1023" t="s">
        <v>619</v>
      </c>
      <c r="GOB1023">
        <v>1520416</v>
      </c>
      <c r="GOC1023">
        <v>90499</v>
      </c>
      <c r="GOD1023" t="s">
        <v>619</v>
      </c>
      <c r="GOE1023" t="s">
        <v>619</v>
      </c>
      <c r="GXV1023" t="s">
        <v>1390</v>
      </c>
      <c r="GXW1023" t="s">
        <v>619</v>
      </c>
      <c r="GXX1023">
        <v>1520416</v>
      </c>
      <c r="GXY1023">
        <v>90499</v>
      </c>
      <c r="GXZ1023" t="s">
        <v>619</v>
      </c>
      <c r="GYA1023" t="s">
        <v>619</v>
      </c>
      <c r="HHR1023" t="s">
        <v>1390</v>
      </c>
      <c r="HHS1023" t="s">
        <v>619</v>
      </c>
      <c r="HHT1023">
        <v>1520416</v>
      </c>
      <c r="HHU1023">
        <v>90499</v>
      </c>
      <c r="HHV1023" t="s">
        <v>619</v>
      </c>
      <c r="HHW1023" t="s">
        <v>619</v>
      </c>
      <c r="HRN1023" t="s">
        <v>1390</v>
      </c>
      <c r="HRO1023" t="s">
        <v>619</v>
      </c>
      <c r="HRP1023">
        <v>1520416</v>
      </c>
      <c r="HRQ1023">
        <v>90499</v>
      </c>
      <c r="HRR1023" t="s">
        <v>619</v>
      </c>
      <c r="HRS1023" t="s">
        <v>619</v>
      </c>
      <c r="IBJ1023" t="s">
        <v>1390</v>
      </c>
      <c r="IBK1023" t="s">
        <v>619</v>
      </c>
      <c r="IBL1023">
        <v>1520416</v>
      </c>
      <c r="IBM1023">
        <v>90499</v>
      </c>
      <c r="IBN1023" t="s">
        <v>619</v>
      </c>
      <c r="IBO1023" t="s">
        <v>619</v>
      </c>
      <c r="ILF1023" t="s">
        <v>1390</v>
      </c>
      <c r="ILG1023" t="s">
        <v>619</v>
      </c>
      <c r="ILH1023">
        <v>1520416</v>
      </c>
      <c r="ILI1023">
        <v>90499</v>
      </c>
      <c r="ILJ1023" t="s">
        <v>619</v>
      </c>
      <c r="ILK1023" t="s">
        <v>619</v>
      </c>
      <c r="IVB1023" t="s">
        <v>1390</v>
      </c>
      <c r="IVC1023" t="s">
        <v>619</v>
      </c>
      <c r="IVD1023">
        <v>1520416</v>
      </c>
      <c r="IVE1023">
        <v>90499</v>
      </c>
      <c r="IVF1023" t="s">
        <v>619</v>
      </c>
      <c r="IVG1023" t="s">
        <v>619</v>
      </c>
      <c r="JEX1023" t="s">
        <v>1390</v>
      </c>
      <c r="JEY1023" t="s">
        <v>619</v>
      </c>
      <c r="JEZ1023">
        <v>1520416</v>
      </c>
      <c r="JFA1023">
        <v>90499</v>
      </c>
      <c r="JFB1023" t="s">
        <v>619</v>
      </c>
      <c r="JFC1023" t="s">
        <v>619</v>
      </c>
      <c r="JOT1023" t="s">
        <v>1390</v>
      </c>
      <c r="JOU1023" t="s">
        <v>619</v>
      </c>
      <c r="JOV1023">
        <v>1520416</v>
      </c>
      <c r="JOW1023">
        <v>90499</v>
      </c>
      <c r="JOX1023" t="s">
        <v>619</v>
      </c>
      <c r="JOY1023" t="s">
        <v>619</v>
      </c>
      <c r="JYP1023" t="s">
        <v>1390</v>
      </c>
      <c r="JYQ1023" t="s">
        <v>619</v>
      </c>
      <c r="JYR1023">
        <v>1520416</v>
      </c>
      <c r="JYS1023">
        <v>90499</v>
      </c>
      <c r="JYT1023" t="s">
        <v>619</v>
      </c>
      <c r="JYU1023" t="s">
        <v>619</v>
      </c>
      <c r="KIL1023" t="s">
        <v>1390</v>
      </c>
      <c r="KIM1023" t="s">
        <v>619</v>
      </c>
      <c r="KIN1023">
        <v>1520416</v>
      </c>
      <c r="KIO1023">
        <v>90499</v>
      </c>
      <c r="KIP1023" t="s">
        <v>619</v>
      </c>
      <c r="KIQ1023" t="s">
        <v>619</v>
      </c>
      <c r="KSH1023" t="s">
        <v>1390</v>
      </c>
      <c r="KSI1023" t="s">
        <v>619</v>
      </c>
      <c r="KSJ1023">
        <v>1520416</v>
      </c>
      <c r="KSK1023">
        <v>90499</v>
      </c>
      <c r="KSL1023" t="s">
        <v>619</v>
      </c>
      <c r="KSM1023" t="s">
        <v>619</v>
      </c>
      <c r="LCD1023" t="s">
        <v>1390</v>
      </c>
      <c r="LCE1023" t="s">
        <v>619</v>
      </c>
      <c r="LCF1023">
        <v>1520416</v>
      </c>
      <c r="LCG1023">
        <v>90499</v>
      </c>
      <c r="LCH1023" t="s">
        <v>619</v>
      </c>
      <c r="LCI1023" t="s">
        <v>619</v>
      </c>
      <c r="LLZ1023" t="s">
        <v>1390</v>
      </c>
      <c r="LMA1023" t="s">
        <v>619</v>
      </c>
      <c r="LMB1023">
        <v>1520416</v>
      </c>
      <c r="LMC1023">
        <v>90499</v>
      </c>
      <c r="LMD1023" t="s">
        <v>619</v>
      </c>
      <c r="LME1023" t="s">
        <v>619</v>
      </c>
      <c r="LVV1023" t="s">
        <v>1390</v>
      </c>
      <c r="LVW1023" t="s">
        <v>619</v>
      </c>
      <c r="LVX1023">
        <v>1520416</v>
      </c>
      <c r="LVY1023">
        <v>90499</v>
      </c>
      <c r="LVZ1023" t="s">
        <v>619</v>
      </c>
      <c r="LWA1023" t="s">
        <v>619</v>
      </c>
      <c r="MFR1023" t="s">
        <v>1390</v>
      </c>
      <c r="MFS1023" t="s">
        <v>619</v>
      </c>
      <c r="MFT1023">
        <v>1520416</v>
      </c>
      <c r="MFU1023">
        <v>90499</v>
      </c>
      <c r="MFV1023" t="s">
        <v>619</v>
      </c>
      <c r="MFW1023" t="s">
        <v>619</v>
      </c>
      <c r="MPN1023" t="s">
        <v>1390</v>
      </c>
      <c r="MPO1023" t="s">
        <v>619</v>
      </c>
      <c r="MPP1023">
        <v>1520416</v>
      </c>
      <c r="MPQ1023">
        <v>90499</v>
      </c>
      <c r="MPR1023" t="s">
        <v>619</v>
      </c>
      <c r="MPS1023" t="s">
        <v>619</v>
      </c>
      <c r="MZJ1023" t="s">
        <v>1390</v>
      </c>
      <c r="MZK1023" t="s">
        <v>619</v>
      </c>
      <c r="MZL1023">
        <v>1520416</v>
      </c>
      <c r="MZM1023">
        <v>90499</v>
      </c>
      <c r="MZN1023" t="s">
        <v>619</v>
      </c>
      <c r="MZO1023" t="s">
        <v>619</v>
      </c>
      <c r="NJF1023" t="s">
        <v>1390</v>
      </c>
      <c r="NJG1023" t="s">
        <v>619</v>
      </c>
      <c r="NJH1023">
        <v>1520416</v>
      </c>
      <c r="NJI1023">
        <v>90499</v>
      </c>
      <c r="NJJ1023" t="s">
        <v>619</v>
      </c>
      <c r="NJK1023" t="s">
        <v>619</v>
      </c>
      <c r="NTB1023" t="s">
        <v>1390</v>
      </c>
      <c r="NTC1023" t="s">
        <v>619</v>
      </c>
      <c r="NTD1023">
        <v>1520416</v>
      </c>
      <c r="NTE1023">
        <v>90499</v>
      </c>
      <c r="NTF1023" t="s">
        <v>619</v>
      </c>
      <c r="NTG1023" t="s">
        <v>619</v>
      </c>
      <c r="OCX1023" t="s">
        <v>1390</v>
      </c>
      <c r="OCY1023" t="s">
        <v>619</v>
      </c>
      <c r="OCZ1023">
        <v>1520416</v>
      </c>
      <c r="ODA1023">
        <v>90499</v>
      </c>
      <c r="ODB1023" t="s">
        <v>619</v>
      </c>
      <c r="ODC1023" t="s">
        <v>619</v>
      </c>
      <c r="OMT1023" t="s">
        <v>1390</v>
      </c>
      <c r="OMU1023" t="s">
        <v>619</v>
      </c>
      <c r="OMV1023">
        <v>1520416</v>
      </c>
      <c r="OMW1023">
        <v>90499</v>
      </c>
      <c r="OMX1023" t="s">
        <v>619</v>
      </c>
      <c r="OMY1023" t="s">
        <v>619</v>
      </c>
      <c r="OWP1023" t="s">
        <v>1390</v>
      </c>
      <c r="OWQ1023" t="s">
        <v>619</v>
      </c>
      <c r="OWR1023">
        <v>1520416</v>
      </c>
      <c r="OWS1023">
        <v>90499</v>
      </c>
      <c r="OWT1023" t="s">
        <v>619</v>
      </c>
      <c r="OWU1023" t="s">
        <v>619</v>
      </c>
      <c r="PGL1023" t="s">
        <v>1390</v>
      </c>
      <c r="PGM1023" t="s">
        <v>619</v>
      </c>
      <c r="PGN1023">
        <v>1520416</v>
      </c>
      <c r="PGO1023">
        <v>90499</v>
      </c>
      <c r="PGP1023" t="s">
        <v>619</v>
      </c>
      <c r="PGQ1023" t="s">
        <v>619</v>
      </c>
      <c r="PQH1023" t="s">
        <v>1390</v>
      </c>
      <c r="PQI1023" t="s">
        <v>619</v>
      </c>
      <c r="PQJ1023">
        <v>1520416</v>
      </c>
      <c r="PQK1023">
        <v>90499</v>
      </c>
      <c r="PQL1023" t="s">
        <v>619</v>
      </c>
      <c r="PQM1023" t="s">
        <v>619</v>
      </c>
      <c r="QAD1023" t="s">
        <v>1390</v>
      </c>
      <c r="QAE1023" t="s">
        <v>619</v>
      </c>
      <c r="QAF1023">
        <v>1520416</v>
      </c>
      <c r="QAG1023">
        <v>90499</v>
      </c>
      <c r="QAH1023" t="s">
        <v>619</v>
      </c>
      <c r="QAI1023" t="s">
        <v>619</v>
      </c>
      <c r="QJZ1023" t="s">
        <v>1390</v>
      </c>
      <c r="QKA1023" t="s">
        <v>619</v>
      </c>
      <c r="QKB1023">
        <v>1520416</v>
      </c>
      <c r="QKC1023">
        <v>90499</v>
      </c>
      <c r="QKD1023" t="s">
        <v>619</v>
      </c>
      <c r="QKE1023" t="s">
        <v>619</v>
      </c>
      <c r="QTV1023" t="s">
        <v>1390</v>
      </c>
      <c r="QTW1023" t="s">
        <v>619</v>
      </c>
      <c r="QTX1023">
        <v>1520416</v>
      </c>
      <c r="QTY1023">
        <v>90499</v>
      </c>
      <c r="QTZ1023" t="s">
        <v>619</v>
      </c>
      <c r="QUA1023" t="s">
        <v>619</v>
      </c>
      <c r="RDR1023" t="s">
        <v>1390</v>
      </c>
      <c r="RDS1023" t="s">
        <v>619</v>
      </c>
      <c r="RDT1023">
        <v>1520416</v>
      </c>
      <c r="RDU1023">
        <v>90499</v>
      </c>
      <c r="RDV1023" t="s">
        <v>619</v>
      </c>
      <c r="RDW1023" t="s">
        <v>619</v>
      </c>
      <c r="RNN1023" t="s">
        <v>1390</v>
      </c>
      <c r="RNO1023" t="s">
        <v>619</v>
      </c>
      <c r="RNP1023">
        <v>1520416</v>
      </c>
      <c r="RNQ1023">
        <v>90499</v>
      </c>
      <c r="RNR1023" t="s">
        <v>619</v>
      </c>
      <c r="RNS1023" t="s">
        <v>619</v>
      </c>
      <c r="RXJ1023" t="s">
        <v>1390</v>
      </c>
      <c r="RXK1023" t="s">
        <v>619</v>
      </c>
      <c r="RXL1023">
        <v>1520416</v>
      </c>
      <c r="RXM1023">
        <v>90499</v>
      </c>
      <c r="RXN1023" t="s">
        <v>619</v>
      </c>
      <c r="RXO1023" t="s">
        <v>619</v>
      </c>
      <c r="SHF1023" t="s">
        <v>1390</v>
      </c>
      <c r="SHG1023" t="s">
        <v>619</v>
      </c>
      <c r="SHH1023">
        <v>1520416</v>
      </c>
      <c r="SHI1023">
        <v>90499</v>
      </c>
      <c r="SHJ1023" t="s">
        <v>619</v>
      </c>
      <c r="SHK1023" t="s">
        <v>619</v>
      </c>
      <c r="SRB1023" t="s">
        <v>1390</v>
      </c>
      <c r="SRC1023" t="s">
        <v>619</v>
      </c>
      <c r="SRD1023">
        <v>1520416</v>
      </c>
      <c r="SRE1023">
        <v>90499</v>
      </c>
      <c r="SRF1023" t="s">
        <v>619</v>
      </c>
      <c r="SRG1023" t="s">
        <v>619</v>
      </c>
      <c r="TAX1023" t="s">
        <v>1390</v>
      </c>
      <c r="TAY1023" t="s">
        <v>619</v>
      </c>
      <c r="TAZ1023">
        <v>1520416</v>
      </c>
      <c r="TBA1023">
        <v>90499</v>
      </c>
      <c r="TBB1023" t="s">
        <v>619</v>
      </c>
      <c r="TBC1023" t="s">
        <v>619</v>
      </c>
      <c r="TKT1023" t="s">
        <v>1390</v>
      </c>
      <c r="TKU1023" t="s">
        <v>619</v>
      </c>
      <c r="TKV1023">
        <v>1520416</v>
      </c>
      <c r="TKW1023">
        <v>90499</v>
      </c>
      <c r="TKX1023" t="s">
        <v>619</v>
      </c>
      <c r="TKY1023" t="s">
        <v>619</v>
      </c>
      <c r="TUP1023" t="s">
        <v>1390</v>
      </c>
      <c r="TUQ1023" t="s">
        <v>619</v>
      </c>
      <c r="TUR1023">
        <v>1520416</v>
      </c>
      <c r="TUS1023">
        <v>90499</v>
      </c>
      <c r="TUT1023" t="s">
        <v>619</v>
      </c>
      <c r="TUU1023" t="s">
        <v>619</v>
      </c>
      <c r="UEL1023" t="s">
        <v>1390</v>
      </c>
      <c r="UEM1023" t="s">
        <v>619</v>
      </c>
      <c r="UEN1023">
        <v>1520416</v>
      </c>
      <c r="UEO1023">
        <v>90499</v>
      </c>
      <c r="UEP1023" t="s">
        <v>619</v>
      </c>
      <c r="UEQ1023" t="s">
        <v>619</v>
      </c>
      <c r="UOH1023" t="s">
        <v>1390</v>
      </c>
      <c r="UOI1023" t="s">
        <v>619</v>
      </c>
      <c r="UOJ1023">
        <v>1520416</v>
      </c>
      <c r="UOK1023">
        <v>90499</v>
      </c>
      <c r="UOL1023" t="s">
        <v>619</v>
      </c>
      <c r="UOM1023" t="s">
        <v>619</v>
      </c>
      <c r="UYD1023" t="s">
        <v>1390</v>
      </c>
      <c r="UYE1023" t="s">
        <v>619</v>
      </c>
      <c r="UYF1023">
        <v>1520416</v>
      </c>
      <c r="UYG1023">
        <v>90499</v>
      </c>
      <c r="UYH1023" t="s">
        <v>619</v>
      </c>
      <c r="UYI1023" t="s">
        <v>619</v>
      </c>
      <c r="VHZ1023" t="s">
        <v>1390</v>
      </c>
      <c r="VIA1023" t="s">
        <v>619</v>
      </c>
      <c r="VIB1023">
        <v>1520416</v>
      </c>
      <c r="VIC1023">
        <v>90499</v>
      </c>
      <c r="VID1023" t="s">
        <v>619</v>
      </c>
      <c r="VIE1023" t="s">
        <v>619</v>
      </c>
      <c r="VRV1023" t="s">
        <v>1390</v>
      </c>
      <c r="VRW1023" t="s">
        <v>619</v>
      </c>
      <c r="VRX1023">
        <v>1520416</v>
      </c>
      <c r="VRY1023">
        <v>90499</v>
      </c>
      <c r="VRZ1023" t="s">
        <v>619</v>
      </c>
      <c r="VSA1023" t="s">
        <v>619</v>
      </c>
      <c r="WBR1023" t="s">
        <v>1390</v>
      </c>
      <c r="WBS1023" t="s">
        <v>619</v>
      </c>
      <c r="WBT1023">
        <v>1520416</v>
      </c>
      <c r="WBU1023">
        <v>90499</v>
      </c>
      <c r="WBV1023" t="s">
        <v>619</v>
      </c>
      <c r="WBW1023" t="s">
        <v>619</v>
      </c>
      <c r="WLN1023" t="s">
        <v>1390</v>
      </c>
      <c r="WLO1023" t="s">
        <v>619</v>
      </c>
      <c r="WLP1023">
        <v>1520416</v>
      </c>
      <c r="WLQ1023">
        <v>90499</v>
      </c>
      <c r="WLR1023" t="s">
        <v>619</v>
      </c>
      <c r="WLS1023" t="s">
        <v>619</v>
      </c>
      <c r="WVJ1023" t="s">
        <v>1390</v>
      </c>
      <c r="WVK1023" t="s">
        <v>619</v>
      </c>
      <c r="WVL1023">
        <v>1520416</v>
      </c>
      <c r="WVM1023">
        <v>90499</v>
      </c>
      <c r="WVN1023" t="s">
        <v>619</v>
      </c>
      <c r="WVO1023" t="s">
        <v>619</v>
      </c>
    </row>
    <row r="1024" spans="1:775 1026:1799 2050:2823 3074:3847 4098:4871 5122:5895 6146:6919 7170:7943 8194:8967 9218:9991 10242:11015 11266:12039 12290:13063 13314:14087 14338:15111 15362:16135">
      <c r="A1024" s="96" t="s">
        <v>1391</v>
      </c>
      <c r="B1024" t="s">
        <v>1003</v>
      </c>
      <c r="C1024" s="98">
        <v>0</v>
      </c>
      <c r="D1024" s="100">
        <v>2802041</v>
      </c>
      <c r="E1024" s="100">
        <v>3014628</v>
      </c>
      <c r="F1024" s="100">
        <v>9560755</v>
      </c>
      <c r="G1024" s="98">
        <v>0</v>
      </c>
      <c r="H1024" s="98"/>
      <c r="IX1024" t="s">
        <v>1391</v>
      </c>
      <c r="IY1024" t="s">
        <v>619</v>
      </c>
      <c r="IZ1024">
        <v>2802041</v>
      </c>
      <c r="JA1024">
        <v>3014628</v>
      </c>
      <c r="JB1024">
        <v>9560755</v>
      </c>
      <c r="JC1024" t="s">
        <v>619</v>
      </c>
      <c r="ST1024" t="s">
        <v>1391</v>
      </c>
      <c r="SU1024" t="s">
        <v>619</v>
      </c>
      <c r="SV1024">
        <v>2802041</v>
      </c>
      <c r="SW1024">
        <v>3014628</v>
      </c>
      <c r="SX1024">
        <v>9560755</v>
      </c>
      <c r="SY1024" t="s">
        <v>619</v>
      </c>
      <c r="ACP1024" t="s">
        <v>1391</v>
      </c>
      <c r="ACQ1024" t="s">
        <v>619</v>
      </c>
      <c r="ACR1024">
        <v>2802041</v>
      </c>
      <c r="ACS1024">
        <v>3014628</v>
      </c>
      <c r="ACT1024">
        <v>9560755</v>
      </c>
      <c r="ACU1024" t="s">
        <v>619</v>
      </c>
      <c r="AML1024" t="s">
        <v>1391</v>
      </c>
      <c r="AMM1024" t="s">
        <v>619</v>
      </c>
      <c r="AMN1024">
        <v>2802041</v>
      </c>
      <c r="AMO1024">
        <v>3014628</v>
      </c>
      <c r="AMP1024">
        <v>9560755</v>
      </c>
      <c r="AMQ1024" t="s">
        <v>619</v>
      </c>
      <c r="AWH1024" t="s">
        <v>1391</v>
      </c>
      <c r="AWI1024" t="s">
        <v>619</v>
      </c>
      <c r="AWJ1024">
        <v>2802041</v>
      </c>
      <c r="AWK1024">
        <v>3014628</v>
      </c>
      <c r="AWL1024">
        <v>9560755</v>
      </c>
      <c r="AWM1024" t="s">
        <v>619</v>
      </c>
      <c r="BGD1024" t="s">
        <v>1391</v>
      </c>
      <c r="BGE1024" t="s">
        <v>619</v>
      </c>
      <c r="BGF1024">
        <v>2802041</v>
      </c>
      <c r="BGG1024">
        <v>3014628</v>
      </c>
      <c r="BGH1024">
        <v>9560755</v>
      </c>
      <c r="BGI1024" t="s">
        <v>619</v>
      </c>
      <c r="BPZ1024" t="s">
        <v>1391</v>
      </c>
      <c r="BQA1024" t="s">
        <v>619</v>
      </c>
      <c r="BQB1024">
        <v>2802041</v>
      </c>
      <c r="BQC1024">
        <v>3014628</v>
      </c>
      <c r="BQD1024">
        <v>9560755</v>
      </c>
      <c r="BQE1024" t="s">
        <v>619</v>
      </c>
      <c r="BZV1024" t="s">
        <v>1391</v>
      </c>
      <c r="BZW1024" t="s">
        <v>619</v>
      </c>
      <c r="BZX1024">
        <v>2802041</v>
      </c>
      <c r="BZY1024">
        <v>3014628</v>
      </c>
      <c r="BZZ1024">
        <v>9560755</v>
      </c>
      <c r="CAA1024" t="s">
        <v>619</v>
      </c>
      <c r="CJR1024" t="s">
        <v>1391</v>
      </c>
      <c r="CJS1024" t="s">
        <v>619</v>
      </c>
      <c r="CJT1024">
        <v>2802041</v>
      </c>
      <c r="CJU1024">
        <v>3014628</v>
      </c>
      <c r="CJV1024">
        <v>9560755</v>
      </c>
      <c r="CJW1024" t="s">
        <v>619</v>
      </c>
      <c r="CTN1024" t="s">
        <v>1391</v>
      </c>
      <c r="CTO1024" t="s">
        <v>619</v>
      </c>
      <c r="CTP1024">
        <v>2802041</v>
      </c>
      <c r="CTQ1024">
        <v>3014628</v>
      </c>
      <c r="CTR1024">
        <v>9560755</v>
      </c>
      <c r="CTS1024" t="s">
        <v>619</v>
      </c>
      <c r="DDJ1024" t="s">
        <v>1391</v>
      </c>
      <c r="DDK1024" t="s">
        <v>619</v>
      </c>
      <c r="DDL1024">
        <v>2802041</v>
      </c>
      <c r="DDM1024">
        <v>3014628</v>
      </c>
      <c r="DDN1024">
        <v>9560755</v>
      </c>
      <c r="DDO1024" t="s">
        <v>619</v>
      </c>
      <c r="DNF1024" t="s">
        <v>1391</v>
      </c>
      <c r="DNG1024" t="s">
        <v>619</v>
      </c>
      <c r="DNH1024">
        <v>2802041</v>
      </c>
      <c r="DNI1024">
        <v>3014628</v>
      </c>
      <c r="DNJ1024">
        <v>9560755</v>
      </c>
      <c r="DNK1024" t="s">
        <v>619</v>
      </c>
      <c r="DXB1024" t="s">
        <v>1391</v>
      </c>
      <c r="DXC1024" t="s">
        <v>619</v>
      </c>
      <c r="DXD1024">
        <v>2802041</v>
      </c>
      <c r="DXE1024">
        <v>3014628</v>
      </c>
      <c r="DXF1024">
        <v>9560755</v>
      </c>
      <c r="DXG1024" t="s">
        <v>619</v>
      </c>
      <c r="EGX1024" t="s">
        <v>1391</v>
      </c>
      <c r="EGY1024" t="s">
        <v>619</v>
      </c>
      <c r="EGZ1024">
        <v>2802041</v>
      </c>
      <c r="EHA1024">
        <v>3014628</v>
      </c>
      <c r="EHB1024">
        <v>9560755</v>
      </c>
      <c r="EHC1024" t="s">
        <v>619</v>
      </c>
      <c r="EQT1024" t="s">
        <v>1391</v>
      </c>
      <c r="EQU1024" t="s">
        <v>619</v>
      </c>
      <c r="EQV1024">
        <v>2802041</v>
      </c>
      <c r="EQW1024">
        <v>3014628</v>
      </c>
      <c r="EQX1024">
        <v>9560755</v>
      </c>
      <c r="EQY1024" t="s">
        <v>619</v>
      </c>
      <c r="FAP1024" t="s">
        <v>1391</v>
      </c>
      <c r="FAQ1024" t="s">
        <v>619</v>
      </c>
      <c r="FAR1024">
        <v>2802041</v>
      </c>
      <c r="FAS1024">
        <v>3014628</v>
      </c>
      <c r="FAT1024">
        <v>9560755</v>
      </c>
      <c r="FAU1024" t="s">
        <v>619</v>
      </c>
      <c r="FKL1024" t="s">
        <v>1391</v>
      </c>
      <c r="FKM1024" t="s">
        <v>619</v>
      </c>
      <c r="FKN1024">
        <v>2802041</v>
      </c>
      <c r="FKO1024">
        <v>3014628</v>
      </c>
      <c r="FKP1024">
        <v>9560755</v>
      </c>
      <c r="FKQ1024" t="s">
        <v>619</v>
      </c>
      <c r="FUH1024" t="s">
        <v>1391</v>
      </c>
      <c r="FUI1024" t="s">
        <v>619</v>
      </c>
      <c r="FUJ1024">
        <v>2802041</v>
      </c>
      <c r="FUK1024">
        <v>3014628</v>
      </c>
      <c r="FUL1024">
        <v>9560755</v>
      </c>
      <c r="FUM1024" t="s">
        <v>619</v>
      </c>
      <c r="GED1024" t="s">
        <v>1391</v>
      </c>
      <c r="GEE1024" t="s">
        <v>619</v>
      </c>
      <c r="GEF1024">
        <v>2802041</v>
      </c>
      <c r="GEG1024">
        <v>3014628</v>
      </c>
      <c r="GEH1024">
        <v>9560755</v>
      </c>
      <c r="GEI1024" t="s">
        <v>619</v>
      </c>
      <c r="GNZ1024" t="s">
        <v>1391</v>
      </c>
      <c r="GOA1024" t="s">
        <v>619</v>
      </c>
      <c r="GOB1024">
        <v>2802041</v>
      </c>
      <c r="GOC1024">
        <v>3014628</v>
      </c>
      <c r="GOD1024">
        <v>9560755</v>
      </c>
      <c r="GOE1024" t="s">
        <v>619</v>
      </c>
      <c r="GXV1024" t="s">
        <v>1391</v>
      </c>
      <c r="GXW1024" t="s">
        <v>619</v>
      </c>
      <c r="GXX1024">
        <v>2802041</v>
      </c>
      <c r="GXY1024">
        <v>3014628</v>
      </c>
      <c r="GXZ1024">
        <v>9560755</v>
      </c>
      <c r="GYA1024" t="s">
        <v>619</v>
      </c>
      <c r="HHR1024" t="s">
        <v>1391</v>
      </c>
      <c r="HHS1024" t="s">
        <v>619</v>
      </c>
      <c r="HHT1024">
        <v>2802041</v>
      </c>
      <c r="HHU1024">
        <v>3014628</v>
      </c>
      <c r="HHV1024">
        <v>9560755</v>
      </c>
      <c r="HHW1024" t="s">
        <v>619</v>
      </c>
      <c r="HRN1024" t="s">
        <v>1391</v>
      </c>
      <c r="HRO1024" t="s">
        <v>619</v>
      </c>
      <c r="HRP1024">
        <v>2802041</v>
      </c>
      <c r="HRQ1024">
        <v>3014628</v>
      </c>
      <c r="HRR1024">
        <v>9560755</v>
      </c>
      <c r="HRS1024" t="s">
        <v>619</v>
      </c>
      <c r="IBJ1024" t="s">
        <v>1391</v>
      </c>
      <c r="IBK1024" t="s">
        <v>619</v>
      </c>
      <c r="IBL1024">
        <v>2802041</v>
      </c>
      <c r="IBM1024">
        <v>3014628</v>
      </c>
      <c r="IBN1024">
        <v>9560755</v>
      </c>
      <c r="IBO1024" t="s">
        <v>619</v>
      </c>
      <c r="ILF1024" t="s">
        <v>1391</v>
      </c>
      <c r="ILG1024" t="s">
        <v>619</v>
      </c>
      <c r="ILH1024">
        <v>2802041</v>
      </c>
      <c r="ILI1024">
        <v>3014628</v>
      </c>
      <c r="ILJ1024">
        <v>9560755</v>
      </c>
      <c r="ILK1024" t="s">
        <v>619</v>
      </c>
      <c r="IVB1024" t="s">
        <v>1391</v>
      </c>
      <c r="IVC1024" t="s">
        <v>619</v>
      </c>
      <c r="IVD1024">
        <v>2802041</v>
      </c>
      <c r="IVE1024">
        <v>3014628</v>
      </c>
      <c r="IVF1024">
        <v>9560755</v>
      </c>
      <c r="IVG1024" t="s">
        <v>619</v>
      </c>
      <c r="JEX1024" t="s">
        <v>1391</v>
      </c>
      <c r="JEY1024" t="s">
        <v>619</v>
      </c>
      <c r="JEZ1024">
        <v>2802041</v>
      </c>
      <c r="JFA1024">
        <v>3014628</v>
      </c>
      <c r="JFB1024">
        <v>9560755</v>
      </c>
      <c r="JFC1024" t="s">
        <v>619</v>
      </c>
      <c r="JOT1024" t="s">
        <v>1391</v>
      </c>
      <c r="JOU1024" t="s">
        <v>619</v>
      </c>
      <c r="JOV1024">
        <v>2802041</v>
      </c>
      <c r="JOW1024">
        <v>3014628</v>
      </c>
      <c r="JOX1024">
        <v>9560755</v>
      </c>
      <c r="JOY1024" t="s">
        <v>619</v>
      </c>
      <c r="JYP1024" t="s">
        <v>1391</v>
      </c>
      <c r="JYQ1024" t="s">
        <v>619</v>
      </c>
      <c r="JYR1024">
        <v>2802041</v>
      </c>
      <c r="JYS1024">
        <v>3014628</v>
      </c>
      <c r="JYT1024">
        <v>9560755</v>
      </c>
      <c r="JYU1024" t="s">
        <v>619</v>
      </c>
      <c r="KIL1024" t="s">
        <v>1391</v>
      </c>
      <c r="KIM1024" t="s">
        <v>619</v>
      </c>
      <c r="KIN1024">
        <v>2802041</v>
      </c>
      <c r="KIO1024">
        <v>3014628</v>
      </c>
      <c r="KIP1024">
        <v>9560755</v>
      </c>
      <c r="KIQ1024" t="s">
        <v>619</v>
      </c>
      <c r="KSH1024" t="s">
        <v>1391</v>
      </c>
      <c r="KSI1024" t="s">
        <v>619</v>
      </c>
      <c r="KSJ1024">
        <v>2802041</v>
      </c>
      <c r="KSK1024">
        <v>3014628</v>
      </c>
      <c r="KSL1024">
        <v>9560755</v>
      </c>
      <c r="KSM1024" t="s">
        <v>619</v>
      </c>
      <c r="LCD1024" t="s">
        <v>1391</v>
      </c>
      <c r="LCE1024" t="s">
        <v>619</v>
      </c>
      <c r="LCF1024">
        <v>2802041</v>
      </c>
      <c r="LCG1024">
        <v>3014628</v>
      </c>
      <c r="LCH1024">
        <v>9560755</v>
      </c>
      <c r="LCI1024" t="s">
        <v>619</v>
      </c>
      <c r="LLZ1024" t="s">
        <v>1391</v>
      </c>
      <c r="LMA1024" t="s">
        <v>619</v>
      </c>
      <c r="LMB1024">
        <v>2802041</v>
      </c>
      <c r="LMC1024">
        <v>3014628</v>
      </c>
      <c r="LMD1024">
        <v>9560755</v>
      </c>
      <c r="LME1024" t="s">
        <v>619</v>
      </c>
      <c r="LVV1024" t="s">
        <v>1391</v>
      </c>
      <c r="LVW1024" t="s">
        <v>619</v>
      </c>
      <c r="LVX1024">
        <v>2802041</v>
      </c>
      <c r="LVY1024">
        <v>3014628</v>
      </c>
      <c r="LVZ1024">
        <v>9560755</v>
      </c>
      <c r="LWA1024" t="s">
        <v>619</v>
      </c>
      <c r="MFR1024" t="s">
        <v>1391</v>
      </c>
      <c r="MFS1024" t="s">
        <v>619</v>
      </c>
      <c r="MFT1024">
        <v>2802041</v>
      </c>
      <c r="MFU1024">
        <v>3014628</v>
      </c>
      <c r="MFV1024">
        <v>9560755</v>
      </c>
      <c r="MFW1024" t="s">
        <v>619</v>
      </c>
      <c r="MPN1024" t="s">
        <v>1391</v>
      </c>
      <c r="MPO1024" t="s">
        <v>619</v>
      </c>
      <c r="MPP1024">
        <v>2802041</v>
      </c>
      <c r="MPQ1024">
        <v>3014628</v>
      </c>
      <c r="MPR1024">
        <v>9560755</v>
      </c>
      <c r="MPS1024" t="s">
        <v>619</v>
      </c>
      <c r="MZJ1024" t="s">
        <v>1391</v>
      </c>
      <c r="MZK1024" t="s">
        <v>619</v>
      </c>
      <c r="MZL1024">
        <v>2802041</v>
      </c>
      <c r="MZM1024">
        <v>3014628</v>
      </c>
      <c r="MZN1024">
        <v>9560755</v>
      </c>
      <c r="MZO1024" t="s">
        <v>619</v>
      </c>
      <c r="NJF1024" t="s">
        <v>1391</v>
      </c>
      <c r="NJG1024" t="s">
        <v>619</v>
      </c>
      <c r="NJH1024">
        <v>2802041</v>
      </c>
      <c r="NJI1024">
        <v>3014628</v>
      </c>
      <c r="NJJ1024">
        <v>9560755</v>
      </c>
      <c r="NJK1024" t="s">
        <v>619</v>
      </c>
      <c r="NTB1024" t="s">
        <v>1391</v>
      </c>
      <c r="NTC1024" t="s">
        <v>619</v>
      </c>
      <c r="NTD1024">
        <v>2802041</v>
      </c>
      <c r="NTE1024">
        <v>3014628</v>
      </c>
      <c r="NTF1024">
        <v>9560755</v>
      </c>
      <c r="NTG1024" t="s">
        <v>619</v>
      </c>
      <c r="OCX1024" t="s">
        <v>1391</v>
      </c>
      <c r="OCY1024" t="s">
        <v>619</v>
      </c>
      <c r="OCZ1024">
        <v>2802041</v>
      </c>
      <c r="ODA1024">
        <v>3014628</v>
      </c>
      <c r="ODB1024">
        <v>9560755</v>
      </c>
      <c r="ODC1024" t="s">
        <v>619</v>
      </c>
      <c r="OMT1024" t="s">
        <v>1391</v>
      </c>
      <c r="OMU1024" t="s">
        <v>619</v>
      </c>
      <c r="OMV1024">
        <v>2802041</v>
      </c>
      <c r="OMW1024">
        <v>3014628</v>
      </c>
      <c r="OMX1024">
        <v>9560755</v>
      </c>
      <c r="OMY1024" t="s">
        <v>619</v>
      </c>
      <c r="OWP1024" t="s">
        <v>1391</v>
      </c>
      <c r="OWQ1024" t="s">
        <v>619</v>
      </c>
      <c r="OWR1024">
        <v>2802041</v>
      </c>
      <c r="OWS1024">
        <v>3014628</v>
      </c>
      <c r="OWT1024">
        <v>9560755</v>
      </c>
      <c r="OWU1024" t="s">
        <v>619</v>
      </c>
      <c r="PGL1024" t="s">
        <v>1391</v>
      </c>
      <c r="PGM1024" t="s">
        <v>619</v>
      </c>
      <c r="PGN1024">
        <v>2802041</v>
      </c>
      <c r="PGO1024">
        <v>3014628</v>
      </c>
      <c r="PGP1024">
        <v>9560755</v>
      </c>
      <c r="PGQ1024" t="s">
        <v>619</v>
      </c>
      <c r="PQH1024" t="s">
        <v>1391</v>
      </c>
      <c r="PQI1024" t="s">
        <v>619</v>
      </c>
      <c r="PQJ1024">
        <v>2802041</v>
      </c>
      <c r="PQK1024">
        <v>3014628</v>
      </c>
      <c r="PQL1024">
        <v>9560755</v>
      </c>
      <c r="PQM1024" t="s">
        <v>619</v>
      </c>
      <c r="QAD1024" t="s">
        <v>1391</v>
      </c>
      <c r="QAE1024" t="s">
        <v>619</v>
      </c>
      <c r="QAF1024">
        <v>2802041</v>
      </c>
      <c r="QAG1024">
        <v>3014628</v>
      </c>
      <c r="QAH1024">
        <v>9560755</v>
      </c>
      <c r="QAI1024" t="s">
        <v>619</v>
      </c>
      <c r="QJZ1024" t="s">
        <v>1391</v>
      </c>
      <c r="QKA1024" t="s">
        <v>619</v>
      </c>
      <c r="QKB1024">
        <v>2802041</v>
      </c>
      <c r="QKC1024">
        <v>3014628</v>
      </c>
      <c r="QKD1024">
        <v>9560755</v>
      </c>
      <c r="QKE1024" t="s">
        <v>619</v>
      </c>
      <c r="QTV1024" t="s">
        <v>1391</v>
      </c>
      <c r="QTW1024" t="s">
        <v>619</v>
      </c>
      <c r="QTX1024">
        <v>2802041</v>
      </c>
      <c r="QTY1024">
        <v>3014628</v>
      </c>
      <c r="QTZ1024">
        <v>9560755</v>
      </c>
      <c r="QUA1024" t="s">
        <v>619</v>
      </c>
      <c r="RDR1024" t="s">
        <v>1391</v>
      </c>
      <c r="RDS1024" t="s">
        <v>619</v>
      </c>
      <c r="RDT1024">
        <v>2802041</v>
      </c>
      <c r="RDU1024">
        <v>3014628</v>
      </c>
      <c r="RDV1024">
        <v>9560755</v>
      </c>
      <c r="RDW1024" t="s">
        <v>619</v>
      </c>
      <c r="RNN1024" t="s">
        <v>1391</v>
      </c>
      <c r="RNO1024" t="s">
        <v>619</v>
      </c>
      <c r="RNP1024">
        <v>2802041</v>
      </c>
      <c r="RNQ1024">
        <v>3014628</v>
      </c>
      <c r="RNR1024">
        <v>9560755</v>
      </c>
      <c r="RNS1024" t="s">
        <v>619</v>
      </c>
      <c r="RXJ1024" t="s">
        <v>1391</v>
      </c>
      <c r="RXK1024" t="s">
        <v>619</v>
      </c>
      <c r="RXL1024">
        <v>2802041</v>
      </c>
      <c r="RXM1024">
        <v>3014628</v>
      </c>
      <c r="RXN1024">
        <v>9560755</v>
      </c>
      <c r="RXO1024" t="s">
        <v>619</v>
      </c>
      <c r="SHF1024" t="s">
        <v>1391</v>
      </c>
      <c r="SHG1024" t="s">
        <v>619</v>
      </c>
      <c r="SHH1024">
        <v>2802041</v>
      </c>
      <c r="SHI1024">
        <v>3014628</v>
      </c>
      <c r="SHJ1024">
        <v>9560755</v>
      </c>
      <c r="SHK1024" t="s">
        <v>619</v>
      </c>
      <c r="SRB1024" t="s">
        <v>1391</v>
      </c>
      <c r="SRC1024" t="s">
        <v>619</v>
      </c>
      <c r="SRD1024">
        <v>2802041</v>
      </c>
      <c r="SRE1024">
        <v>3014628</v>
      </c>
      <c r="SRF1024">
        <v>9560755</v>
      </c>
      <c r="SRG1024" t="s">
        <v>619</v>
      </c>
      <c r="TAX1024" t="s">
        <v>1391</v>
      </c>
      <c r="TAY1024" t="s">
        <v>619</v>
      </c>
      <c r="TAZ1024">
        <v>2802041</v>
      </c>
      <c r="TBA1024">
        <v>3014628</v>
      </c>
      <c r="TBB1024">
        <v>9560755</v>
      </c>
      <c r="TBC1024" t="s">
        <v>619</v>
      </c>
      <c r="TKT1024" t="s">
        <v>1391</v>
      </c>
      <c r="TKU1024" t="s">
        <v>619</v>
      </c>
      <c r="TKV1024">
        <v>2802041</v>
      </c>
      <c r="TKW1024">
        <v>3014628</v>
      </c>
      <c r="TKX1024">
        <v>9560755</v>
      </c>
      <c r="TKY1024" t="s">
        <v>619</v>
      </c>
      <c r="TUP1024" t="s">
        <v>1391</v>
      </c>
      <c r="TUQ1024" t="s">
        <v>619</v>
      </c>
      <c r="TUR1024">
        <v>2802041</v>
      </c>
      <c r="TUS1024">
        <v>3014628</v>
      </c>
      <c r="TUT1024">
        <v>9560755</v>
      </c>
      <c r="TUU1024" t="s">
        <v>619</v>
      </c>
      <c r="UEL1024" t="s">
        <v>1391</v>
      </c>
      <c r="UEM1024" t="s">
        <v>619</v>
      </c>
      <c r="UEN1024">
        <v>2802041</v>
      </c>
      <c r="UEO1024">
        <v>3014628</v>
      </c>
      <c r="UEP1024">
        <v>9560755</v>
      </c>
      <c r="UEQ1024" t="s">
        <v>619</v>
      </c>
      <c r="UOH1024" t="s">
        <v>1391</v>
      </c>
      <c r="UOI1024" t="s">
        <v>619</v>
      </c>
      <c r="UOJ1024">
        <v>2802041</v>
      </c>
      <c r="UOK1024">
        <v>3014628</v>
      </c>
      <c r="UOL1024">
        <v>9560755</v>
      </c>
      <c r="UOM1024" t="s">
        <v>619</v>
      </c>
      <c r="UYD1024" t="s">
        <v>1391</v>
      </c>
      <c r="UYE1024" t="s">
        <v>619</v>
      </c>
      <c r="UYF1024">
        <v>2802041</v>
      </c>
      <c r="UYG1024">
        <v>3014628</v>
      </c>
      <c r="UYH1024">
        <v>9560755</v>
      </c>
      <c r="UYI1024" t="s">
        <v>619</v>
      </c>
      <c r="VHZ1024" t="s">
        <v>1391</v>
      </c>
      <c r="VIA1024" t="s">
        <v>619</v>
      </c>
      <c r="VIB1024">
        <v>2802041</v>
      </c>
      <c r="VIC1024">
        <v>3014628</v>
      </c>
      <c r="VID1024">
        <v>9560755</v>
      </c>
      <c r="VIE1024" t="s">
        <v>619</v>
      </c>
      <c r="VRV1024" t="s">
        <v>1391</v>
      </c>
      <c r="VRW1024" t="s">
        <v>619</v>
      </c>
      <c r="VRX1024">
        <v>2802041</v>
      </c>
      <c r="VRY1024">
        <v>3014628</v>
      </c>
      <c r="VRZ1024">
        <v>9560755</v>
      </c>
      <c r="VSA1024" t="s">
        <v>619</v>
      </c>
      <c r="WBR1024" t="s">
        <v>1391</v>
      </c>
      <c r="WBS1024" t="s">
        <v>619</v>
      </c>
      <c r="WBT1024">
        <v>2802041</v>
      </c>
      <c r="WBU1024">
        <v>3014628</v>
      </c>
      <c r="WBV1024">
        <v>9560755</v>
      </c>
      <c r="WBW1024" t="s">
        <v>619</v>
      </c>
      <c r="WLN1024" t="s">
        <v>1391</v>
      </c>
      <c r="WLO1024" t="s">
        <v>619</v>
      </c>
      <c r="WLP1024">
        <v>2802041</v>
      </c>
      <c r="WLQ1024">
        <v>3014628</v>
      </c>
      <c r="WLR1024">
        <v>9560755</v>
      </c>
      <c r="WLS1024" t="s">
        <v>619</v>
      </c>
      <c r="WVJ1024" t="s">
        <v>1391</v>
      </c>
      <c r="WVK1024" t="s">
        <v>619</v>
      </c>
      <c r="WVL1024">
        <v>2802041</v>
      </c>
      <c r="WVM1024">
        <v>3014628</v>
      </c>
      <c r="WVN1024">
        <v>9560755</v>
      </c>
      <c r="WVO1024" t="s">
        <v>619</v>
      </c>
    </row>
    <row r="1025" spans="1:775 1026:1799 2050:2823 3074:3847 4098:4871 5122:5895 6146:6919 7170:7943 8194:8967 9218:9991 10242:11015 11266:12039 12290:13063 13314:14087 14338:15111 15362:16135">
      <c r="A1025" s="96" t="s">
        <v>1392</v>
      </c>
      <c r="B1025" t="s">
        <v>1003</v>
      </c>
      <c r="C1025" s="100">
        <v>7531037</v>
      </c>
      <c r="D1025" s="98">
        <v>0</v>
      </c>
      <c r="E1025" s="98">
        <v>0</v>
      </c>
      <c r="F1025" s="98">
        <v>0</v>
      </c>
      <c r="G1025" s="98">
        <v>0</v>
      </c>
      <c r="H1025" s="98"/>
      <c r="IX1025" t="s">
        <v>1393</v>
      </c>
      <c r="IY1025">
        <v>7531037</v>
      </c>
      <c r="IZ1025" t="s">
        <v>619</v>
      </c>
      <c r="JA1025" t="s">
        <v>619</v>
      </c>
      <c r="JB1025" t="s">
        <v>619</v>
      </c>
      <c r="JC1025" t="s">
        <v>619</v>
      </c>
      <c r="ST1025" t="s">
        <v>1393</v>
      </c>
      <c r="SU1025">
        <v>7531037</v>
      </c>
      <c r="SV1025" t="s">
        <v>619</v>
      </c>
      <c r="SW1025" t="s">
        <v>619</v>
      </c>
      <c r="SX1025" t="s">
        <v>619</v>
      </c>
      <c r="SY1025" t="s">
        <v>619</v>
      </c>
      <c r="ACP1025" t="s">
        <v>1393</v>
      </c>
      <c r="ACQ1025">
        <v>7531037</v>
      </c>
      <c r="ACR1025" t="s">
        <v>619</v>
      </c>
      <c r="ACS1025" t="s">
        <v>619</v>
      </c>
      <c r="ACT1025" t="s">
        <v>619</v>
      </c>
      <c r="ACU1025" t="s">
        <v>619</v>
      </c>
      <c r="AML1025" t="s">
        <v>1393</v>
      </c>
      <c r="AMM1025">
        <v>7531037</v>
      </c>
      <c r="AMN1025" t="s">
        <v>619</v>
      </c>
      <c r="AMO1025" t="s">
        <v>619</v>
      </c>
      <c r="AMP1025" t="s">
        <v>619</v>
      </c>
      <c r="AMQ1025" t="s">
        <v>619</v>
      </c>
      <c r="AWH1025" t="s">
        <v>1393</v>
      </c>
      <c r="AWI1025">
        <v>7531037</v>
      </c>
      <c r="AWJ1025" t="s">
        <v>619</v>
      </c>
      <c r="AWK1025" t="s">
        <v>619</v>
      </c>
      <c r="AWL1025" t="s">
        <v>619</v>
      </c>
      <c r="AWM1025" t="s">
        <v>619</v>
      </c>
      <c r="BGD1025" t="s">
        <v>1393</v>
      </c>
      <c r="BGE1025">
        <v>7531037</v>
      </c>
      <c r="BGF1025" t="s">
        <v>619</v>
      </c>
      <c r="BGG1025" t="s">
        <v>619</v>
      </c>
      <c r="BGH1025" t="s">
        <v>619</v>
      </c>
      <c r="BGI1025" t="s">
        <v>619</v>
      </c>
      <c r="BPZ1025" t="s">
        <v>1393</v>
      </c>
      <c r="BQA1025">
        <v>7531037</v>
      </c>
      <c r="BQB1025" t="s">
        <v>619</v>
      </c>
      <c r="BQC1025" t="s">
        <v>619</v>
      </c>
      <c r="BQD1025" t="s">
        <v>619</v>
      </c>
      <c r="BQE1025" t="s">
        <v>619</v>
      </c>
      <c r="BZV1025" t="s">
        <v>1393</v>
      </c>
      <c r="BZW1025">
        <v>7531037</v>
      </c>
      <c r="BZX1025" t="s">
        <v>619</v>
      </c>
      <c r="BZY1025" t="s">
        <v>619</v>
      </c>
      <c r="BZZ1025" t="s">
        <v>619</v>
      </c>
      <c r="CAA1025" t="s">
        <v>619</v>
      </c>
      <c r="CJR1025" t="s">
        <v>1393</v>
      </c>
      <c r="CJS1025">
        <v>7531037</v>
      </c>
      <c r="CJT1025" t="s">
        <v>619</v>
      </c>
      <c r="CJU1025" t="s">
        <v>619</v>
      </c>
      <c r="CJV1025" t="s">
        <v>619</v>
      </c>
      <c r="CJW1025" t="s">
        <v>619</v>
      </c>
      <c r="CTN1025" t="s">
        <v>1393</v>
      </c>
      <c r="CTO1025">
        <v>7531037</v>
      </c>
      <c r="CTP1025" t="s">
        <v>619</v>
      </c>
      <c r="CTQ1025" t="s">
        <v>619</v>
      </c>
      <c r="CTR1025" t="s">
        <v>619</v>
      </c>
      <c r="CTS1025" t="s">
        <v>619</v>
      </c>
      <c r="DDJ1025" t="s">
        <v>1393</v>
      </c>
      <c r="DDK1025">
        <v>7531037</v>
      </c>
      <c r="DDL1025" t="s">
        <v>619</v>
      </c>
      <c r="DDM1025" t="s">
        <v>619</v>
      </c>
      <c r="DDN1025" t="s">
        <v>619</v>
      </c>
      <c r="DDO1025" t="s">
        <v>619</v>
      </c>
      <c r="DNF1025" t="s">
        <v>1393</v>
      </c>
      <c r="DNG1025">
        <v>7531037</v>
      </c>
      <c r="DNH1025" t="s">
        <v>619</v>
      </c>
      <c r="DNI1025" t="s">
        <v>619</v>
      </c>
      <c r="DNJ1025" t="s">
        <v>619</v>
      </c>
      <c r="DNK1025" t="s">
        <v>619</v>
      </c>
      <c r="DXB1025" t="s">
        <v>1393</v>
      </c>
      <c r="DXC1025">
        <v>7531037</v>
      </c>
      <c r="DXD1025" t="s">
        <v>619</v>
      </c>
      <c r="DXE1025" t="s">
        <v>619</v>
      </c>
      <c r="DXF1025" t="s">
        <v>619</v>
      </c>
      <c r="DXG1025" t="s">
        <v>619</v>
      </c>
      <c r="EGX1025" t="s">
        <v>1393</v>
      </c>
      <c r="EGY1025">
        <v>7531037</v>
      </c>
      <c r="EGZ1025" t="s">
        <v>619</v>
      </c>
      <c r="EHA1025" t="s">
        <v>619</v>
      </c>
      <c r="EHB1025" t="s">
        <v>619</v>
      </c>
      <c r="EHC1025" t="s">
        <v>619</v>
      </c>
      <c r="EQT1025" t="s">
        <v>1393</v>
      </c>
      <c r="EQU1025">
        <v>7531037</v>
      </c>
      <c r="EQV1025" t="s">
        <v>619</v>
      </c>
      <c r="EQW1025" t="s">
        <v>619</v>
      </c>
      <c r="EQX1025" t="s">
        <v>619</v>
      </c>
      <c r="EQY1025" t="s">
        <v>619</v>
      </c>
      <c r="FAP1025" t="s">
        <v>1393</v>
      </c>
      <c r="FAQ1025">
        <v>7531037</v>
      </c>
      <c r="FAR1025" t="s">
        <v>619</v>
      </c>
      <c r="FAS1025" t="s">
        <v>619</v>
      </c>
      <c r="FAT1025" t="s">
        <v>619</v>
      </c>
      <c r="FAU1025" t="s">
        <v>619</v>
      </c>
      <c r="FKL1025" t="s">
        <v>1393</v>
      </c>
      <c r="FKM1025">
        <v>7531037</v>
      </c>
      <c r="FKN1025" t="s">
        <v>619</v>
      </c>
      <c r="FKO1025" t="s">
        <v>619</v>
      </c>
      <c r="FKP1025" t="s">
        <v>619</v>
      </c>
      <c r="FKQ1025" t="s">
        <v>619</v>
      </c>
      <c r="FUH1025" t="s">
        <v>1393</v>
      </c>
      <c r="FUI1025">
        <v>7531037</v>
      </c>
      <c r="FUJ1025" t="s">
        <v>619</v>
      </c>
      <c r="FUK1025" t="s">
        <v>619</v>
      </c>
      <c r="FUL1025" t="s">
        <v>619</v>
      </c>
      <c r="FUM1025" t="s">
        <v>619</v>
      </c>
      <c r="GED1025" t="s">
        <v>1393</v>
      </c>
      <c r="GEE1025">
        <v>7531037</v>
      </c>
      <c r="GEF1025" t="s">
        <v>619</v>
      </c>
      <c r="GEG1025" t="s">
        <v>619</v>
      </c>
      <c r="GEH1025" t="s">
        <v>619</v>
      </c>
      <c r="GEI1025" t="s">
        <v>619</v>
      </c>
      <c r="GNZ1025" t="s">
        <v>1393</v>
      </c>
      <c r="GOA1025">
        <v>7531037</v>
      </c>
      <c r="GOB1025" t="s">
        <v>619</v>
      </c>
      <c r="GOC1025" t="s">
        <v>619</v>
      </c>
      <c r="GOD1025" t="s">
        <v>619</v>
      </c>
      <c r="GOE1025" t="s">
        <v>619</v>
      </c>
      <c r="GXV1025" t="s">
        <v>1393</v>
      </c>
      <c r="GXW1025">
        <v>7531037</v>
      </c>
      <c r="GXX1025" t="s">
        <v>619</v>
      </c>
      <c r="GXY1025" t="s">
        <v>619</v>
      </c>
      <c r="GXZ1025" t="s">
        <v>619</v>
      </c>
      <c r="GYA1025" t="s">
        <v>619</v>
      </c>
      <c r="HHR1025" t="s">
        <v>1393</v>
      </c>
      <c r="HHS1025">
        <v>7531037</v>
      </c>
      <c r="HHT1025" t="s">
        <v>619</v>
      </c>
      <c r="HHU1025" t="s">
        <v>619</v>
      </c>
      <c r="HHV1025" t="s">
        <v>619</v>
      </c>
      <c r="HHW1025" t="s">
        <v>619</v>
      </c>
      <c r="HRN1025" t="s">
        <v>1393</v>
      </c>
      <c r="HRO1025">
        <v>7531037</v>
      </c>
      <c r="HRP1025" t="s">
        <v>619</v>
      </c>
      <c r="HRQ1025" t="s">
        <v>619</v>
      </c>
      <c r="HRR1025" t="s">
        <v>619</v>
      </c>
      <c r="HRS1025" t="s">
        <v>619</v>
      </c>
      <c r="IBJ1025" t="s">
        <v>1393</v>
      </c>
      <c r="IBK1025">
        <v>7531037</v>
      </c>
      <c r="IBL1025" t="s">
        <v>619</v>
      </c>
      <c r="IBM1025" t="s">
        <v>619</v>
      </c>
      <c r="IBN1025" t="s">
        <v>619</v>
      </c>
      <c r="IBO1025" t="s">
        <v>619</v>
      </c>
      <c r="ILF1025" t="s">
        <v>1393</v>
      </c>
      <c r="ILG1025">
        <v>7531037</v>
      </c>
      <c r="ILH1025" t="s">
        <v>619</v>
      </c>
      <c r="ILI1025" t="s">
        <v>619</v>
      </c>
      <c r="ILJ1025" t="s">
        <v>619</v>
      </c>
      <c r="ILK1025" t="s">
        <v>619</v>
      </c>
      <c r="IVB1025" t="s">
        <v>1393</v>
      </c>
      <c r="IVC1025">
        <v>7531037</v>
      </c>
      <c r="IVD1025" t="s">
        <v>619</v>
      </c>
      <c r="IVE1025" t="s">
        <v>619</v>
      </c>
      <c r="IVF1025" t="s">
        <v>619</v>
      </c>
      <c r="IVG1025" t="s">
        <v>619</v>
      </c>
      <c r="JEX1025" t="s">
        <v>1393</v>
      </c>
      <c r="JEY1025">
        <v>7531037</v>
      </c>
      <c r="JEZ1025" t="s">
        <v>619</v>
      </c>
      <c r="JFA1025" t="s">
        <v>619</v>
      </c>
      <c r="JFB1025" t="s">
        <v>619</v>
      </c>
      <c r="JFC1025" t="s">
        <v>619</v>
      </c>
      <c r="JOT1025" t="s">
        <v>1393</v>
      </c>
      <c r="JOU1025">
        <v>7531037</v>
      </c>
      <c r="JOV1025" t="s">
        <v>619</v>
      </c>
      <c r="JOW1025" t="s">
        <v>619</v>
      </c>
      <c r="JOX1025" t="s">
        <v>619</v>
      </c>
      <c r="JOY1025" t="s">
        <v>619</v>
      </c>
      <c r="JYP1025" t="s">
        <v>1393</v>
      </c>
      <c r="JYQ1025">
        <v>7531037</v>
      </c>
      <c r="JYR1025" t="s">
        <v>619</v>
      </c>
      <c r="JYS1025" t="s">
        <v>619</v>
      </c>
      <c r="JYT1025" t="s">
        <v>619</v>
      </c>
      <c r="JYU1025" t="s">
        <v>619</v>
      </c>
      <c r="KIL1025" t="s">
        <v>1393</v>
      </c>
      <c r="KIM1025">
        <v>7531037</v>
      </c>
      <c r="KIN1025" t="s">
        <v>619</v>
      </c>
      <c r="KIO1025" t="s">
        <v>619</v>
      </c>
      <c r="KIP1025" t="s">
        <v>619</v>
      </c>
      <c r="KIQ1025" t="s">
        <v>619</v>
      </c>
      <c r="KSH1025" t="s">
        <v>1393</v>
      </c>
      <c r="KSI1025">
        <v>7531037</v>
      </c>
      <c r="KSJ1025" t="s">
        <v>619</v>
      </c>
      <c r="KSK1025" t="s">
        <v>619</v>
      </c>
      <c r="KSL1025" t="s">
        <v>619</v>
      </c>
      <c r="KSM1025" t="s">
        <v>619</v>
      </c>
      <c r="LCD1025" t="s">
        <v>1393</v>
      </c>
      <c r="LCE1025">
        <v>7531037</v>
      </c>
      <c r="LCF1025" t="s">
        <v>619</v>
      </c>
      <c r="LCG1025" t="s">
        <v>619</v>
      </c>
      <c r="LCH1025" t="s">
        <v>619</v>
      </c>
      <c r="LCI1025" t="s">
        <v>619</v>
      </c>
      <c r="LLZ1025" t="s">
        <v>1393</v>
      </c>
      <c r="LMA1025">
        <v>7531037</v>
      </c>
      <c r="LMB1025" t="s">
        <v>619</v>
      </c>
      <c r="LMC1025" t="s">
        <v>619</v>
      </c>
      <c r="LMD1025" t="s">
        <v>619</v>
      </c>
      <c r="LME1025" t="s">
        <v>619</v>
      </c>
      <c r="LVV1025" t="s">
        <v>1393</v>
      </c>
      <c r="LVW1025">
        <v>7531037</v>
      </c>
      <c r="LVX1025" t="s">
        <v>619</v>
      </c>
      <c r="LVY1025" t="s">
        <v>619</v>
      </c>
      <c r="LVZ1025" t="s">
        <v>619</v>
      </c>
      <c r="LWA1025" t="s">
        <v>619</v>
      </c>
      <c r="MFR1025" t="s">
        <v>1393</v>
      </c>
      <c r="MFS1025">
        <v>7531037</v>
      </c>
      <c r="MFT1025" t="s">
        <v>619</v>
      </c>
      <c r="MFU1025" t="s">
        <v>619</v>
      </c>
      <c r="MFV1025" t="s">
        <v>619</v>
      </c>
      <c r="MFW1025" t="s">
        <v>619</v>
      </c>
      <c r="MPN1025" t="s">
        <v>1393</v>
      </c>
      <c r="MPO1025">
        <v>7531037</v>
      </c>
      <c r="MPP1025" t="s">
        <v>619</v>
      </c>
      <c r="MPQ1025" t="s">
        <v>619</v>
      </c>
      <c r="MPR1025" t="s">
        <v>619</v>
      </c>
      <c r="MPS1025" t="s">
        <v>619</v>
      </c>
      <c r="MZJ1025" t="s">
        <v>1393</v>
      </c>
      <c r="MZK1025">
        <v>7531037</v>
      </c>
      <c r="MZL1025" t="s">
        <v>619</v>
      </c>
      <c r="MZM1025" t="s">
        <v>619</v>
      </c>
      <c r="MZN1025" t="s">
        <v>619</v>
      </c>
      <c r="MZO1025" t="s">
        <v>619</v>
      </c>
      <c r="NJF1025" t="s">
        <v>1393</v>
      </c>
      <c r="NJG1025">
        <v>7531037</v>
      </c>
      <c r="NJH1025" t="s">
        <v>619</v>
      </c>
      <c r="NJI1025" t="s">
        <v>619</v>
      </c>
      <c r="NJJ1025" t="s">
        <v>619</v>
      </c>
      <c r="NJK1025" t="s">
        <v>619</v>
      </c>
      <c r="NTB1025" t="s">
        <v>1393</v>
      </c>
      <c r="NTC1025">
        <v>7531037</v>
      </c>
      <c r="NTD1025" t="s">
        <v>619</v>
      </c>
      <c r="NTE1025" t="s">
        <v>619</v>
      </c>
      <c r="NTF1025" t="s">
        <v>619</v>
      </c>
      <c r="NTG1025" t="s">
        <v>619</v>
      </c>
      <c r="OCX1025" t="s">
        <v>1393</v>
      </c>
      <c r="OCY1025">
        <v>7531037</v>
      </c>
      <c r="OCZ1025" t="s">
        <v>619</v>
      </c>
      <c r="ODA1025" t="s">
        <v>619</v>
      </c>
      <c r="ODB1025" t="s">
        <v>619</v>
      </c>
      <c r="ODC1025" t="s">
        <v>619</v>
      </c>
      <c r="OMT1025" t="s">
        <v>1393</v>
      </c>
      <c r="OMU1025">
        <v>7531037</v>
      </c>
      <c r="OMV1025" t="s">
        <v>619</v>
      </c>
      <c r="OMW1025" t="s">
        <v>619</v>
      </c>
      <c r="OMX1025" t="s">
        <v>619</v>
      </c>
      <c r="OMY1025" t="s">
        <v>619</v>
      </c>
      <c r="OWP1025" t="s">
        <v>1393</v>
      </c>
      <c r="OWQ1025">
        <v>7531037</v>
      </c>
      <c r="OWR1025" t="s">
        <v>619</v>
      </c>
      <c r="OWS1025" t="s">
        <v>619</v>
      </c>
      <c r="OWT1025" t="s">
        <v>619</v>
      </c>
      <c r="OWU1025" t="s">
        <v>619</v>
      </c>
      <c r="PGL1025" t="s">
        <v>1393</v>
      </c>
      <c r="PGM1025">
        <v>7531037</v>
      </c>
      <c r="PGN1025" t="s">
        <v>619</v>
      </c>
      <c r="PGO1025" t="s">
        <v>619</v>
      </c>
      <c r="PGP1025" t="s">
        <v>619</v>
      </c>
      <c r="PGQ1025" t="s">
        <v>619</v>
      </c>
      <c r="PQH1025" t="s">
        <v>1393</v>
      </c>
      <c r="PQI1025">
        <v>7531037</v>
      </c>
      <c r="PQJ1025" t="s">
        <v>619</v>
      </c>
      <c r="PQK1025" t="s">
        <v>619</v>
      </c>
      <c r="PQL1025" t="s">
        <v>619</v>
      </c>
      <c r="PQM1025" t="s">
        <v>619</v>
      </c>
      <c r="QAD1025" t="s">
        <v>1393</v>
      </c>
      <c r="QAE1025">
        <v>7531037</v>
      </c>
      <c r="QAF1025" t="s">
        <v>619</v>
      </c>
      <c r="QAG1025" t="s">
        <v>619</v>
      </c>
      <c r="QAH1025" t="s">
        <v>619</v>
      </c>
      <c r="QAI1025" t="s">
        <v>619</v>
      </c>
      <c r="QJZ1025" t="s">
        <v>1393</v>
      </c>
      <c r="QKA1025">
        <v>7531037</v>
      </c>
      <c r="QKB1025" t="s">
        <v>619</v>
      </c>
      <c r="QKC1025" t="s">
        <v>619</v>
      </c>
      <c r="QKD1025" t="s">
        <v>619</v>
      </c>
      <c r="QKE1025" t="s">
        <v>619</v>
      </c>
      <c r="QTV1025" t="s">
        <v>1393</v>
      </c>
      <c r="QTW1025">
        <v>7531037</v>
      </c>
      <c r="QTX1025" t="s">
        <v>619</v>
      </c>
      <c r="QTY1025" t="s">
        <v>619</v>
      </c>
      <c r="QTZ1025" t="s">
        <v>619</v>
      </c>
      <c r="QUA1025" t="s">
        <v>619</v>
      </c>
      <c r="RDR1025" t="s">
        <v>1393</v>
      </c>
      <c r="RDS1025">
        <v>7531037</v>
      </c>
      <c r="RDT1025" t="s">
        <v>619</v>
      </c>
      <c r="RDU1025" t="s">
        <v>619</v>
      </c>
      <c r="RDV1025" t="s">
        <v>619</v>
      </c>
      <c r="RDW1025" t="s">
        <v>619</v>
      </c>
      <c r="RNN1025" t="s">
        <v>1393</v>
      </c>
      <c r="RNO1025">
        <v>7531037</v>
      </c>
      <c r="RNP1025" t="s">
        <v>619</v>
      </c>
      <c r="RNQ1025" t="s">
        <v>619</v>
      </c>
      <c r="RNR1025" t="s">
        <v>619</v>
      </c>
      <c r="RNS1025" t="s">
        <v>619</v>
      </c>
      <c r="RXJ1025" t="s">
        <v>1393</v>
      </c>
      <c r="RXK1025">
        <v>7531037</v>
      </c>
      <c r="RXL1025" t="s">
        <v>619</v>
      </c>
      <c r="RXM1025" t="s">
        <v>619</v>
      </c>
      <c r="RXN1025" t="s">
        <v>619</v>
      </c>
      <c r="RXO1025" t="s">
        <v>619</v>
      </c>
      <c r="SHF1025" t="s">
        <v>1393</v>
      </c>
      <c r="SHG1025">
        <v>7531037</v>
      </c>
      <c r="SHH1025" t="s">
        <v>619</v>
      </c>
      <c r="SHI1025" t="s">
        <v>619</v>
      </c>
      <c r="SHJ1025" t="s">
        <v>619</v>
      </c>
      <c r="SHK1025" t="s">
        <v>619</v>
      </c>
      <c r="SRB1025" t="s">
        <v>1393</v>
      </c>
      <c r="SRC1025">
        <v>7531037</v>
      </c>
      <c r="SRD1025" t="s">
        <v>619</v>
      </c>
      <c r="SRE1025" t="s">
        <v>619</v>
      </c>
      <c r="SRF1025" t="s">
        <v>619</v>
      </c>
      <c r="SRG1025" t="s">
        <v>619</v>
      </c>
      <c r="TAX1025" t="s">
        <v>1393</v>
      </c>
      <c r="TAY1025">
        <v>7531037</v>
      </c>
      <c r="TAZ1025" t="s">
        <v>619</v>
      </c>
      <c r="TBA1025" t="s">
        <v>619</v>
      </c>
      <c r="TBB1025" t="s">
        <v>619</v>
      </c>
      <c r="TBC1025" t="s">
        <v>619</v>
      </c>
      <c r="TKT1025" t="s">
        <v>1393</v>
      </c>
      <c r="TKU1025">
        <v>7531037</v>
      </c>
      <c r="TKV1025" t="s">
        <v>619</v>
      </c>
      <c r="TKW1025" t="s">
        <v>619</v>
      </c>
      <c r="TKX1025" t="s">
        <v>619</v>
      </c>
      <c r="TKY1025" t="s">
        <v>619</v>
      </c>
      <c r="TUP1025" t="s">
        <v>1393</v>
      </c>
      <c r="TUQ1025">
        <v>7531037</v>
      </c>
      <c r="TUR1025" t="s">
        <v>619</v>
      </c>
      <c r="TUS1025" t="s">
        <v>619</v>
      </c>
      <c r="TUT1025" t="s">
        <v>619</v>
      </c>
      <c r="TUU1025" t="s">
        <v>619</v>
      </c>
      <c r="UEL1025" t="s">
        <v>1393</v>
      </c>
      <c r="UEM1025">
        <v>7531037</v>
      </c>
      <c r="UEN1025" t="s">
        <v>619</v>
      </c>
      <c r="UEO1025" t="s">
        <v>619</v>
      </c>
      <c r="UEP1025" t="s">
        <v>619</v>
      </c>
      <c r="UEQ1025" t="s">
        <v>619</v>
      </c>
      <c r="UOH1025" t="s">
        <v>1393</v>
      </c>
      <c r="UOI1025">
        <v>7531037</v>
      </c>
      <c r="UOJ1025" t="s">
        <v>619</v>
      </c>
      <c r="UOK1025" t="s">
        <v>619</v>
      </c>
      <c r="UOL1025" t="s">
        <v>619</v>
      </c>
      <c r="UOM1025" t="s">
        <v>619</v>
      </c>
      <c r="UYD1025" t="s">
        <v>1393</v>
      </c>
      <c r="UYE1025">
        <v>7531037</v>
      </c>
      <c r="UYF1025" t="s">
        <v>619</v>
      </c>
      <c r="UYG1025" t="s">
        <v>619</v>
      </c>
      <c r="UYH1025" t="s">
        <v>619</v>
      </c>
      <c r="UYI1025" t="s">
        <v>619</v>
      </c>
      <c r="VHZ1025" t="s">
        <v>1393</v>
      </c>
      <c r="VIA1025">
        <v>7531037</v>
      </c>
      <c r="VIB1025" t="s">
        <v>619</v>
      </c>
      <c r="VIC1025" t="s">
        <v>619</v>
      </c>
      <c r="VID1025" t="s">
        <v>619</v>
      </c>
      <c r="VIE1025" t="s">
        <v>619</v>
      </c>
      <c r="VRV1025" t="s">
        <v>1393</v>
      </c>
      <c r="VRW1025">
        <v>7531037</v>
      </c>
      <c r="VRX1025" t="s">
        <v>619</v>
      </c>
      <c r="VRY1025" t="s">
        <v>619</v>
      </c>
      <c r="VRZ1025" t="s">
        <v>619</v>
      </c>
      <c r="VSA1025" t="s">
        <v>619</v>
      </c>
      <c r="WBR1025" t="s">
        <v>1393</v>
      </c>
      <c r="WBS1025">
        <v>7531037</v>
      </c>
      <c r="WBT1025" t="s">
        <v>619</v>
      </c>
      <c r="WBU1025" t="s">
        <v>619</v>
      </c>
      <c r="WBV1025" t="s">
        <v>619</v>
      </c>
      <c r="WBW1025" t="s">
        <v>619</v>
      </c>
      <c r="WLN1025" t="s">
        <v>1393</v>
      </c>
      <c r="WLO1025">
        <v>7531037</v>
      </c>
      <c r="WLP1025" t="s">
        <v>619</v>
      </c>
      <c r="WLQ1025" t="s">
        <v>619</v>
      </c>
      <c r="WLR1025" t="s">
        <v>619</v>
      </c>
      <c r="WLS1025" t="s">
        <v>619</v>
      </c>
      <c r="WVJ1025" t="s">
        <v>1393</v>
      </c>
      <c r="WVK1025">
        <v>7531037</v>
      </c>
      <c r="WVL1025" t="s">
        <v>619</v>
      </c>
      <c r="WVM1025" t="s">
        <v>619</v>
      </c>
      <c r="WVN1025" t="s">
        <v>619</v>
      </c>
      <c r="WVO1025" t="s">
        <v>619</v>
      </c>
    </row>
    <row r="1026" spans="1:775 1026:1799 2050:2823 3074:3847 4098:4871 5122:5895 6146:6919 7170:7943 8194:8967 9218:9991 10242:11015 11266:12039 12290:13063 13314:14087 14338:15111 15362:16135">
      <c r="A1026" s="96" t="s">
        <v>1394</v>
      </c>
      <c r="B1026" t="s">
        <v>1003</v>
      </c>
      <c r="C1026" s="98">
        <v>0</v>
      </c>
      <c r="D1026" s="98">
        <v>0</v>
      </c>
      <c r="E1026" s="100">
        <v>34607139</v>
      </c>
      <c r="F1026" s="100">
        <v>12677554</v>
      </c>
      <c r="G1026" s="98">
        <v>0</v>
      </c>
      <c r="H1026" s="98"/>
      <c r="IX1026" t="s">
        <v>1395</v>
      </c>
      <c r="IY1026" t="s">
        <v>619</v>
      </c>
      <c r="IZ1026" t="s">
        <v>619</v>
      </c>
      <c r="JA1026">
        <v>34607139</v>
      </c>
      <c r="JB1026">
        <v>12677554</v>
      </c>
      <c r="JC1026" t="s">
        <v>619</v>
      </c>
      <c r="ST1026" t="s">
        <v>1395</v>
      </c>
      <c r="SU1026" t="s">
        <v>619</v>
      </c>
      <c r="SV1026" t="s">
        <v>619</v>
      </c>
      <c r="SW1026">
        <v>34607139</v>
      </c>
      <c r="SX1026">
        <v>12677554</v>
      </c>
      <c r="SY1026" t="s">
        <v>619</v>
      </c>
      <c r="ACP1026" t="s">
        <v>1395</v>
      </c>
      <c r="ACQ1026" t="s">
        <v>619</v>
      </c>
      <c r="ACR1026" t="s">
        <v>619</v>
      </c>
      <c r="ACS1026">
        <v>34607139</v>
      </c>
      <c r="ACT1026">
        <v>12677554</v>
      </c>
      <c r="ACU1026" t="s">
        <v>619</v>
      </c>
      <c r="AML1026" t="s">
        <v>1395</v>
      </c>
      <c r="AMM1026" t="s">
        <v>619</v>
      </c>
      <c r="AMN1026" t="s">
        <v>619</v>
      </c>
      <c r="AMO1026">
        <v>34607139</v>
      </c>
      <c r="AMP1026">
        <v>12677554</v>
      </c>
      <c r="AMQ1026" t="s">
        <v>619</v>
      </c>
      <c r="AWH1026" t="s">
        <v>1395</v>
      </c>
      <c r="AWI1026" t="s">
        <v>619</v>
      </c>
      <c r="AWJ1026" t="s">
        <v>619</v>
      </c>
      <c r="AWK1026">
        <v>34607139</v>
      </c>
      <c r="AWL1026">
        <v>12677554</v>
      </c>
      <c r="AWM1026" t="s">
        <v>619</v>
      </c>
      <c r="BGD1026" t="s">
        <v>1395</v>
      </c>
      <c r="BGE1026" t="s">
        <v>619</v>
      </c>
      <c r="BGF1026" t="s">
        <v>619</v>
      </c>
      <c r="BGG1026">
        <v>34607139</v>
      </c>
      <c r="BGH1026">
        <v>12677554</v>
      </c>
      <c r="BGI1026" t="s">
        <v>619</v>
      </c>
      <c r="BPZ1026" t="s">
        <v>1395</v>
      </c>
      <c r="BQA1026" t="s">
        <v>619</v>
      </c>
      <c r="BQB1026" t="s">
        <v>619</v>
      </c>
      <c r="BQC1026">
        <v>34607139</v>
      </c>
      <c r="BQD1026">
        <v>12677554</v>
      </c>
      <c r="BQE1026" t="s">
        <v>619</v>
      </c>
      <c r="BZV1026" t="s">
        <v>1395</v>
      </c>
      <c r="BZW1026" t="s">
        <v>619</v>
      </c>
      <c r="BZX1026" t="s">
        <v>619</v>
      </c>
      <c r="BZY1026">
        <v>34607139</v>
      </c>
      <c r="BZZ1026">
        <v>12677554</v>
      </c>
      <c r="CAA1026" t="s">
        <v>619</v>
      </c>
      <c r="CJR1026" t="s">
        <v>1395</v>
      </c>
      <c r="CJS1026" t="s">
        <v>619</v>
      </c>
      <c r="CJT1026" t="s">
        <v>619</v>
      </c>
      <c r="CJU1026">
        <v>34607139</v>
      </c>
      <c r="CJV1026">
        <v>12677554</v>
      </c>
      <c r="CJW1026" t="s">
        <v>619</v>
      </c>
      <c r="CTN1026" t="s">
        <v>1395</v>
      </c>
      <c r="CTO1026" t="s">
        <v>619</v>
      </c>
      <c r="CTP1026" t="s">
        <v>619</v>
      </c>
      <c r="CTQ1026">
        <v>34607139</v>
      </c>
      <c r="CTR1026">
        <v>12677554</v>
      </c>
      <c r="CTS1026" t="s">
        <v>619</v>
      </c>
      <c r="DDJ1026" t="s">
        <v>1395</v>
      </c>
      <c r="DDK1026" t="s">
        <v>619</v>
      </c>
      <c r="DDL1026" t="s">
        <v>619</v>
      </c>
      <c r="DDM1026">
        <v>34607139</v>
      </c>
      <c r="DDN1026">
        <v>12677554</v>
      </c>
      <c r="DDO1026" t="s">
        <v>619</v>
      </c>
      <c r="DNF1026" t="s">
        <v>1395</v>
      </c>
      <c r="DNG1026" t="s">
        <v>619</v>
      </c>
      <c r="DNH1026" t="s">
        <v>619</v>
      </c>
      <c r="DNI1026">
        <v>34607139</v>
      </c>
      <c r="DNJ1026">
        <v>12677554</v>
      </c>
      <c r="DNK1026" t="s">
        <v>619</v>
      </c>
      <c r="DXB1026" t="s">
        <v>1395</v>
      </c>
      <c r="DXC1026" t="s">
        <v>619</v>
      </c>
      <c r="DXD1026" t="s">
        <v>619</v>
      </c>
      <c r="DXE1026">
        <v>34607139</v>
      </c>
      <c r="DXF1026">
        <v>12677554</v>
      </c>
      <c r="DXG1026" t="s">
        <v>619</v>
      </c>
      <c r="EGX1026" t="s">
        <v>1395</v>
      </c>
      <c r="EGY1026" t="s">
        <v>619</v>
      </c>
      <c r="EGZ1026" t="s">
        <v>619</v>
      </c>
      <c r="EHA1026">
        <v>34607139</v>
      </c>
      <c r="EHB1026">
        <v>12677554</v>
      </c>
      <c r="EHC1026" t="s">
        <v>619</v>
      </c>
      <c r="EQT1026" t="s">
        <v>1395</v>
      </c>
      <c r="EQU1026" t="s">
        <v>619</v>
      </c>
      <c r="EQV1026" t="s">
        <v>619</v>
      </c>
      <c r="EQW1026">
        <v>34607139</v>
      </c>
      <c r="EQX1026">
        <v>12677554</v>
      </c>
      <c r="EQY1026" t="s">
        <v>619</v>
      </c>
      <c r="FAP1026" t="s">
        <v>1395</v>
      </c>
      <c r="FAQ1026" t="s">
        <v>619</v>
      </c>
      <c r="FAR1026" t="s">
        <v>619</v>
      </c>
      <c r="FAS1026">
        <v>34607139</v>
      </c>
      <c r="FAT1026">
        <v>12677554</v>
      </c>
      <c r="FAU1026" t="s">
        <v>619</v>
      </c>
      <c r="FKL1026" t="s">
        <v>1395</v>
      </c>
      <c r="FKM1026" t="s">
        <v>619</v>
      </c>
      <c r="FKN1026" t="s">
        <v>619</v>
      </c>
      <c r="FKO1026">
        <v>34607139</v>
      </c>
      <c r="FKP1026">
        <v>12677554</v>
      </c>
      <c r="FKQ1026" t="s">
        <v>619</v>
      </c>
      <c r="FUH1026" t="s">
        <v>1395</v>
      </c>
      <c r="FUI1026" t="s">
        <v>619</v>
      </c>
      <c r="FUJ1026" t="s">
        <v>619</v>
      </c>
      <c r="FUK1026">
        <v>34607139</v>
      </c>
      <c r="FUL1026">
        <v>12677554</v>
      </c>
      <c r="FUM1026" t="s">
        <v>619</v>
      </c>
      <c r="GED1026" t="s">
        <v>1395</v>
      </c>
      <c r="GEE1026" t="s">
        <v>619</v>
      </c>
      <c r="GEF1026" t="s">
        <v>619</v>
      </c>
      <c r="GEG1026">
        <v>34607139</v>
      </c>
      <c r="GEH1026">
        <v>12677554</v>
      </c>
      <c r="GEI1026" t="s">
        <v>619</v>
      </c>
      <c r="GNZ1026" t="s">
        <v>1395</v>
      </c>
      <c r="GOA1026" t="s">
        <v>619</v>
      </c>
      <c r="GOB1026" t="s">
        <v>619</v>
      </c>
      <c r="GOC1026">
        <v>34607139</v>
      </c>
      <c r="GOD1026">
        <v>12677554</v>
      </c>
      <c r="GOE1026" t="s">
        <v>619</v>
      </c>
      <c r="GXV1026" t="s">
        <v>1395</v>
      </c>
      <c r="GXW1026" t="s">
        <v>619</v>
      </c>
      <c r="GXX1026" t="s">
        <v>619</v>
      </c>
      <c r="GXY1026">
        <v>34607139</v>
      </c>
      <c r="GXZ1026">
        <v>12677554</v>
      </c>
      <c r="GYA1026" t="s">
        <v>619</v>
      </c>
      <c r="HHR1026" t="s">
        <v>1395</v>
      </c>
      <c r="HHS1026" t="s">
        <v>619</v>
      </c>
      <c r="HHT1026" t="s">
        <v>619</v>
      </c>
      <c r="HHU1026">
        <v>34607139</v>
      </c>
      <c r="HHV1026">
        <v>12677554</v>
      </c>
      <c r="HHW1026" t="s">
        <v>619</v>
      </c>
      <c r="HRN1026" t="s">
        <v>1395</v>
      </c>
      <c r="HRO1026" t="s">
        <v>619</v>
      </c>
      <c r="HRP1026" t="s">
        <v>619</v>
      </c>
      <c r="HRQ1026">
        <v>34607139</v>
      </c>
      <c r="HRR1026">
        <v>12677554</v>
      </c>
      <c r="HRS1026" t="s">
        <v>619</v>
      </c>
      <c r="IBJ1026" t="s">
        <v>1395</v>
      </c>
      <c r="IBK1026" t="s">
        <v>619</v>
      </c>
      <c r="IBL1026" t="s">
        <v>619</v>
      </c>
      <c r="IBM1026">
        <v>34607139</v>
      </c>
      <c r="IBN1026">
        <v>12677554</v>
      </c>
      <c r="IBO1026" t="s">
        <v>619</v>
      </c>
      <c r="ILF1026" t="s">
        <v>1395</v>
      </c>
      <c r="ILG1026" t="s">
        <v>619</v>
      </c>
      <c r="ILH1026" t="s">
        <v>619</v>
      </c>
      <c r="ILI1026">
        <v>34607139</v>
      </c>
      <c r="ILJ1026">
        <v>12677554</v>
      </c>
      <c r="ILK1026" t="s">
        <v>619</v>
      </c>
      <c r="IVB1026" t="s">
        <v>1395</v>
      </c>
      <c r="IVC1026" t="s">
        <v>619</v>
      </c>
      <c r="IVD1026" t="s">
        <v>619</v>
      </c>
      <c r="IVE1026">
        <v>34607139</v>
      </c>
      <c r="IVF1026">
        <v>12677554</v>
      </c>
      <c r="IVG1026" t="s">
        <v>619</v>
      </c>
      <c r="JEX1026" t="s">
        <v>1395</v>
      </c>
      <c r="JEY1026" t="s">
        <v>619</v>
      </c>
      <c r="JEZ1026" t="s">
        <v>619</v>
      </c>
      <c r="JFA1026">
        <v>34607139</v>
      </c>
      <c r="JFB1026">
        <v>12677554</v>
      </c>
      <c r="JFC1026" t="s">
        <v>619</v>
      </c>
      <c r="JOT1026" t="s">
        <v>1395</v>
      </c>
      <c r="JOU1026" t="s">
        <v>619</v>
      </c>
      <c r="JOV1026" t="s">
        <v>619</v>
      </c>
      <c r="JOW1026">
        <v>34607139</v>
      </c>
      <c r="JOX1026">
        <v>12677554</v>
      </c>
      <c r="JOY1026" t="s">
        <v>619</v>
      </c>
      <c r="JYP1026" t="s">
        <v>1395</v>
      </c>
      <c r="JYQ1026" t="s">
        <v>619</v>
      </c>
      <c r="JYR1026" t="s">
        <v>619</v>
      </c>
      <c r="JYS1026">
        <v>34607139</v>
      </c>
      <c r="JYT1026">
        <v>12677554</v>
      </c>
      <c r="JYU1026" t="s">
        <v>619</v>
      </c>
      <c r="KIL1026" t="s">
        <v>1395</v>
      </c>
      <c r="KIM1026" t="s">
        <v>619</v>
      </c>
      <c r="KIN1026" t="s">
        <v>619</v>
      </c>
      <c r="KIO1026">
        <v>34607139</v>
      </c>
      <c r="KIP1026">
        <v>12677554</v>
      </c>
      <c r="KIQ1026" t="s">
        <v>619</v>
      </c>
      <c r="KSH1026" t="s">
        <v>1395</v>
      </c>
      <c r="KSI1026" t="s">
        <v>619</v>
      </c>
      <c r="KSJ1026" t="s">
        <v>619</v>
      </c>
      <c r="KSK1026">
        <v>34607139</v>
      </c>
      <c r="KSL1026">
        <v>12677554</v>
      </c>
      <c r="KSM1026" t="s">
        <v>619</v>
      </c>
      <c r="LCD1026" t="s">
        <v>1395</v>
      </c>
      <c r="LCE1026" t="s">
        <v>619</v>
      </c>
      <c r="LCF1026" t="s">
        <v>619</v>
      </c>
      <c r="LCG1026">
        <v>34607139</v>
      </c>
      <c r="LCH1026">
        <v>12677554</v>
      </c>
      <c r="LCI1026" t="s">
        <v>619</v>
      </c>
      <c r="LLZ1026" t="s">
        <v>1395</v>
      </c>
      <c r="LMA1026" t="s">
        <v>619</v>
      </c>
      <c r="LMB1026" t="s">
        <v>619</v>
      </c>
      <c r="LMC1026">
        <v>34607139</v>
      </c>
      <c r="LMD1026">
        <v>12677554</v>
      </c>
      <c r="LME1026" t="s">
        <v>619</v>
      </c>
      <c r="LVV1026" t="s">
        <v>1395</v>
      </c>
      <c r="LVW1026" t="s">
        <v>619</v>
      </c>
      <c r="LVX1026" t="s">
        <v>619</v>
      </c>
      <c r="LVY1026">
        <v>34607139</v>
      </c>
      <c r="LVZ1026">
        <v>12677554</v>
      </c>
      <c r="LWA1026" t="s">
        <v>619</v>
      </c>
      <c r="MFR1026" t="s">
        <v>1395</v>
      </c>
      <c r="MFS1026" t="s">
        <v>619</v>
      </c>
      <c r="MFT1026" t="s">
        <v>619</v>
      </c>
      <c r="MFU1026">
        <v>34607139</v>
      </c>
      <c r="MFV1026">
        <v>12677554</v>
      </c>
      <c r="MFW1026" t="s">
        <v>619</v>
      </c>
      <c r="MPN1026" t="s">
        <v>1395</v>
      </c>
      <c r="MPO1026" t="s">
        <v>619</v>
      </c>
      <c r="MPP1026" t="s">
        <v>619</v>
      </c>
      <c r="MPQ1026">
        <v>34607139</v>
      </c>
      <c r="MPR1026">
        <v>12677554</v>
      </c>
      <c r="MPS1026" t="s">
        <v>619</v>
      </c>
      <c r="MZJ1026" t="s">
        <v>1395</v>
      </c>
      <c r="MZK1026" t="s">
        <v>619</v>
      </c>
      <c r="MZL1026" t="s">
        <v>619</v>
      </c>
      <c r="MZM1026">
        <v>34607139</v>
      </c>
      <c r="MZN1026">
        <v>12677554</v>
      </c>
      <c r="MZO1026" t="s">
        <v>619</v>
      </c>
      <c r="NJF1026" t="s">
        <v>1395</v>
      </c>
      <c r="NJG1026" t="s">
        <v>619</v>
      </c>
      <c r="NJH1026" t="s">
        <v>619</v>
      </c>
      <c r="NJI1026">
        <v>34607139</v>
      </c>
      <c r="NJJ1026">
        <v>12677554</v>
      </c>
      <c r="NJK1026" t="s">
        <v>619</v>
      </c>
      <c r="NTB1026" t="s">
        <v>1395</v>
      </c>
      <c r="NTC1026" t="s">
        <v>619</v>
      </c>
      <c r="NTD1026" t="s">
        <v>619</v>
      </c>
      <c r="NTE1026">
        <v>34607139</v>
      </c>
      <c r="NTF1026">
        <v>12677554</v>
      </c>
      <c r="NTG1026" t="s">
        <v>619</v>
      </c>
      <c r="OCX1026" t="s">
        <v>1395</v>
      </c>
      <c r="OCY1026" t="s">
        <v>619</v>
      </c>
      <c r="OCZ1026" t="s">
        <v>619</v>
      </c>
      <c r="ODA1026">
        <v>34607139</v>
      </c>
      <c r="ODB1026">
        <v>12677554</v>
      </c>
      <c r="ODC1026" t="s">
        <v>619</v>
      </c>
      <c r="OMT1026" t="s">
        <v>1395</v>
      </c>
      <c r="OMU1026" t="s">
        <v>619</v>
      </c>
      <c r="OMV1026" t="s">
        <v>619</v>
      </c>
      <c r="OMW1026">
        <v>34607139</v>
      </c>
      <c r="OMX1026">
        <v>12677554</v>
      </c>
      <c r="OMY1026" t="s">
        <v>619</v>
      </c>
      <c r="OWP1026" t="s">
        <v>1395</v>
      </c>
      <c r="OWQ1026" t="s">
        <v>619</v>
      </c>
      <c r="OWR1026" t="s">
        <v>619</v>
      </c>
      <c r="OWS1026">
        <v>34607139</v>
      </c>
      <c r="OWT1026">
        <v>12677554</v>
      </c>
      <c r="OWU1026" t="s">
        <v>619</v>
      </c>
      <c r="PGL1026" t="s">
        <v>1395</v>
      </c>
      <c r="PGM1026" t="s">
        <v>619</v>
      </c>
      <c r="PGN1026" t="s">
        <v>619</v>
      </c>
      <c r="PGO1026">
        <v>34607139</v>
      </c>
      <c r="PGP1026">
        <v>12677554</v>
      </c>
      <c r="PGQ1026" t="s">
        <v>619</v>
      </c>
      <c r="PQH1026" t="s">
        <v>1395</v>
      </c>
      <c r="PQI1026" t="s">
        <v>619</v>
      </c>
      <c r="PQJ1026" t="s">
        <v>619</v>
      </c>
      <c r="PQK1026">
        <v>34607139</v>
      </c>
      <c r="PQL1026">
        <v>12677554</v>
      </c>
      <c r="PQM1026" t="s">
        <v>619</v>
      </c>
      <c r="QAD1026" t="s">
        <v>1395</v>
      </c>
      <c r="QAE1026" t="s">
        <v>619</v>
      </c>
      <c r="QAF1026" t="s">
        <v>619</v>
      </c>
      <c r="QAG1026">
        <v>34607139</v>
      </c>
      <c r="QAH1026">
        <v>12677554</v>
      </c>
      <c r="QAI1026" t="s">
        <v>619</v>
      </c>
      <c r="QJZ1026" t="s">
        <v>1395</v>
      </c>
      <c r="QKA1026" t="s">
        <v>619</v>
      </c>
      <c r="QKB1026" t="s">
        <v>619</v>
      </c>
      <c r="QKC1026">
        <v>34607139</v>
      </c>
      <c r="QKD1026">
        <v>12677554</v>
      </c>
      <c r="QKE1026" t="s">
        <v>619</v>
      </c>
      <c r="QTV1026" t="s">
        <v>1395</v>
      </c>
      <c r="QTW1026" t="s">
        <v>619</v>
      </c>
      <c r="QTX1026" t="s">
        <v>619</v>
      </c>
      <c r="QTY1026">
        <v>34607139</v>
      </c>
      <c r="QTZ1026">
        <v>12677554</v>
      </c>
      <c r="QUA1026" t="s">
        <v>619</v>
      </c>
      <c r="RDR1026" t="s">
        <v>1395</v>
      </c>
      <c r="RDS1026" t="s">
        <v>619</v>
      </c>
      <c r="RDT1026" t="s">
        <v>619</v>
      </c>
      <c r="RDU1026">
        <v>34607139</v>
      </c>
      <c r="RDV1026">
        <v>12677554</v>
      </c>
      <c r="RDW1026" t="s">
        <v>619</v>
      </c>
      <c r="RNN1026" t="s">
        <v>1395</v>
      </c>
      <c r="RNO1026" t="s">
        <v>619</v>
      </c>
      <c r="RNP1026" t="s">
        <v>619</v>
      </c>
      <c r="RNQ1026">
        <v>34607139</v>
      </c>
      <c r="RNR1026">
        <v>12677554</v>
      </c>
      <c r="RNS1026" t="s">
        <v>619</v>
      </c>
      <c r="RXJ1026" t="s">
        <v>1395</v>
      </c>
      <c r="RXK1026" t="s">
        <v>619</v>
      </c>
      <c r="RXL1026" t="s">
        <v>619</v>
      </c>
      <c r="RXM1026">
        <v>34607139</v>
      </c>
      <c r="RXN1026">
        <v>12677554</v>
      </c>
      <c r="RXO1026" t="s">
        <v>619</v>
      </c>
      <c r="SHF1026" t="s">
        <v>1395</v>
      </c>
      <c r="SHG1026" t="s">
        <v>619</v>
      </c>
      <c r="SHH1026" t="s">
        <v>619</v>
      </c>
      <c r="SHI1026">
        <v>34607139</v>
      </c>
      <c r="SHJ1026">
        <v>12677554</v>
      </c>
      <c r="SHK1026" t="s">
        <v>619</v>
      </c>
      <c r="SRB1026" t="s">
        <v>1395</v>
      </c>
      <c r="SRC1026" t="s">
        <v>619</v>
      </c>
      <c r="SRD1026" t="s">
        <v>619</v>
      </c>
      <c r="SRE1026">
        <v>34607139</v>
      </c>
      <c r="SRF1026">
        <v>12677554</v>
      </c>
      <c r="SRG1026" t="s">
        <v>619</v>
      </c>
      <c r="TAX1026" t="s">
        <v>1395</v>
      </c>
      <c r="TAY1026" t="s">
        <v>619</v>
      </c>
      <c r="TAZ1026" t="s">
        <v>619</v>
      </c>
      <c r="TBA1026">
        <v>34607139</v>
      </c>
      <c r="TBB1026">
        <v>12677554</v>
      </c>
      <c r="TBC1026" t="s">
        <v>619</v>
      </c>
      <c r="TKT1026" t="s">
        <v>1395</v>
      </c>
      <c r="TKU1026" t="s">
        <v>619</v>
      </c>
      <c r="TKV1026" t="s">
        <v>619</v>
      </c>
      <c r="TKW1026">
        <v>34607139</v>
      </c>
      <c r="TKX1026">
        <v>12677554</v>
      </c>
      <c r="TKY1026" t="s">
        <v>619</v>
      </c>
      <c r="TUP1026" t="s">
        <v>1395</v>
      </c>
      <c r="TUQ1026" t="s">
        <v>619</v>
      </c>
      <c r="TUR1026" t="s">
        <v>619</v>
      </c>
      <c r="TUS1026">
        <v>34607139</v>
      </c>
      <c r="TUT1026">
        <v>12677554</v>
      </c>
      <c r="TUU1026" t="s">
        <v>619</v>
      </c>
      <c r="UEL1026" t="s">
        <v>1395</v>
      </c>
      <c r="UEM1026" t="s">
        <v>619</v>
      </c>
      <c r="UEN1026" t="s">
        <v>619</v>
      </c>
      <c r="UEO1026">
        <v>34607139</v>
      </c>
      <c r="UEP1026">
        <v>12677554</v>
      </c>
      <c r="UEQ1026" t="s">
        <v>619</v>
      </c>
      <c r="UOH1026" t="s">
        <v>1395</v>
      </c>
      <c r="UOI1026" t="s">
        <v>619</v>
      </c>
      <c r="UOJ1026" t="s">
        <v>619</v>
      </c>
      <c r="UOK1026">
        <v>34607139</v>
      </c>
      <c r="UOL1026">
        <v>12677554</v>
      </c>
      <c r="UOM1026" t="s">
        <v>619</v>
      </c>
      <c r="UYD1026" t="s">
        <v>1395</v>
      </c>
      <c r="UYE1026" t="s">
        <v>619</v>
      </c>
      <c r="UYF1026" t="s">
        <v>619</v>
      </c>
      <c r="UYG1026">
        <v>34607139</v>
      </c>
      <c r="UYH1026">
        <v>12677554</v>
      </c>
      <c r="UYI1026" t="s">
        <v>619</v>
      </c>
      <c r="VHZ1026" t="s">
        <v>1395</v>
      </c>
      <c r="VIA1026" t="s">
        <v>619</v>
      </c>
      <c r="VIB1026" t="s">
        <v>619</v>
      </c>
      <c r="VIC1026">
        <v>34607139</v>
      </c>
      <c r="VID1026">
        <v>12677554</v>
      </c>
      <c r="VIE1026" t="s">
        <v>619</v>
      </c>
      <c r="VRV1026" t="s">
        <v>1395</v>
      </c>
      <c r="VRW1026" t="s">
        <v>619</v>
      </c>
      <c r="VRX1026" t="s">
        <v>619</v>
      </c>
      <c r="VRY1026">
        <v>34607139</v>
      </c>
      <c r="VRZ1026">
        <v>12677554</v>
      </c>
      <c r="VSA1026" t="s">
        <v>619</v>
      </c>
      <c r="WBR1026" t="s">
        <v>1395</v>
      </c>
      <c r="WBS1026" t="s">
        <v>619</v>
      </c>
      <c r="WBT1026" t="s">
        <v>619</v>
      </c>
      <c r="WBU1026">
        <v>34607139</v>
      </c>
      <c r="WBV1026">
        <v>12677554</v>
      </c>
      <c r="WBW1026" t="s">
        <v>619</v>
      </c>
      <c r="WLN1026" t="s">
        <v>1395</v>
      </c>
      <c r="WLO1026" t="s">
        <v>619</v>
      </c>
      <c r="WLP1026" t="s">
        <v>619</v>
      </c>
      <c r="WLQ1026">
        <v>34607139</v>
      </c>
      <c r="WLR1026">
        <v>12677554</v>
      </c>
      <c r="WLS1026" t="s">
        <v>619</v>
      </c>
      <c r="WVJ1026" t="s">
        <v>1395</v>
      </c>
      <c r="WVK1026" t="s">
        <v>619</v>
      </c>
      <c r="WVL1026" t="s">
        <v>619</v>
      </c>
      <c r="WVM1026">
        <v>34607139</v>
      </c>
      <c r="WVN1026">
        <v>12677554</v>
      </c>
      <c r="WVO1026" t="s">
        <v>619</v>
      </c>
    </row>
    <row r="1027" spans="1:775 1026:1799 2050:2823 3074:3847 4098:4871 5122:5895 6146:6919 7170:7943 8194:8967 9218:9991 10242:11015 11266:12039 12290:13063 13314:14087 14338:15111 15362:16135">
      <c r="A1027" s="96" t="s">
        <v>1396</v>
      </c>
      <c r="B1027" t="s">
        <v>1003</v>
      </c>
      <c r="C1027" s="100">
        <v>42251</v>
      </c>
      <c r="D1027" s="100">
        <v>50790</v>
      </c>
      <c r="E1027" s="100">
        <v>154861</v>
      </c>
      <c r="F1027" s="100">
        <v>144562</v>
      </c>
      <c r="G1027" s="100">
        <v>78726</v>
      </c>
      <c r="H1027" s="100"/>
      <c r="IX1027" t="s">
        <v>1396</v>
      </c>
      <c r="IY1027">
        <v>42251</v>
      </c>
      <c r="IZ1027">
        <v>50790</v>
      </c>
      <c r="JA1027">
        <v>154861</v>
      </c>
      <c r="JB1027">
        <v>144562</v>
      </c>
      <c r="JC1027">
        <v>78726</v>
      </c>
      <c r="ST1027" t="s">
        <v>1396</v>
      </c>
      <c r="SU1027">
        <v>42251</v>
      </c>
      <c r="SV1027">
        <v>50790</v>
      </c>
      <c r="SW1027">
        <v>154861</v>
      </c>
      <c r="SX1027">
        <v>144562</v>
      </c>
      <c r="SY1027">
        <v>78726</v>
      </c>
      <c r="ACP1027" t="s">
        <v>1396</v>
      </c>
      <c r="ACQ1027">
        <v>42251</v>
      </c>
      <c r="ACR1027">
        <v>50790</v>
      </c>
      <c r="ACS1027">
        <v>154861</v>
      </c>
      <c r="ACT1027">
        <v>144562</v>
      </c>
      <c r="ACU1027">
        <v>78726</v>
      </c>
      <c r="AML1027" t="s">
        <v>1396</v>
      </c>
      <c r="AMM1027">
        <v>42251</v>
      </c>
      <c r="AMN1027">
        <v>50790</v>
      </c>
      <c r="AMO1027">
        <v>154861</v>
      </c>
      <c r="AMP1027">
        <v>144562</v>
      </c>
      <c r="AMQ1027">
        <v>78726</v>
      </c>
      <c r="AWH1027" t="s">
        <v>1396</v>
      </c>
      <c r="AWI1027">
        <v>42251</v>
      </c>
      <c r="AWJ1027">
        <v>50790</v>
      </c>
      <c r="AWK1027">
        <v>154861</v>
      </c>
      <c r="AWL1027">
        <v>144562</v>
      </c>
      <c r="AWM1027">
        <v>78726</v>
      </c>
      <c r="BGD1027" t="s">
        <v>1396</v>
      </c>
      <c r="BGE1027">
        <v>42251</v>
      </c>
      <c r="BGF1027">
        <v>50790</v>
      </c>
      <c r="BGG1027">
        <v>154861</v>
      </c>
      <c r="BGH1027">
        <v>144562</v>
      </c>
      <c r="BGI1027">
        <v>78726</v>
      </c>
      <c r="BPZ1027" t="s">
        <v>1396</v>
      </c>
      <c r="BQA1027">
        <v>42251</v>
      </c>
      <c r="BQB1027">
        <v>50790</v>
      </c>
      <c r="BQC1027">
        <v>154861</v>
      </c>
      <c r="BQD1027">
        <v>144562</v>
      </c>
      <c r="BQE1027">
        <v>78726</v>
      </c>
      <c r="BZV1027" t="s">
        <v>1396</v>
      </c>
      <c r="BZW1027">
        <v>42251</v>
      </c>
      <c r="BZX1027">
        <v>50790</v>
      </c>
      <c r="BZY1027">
        <v>154861</v>
      </c>
      <c r="BZZ1027">
        <v>144562</v>
      </c>
      <c r="CAA1027">
        <v>78726</v>
      </c>
      <c r="CJR1027" t="s">
        <v>1396</v>
      </c>
      <c r="CJS1027">
        <v>42251</v>
      </c>
      <c r="CJT1027">
        <v>50790</v>
      </c>
      <c r="CJU1027">
        <v>154861</v>
      </c>
      <c r="CJV1027">
        <v>144562</v>
      </c>
      <c r="CJW1027">
        <v>78726</v>
      </c>
      <c r="CTN1027" t="s">
        <v>1396</v>
      </c>
      <c r="CTO1027">
        <v>42251</v>
      </c>
      <c r="CTP1027">
        <v>50790</v>
      </c>
      <c r="CTQ1027">
        <v>154861</v>
      </c>
      <c r="CTR1027">
        <v>144562</v>
      </c>
      <c r="CTS1027">
        <v>78726</v>
      </c>
      <c r="DDJ1027" t="s">
        <v>1396</v>
      </c>
      <c r="DDK1027">
        <v>42251</v>
      </c>
      <c r="DDL1027">
        <v>50790</v>
      </c>
      <c r="DDM1027">
        <v>154861</v>
      </c>
      <c r="DDN1027">
        <v>144562</v>
      </c>
      <c r="DDO1027">
        <v>78726</v>
      </c>
      <c r="DNF1027" t="s">
        <v>1396</v>
      </c>
      <c r="DNG1027">
        <v>42251</v>
      </c>
      <c r="DNH1027">
        <v>50790</v>
      </c>
      <c r="DNI1027">
        <v>154861</v>
      </c>
      <c r="DNJ1027">
        <v>144562</v>
      </c>
      <c r="DNK1027">
        <v>78726</v>
      </c>
      <c r="DXB1027" t="s">
        <v>1396</v>
      </c>
      <c r="DXC1027">
        <v>42251</v>
      </c>
      <c r="DXD1027">
        <v>50790</v>
      </c>
      <c r="DXE1027">
        <v>154861</v>
      </c>
      <c r="DXF1027">
        <v>144562</v>
      </c>
      <c r="DXG1027">
        <v>78726</v>
      </c>
      <c r="EGX1027" t="s">
        <v>1396</v>
      </c>
      <c r="EGY1027">
        <v>42251</v>
      </c>
      <c r="EGZ1027">
        <v>50790</v>
      </c>
      <c r="EHA1027">
        <v>154861</v>
      </c>
      <c r="EHB1027">
        <v>144562</v>
      </c>
      <c r="EHC1027">
        <v>78726</v>
      </c>
      <c r="EQT1027" t="s">
        <v>1396</v>
      </c>
      <c r="EQU1027">
        <v>42251</v>
      </c>
      <c r="EQV1027">
        <v>50790</v>
      </c>
      <c r="EQW1027">
        <v>154861</v>
      </c>
      <c r="EQX1027">
        <v>144562</v>
      </c>
      <c r="EQY1027">
        <v>78726</v>
      </c>
      <c r="FAP1027" t="s">
        <v>1396</v>
      </c>
      <c r="FAQ1027">
        <v>42251</v>
      </c>
      <c r="FAR1027">
        <v>50790</v>
      </c>
      <c r="FAS1027">
        <v>154861</v>
      </c>
      <c r="FAT1027">
        <v>144562</v>
      </c>
      <c r="FAU1027">
        <v>78726</v>
      </c>
      <c r="FKL1027" t="s">
        <v>1396</v>
      </c>
      <c r="FKM1027">
        <v>42251</v>
      </c>
      <c r="FKN1027">
        <v>50790</v>
      </c>
      <c r="FKO1027">
        <v>154861</v>
      </c>
      <c r="FKP1027">
        <v>144562</v>
      </c>
      <c r="FKQ1027">
        <v>78726</v>
      </c>
      <c r="FUH1027" t="s">
        <v>1396</v>
      </c>
      <c r="FUI1027">
        <v>42251</v>
      </c>
      <c r="FUJ1027">
        <v>50790</v>
      </c>
      <c r="FUK1027">
        <v>154861</v>
      </c>
      <c r="FUL1027">
        <v>144562</v>
      </c>
      <c r="FUM1027">
        <v>78726</v>
      </c>
      <c r="GED1027" t="s">
        <v>1396</v>
      </c>
      <c r="GEE1027">
        <v>42251</v>
      </c>
      <c r="GEF1027">
        <v>50790</v>
      </c>
      <c r="GEG1027">
        <v>154861</v>
      </c>
      <c r="GEH1027">
        <v>144562</v>
      </c>
      <c r="GEI1027">
        <v>78726</v>
      </c>
      <c r="GNZ1027" t="s">
        <v>1396</v>
      </c>
      <c r="GOA1027">
        <v>42251</v>
      </c>
      <c r="GOB1027">
        <v>50790</v>
      </c>
      <c r="GOC1027">
        <v>154861</v>
      </c>
      <c r="GOD1027">
        <v>144562</v>
      </c>
      <c r="GOE1027">
        <v>78726</v>
      </c>
      <c r="GXV1027" t="s">
        <v>1396</v>
      </c>
      <c r="GXW1027">
        <v>42251</v>
      </c>
      <c r="GXX1027">
        <v>50790</v>
      </c>
      <c r="GXY1027">
        <v>154861</v>
      </c>
      <c r="GXZ1027">
        <v>144562</v>
      </c>
      <c r="GYA1027">
        <v>78726</v>
      </c>
      <c r="HHR1027" t="s">
        <v>1396</v>
      </c>
      <c r="HHS1027">
        <v>42251</v>
      </c>
      <c r="HHT1027">
        <v>50790</v>
      </c>
      <c r="HHU1027">
        <v>154861</v>
      </c>
      <c r="HHV1027">
        <v>144562</v>
      </c>
      <c r="HHW1027">
        <v>78726</v>
      </c>
      <c r="HRN1027" t="s">
        <v>1396</v>
      </c>
      <c r="HRO1027">
        <v>42251</v>
      </c>
      <c r="HRP1027">
        <v>50790</v>
      </c>
      <c r="HRQ1027">
        <v>154861</v>
      </c>
      <c r="HRR1027">
        <v>144562</v>
      </c>
      <c r="HRS1027">
        <v>78726</v>
      </c>
      <c r="IBJ1027" t="s">
        <v>1396</v>
      </c>
      <c r="IBK1027">
        <v>42251</v>
      </c>
      <c r="IBL1027">
        <v>50790</v>
      </c>
      <c r="IBM1027">
        <v>154861</v>
      </c>
      <c r="IBN1027">
        <v>144562</v>
      </c>
      <c r="IBO1027">
        <v>78726</v>
      </c>
      <c r="ILF1027" t="s">
        <v>1396</v>
      </c>
      <c r="ILG1027">
        <v>42251</v>
      </c>
      <c r="ILH1027">
        <v>50790</v>
      </c>
      <c r="ILI1027">
        <v>154861</v>
      </c>
      <c r="ILJ1027">
        <v>144562</v>
      </c>
      <c r="ILK1027">
        <v>78726</v>
      </c>
      <c r="IVB1027" t="s">
        <v>1396</v>
      </c>
      <c r="IVC1027">
        <v>42251</v>
      </c>
      <c r="IVD1027">
        <v>50790</v>
      </c>
      <c r="IVE1027">
        <v>154861</v>
      </c>
      <c r="IVF1027">
        <v>144562</v>
      </c>
      <c r="IVG1027">
        <v>78726</v>
      </c>
      <c r="JEX1027" t="s">
        <v>1396</v>
      </c>
      <c r="JEY1027">
        <v>42251</v>
      </c>
      <c r="JEZ1027">
        <v>50790</v>
      </c>
      <c r="JFA1027">
        <v>154861</v>
      </c>
      <c r="JFB1027">
        <v>144562</v>
      </c>
      <c r="JFC1027">
        <v>78726</v>
      </c>
      <c r="JOT1027" t="s">
        <v>1396</v>
      </c>
      <c r="JOU1027">
        <v>42251</v>
      </c>
      <c r="JOV1027">
        <v>50790</v>
      </c>
      <c r="JOW1027">
        <v>154861</v>
      </c>
      <c r="JOX1027">
        <v>144562</v>
      </c>
      <c r="JOY1027">
        <v>78726</v>
      </c>
      <c r="JYP1027" t="s">
        <v>1396</v>
      </c>
      <c r="JYQ1027">
        <v>42251</v>
      </c>
      <c r="JYR1027">
        <v>50790</v>
      </c>
      <c r="JYS1027">
        <v>154861</v>
      </c>
      <c r="JYT1027">
        <v>144562</v>
      </c>
      <c r="JYU1027">
        <v>78726</v>
      </c>
      <c r="KIL1027" t="s">
        <v>1396</v>
      </c>
      <c r="KIM1027">
        <v>42251</v>
      </c>
      <c r="KIN1027">
        <v>50790</v>
      </c>
      <c r="KIO1027">
        <v>154861</v>
      </c>
      <c r="KIP1027">
        <v>144562</v>
      </c>
      <c r="KIQ1027">
        <v>78726</v>
      </c>
      <c r="KSH1027" t="s">
        <v>1396</v>
      </c>
      <c r="KSI1027">
        <v>42251</v>
      </c>
      <c r="KSJ1027">
        <v>50790</v>
      </c>
      <c r="KSK1027">
        <v>154861</v>
      </c>
      <c r="KSL1027">
        <v>144562</v>
      </c>
      <c r="KSM1027">
        <v>78726</v>
      </c>
      <c r="LCD1027" t="s">
        <v>1396</v>
      </c>
      <c r="LCE1027">
        <v>42251</v>
      </c>
      <c r="LCF1027">
        <v>50790</v>
      </c>
      <c r="LCG1027">
        <v>154861</v>
      </c>
      <c r="LCH1027">
        <v>144562</v>
      </c>
      <c r="LCI1027">
        <v>78726</v>
      </c>
      <c r="LLZ1027" t="s">
        <v>1396</v>
      </c>
      <c r="LMA1027">
        <v>42251</v>
      </c>
      <c r="LMB1027">
        <v>50790</v>
      </c>
      <c r="LMC1027">
        <v>154861</v>
      </c>
      <c r="LMD1027">
        <v>144562</v>
      </c>
      <c r="LME1027">
        <v>78726</v>
      </c>
      <c r="LVV1027" t="s">
        <v>1396</v>
      </c>
      <c r="LVW1027">
        <v>42251</v>
      </c>
      <c r="LVX1027">
        <v>50790</v>
      </c>
      <c r="LVY1027">
        <v>154861</v>
      </c>
      <c r="LVZ1027">
        <v>144562</v>
      </c>
      <c r="LWA1027">
        <v>78726</v>
      </c>
      <c r="MFR1027" t="s">
        <v>1396</v>
      </c>
      <c r="MFS1027">
        <v>42251</v>
      </c>
      <c r="MFT1027">
        <v>50790</v>
      </c>
      <c r="MFU1027">
        <v>154861</v>
      </c>
      <c r="MFV1027">
        <v>144562</v>
      </c>
      <c r="MFW1027">
        <v>78726</v>
      </c>
      <c r="MPN1027" t="s">
        <v>1396</v>
      </c>
      <c r="MPO1027">
        <v>42251</v>
      </c>
      <c r="MPP1027">
        <v>50790</v>
      </c>
      <c r="MPQ1027">
        <v>154861</v>
      </c>
      <c r="MPR1027">
        <v>144562</v>
      </c>
      <c r="MPS1027">
        <v>78726</v>
      </c>
      <c r="MZJ1027" t="s">
        <v>1396</v>
      </c>
      <c r="MZK1027">
        <v>42251</v>
      </c>
      <c r="MZL1027">
        <v>50790</v>
      </c>
      <c r="MZM1027">
        <v>154861</v>
      </c>
      <c r="MZN1027">
        <v>144562</v>
      </c>
      <c r="MZO1027">
        <v>78726</v>
      </c>
      <c r="NJF1027" t="s">
        <v>1396</v>
      </c>
      <c r="NJG1027">
        <v>42251</v>
      </c>
      <c r="NJH1027">
        <v>50790</v>
      </c>
      <c r="NJI1027">
        <v>154861</v>
      </c>
      <c r="NJJ1027">
        <v>144562</v>
      </c>
      <c r="NJK1027">
        <v>78726</v>
      </c>
      <c r="NTB1027" t="s">
        <v>1396</v>
      </c>
      <c r="NTC1027">
        <v>42251</v>
      </c>
      <c r="NTD1027">
        <v>50790</v>
      </c>
      <c r="NTE1027">
        <v>154861</v>
      </c>
      <c r="NTF1027">
        <v>144562</v>
      </c>
      <c r="NTG1027">
        <v>78726</v>
      </c>
      <c r="OCX1027" t="s">
        <v>1396</v>
      </c>
      <c r="OCY1027">
        <v>42251</v>
      </c>
      <c r="OCZ1027">
        <v>50790</v>
      </c>
      <c r="ODA1027">
        <v>154861</v>
      </c>
      <c r="ODB1027">
        <v>144562</v>
      </c>
      <c r="ODC1027">
        <v>78726</v>
      </c>
      <c r="OMT1027" t="s">
        <v>1396</v>
      </c>
      <c r="OMU1027">
        <v>42251</v>
      </c>
      <c r="OMV1027">
        <v>50790</v>
      </c>
      <c r="OMW1027">
        <v>154861</v>
      </c>
      <c r="OMX1027">
        <v>144562</v>
      </c>
      <c r="OMY1027">
        <v>78726</v>
      </c>
      <c r="OWP1027" t="s">
        <v>1396</v>
      </c>
      <c r="OWQ1027">
        <v>42251</v>
      </c>
      <c r="OWR1027">
        <v>50790</v>
      </c>
      <c r="OWS1027">
        <v>154861</v>
      </c>
      <c r="OWT1027">
        <v>144562</v>
      </c>
      <c r="OWU1027">
        <v>78726</v>
      </c>
      <c r="PGL1027" t="s">
        <v>1396</v>
      </c>
      <c r="PGM1027">
        <v>42251</v>
      </c>
      <c r="PGN1027">
        <v>50790</v>
      </c>
      <c r="PGO1027">
        <v>154861</v>
      </c>
      <c r="PGP1027">
        <v>144562</v>
      </c>
      <c r="PGQ1027">
        <v>78726</v>
      </c>
      <c r="PQH1027" t="s">
        <v>1396</v>
      </c>
      <c r="PQI1027">
        <v>42251</v>
      </c>
      <c r="PQJ1027">
        <v>50790</v>
      </c>
      <c r="PQK1027">
        <v>154861</v>
      </c>
      <c r="PQL1027">
        <v>144562</v>
      </c>
      <c r="PQM1027">
        <v>78726</v>
      </c>
      <c r="QAD1027" t="s">
        <v>1396</v>
      </c>
      <c r="QAE1027">
        <v>42251</v>
      </c>
      <c r="QAF1027">
        <v>50790</v>
      </c>
      <c r="QAG1027">
        <v>154861</v>
      </c>
      <c r="QAH1027">
        <v>144562</v>
      </c>
      <c r="QAI1027">
        <v>78726</v>
      </c>
      <c r="QJZ1027" t="s">
        <v>1396</v>
      </c>
      <c r="QKA1027">
        <v>42251</v>
      </c>
      <c r="QKB1027">
        <v>50790</v>
      </c>
      <c r="QKC1027">
        <v>154861</v>
      </c>
      <c r="QKD1027">
        <v>144562</v>
      </c>
      <c r="QKE1027">
        <v>78726</v>
      </c>
      <c r="QTV1027" t="s">
        <v>1396</v>
      </c>
      <c r="QTW1027">
        <v>42251</v>
      </c>
      <c r="QTX1027">
        <v>50790</v>
      </c>
      <c r="QTY1027">
        <v>154861</v>
      </c>
      <c r="QTZ1027">
        <v>144562</v>
      </c>
      <c r="QUA1027">
        <v>78726</v>
      </c>
      <c r="RDR1027" t="s">
        <v>1396</v>
      </c>
      <c r="RDS1027">
        <v>42251</v>
      </c>
      <c r="RDT1027">
        <v>50790</v>
      </c>
      <c r="RDU1027">
        <v>154861</v>
      </c>
      <c r="RDV1027">
        <v>144562</v>
      </c>
      <c r="RDW1027">
        <v>78726</v>
      </c>
      <c r="RNN1027" t="s">
        <v>1396</v>
      </c>
      <c r="RNO1027">
        <v>42251</v>
      </c>
      <c r="RNP1027">
        <v>50790</v>
      </c>
      <c r="RNQ1027">
        <v>154861</v>
      </c>
      <c r="RNR1027">
        <v>144562</v>
      </c>
      <c r="RNS1027">
        <v>78726</v>
      </c>
      <c r="RXJ1027" t="s">
        <v>1396</v>
      </c>
      <c r="RXK1027">
        <v>42251</v>
      </c>
      <c r="RXL1027">
        <v>50790</v>
      </c>
      <c r="RXM1027">
        <v>154861</v>
      </c>
      <c r="RXN1027">
        <v>144562</v>
      </c>
      <c r="RXO1027">
        <v>78726</v>
      </c>
      <c r="SHF1027" t="s">
        <v>1396</v>
      </c>
      <c r="SHG1027">
        <v>42251</v>
      </c>
      <c r="SHH1027">
        <v>50790</v>
      </c>
      <c r="SHI1027">
        <v>154861</v>
      </c>
      <c r="SHJ1027">
        <v>144562</v>
      </c>
      <c r="SHK1027">
        <v>78726</v>
      </c>
      <c r="SRB1027" t="s">
        <v>1396</v>
      </c>
      <c r="SRC1027">
        <v>42251</v>
      </c>
      <c r="SRD1027">
        <v>50790</v>
      </c>
      <c r="SRE1027">
        <v>154861</v>
      </c>
      <c r="SRF1027">
        <v>144562</v>
      </c>
      <c r="SRG1027">
        <v>78726</v>
      </c>
      <c r="TAX1027" t="s">
        <v>1396</v>
      </c>
      <c r="TAY1027">
        <v>42251</v>
      </c>
      <c r="TAZ1027">
        <v>50790</v>
      </c>
      <c r="TBA1027">
        <v>154861</v>
      </c>
      <c r="TBB1027">
        <v>144562</v>
      </c>
      <c r="TBC1027">
        <v>78726</v>
      </c>
      <c r="TKT1027" t="s">
        <v>1396</v>
      </c>
      <c r="TKU1027">
        <v>42251</v>
      </c>
      <c r="TKV1027">
        <v>50790</v>
      </c>
      <c r="TKW1027">
        <v>154861</v>
      </c>
      <c r="TKX1027">
        <v>144562</v>
      </c>
      <c r="TKY1027">
        <v>78726</v>
      </c>
      <c r="TUP1027" t="s">
        <v>1396</v>
      </c>
      <c r="TUQ1027">
        <v>42251</v>
      </c>
      <c r="TUR1027">
        <v>50790</v>
      </c>
      <c r="TUS1027">
        <v>154861</v>
      </c>
      <c r="TUT1027">
        <v>144562</v>
      </c>
      <c r="TUU1027">
        <v>78726</v>
      </c>
      <c r="UEL1027" t="s">
        <v>1396</v>
      </c>
      <c r="UEM1027">
        <v>42251</v>
      </c>
      <c r="UEN1027">
        <v>50790</v>
      </c>
      <c r="UEO1027">
        <v>154861</v>
      </c>
      <c r="UEP1027">
        <v>144562</v>
      </c>
      <c r="UEQ1027">
        <v>78726</v>
      </c>
      <c r="UOH1027" t="s">
        <v>1396</v>
      </c>
      <c r="UOI1027">
        <v>42251</v>
      </c>
      <c r="UOJ1027">
        <v>50790</v>
      </c>
      <c r="UOK1027">
        <v>154861</v>
      </c>
      <c r="UOL1027">
        <v>144562</v>
      </c>
      <c r="UOM1027">
        <v>78726</v>
      </c>
      <c r="UYD1027" t="s">
        <v>1396</v>
      </c>
      <c r="UYE1027">
        <v>42251</v>
      </c>
      <c r="UYF1027">
        <v>50790</v>
      </c>
      <c r="UYG1027">
        <v>154861</v>
      </c>
      <c r="UYH1027">
        <v>144562</v>
      </c>
      <c r="UYI1027">
        <v>78726</v>
      </c>
      <c r="VHZ1027" t="s">
        <v>1396</v>
      </c>
      <c r="VIA1027">
        <v>42251</v>
      </c>
      <c r="VIB1027">
        <v>50790</v>
      </c>
      <c r="VIC1027">
        <v>154861</v>
      </c>
      <c r="VID1027">
        <v>144562</v>
      </c>
      <c r="VIE1027">
        <v>78726</v>
      </c>
      <c r="VRV1027" t="s">
        <v>1396</v>
      </c>
      <c r="VRW1027">
        <v>42251</v>
      </c>
      <c r="VRX1027">
        <v>50790</v>
      </c>
      <c r="VRY1027">
        <v>154861</v>
      </c>
      <c r="VRZ1027">
        <v>144562</v>
      </c>
      <c r="VSA1027">
        <v>78726</v>
      </c>
      <c r="WBR1027" t="s">
        <v>1396</v>
      </c>
      <c r="WBS1027">
        <v>42251</v>
      </c>
      <c r="WBT1027">
        <v>50790</v>
      </c>
      <c r="WBU1027">
        <v>154861</v>
      </c>
      <c r="WBV1027">
        <v>144562</v>
      </c>
      <c r="WBW1027">
        <v>78726</v>
      </c>
      <c r="WLN1027" t="s">
        <v>1396</v>
      </c>
      <c r="WLO1027">
        <v>42251</v>
      </c>
      <c r="WLP1027">
        <v>50790</v>
      </c>
      <c r="WLQ1027">
        <v>154861</v>
      </c>
      <c r="WLR1027">
        <v>144562</v>
      </c>
      <c r="WLS1027">
        <v>78726</v>
      </c>
      <c r="WVJ1027" t="s">
        <v>1396</v>
      </c>
      <c r="WVK1027">
        <v>42251</v>
      </c>
      <c r="WVL1027">
        <v>50790</v>
      </c>
      <c r="WVM1027">
        <v>154861</v>
      </c>
      <c r="WVN1027">
        <v>144562</v>
      </c>
      <c r="WVO1027">
        <v>78726</v>
      </c>
    </row>
    <row r="1028" spans="1:775 1026:1799 2050:2823 3074:3847 4098:4871 5122:5895 6146:6919 7170:7943 8194:8967 9218:9991 10242:11015 11266:12039 12290:13063 13314:14087 14338:15111 15362:16135">
      <c r="A1028" s="96" t="s">
        <v>1397</v>
      </c>
      <c r="B1028" t="s">
        <v>1003</v>
      </c>
      <c r="C1028" s="100">
        <v>-7490</v>
      </c>
      <c r="D1028" s="98">
        <v>0</v>
      </c>
      <c r="E1028" s="98">
        <v>0</v>
      </c>
      <c r="F1028" s="98">
        <v>0</v>
      </c>
      <c r="G1028" s="98">
        <v>0</v>
      </c>
      <c r="H1028" s="98"/>
      <c r="IX1028" t="s">
        <v>1397</v>
      </c>
      <c r="IY1028">
        <v>-7490</v>
      </c>
      <c r="IZ1028" t="s">
        <v>619</v>
      </c>
      <c r="JA1028" t="s">
        <v>619</v>
      </c>
      <c r="JB1028" t="s">
        <v>619</v>
      </c>
      <c r="JC1028" t="s">
        <v>619</v>
      </c>
      <c r="ST1028" t="s">
        <v>1397</v>
      </c>
      <c r="SU1028">
        <v>-7490</v>
      </c>
      <c r="SV1028" t="s">
        <v>619</v>
      </c>
      <c r="SW1028" t="s">
        <v>619</v>
      </c>
      <c r="SX1028" t="s">
        <v>619</v>
      </c>
      <c r="SY1028" t="s">
        <v>619</v>
      </c>
      <c r="ACP1028" t="s">
        <v>1397</v>
      </c>
      <c r="ACQ1028">
        <v>-7490</v>
      </c>
      <c r="ACR1028" t="s">
        <v>619</v>
      </c>
      <c r="ACS1028" t="s">
        <v>619</v>
      </c>
      <c r="ACT1028" t="s">
        <v>619</v>
      </c>
      <c r="ACU1028" t="s">
        <v>619</v>
      </c>
      <c r="AML1028" t="s">
        <v>1397</v>
      </c>
      <c r="AMM1028">
        <v>-7490</v>
      </c>
      <c r="AMN1028" t="s">
        <v>619</v>
      </c>
      <c r="AMO1028" t="s">
        <v>619</v>
      </c>
      <c r="AMP1028" t="s">
        <v>619</v>
      </c>
      <c r="AMQ1028" t="s">
        <v>619</v>
      </c>
      <c r="AWH1028" t="s">
        <v>1397</v>
      </c>
      <c r="AWI1028">
        <v>-7490</v>
      </c>
      <c r="AWJ1028" t="s">
        <v>619</v>
      </c>
      <c r="AWK1028" t="s">
        <v>619</v>
      </c>
      <c r="AWL1028" t="s">
        <v>619</v>
      </c>
      <c r="AWM1028" t="s">
        <v>619</v>
      </c>
      <c r="BGD1028" t="s">
        <v>1397</v>
      </c>
      <c r="BGE1028">
        <v>-7490</v>
      </c>
      <c r="BGF1028" t="s">
        <v>619</v>
      </c>
      <c r="BGG1028" t="s">
        <v>619</v>
      </c>
      <c r="BGH1028" t="s">
        <v>619</v>
      </c>
      <c r="BGI1028" t="s">
        <v>619</v>
      </c>
      <c r="BPZ1028" t="s">
        <v>1397</v>
      </c>
      <c r="BQA1028">
        <v>-7490</v>
      </c>
      <c r="BQB1028" t="s">
        <v>619</v>
      </c>
      <c r="BQC1028" t="s">
        <v>619</v>
      </c>
      <c r="BQD1028" t="s">
        <v>619</v>
      </c>
      <c r="BQE1028" t="s">
        <v>619</v>
      </c>
      <c r="BZV1028" t="s">
        <v>1397</v>
      </c>
      <c r="BZW1028">
        <v>-7490</v>
      </c>
      <c r="BZX1028" t="s">
        <v>619</v>
      </c>
      <c r="BZY1028" t="s">
        <v>619</v>
      </c>
      <c r="BZZ1028" t="s">
        <v>619</v>
      </c>
      <c r="CAA1028" t="s">
        <v>619</v>
      </c>
      <c r="CJR1028" t="s">
        <v>1397</v>
      </c>
      <c r="CJS1028">
        <v>-7490</v>
      </c>
      <c r="CJT1028" t="s">
        <v>619</v>
      </c>
      <c r="CJU1028" t="s">
        <v>619</v>
      </c>
      <c r="CJV1028" t="s">
        <v>619</v>
      </c>
      <c r="CJW1028" t="s">
        <v>619</v>
      </c>
      <c r="CTN1028" t="s">
        <v>1397</v>
      </c>
      <c r="CTO1028">
        <v>-7490</v>
      </c>
      <c r="CTP1028" t="s">
        <v>619</v>
      </c>
      <c r="CTQ1028" t="s">
        <v>619</v>
      </c>
      <c r="CTR1028" t="s">
        <v>619</v>
      </c>
      <c r="CTS1028" t="s">
        <v>619</v>
      </c>
      <c r="DDJ1028" t="s">
        <v>1397</v>
      </c>
      <c r="DDK1028">
        <v>-7490</v>
      </c>
      <c r="DDL1028" t="s">
        <v>619</v>
      </c>
      <c r="DDM1028" t="s">
        <v>619</v>
      </c>
      <c r="DDN1028" t="s">
        <v>619</v>
      </c>
      <c r="DDO1028" t="s">
        <v>619</v>
      </c>
      <c r="DNF1028" t="s">
        <v>1397</v>
      </c>
      <c r="DNG1028">
        <v>-7490</v>
      </c>
      <c r="DNH1028" t="s">
        <v>619</v>
      </c>
      <c r="DNI1028" t="s">
        <v>619</v>
      </c>
      <c r="DNJ1028" t="s">
        <v>619</v>
      </c>
      <c r="DNK1028" t="s">
        <v>619</v>
      </c>
      <c r="DXB1028" t="s">
        <v>1397</v>
      </c>
      <c r="DXC1028">
        <v>-7490</v>
      </c>
      <c r="DXD1028" t="s">
        <v>619</v>
      </c>
      <c r="DXE1028" t="s">
        <v>619</v>
      </c>
      <c r="DXF1028" t="s">
        <v>619</v>
      </c>
      <c r="DXG1028" t="s">
        <v>619</v>
      </c>
      <c r="EGX1028" t="s">
        <v>1397</v>
      </c>
      <c r="EGY1028">
        <v>-7490</v>
      </c>
      <c r="EGZ1028" t="s">
        <v>619</v>
      </c>
      <c r="EHA1028" t="s">
        <v>619</v>
      </c>
      <c r="EHB1028" t="s">
        <v>619</v>
      </c>
      <c r="EHC1028" t="s">
        <v>619</v>
      </c>
      <c r="EQT1028" t="s">
        <v>1397</v>
      </c>
      <c r="EQU1028">
        <v>-7490</v>
      </c>
      <c r="EQV1028" t="s">
        <v>619</v>
      </c>
      <c r="EQW1028" t="s">
        <v>619</v>
      </c>
      <c r="EQX1028" t="s">
        <v>619</v>
      </c>
      <c r="EQY1028" t="s">
        <v>619</v>
      </c>
      <c r="FAP1028" t="s">
        <v>1397</v>
      </c>
      <c r="FAQ1028">
        <v>-7490</v>
      </c>
      <c r="FAR1028" t="s">
        <v>619</v>
      </c>
      <c r="FAS1028" t="s">
        <v>619</v>
      </c>
      <c r="FAT1028" t="s">
        <v>619</v>
      </c>
      <c r="FAU1028" t="s">
        <v>619</v>
      </c>
      <c r="FKL1028" t="s">
        <v>1397</v>
      </c>
      <c r="FKM1028">
        <v>-7490</v>
      </c>
      <c r="FKN1028" t="s">
        <v>619</v>
      </c>
      <c r="FKO1028" t="s">
        <v>619</v>
      </c>
      <c r="FKP1028" t="s">
        <v>619</v>
      </c>
      <c r="FKQ1028" t="s">
        <v>619</v>
      </c>
      <c r="FUH1028" t="s">
        <v>1397</v>
      </c>
      <c r="FUI1028">
        <v>-7490</v>
      </c>
      <c r="FUJ1028" t="s">
        <v>619</v>
      </c>
      <c r="FUK1028" t="s">
        <v>619</v>
      </c>
      <c r="FUL1028" t="s">
        <v>619</v>
      </c>
      <c r="FUM1028" t="s">
        <v>619</v>
      </c>
      <c r="GED1028" t="s">
        <v>1397</v>
      </c>
      <c r="GEE1028">
        <v>-7490</v>
      </c>
      <c r="GEF1028" t="s">
        <v>619</v>
      </c>
      <c r="GEG1028" t="s">
        <v>619</v>
      </c>
      <c r="GEH1028" t="s">
        <v>619</v>
      </c>
      <c r="GEI1028" t="s">
        <v>619</v>
      </c>
      <c r="GNZ1028" t="s">
        <v>1397</v>
      </c>
      <c r="GOA1028">
        <v>-7490</v>
      </c>
      <c r="GOB1028" t="s">
        <v>619</v>
      </c>
      <c r="GOC1028" t="s">
        <v>619</v>
      </c>
      <c r="GOD1028" t="s">
        <v>619</v>
      </c>
      <c r="GOE1028" t="s">
        <v>619</v>
      </c>
      <c r="GXV1028" t="s">
        <v>1397</v>
      </c>
      <c r="GXW1028">
        <v>-7490</v>
      </c>
      <c r="GXX1028" t="s">
        <v>619</v>
      </c>
      <c r="GXY1028" t="s">
        <v>619</v>
      </c>
      <c r="GXZ1028" t="s">
        <v>619</v>
      </c>
      <c r="GYA1028" t="s">
        <v>619</v>
      </c>
      <c r="HHR1028" t="s">
        <v>1397</v>
      </c>
      <c r="HHS1028">
        <v>-7490</v>
      </c>
      <c r="HHT1028" t="s">
        <v>619</v>
      </c>
      <c r="HHU1028" t="s">
        <v>619</v>
      </c>
      <c r="HHV1028" t="s">
        <v>619</v>
      </c>
      <c r="HHW1028" t="s">
        <v>619</v>
      </c>
      <c r="HRN1028" t="s">
        <v>1397</v>
      </c>
      <c r="HRO1028">
        <v>-7490</v>
      </c>
      <c r="HRP1028" t="s">
        <v>619</v>
      </c>
      <c r="HRQ1028" t="s">
        <v>619</v>
      </c>
      <c r="HRR1028" t="s">
        <v>619</v>
      </c>
      <c r="HRS1028" t="s">
        <v>619</v>
      </c>
      <c r="IBJ1028" t="s">
        <v>1397</v>
      </c>
      <c r="IBK1028">
        <v>-7490</v>
      </c>
      <c r="IBL1028" t="s">
        <v>619</v>
      </c>
      <c r="IBM1028" t="s">
        <v>619</v>
      </c>
      <c r="IBN1028" t="s">
        <v>619</v>
      </c>
      <c r="IBO1028" t="s">
        <v>619</v>
      </c>
      <c r="ILF1028" t="s">
        <v>1397</v>
      </c>
      <c r="ILG1028">
        <v>-7490</v>
      </c>
      <c r="ILH1028" t="s">
        <v>619</v>
      </c>
      <c r="ILI1028" t="s">
        <v>619</v>
      </c>
      <c r="ILJ1028" t="s">
        <v>619</v>
      </c>
      <c r="ILK1028" t="s">
        <v>619</v>
      </c>
      <c r="IVB1028" t="s">
        <v>1397</v>
      </c>
      <c r="IVC1028">
        <v>-7490</v>
      </c>
      <c r="IVD1028" t="s">
        <v>619</v>
      </c>
      <c r="IVE1028" t="s">
        <v>619</v>
      </c>
      <c r="IVF1028" t="s">
        <v>619</v>
      </c>
      <c r="IVG1028" t="s">
        <v>619</v>
      </c>
      <c r="JEX1028" t="s">
        <v>1397</v>
      </c>
      <c r="JEY1028">
        <v>-7490</v>
      </c>
      <c r="JEZ1028" t="s">
        <v>619</v>
      </c>
      <c r="JFA1028" t="s">
        <v>619</v>
      </c>
      <c r="JFB1028" t="s">
        <v>619</v>
      </c>
      <c r="JFC1028" t="s">
        <v>619</v>
      </c>
      <c r="JOT1028" t="s">
        <v>1397</v>
      </c>
      <c r="JOU1028">
        <v>-7490</v>
      </c>
      <c r="JOV1028" t="s">
        <v>619</v>
      </c>
      <c r="JOW1028" t="s">
        <v>619</v>
      </c>
      <c r="JOX1028" t="s">
        <v>619</v>
      </c>
      <c r="JOY1028" t="s">
        <v>619</v>
      </c>
      <c r="JYP1028" t="s">
        <v>1397</v>
      </c>
      <c r="JYQ1028">
        <v>-7490</v>
      </c>
      <c r="JYR1028" t="s">
        <v>619</v>
      </c>
      <c r="JYS1028" t="s">
        <v>619</v>
      </c>
      <c r="JYT1028" t="s">
        <v>619</v>
      </c>
      <c r="JYU1028" t="s">
        <v>619</v>
      </c>
      <c r="KIL1028" t="s">
        <v>1397</v>
      </c>
      <c r="KIM1028">
        <v>-7490</v>
      </c>
      <c r="KIN1028" t="s">
        <v>619</v>
      </c>
      <c r="KIO1028" t="s">
        <v>619</v>
      </c>
      <c r="KIP1028" t="s">
        <v>619</v>
      </c>
      <c r="KIQ1028" t="s">
        <v>619</v>
      </c>
      <c r="KSH1028" t="s">
        <v>1397</v>
      </c>
      <c r="KSI1028">
        <v>-7490</v>
      </c>
      <c r="KSJ1028" t="s">
        <v>619</v>
      </c>
      <c r="KSK1028" t="s">
        <v>619</v>
      </c>
      <c r="KSL1028" t="s">
        <v>619</v>
      </c>
      <c r="KSM1028" t="s">
        <v>619</v>
      </c>
      <c r="LCD1028" t="s">
        <v>1397</v>
      </c>
      <c r="LCE1028">
        <v>-7490</v>
      </c>
      <c r="LCF1028" t="s">
        <v>619</v>
      </c>
      <c r="LCG1028" t="s">
        <v>619</v>
      </c>
      <c r="LCH1028" t="s">
        <v>619</v>
      </c>
      <c r="LCI1028" t="s">
        <v>619</v>
      </c>
      <c r="LLZ1028" t="s">
        <v>1397</v>
      </c>
      <c r="LMA1028">
        <v>-7490</v>
      </c>
      <c r="LMB1028" t="s">
        <v>619</v>
      </c>
      <c r="LMC1028" t="s">
        <v>619</v>
      </c>
      <c r="LMD1028" t="s">
        <v>619</v>
      </c>
      <c r="LME1028" t="s">
        <v>619</v>
      </c>
      <c r="LVV1028" t="s">
        <v>1397</v>
      </c>
      <c r="LVW1028">
        <v>-7490</v>
      </c>
      <c r="LVX1028" t="s">
        <v>619</v>
      </c>
      <c r="LVY1028" t="s">
        <v>619</v>
      </c>
      <c r="LVZ1028" t="s">
        <v>619</v>
      </c>
      <c r="LWA1028" t="s">
        <v>619</v>
      </c>
      <c r="MFR1028" t="s">
        <v>1397</v>
      </c>
      <c r="MFS1028">
        <v>-7490</v>
      </c>
      <c r="MFT1028" t="s">
        <v>619</v>
      </c>
      <c r="MFU1028" t="s">
        <v>619</v>
      </c>
      <c r="MFV1028" t="s">
        <v>619</v>
      </c>
      <c r="MFW1028" t="s">
        <v>619</v>
      </c>
      <c r="MPN1028" t="s">
        <v>1397</v>
      </c>
      <c r="MPO1028">
        <v>-7490</v>
      </c>
      <c r="MPP1028" t="s">
        <v>619</v>
      </c>
      <c r="MPQ1028" t="s">
        <v>619</v>
      </c>
      <c r="MPR1028" t="s">
        <v>619</v>
      </c>
      <c r="MPS1028" t="s">
        <v>619</v>
      </c>
      <c r="MZJ1028" t="s">
        <v>1397</v>
      </c>
      <c r="MZK1028">
        <v>-7490</v>
      </c>
      <c r="MZL1028" t="s">
        <v>619</v>
      </c>
      <c r="MZM1028" t="s">
        <v>619</v>
      </c>
      <c r="MZN1028" t="s">
        <v>619</v>
      </c>
      <c r="MZO1028" t="s">
        <v>619</v>
      </c>
      <c r="NJF1028" t="s">
        <v>1397</v>
      </c>
      <c r="NJG1028">
        <v>-7490</v>
      </c>
      <c r="NJH1028" t="s">
        <v>619</v>
      </c>
      <c r="NJI1028" t="s">
        <v>619</v>
      </c>
      <c r="NJJ1028" t="s">
        <v>619</v>
      </c>
      <c r="NJK1028" t="s">
        <v>619</v>
      </c>
      <c r="NTB1028" t="s">
        <v>1397</v>
      </c>
      <c r="NTC1028">
        <v>-7490</v>
      </c>
      <c r="NTD1028" t="s">
        <v>619</v>
      </c>
      <c r="NTE1028" t="s">
        <v>619</v>
      </c>
      <c r="NTF1028" t="s">
        <v>619</v>
      </c>
      <c r="NTG1028" t="s">
        <v>619</v>
      </c>
      <c r="OCX1028" t="s">
        <v>1397</v>
      </c>
      <c r="OCY1028">
        <v>-7490</v>
      </c>
      <c r="OCZ1028" t="s">
        <v>619</v>
      </c>
      <c r="ODA1028" t="s">
        <v>619</v>
      </c>
      <c r="ODB1028" t="s">
        <v>619</v>
      </c>
      <c r="ODC1028" t="s">
        <v>619</v>
      </c>
      <c r="OMT1028" t="s">
        <v>1397</v>
      </c>
      <c r="OMU1028">
        <v>-7490</v>
      </c>
      <c r="OMV1028" t="s">
        <v>619</v>
      </c>
      <c r="OMW1028" t="s">
        <v>619</v>
      </c>
      <c r="OMX1028" t="s">
        <v>619</v>
      </c>
      <c r="OMY1028" t="s">
        <v>619</v>
      </c>
      <c r="OWP1028" t="s">
        <v>1397</v>
      </c>
      <c r="OWQ1028">
        <v>-7490</v>
      </c>
      <c r="OWR1028" t="s">
        <v>619</v>
      </c>
      <c r="OWS1028" t="s">
        <v>619</v>
      </c>
      <c r="OWT1028" t="s">
        <v>619</v>
      </c>
      <c r="OWU1028" t="s">
        <v>619</v>
      </c>
      <c r="PGL1028" t="s">
        <v>1397</v>
      </c>
      <c r="PGM1028">
        <v>-7490</v>
      </c>
      <c r="PGN1028" t="s">
        <v>619</v>
      </c>
      <c r="PGO1028" t="s">
        <v>619</v>
      </c>
      <c r="PGP1028" t="s">
        <v>619</v>
      </c>
      <c r="PGQ1028" t="s">
        <v>619</v>
      </c>
      <c r="PQH1028" t="s">
        <v>1397</v>
      </c>
      <c r="PQI1028">
        <v>-7490</v>
      </c>
      <c r="PQJ1028" t="s">
        <v>619</v>
      </c>
      <c r="PQK1028" t="s">
        <v>619</v>
      </c>
      <c r="PQL1028" t="s">
        <v>619</v>
      </c>
      <c r="PQM1028" t="s">
        <v>619</v>
      </c>
      <c r="QAD1028" t="s">
        <v>1397</v>
      </c>
      <c r="QAE1028">
        <v>-7490</v>
      </c>
      <c r="QAF1028" t="s">
        <v>619</v>
      </c>
      <c r="QAG1028" t="s">
        <v>619</v>
      </c>
      <c r="QAH1028" t="s">
        <v>619</v>
      </c>
      <c r="QAI1028" t="s">
        <v>619</v>
      </c>
      <c r="QJZ1028" t="s">
        <v>1397</v>
      </c>
      <c r="QKA1028">
        <v>-7490</v>
      </c>
      <c r="QKB1028" t="s">
        <v>619</v>
      </c>
      <c r="QKC1028" t="s">
        <v>619</v>
      </c>
      <c r="QKD1028" t="s">
        <v>619</v>
      </c>
      <c r="QKE1028" t="s">
        <v>619</v>
      </c>
      <c r="QTV1028" t="s">
        <v>1397</v>
      </c>
      <c r="QTW1028">
        <v>-7490</v>
      </c>
      <c r="QTX1028" t="s">
        <v>619</v>
      </c>
      <c r="QTY1028" t="s">
        <v>619</v>
      </c>
      <c r="QTZ1028" t="s">
        <v>619</v>
      </c>
      <c r="QUA1028" t="s">
        <v>619</v>
      </c>
      <c r="RDR1028" t="s">
        <v>1397</v>
      </c>
      <c r="RDS1028">
        <v>-7490</v>
      </c>
      <c r="RDT1028" t="s">
        <v>619</v>
      </c>
      <c r="RDU1028" t="s">
        <v>619</v>
      </c>
      <c r="RDV1028" t="s">
        <v>619</v>
      </c>
      <c r="RDW1028" t="s">
        <v>619</v>
      </c>
      <c r="RNN1028" t="s">
        <v>1397</v>
      </c>
      <c r="RNO1028">
        <v>-7490</v>
      </c>
      <c r="RNP1028" t="s">
        <v>619</v>
      </c>
      <c r="RNQ1028" t="s">
        <v>619</v>
      </c>
      <c r="RNR1028" t="s">
        <v>619</v>
      </c>
      <c r="RNS1028" t="s">
        <v>619</v>
      </c>
      <c r="RXJ1028" t="s">
        <v>1397</v>
      </c>
      <c r="RXK1028">
        <v>-7490</v>
      </c>
      <c r="RXL1028" t="s">
        <v>619</v>
      </c>
      <c r="RXM1028" t="s">
        <v>619</v>
      </c>
      <c r="RXN1028" t="s">
        <v>619</v>
      </c>
      <c r="RXO1028" t="s">
        <v>619</v>
      </c>
      <c r="SHF1028" t="s">
        <v>1397</v>
      </c>
      <c r="SHG1028">
        <v>-7490</v>
      </c>
      <c r="SHH1028" t="s">
        <v>619</v>
      </c>
      <c r="SHI1028" t="s">
        <v>619</v>
      </c>
      <c r="SHJ1028" t="s">
        <v>619</v>
      </c>
      <c r="SHK1028" t="s">
        <v>619</v>
      </c>
      <c r="SRB1028" t="s">
        <v>1397</v>
      </c>
      <c r="SRC1028">
        <v>-7490</v>
      </c>
      <c r="SRD1028" t="s">
        <v>619</v>
      </c>
      <c r="SRE1028" t="s">
        <v>619</v>
      </c>
      <c r="SRF1028" t="s">
        <v>619</v>
      </c>
      <c r="SRG1028" t="s">
        <v>619</v>
      </c>
      <c r="TAX1028" t="s">
        <v>1397</v>
      </c>
      <c r="TAY1028">
        <v>-7490</v>
      </c>
      <c r="TAZ1028" t="s">
        <v>619</v>
      </c>
      <c r="TBA1028" t="s">
        <v>619</v>
      </c>
      <c r="TBB1028" t="s">
        <v>619</v>
      </c>
      <c r="TBC1028" t="s">
        <v>619</v>
      </c>
      <c r="TKT1028" t="s">
        <v>1397</v>
      </c>
      <c r="TKU1028">
        <v>-7490</v>
      </c>
      <c r="TKV1028" t="s">
        <v>619</v>
      </c>
      <c r="TKW1028" t="s">
        <v>619</v>
      </c>
      <c r="TKX1028" t="s">
        <v>619</v>
      </c>
      <c r="TKY1028" t="s">
        <v>619</v>
      </c>
      <c r="TUP1028" t="s">
        <v>1397</v>
      </c>
      <c r="TUQ1028">
        <v>-7490</v>
      </c>
      <c r="TUR1028" t="s">
        <v>619</v>
      </c>
      <c r="TUS1028" t="s">
        <v>619</v>
      </c>
      <c r="TUT1028" t="s">
        <v>619</v>
      </c>
      <c r="TUU1028" t="s">
        <v>619</v>
      </c>
      <c r="UEL1028" t="s">
        <v>1397</v>
      </c>
      <c r="UEM1028">
        <v>-7490</v>
      </c>
      <c r="UEN1028" t="s">
        <v>619</v>
      </c>
      <c r="UEO1028" t="s">
        <v>619</v>
      </c>
      <c r="UEP1028" t="s">
        <v>619</v>
      </c>
      <c r="UEQ1028" t="s">
        <v>619</v>
      </c>
      <c r="UOH1028" t="s">
        <v>1397</v>
      </c>
      <c r="UOI1028">
        <v>-7490</v>
      </c>
      <c r="UOJ1028" t="s">
        <v>619</v>
      </c>
      <c r="UOK1028" t="s">
        <v>619</v>
      </c>
      <c r="UOL1028" t="s">
        <v>619</v>
      </c>
      <c r="UOM1028" t="s">
        <v>619</v>
      </c>
      <c r="UYD1028" t="s">
        <v>1397</v>
      </c>
      <c r="UYE1028">
        <v>-7490</v>
      </c>
      <c r="UYF1028" t="s">
        <v>619</v>
      </c>
      <c r="UYG1028" t="s">
        <v>619</v>
      </c>
      <c r="UYH1028" t="s">
        <v>619</v>
      </c>
      <c r="UYI1028" t="s">
        <v>619</v>
      </c>
      <c r="VHZ1028" t="s">
        <v>1397</v>
      </c>
      <c r="VIA1028">
        <v>-7490</v>
      </c>
      <c r="VIB1028" t="s">
        <v>619</v>
      </c>
      <c r="VIC1028" t="s">
        <v>619</v>
      </c>
      <c r="VID1028" t="s">
        <v>619</v>
      </c>
      <c r="VIE1028" t="s">
        <v>619</v>
      </c>
      <c r="VRV1028" t="s">
        <v>1397</v>
      </c>
      <c r="VRW1028">
        <v>-7490</v>
      </c>
      <c r="VRX1028" t="s">
        <v>619</v>
      </c>
      <c r="VRY1028" t="s">
        <v>619</v>
      </c>
      <c r="VRZ1028" t="s">
        <v>619</v>
      </c>
      <c r="VSA1028" t="s">
        <v>619</v>
      </c>
      <c r="WBR1028" t="s">
        <v>1397</v>
      </c>
      <c r="WBS1028">
        <v>-7490</v>
      </c>
      <c r="WBT1028" t="s">
        <v>619</v>
      </c>
      <c r="WBU1028" t="s">
        <v>619</v>
      </c>
      <c r="WBV1028" t="s">
        <v>619</v>
      </c>
      <c r="WBW1028" t="s">
        <v>619</v>
      </c>
      <c r="WLN1028" t="s">
        <v>1397</v>
      </c>
      <c r="WLO1028">
        <v>-7490</v>
      </c>
      <c r="WLP1028" t="s">
        <v>619</v>
      </c>
      <c r="WLQ1028" t="s">
        <v>619</v>
      </c>
      <c r="WLR1028" t="s">
        <v>619</v>
      </c>
      <c r="WLS1028" t="s">
        <v>619</v>
      </c>
      <c r="WVJ1028" t="s">
        <v>1397</v>
      </c>
      <c r="WVK1028">
        <v>-7490</v>
      </c>
      <c r="WVL1028" t="s">
        <v>619</v>
      </c>
      <c r="WVM1028" t="s">
        <v>619</v>
      </c>
      <c r="WVN1028" t="s">
        <v>619</v>
      </c>
      <c r="WVO1028" t="s">
        <v>619</v>
      </c>
    </row>
    <row r="1029" spans="1:775 1026:1799 2050:2823 3074:3847 4098:4871 5122:5895 6146:6919 7170:7943 8194:8967 9218:9991 10242:11015 11266:12039 12290:13063 13314:14087 14338:15111 15362:16135">
      <c r="A1029" s="96" t="s">
        <v>1398</v>
      </c>
      <c r="B1029" t="s">
        <v>1003</v>
      </c>
      <c r="C1029" s="100">
        <v>78651</v>
      </c>
      <c r="D1029" s="98">
        <v>0</v>
      </c>
      <c r="E1029" s="98">
        <v>0</v>
      </c>
      <c r="F1029" s="98">
        <v>0</v>
      </c>
      <c r="G1029" s="98">
        <v>0</v>
      </c>
      <c r="H1029" s="98"/>
      <c r="IX1029" t="s">
        <v>1398</v>
      </c>
      <c r="IY1029">
        <v>78651</v>
      </c>
      <c r="IZ1029" t="s">
        <v>619</v>
      </c>
      <c r="JA1029" t="s">
        <v>619</v>
      </c>
      <c r="JB1029" t="s">
        <v>619</v>
      </c>
      <c r="JC1029" t="s">
        <v>619</v>
      </c>
      <c r="ST1029" t="s">
        <v>1398</v>
      </c>
      <c r="SU1029">
        <v>78651</v>
      </c>
      <c r="SV1029" t="s">
        <v>619</v>
      </c>
      <c r="SW1029" t="s">
        <v>619</v>
      </c>
      <c r="SX1029" t="s">
        <v>619</v>
      </c>
      <c r="SY1029" t="s">
        <v>619</v>
      </c>
      <c r="ACP1029" t="s">
        <v>1398</v>
      </c>
      <c r="ACQ1029">
        <v>78651</v>
      </c>
      <c r="ACR1029" t="s">
        <v>619</v>
      </c>
      <c r="ACS1029" t="s">
        <v>619</v>
      </c>
      <c r="ACT1029" t="s">
        <v>619</v>
      </c>
      <c r="ACU1029" t="s">
        <v>619</v>
      </c>
      <c r="AML1029" t="s">
        <v>1398</v>
      </c>
      <c r="AMM1029">
        <v>78651</v>
      </c>
      <c r="AMN1029" t="s">
        <v>619</v>
      </c>
      <c r="AMO1029" t="s">
        <v>619</v>
      </c>
      <c r="AMP1029" t="s">
        <v>619</v>
      </c>
      <c r="AMQ1029" t="s">
        <v>619</v>
      </c>
      <c r="AWH1029" t="s">
        <v>1398</v>
      </c>
      <c r="AWI1029">
        <v>78651</v>
      </c>
      <c r="AWJ1029" t="s">
        <v>619</v>
      </c>
      <c r="AWK1029" t="s">
        <v>619</v>
      </c>
      <c r="AWL1029" t="s">
        <v>619</v>
      </c>
      <c r="AWM1029" t="s">
        <v>619</v>
      </c>
      <c r="BGD1029" t="s">
        <v>1398</v>
      </c>
      <c r="BGE1029">
        <v>78651</v>
      </c>
      <c r="BGF1029" t="s">
        <v>619</v>
      </c>
      <c r="BGG1029" t="s">
        <v>619</v>
      </c>
      <c r="BGH1029" t="s">
        <v>619</v>
      </c>
      <c r="BGI1029" t="s">
        <v>619</v>
      </c>
      <c r="BPZ1029" t="s">
        <v>1398</v>
      </c>
      <c r="BQA1029">
        <v>78651</v>
      </c>
      <c r="BQB1029" t="s">
        <v>619</v>
      </c>
      <c r="BQC1029" t="s">
        <v>619</v>
      </c>
      <c r="BQD1029" t="s">
        <v>619</v>
      </c>
      <c r="BQE1029" t="s">
        <v>619</v>
      </c>
      <c r="BZV1029" t="s">
        <v>1398</v>
      </c>
      <c r="BZW1029">
        <v>78651</v>
      </c>
      <c r="BZX1029" t="s">
        <v>619</v>
      </c>
      <c r="BZY1029" t="s">
        <v>619</v>
      </c>
      <c r="BZZ1029" t="s">
        <v>619</v>
      </c>
      <c r="CAA1029" t="s">
        <v>619</v>
      </c>
      <c r="CJR1029" t="s">
        <v>1398</v>
      </c>
      <c r="CJS1029">
        <v>78651</v>
      </c>
      <c r="CJT1029" t="s">
        <v>619</v>
      </c>
      <c r="CJU1029" t="s">
        <v>619</v>
      </c>
      <c r="CJV1029" t="s">
        <v>619</v>
      </c>
      <c r="CJW1029" t="s">
        <v>619</v>
      </c>
      <c r="CTN1029" t="s">
        <v>1398</v>
      </c>
      <c r="CTO1029">
        <v>78651</v>
      </c>
      <c r="CTP1029" t="s">
        <v>619</v>
      </c>
      <c r="CTQ1029" t="s">
        <v>619</v>
      </c>
      <c r="CTR1029" t="s">
        <v>619</v>
      </c>
      <c r="CTS1029" t="s">
        <v>619</v>
      </c>
      <c r="DDJ1029" t="s">
        <v>1398</v>
      </c>
      <c r="DDK1029">
        <v>78651</v>
      </c>
      <c r="DDL1029" t="s">
        <v>619</v>
      </c>
      <c r="DDM1029" t="s">
        <v>619</v>
      </c>
      <c r="DDN1029" t="s">
        <v>619</v>
      </c>
      <c r="DDO1029" t="s">
        <v>619</v>
      </c>
      <c r="DNF1029" t="s">
        <v>1398</v>
      </c>
      <c r="DNG1029">
        <v>78651</v>
      </c>
      <c r="DNH1029" t="s">
        <v>619</v>
      </c>
      <c r="DNI1029" t="s">
        <v>619</v>
      </c>
      <c r="DNJ1029" t="s">
        <v>619</v>
      </c>
      <c r="DNK1029" t="s">
        <v>619</v>
      </c>
      <c r="DXB1029" t="s">
        <v>1398</v>
      </c>
      <c r="DXC1029">
        <v>78651</v>
      </c>
      <c r="DXD1029" t="s">
        <v>619</v>
      </c>
      <c r="DXE1029" t="s">
        <v>619</v>
      </c>
      <c r="DXF1029" t="s">
        <v>619</v>
      </c>
      <c r="DXG1029" t="s">
        <v>619</v>
      </c>
      <c r="EGX1029" t="s">
        <v>1398</v>
      </c>
      <c r="EGY1029">
        <v>78651</v>
      </c>
      <c r="EGZ1029" t="s">
        <v>619</v>
      </c>
      <c r="EHA1029" t="s">
        <v>619</v>
      </c>
      <c r="EHB1029" t="s">
        <v>619</v>
      </c>
      <c r="EHC1029" t="s">
        <v>619</v>
      </c>
      <c r="EQT1029" t="s">
        <v>1398</v>
      </c>
      <c r="EQU1029">
        <v>78651</v>
      </c>
      <c r="EQV1029" t="s">
        <v>619</v>
      </c>
      <c r="EQW1029" t="s">
        <v>619</v>
      </c>
      <c r="EQX1029" t="s">
        <v>619</v>
      </c>
      <c r="EQY1029" t="s">
        <v>619</v>
      </c>
      <c r="FAP1029" t="s">
        <v>1398</v>
      </c>
      <c r="FAQ1029">
        <v>78651</v>
      </c>
      <c r="FAR1029" t="s">
        <v>619</v>
      </c>
      <c r="FAS1029" t="s">
        <v>619</v>
      </c>
      <c r="FAT1029" t="s">
        <v>619</v>
      </c>
      <c r="FAU1029" t="s">
        <v>619</v>
      </c>
      <c r="FKL1029" t="s">
        <v>1398</v>
      </c>
      <c r="FKM1029">
        <v>78651</v>
      </c>
      <c r="FKN1029" t="s">
        <v>619</v>
      </c>
      <c r="FKO1029" t="s">
        <v>619</v>
      </c>
      <c r="FKP1029" t="s">
        <v>619</v>
      </c>
      <c r="FKQ1029" t="s">
        <v>619</v>
      </c>
      <c r="FUH1029" t="s">
        <v>1398</v>
      </c>
      <c r="FUI1029">
        <v>78651</v>
      </c>
      <c r="FUJ1029" t="s">
        <v>619</v>
      </c>
      <c r="FUK1029" t="s">
        <v>619</v>
      </c>
      <c r="FUL1029" t="s">
        <v>619</v>
      </c>
      <c r="FUM1029" t="s">
        <v>619</v>
      </c>
      <c r="GED1029" t="s">
        <v>1398</v>
      </c>
      <c r="GEE1029">
        <v>78651</v>
      </c>
      <c r="GEF1029" t="s">
        <v>619</v>
      </c>
      <c r="GEG1029" t="s">
        <v>619</v>
      </c>
      <c r="GEH1029" t="s">
        <v>619</v>
      </c>
      <c r="GEI1029" t="s">
        <v>619</v>
      </c>
      <c r="GNZ1029" t="s">
        <v>1398</v>
      </c>
      <c r="GOA1029">
        <v>78651</v>
      </c>
      <c r="GOB1029" t="s">
        <v>619</v>
      </c>
      <c r="GOC1029" t="s">
        <v>619</v>
      </c>
      <c r="GOD1029" t="s">
        <v>619</v>
      </c>
      <c r="GOE1029" t="s">
        <v>619</v>
      </c>
      <c r="GXV1029" t="s">
        <v>1398</v>
      </c>
      <c r="GXW1029">
        <v>78651</v>
      </c>
      <c r="GXX1029" t="s">
        <v>619</v>
      </c>
      <c r="GXY1029" t="s">
        <v>619</v>
      </c>
      <c r="GXZ1029" t="s">
        <v>619</v>
      </c>
      <c r="GYA1029" t="s">
        <v>619</v>
      </c>
      <c r="HHR1029" t="s">
        <v>1398</v>
      </c>
      <c r="HHS1029">
        <v>78651</v>
      </c>
      <c r="HHT1029" t="s">
        <v>619</v>
      </c>
      <c r="HHU1029" t="s">
        <v>619</v>
      </c>
      <c r="HHV1029" t="s">
        <v>619</v>
      </c>
      <c r="HHW1029" t="s">
        <v>619</v>
      </c>
      <c r="HRN1029" t="s">
        <v>1398</v>
      </c>
      <c r="HRO1029">
        <v>78651</v>
      </c>
      <c r="HRP1029" t="s">
        <v>619</v>
      </c>
      <c r="HRQ1029" t="s">
        <v>619</v>
      </c>
      <c r="HRR1029" t="s">
        <v>619</v>
      </c>
      <c r="HRS1029" t="s">
        <v>619</v>
      </c>
      <c r="IBJ1029" t="s">
        <v>1398</v>
      </c>
      <c r="IBK1029">
        <v>78651</v>
      </c>
      <c r="IBL1029" t="s">
        <v>619</v>
      </c>
      <c r="IBM1029" t="s">
        <v>619</v>
      </c>
      <c r="IBN1029" t="s">
        <v>619</v>
      </c>
      <c r="IBO1029" t="s">
        <v>619</v>
      </c>
      <c r="ILF1029" t="s">
        <v>1398</v>
      </c>
      <c r="ILG1029">
        <v>78651</v>
      </c>
      <c r="ILH1029" t="s">
        <v>619</v>
      </c>
      <c r="ILI1029" t="s">
        <v>619</v>
      </c>
      <c r="ILJ1029" t="s">
        <v>619</v>
      </c>
      <c r="ILK1029" t="s">
        <v>619</v>
      </c>
      <c r="IVB1029" t="s">
        <v>1398</v>
      </c>
      <c r="IVC1029">
        <v>78651</v>
      </c>
      <c r="IVD1029" t="s">
        <v>619</v>
      </c>
      <c r="IVE1029" t="s">
        <v>619</v>
      </c>
      <c r="IVF1029" t="s">
        <v>619</v>
      </c>
      <c r="IVG1029" t="s">
        <v>619</v>
      </c>
      <c r="JEX1029" t="s">
        <v>1398</v>
      </c>
      <c r="JEY1029">
        <v>78651</v>
      </c>
      <c r="JEZ1029" t="s">
        <v>619</v>
      </c>
      <c r="JFA1029" t="s">
        <v>619</v>
      </c>
      <c r="JFB1029" t="s">
        <v>619</v>
      </c>
      <c r="JFC1029" t="s">
        <v>619</v>
      </c>
      <c r="JOT1029" t="s">
        <v>1398</v>
      </c>
      <c r="JOU1029">
        <v>78651</v>
      </c>
      <c r="JOV1029" t="s">
        <v>619</v>
      </c>
      <c r="JOW1029" t="s">
        <v>619</v>
      </c>
      <c r="JOX1029" t="s">
        <v>619</v>
      </c>
      <c r="JOY1029" t="s">
        <v>619</v>
      </c>
      <c r="JYP1029" t="s">
        <v>1398</v>
      </c>
      <c r="JYQ1029">
        <v>78651</v>
      </c>
      <c r="JYR1029" t="s">
        <v>619</v>
      </c>
      <c r="JYS1029" t="s">
        <v>619</v>
      </c>
      <c r="JYT1029" t="s">
        <v>619</v>
      </c>
      <c r="JYU1029" t="s">
        <v>619</v>
      </c>
      <c r="KIL1029" t="s">
        <v>1398</v>
      </c>
      <c r="KIM1029">
        <v>78651</v>
      </c>
      <c r="KIN1029" t="s">
        <v>619</v>
      </c>
      <c r="KIO1029" t="s">
        <v>619</v>
      </c>
      <c r="KIP1029" t="s">
        <v>619</v>
      </c>
      <c r="KIQ1029" t="s">
        <v>619</v>
      </c>
      <c r="KSH1029" t="s">
        <v>1398</v>
      </c>
      <c r="KSI1029">
        <v>78651</v>
      </c>
      <c r="KSJ1029" t="s">
        <v>619</v>
      </c>
      <c r="KSK1029" t="s">
        <v>619</v>
      </c>
      <c r="KSL1029" t="s">
        <v>619</v>
      </c>
      <c r="KSM1029" t="s">
        <v>619</v>
      </c>
      <c r="LCD1029" t="s">
        <v>1398</v>
      </c>
      <c r="LCE1029">
        <v>78651</v>
      </c>
      <c r="LCF1029" t="s">
        <v>619</v>
      </c>
      <c r="LCG1029" t="s">
        <v>619</v>
      </c>
      <c r="LCH1029" t="s">
        <v>619</v>
      </c>
      <c r="LCI1029" t="s">
        <v>619</v>
      </c>
      <c r="LLZ1029" t="s">
        <v>1398</v>
      </c>
      <c r="LMA1029">
        <v>78651</v>
      </c>
      <c r="LMB1029" t="s">
        <v>619</v>
      </c>
      <c r="LMC1029" t="s">
        <v>619</v>
      </c>
      <c r="LMD1029" t="s">
        <v>619</v>
      </c>
      <c r="LME1029" t="s">
        <v>619</v>
      </c>
      <c r="LVV1029" t="s">
        <v>1398</v>
      </c>
      <c r="LVW1029">
        <v>78651</v>
      </c>
      <c r="LVX1029" t="s">
        <v>619</v>
      </c>
      <c r="LVY1029" t="s">
        <v>619</v>
      </c>
      <c r="LVZ1029" t="s">
        <v>619</v>
      </c>
      <c r="LWA1029" t="s">
        <v>619</v>
      </c>
      <c r="MFR1029" t="s">
        <v>1398</v>
      </c>
      <c r="MFS1029">
        <v>78651</v>
      </c>
      <c r="MFT1029" t="s">
        <v>619</v>
      </c>
      <c r="MFU1029" t="s">
        <v>619</v>
      </c>
      <c r="MFV1029" t="s">
        <v>619</v>
      </c>
      <c r="MFW1029" t="s">
        <v>619</v>
      </c>
      <c r="MPN1029" t="s">
        <v>1398</v>
      </c>
      <c r="MPO1029">
        <v>78651</v>
      </c>
      <c r="MPP1029" t="s">
        <v>619</v>
      </c>
      <c r="MPQ1029" t="s">
        <v>619</v>
      </c>
      <c r="MPR1029" t="s">
        <v>619</v>
      </c>
      <c r="MPS1029" t="s">
        <v>619</v>
      </c>
      <c r="MZJ1029" t="s">
        <v>1398</v>
      </c>
      <c r="MZK1029">
        <v>78651</v>
      </c>
      <c r="MZL1029" t="s">
        <v>619</v>
      </c>
      <c r="MZM1029" t="s">
        <v>619</v>
      </c>
      <c r="MZN1029" t="s">
        <v>619</v>
      </c>
      <c r="MZO1029" t="s">
        <v>619</v>
      </c>
      <c r="NJF1029" t="s">
        <v>1398</v>
      </c>
      <c r="NJG1029">
        <v>78651</v>
      </c>
      <c r="NJH1029" t="s">
        <v>619</v>
      </c>
      <c r="NJI1029" t="s">
        <v>619</v>
      </c>
      <c r="NJJ1029" t="s">
        <v>619</v>
      </c>
      <c r="NJK1029" t="s">
        <v>619</v>
      </c>
      <c r="NTB1029" t="s">
        <v>1398</v>
      </c>
      <c r="NTC1029">
        <v>78651</v>
      </c>
      <c r="NTD1029" t="s">
        <v>619</v>
      </c>
      <c r="NTE1029" t="s">
        <v>619</v>
      </c>
      <c r="NTF1029" t="s">
        <v>619</v>
      </c>
      <c r="NTG1029" t="s">
        <v>619</v>
      </c>
      <c r="OCX1029" t="s">
        <v>1398</v>
      </c>
      <c r="OCY1029">
        <v>78651</v>
      </c>
      <c r="OCZ1029" t="s">
        <v>619</v>
      </c>
      <c r="ODA1029" t="s">
        <v>619</v>
      </c>
      <c r="ODB1029" t="s">
        <v>619</v>
      </c>
      <c r="ODC1029" t="s">
        <v>619</v>
      </c>
      <c r="OMT1029" t="s">
        <v>1398</v>
      </c>
      <c r="OMU1029">
        <v>78651</v>
      </c>
      <c r="OMV1029" t="s">
        <v>619</v>
      </c>
      <c r="OMW1029" t="s">
        <v>619</v>
      </c>
      <c r="OMX1029" t="s">
        <v>619</v>
      </c>
      <c r="OMY1029" t="s">
        <v>619</v>
      </c>
      <c r="OWP1029" t="s">
        <v>1398</v>
      </c>
      <c r="OWQ1029">
        <v>78651</v>
      </c>
      <c r="OWR1029" t="s">
        <v>619</v>
      </c>
      <c r="OWS1029" t="s">
        <v>619</v>
      </c>
      <c r="OWT1029" t="s">
        <v>619</v>
      </c>
      <c r="OWU1029" t="s">
        <v>619</v>
      </c>
      <c r="PGL1029" t="s">
        <v>1398</v>
      </c>
      <c r="PGM1029">
        <v>78651</v>
      </c>
      <c r="PGN1029" t="s">
        <v>619</v>
      </c>
      <c r="PGO1029" t="s">
        <v>619</v>
      </c>
      <c r="PGP1029" t="s">
        <v>619</v>
      </c>
      <c r="PGQ1029" t="s">
        <v>619</v>
      </c>
      <c r="PQH1029" t="s">
        <v>1398</v>
      </c>
      <c r="PQI1029">
        <v>78651</v>
      </c>
      <c r="PQJ1029" t="s">
        <v>619</v>
      </c>
      <c r="PQK1029" t="s">
        <v>619</v>
      </c>
      <c r="PQL1029" t="s">
        <v>619</v>
      </c>
      <c r="PQM1029" t="s">
        <v>619</v>
      </c>
      <c r="QAD1029" t="s">
        <v>1398</v>
      </c>
      <c r="QAE1029">
        <v>78651</v>
      </c>
      <c r="QAF1029" t="s">
        <v>619</v>
      </c>
      <c r="QAG1029" t="s">
        <v>619</v>
      </c>
      <c r="QAH1029" t="s">
        <v>619</v>
      </c>
      <c r="QAI1029" t="s">
        <v>619</v>
      </c>
      <c r="QJZ1029" t="s">
        <v>1398</v>
      </c>
      <c r="QKA1029">
        <v>78651</v>
      </c>
      <c r="QKB1029" t="s">
        <v>619</v>
      </c>
      <c r="QKC1029" t="s">
        <v>619</v>
      </c>
      <c r="QKD1029" t="s">
        <v>619</v>
      </c>
      <c r="QKE1029" t="s">
        <v>619</v>
      </c>
      <c r="QTV1029" t="s">
        <v>1398</v>
      </c>
      <c r="QTW1029">
        <v>78651</v>
      </c>
      <c r="QTX1029" t="s">
        <v>619</v>
      </c>
      <c r="QTY1029" t="s">
        <v>619</v>
      </c>
      <c r="QTZ1029" t="s">
        <v>619</v>
      </c>
      <c r="QUA1029" t="s">
        <v>619</v>
      </c>
      <c r="RDR1029" t="s">
        <v>1398</v>
      </c>
      <c r="RDS1029">
        <v>78651</v>
      </c>
      <c r="RDT1029" t="s">
        <v>619</v>
      </c>
      <c r="RDU1029" t="s">
        <v>619</v>
      </c>
      <c r="RDV1029" t="s">
        <v>619</v>
      </c>
      <c r="RDW1029" t="s">
        <v>619</v>
      </c>
      <c r="RNN1029" t="s">
        <v>1398</v>
      </c>
      <c r="RNO1029">
        <v>78651</v>
      </c>
      <c r="RNP1029" t="s">
        <v>619</v>
      </c>
      <c r="RNQ1029" t="s">
        <v>619</v>
      </c>
      <c r="RNR1029" t="s">
        <v>619</v>
      </c>
      <c r="RNS1029" t="s">
        <v>619</v>
      </c>
      <c r="RXJ1029" t="s">
        <v>1398</v>
      </c>
      <c r="RXK1029">
        <v>78651</v>
      </c>
      <c r="RXL1029" t="s">
        <v>619</v>
      </c>
      <c r="RXM1029" t="s">
        <v>619</v>
      </c>
      <c r="RXN1029" t="s">
        <v>619</v>
      </c>
      <c r="RXO1029" t="s">
        <v>619</v>
      </c>
      <c r="SHF1029" t="s">
        <v>1398</v>
      </c>
      <c r="SHG1029">
        <v>78651</v>
      </c>
      <c r="SHH1029" t="s">
        <v>619</v>
      </c>
      <c r="SHI1029" t="s">
        <v>619</v>
      </c>
      <c r="SHJ1029" t="s">
        <v>619</v>
      </c>
      <c r="SHK1029" t="s">
        <v>619</v>
      </c>
      <c r="SRB1029" t="s">
        <v>1398</v>
      </c>
      <c r="SRC1029">
        <v>78651</v>
      </c>
      <c r="SRD1029" t="s">
        <v>619</v>
      </c>
      <c r="SRE1029" t="s">
        <v>619</v>
      </c>
      <c r="SRF1029" t="s">
        <v>619</v>
      </c>
      <c r="SRG1029" t="s">
        <v>619</v>
      </c>
      <c r="TAX1029" t="s">
        <v>1398</v>
      </c>
      <c r="TAY1029">
        <v>78651</v>
      </c>
      <c r="TAZ1029" t="s">
        <v>619</v>
      </c>
      <c r="TBA1029" t="s">
        <v>619</v>
      </c>
      <c r="TBB1029" t="s">
        <v>619</v>
      </c>
      <c r="TBC1029" t="s">
        <v>619</v>
      </c>
      <c r="TKT1029" t="s">
        <v>1398</v>
      </c>
      <c r="TKU1029">
        <v>78651</v>
      </c>
      <c r="TKV1029" t="s">
        <v>619</v>
      </c>
      <c r="TKW1029" t="s">
        <v>619</v>
      </c>
      <c r="TKX1029" t="s">
        <v>619</v>
      </c>
      <c r="TKY1029" t="s">
        <v>619</v>
      </c>
      <c r="TUP1029" t="s">
        <v>1398</v>
      </c>
      <c r="TUQ1029">
        <v>78651</v>
      </c>
      <c r="TUR1029" t="s">
        <v>619</v>
      </c>
      <c r="TUS1029" t="s">
        <v>619</v>
      </c>
      <c r="TUT1029" t="s">
        <v>619</v>
      </c>
      <c r="TUU1029" t="s">
        <v>619</v>
      </c>
      <c r="UEL1029" t="s">
        <v>1398</v>
      </c>
      <c r="UEM1029">
        <v>78651</v>
      </c>
      <c r="UEN1029" t="s">
        <v>619</v>
      </c>
      <c r="UEO1029" t="s">
        <v>619</v>
      </c>
      <c r="UEP1029" t="s">
        <v>619</v>
      </c>
      <c r="UEQ1029" t="s">
        <v>619</v>
      </c>
      <c r="UOH1029" t="s">
        <v>1398</v>
      </c>
      <c r="UOI1029">
        <v>78651</v>
      </c>
      <c r="UOJ1029" t="s">
        <v>619</v>
      </c>
      <c r="UOK1029" t="s">
        <v>619</v>
      </c>
      <c r="UOL1029" t="s">
        <v>619</v>
      </c>
      <c r="UOM1029" t="s">
        <v>619</v>
      </c>
      <c r="UYD1029" t="s">
        <v>1398</v>
      </c>
      <c r="UYE1029">
        <v>78651</v>
      </c>
      <c r="UYF1029" t="s">
        <v>619</v>
      </c>
      <c r="UYG1029" t="s">
        <v>619</v>
      </c>
      <c r="UYH1029" t="s">
        <v>619</v>
      </c>
      <c r="UYI1029" t="s">
        <v>619</v>
      </c>
      <c r="VHZ1029" t="s">
        <v>1398</v>
      </c>
      <c r="VIA1029">
        <v>78651</v>
      </c>
      <c r="VIB1029" t="s">
        <v>619</v>
      </c>
      <c r="VIC1029" t="s">
        <v>619</v>
      </c>
      <c r="VID1029" t="s">
        <v>619</v>
      </c>
      <c r="VIE1029" t="s">
        <v>619</v>
      </c>
      <c r="VRV1029" t="s">
        <v>1398</v>
      </c>
      <c r="VRW1029">
        <v>78651</v>
      </c>
      <c r="VRX1029" t="s">
        <v>619</v>
      </c>
      <c r="VRY1029" t="s">
        <v>619</v>
      </c>
      <c r="VRZ1029" t="s">
        <v>619</v>
      </c>
      <c r="VSA1029" t="s">
        <v>619</v>
      </c>
      <c r="WBR1029" t="s">
        <v>1398</v>
      </c>
      <c r="WBS1029">
        <v>78651</v>
      </c>
      <c r="WBT1029" t="s">
        <v>619</v>
      </c>
      <c r="WBU1029" t="s">
        <v>619</v>
      </c>
      <c r="WBV1029" t="s">
        <v>619</v>
      </c>
      <c r="WBW1029" t="s">
        <v>619</v>
      </c>
      <c r="WLN1029" t="s">
        <v>1398</v>
      </c>
      <c r="WLO1029">
        <v>78651</v>
      </c>
      <c r="WLP1029" t="s">
        <v>619</v>
      </c>
      <c r="WLQ1029" t="s">
        <v>619</v>
      </c>
      <c r="WLR1029" t="s">
        <v>619</v>
      </c>
      <c r="WLS1029" t="s">
        <v>619</v>
      </c>
      <c r="WVJ1029" t="s">
        <v>1398</v>
      </c>
      <c r="WVK1029">
        <v>78651</v>
      </c>
      <c r="WVL1029" t="s">
        <v>619</v>
      </c>
      <c r="WVM1029" t="s">
        <v>619</v>
      </c>
      <c r="WVN1029" t="s">
        <v>619</v>
      </c>
      <c r="WVO1029" t="s">
        <v>619</v>
      </c>
    </row>
    <row r="1030" spans="1:775 1026:1799 2050:2823 3074:3847 4098:4871 5122:5895 6146:6919 7170:7943 8194:8967 9218:9991 10242:11015 11266:12039 12290:13063 13314:14087 14338:15111 15362:16135">
      <c r="A1030" s="96" t="s">
        <v>1399</v>
      </c>
      <c r="B1030" t="s">
        <v>1003</v>
      </c>
      <c r="C1030" s="100">
        <v>14500</v>
      </c>
      <c r="D1030" s="98">
        <v>0</v>
      </c>
      <c r="E1030" s="98">
        <v>0</v>
      </c>
      <c r="F1030" s="100">
        <v>100000</v>
      </c>
      <c r="G1030" s="98">
        <v>0</v>
      </c>
      <c r="H1030" s="98"/>
      <c r="IX1030" t="s">
        <v>1399</v>
      </c>
      <c r="IY1030">
        <v>14500</v>
      </c>
      <c r="IZ1030" t="s">
        <v>619</v>
      </c>
      <c r="JA1030" t="s">
        <v>619</v>
      </c>
      <c r="JB1030">
        <v>100000</v>
      </c>
      <c r="JC1030" t="s">
        <v>619</v>
      </c>
      <c r="ST1030" t="s">
        <v>1399</v>
      </c>
      <c r="SU1030">
        <v>14500</v>
      </c>
      <c r="SV1030" t="s">
        <v>619</v>
      </c>
      <c r="SW1030" t="s">
        <v>619</v>
      </c>
      <c r="SX1030">
        <v>100000</v>
      </c>
      <c r="SY1030" t="s">
        <v>619</v>
      </c>
      <c r="ACP1030" t="s">
        <v>1399</v>
      </c>
      <c r="ACQ1030">
        <v>14500</v>
      </c>
      <c r="ACR1030" t="s">
        <v>619</v>
      </c>
      <c r="ACS1030" t="s">
        <v>619</v>
      </c>
      <c r="ACT1030">
        <v>100000</v>
      </c>
      <c r="ACU1030" t="s">
        <v>619</v>
      </c>
      <c r="AML1030" t="s">
        <v>1399</v>
      </c>
      <c r="AMM1030">
        <v>14500</v>
      </c>
      <c r="AMN1030" t="s">
        <v>619</v>
      </c>
      <c r="AMO1030" t="s">
        <v>619</v>
      </c>
      <c r="AMP1030">
        <v>100000</v>
      </c>
      <c r="AMQ1030" t="s">
        <v>619</v>
      </c>
      <c r="AWH1030" t="s">
        <v>1399</v>
      </c>
      <c r="AWI1030">
        <v>14500</v>
      </c>
      <c r="AWJ1030" t="s">
        <v>619</v>
      </c>
      <c r="AWK1030" t="s">
        <v>619</v>
      </c>
      <c r="AWL1030">
        <v>100000</v>
      </c>
      <c r="AWM1030" t="s">
        <v>619</v>
      </c>
      <c r="BGD1030" t="s">
        <v>1399</v>
      </c>
      <c r="BGE1030">
        <v>14500</v>
      </c>
      <c r="BGF1030" t="s">
        <v>619</v>
      </c>
      <c r="BGG1030" t="s">
        <v>619</v>
      </c>
      <c r="BGH1030">
        <v>100000</v>
      </c>
      <c r="BGI1030" t="s">
        <v>619</v>
      </c>
      <c r="BPZ1030" t="s">
        <v>1399</v>
      </c>
      <c r="BQA1030">
        <v>14500</v>
      </c>
      <c r="BQB1030" t="s">
        <v>619</v>
      </c>
      <c r="BQC1030" t="s">
        <v>619</v>
      </c>
      <c r="BQD1030">
        <v>100000</v>
      </c>
      <c r="BQE1030" t="s">
        <v>619</v>
      </c>
      <c r="BZV1030" t="s">
        <v>1399</v>
      </c>
      <c r="BZW1030">
        <v>14500</v>
      </c>
      <c r="BZX1030" t="s">
        <v>619</v>
      </c>
      <c r="BZY1030" t="s">
        <v>619</v>
      </c>
      <c r="BZZ1030">
        <v>100000</v>
      </c>
      <c r="CAA1030" t="s">
        <v>619</v>
      </c>
      <c r="CJR1030" t="s">
        <v>1399</v>
      </c>
      <c r="CJS1030">
        <v>14500</v>
      </c>
      <c r="CJT1030" t="s">
        <v>619</v>
      </c>
      <c r="CJU1030" t="s">
        <v>619</v>
      </c>
      <c r="CJV1030">
        <v>100000</v>
      </c>
      <c r="CJW1030" t="s">
        <v>619</v>
      </c>
      <c r="CTN1030" t="s">
        <v>1399</v>
      </c>
      <c r="CTO1030">
        <v>14500</v>
      </c>
      <c r="CTP1030" t="s">
        <v>619</v>
      </c>
      <c r="CTQ1030" t="s">
        <v>619</v>
      </c>
      <c r="CTR1030">
        <v>100000</v>
      </c>
      <c r="CTS1030" t="s">
        <v>619</v>
      </c>
      <c r="DDJ1030" t="s">
        <v>1399</v>
      </c>
      <c r="DDK1030">
        <v>14500</v>
      </c>
      <c r="DDL1030" t="s">
        <v>619</v>
      </c>
      <c r="DDM1030" t="s">
        <v>619</v>
      </c>
      <c r="DDN1030">
        <v>100000</v>
      </c>
      <c r="DDO1030" t="s">
        <v>619</v>
      </c>
      <c r="DNF1030" t="s">
        <v>1399</v>
      </c>
      <c r="DNG1030">
        <v>14500</v>
      </c>
      <c r="DNH1030" t="s">
        <v>619</v>
      </c>
      <c r="DNI1030" t="s">
        <v>619</v>
      </c>
      <c r="DNJ1030">
        <v>100000</v>
      </c>
      <c r="DNK1030" t="s">
        <v>619</v>
      </c>
      <c r="DXB1030" t="s">
        <v>1399</v>
      </c>
      <c r="DXC1030">
        <v>14500</v>
      </c>
      <c r="DXD1030" t="s">
        <v>619</v>
      </c>
      <c r="DXE1030" t="s">
        <v>619</v>
      </c>
      <c r="DXF1030">
        <v>100000</v>
      </c>
      <c r="DXG1030" t="s">
        <v>619</v>
      </c>
      <c r="EGX1030" t="s">
        <v>1399</v>
      </c>
      <c r="EGY1030">
        <v>14500</v>
      </c>
      <c r="EGZ1030" t="s">
        <v>619</v>
      </c>
      <c r="EHA1030" t="s">
        <v>619</v>
      </c>
      <c r="EHB1030">
        <v>100000</v>
      </c>
      <c r="EHC1030" t="s">
        <v>619</v>
      </c>
      <c r="EQT1030" t="s">
        <v>1399</v>
      </c>
      <c r="EQU1030">
        <v>14500</v>
      </c>
      <c r="EQV1030" t="s">
        <v>619</v>
      </c>
      <c r="EQW1030" t="s">
        <v>619</v>
      </c>
      <c r="EQX1030">
        <v>100000</v>
      </c>
      <c r="EQY1030" t="s">
        <v>619</v>
      </c>
      <c r="FAP1030" t="s">
        <v>1399</v>
      </c>
      <c r="FAQ1030">
        <v>14500</v>
      </c>
      <c r="FAR1030" t="s">
        <v>619</v>
      </c>
      <c r="FAS1030" t="s">
        <v>619</v>
      </c>
      <c r="FAT1030">
        <v>100000</v>
      </c>
      <c r="FAU1030" t="s">
        <v>619</v>
      </c>
      <c r="FKL1030" t="s">
        <v>1399</v>
      </c>
      <c r="FKM1030">
        <v>14500</v>
      </c>
      <c r="FKN1030" t="s">
        <v>619</v>
      </c>
      <c r="FKO1030" t="s">
        <v>619</v>
      </c>
      <c r="FKP1030">
        <v>100000</v>
      </c>
      <c r="FKQ1030" t="s">
        <v>619</v>
      </c>
      <c r="FUH1030" t="s">
        <v>1399</v>
      </c>
      <c r="FUI1030">
        <v>14500</v>
      </c>
      <c r="FUJ1030" t="s">
        <v>619</v>
      </c>
      <c r="FUK1030" t="s">
        <v>619</v>
      </c>
      <c r="FUL1030">
        <v>100000</v>
      </c>
      <c r="FUM1030" t="s">
        <v>619</v>
      </c>
      <c r="GED1030" t="s">
        <v>1399</v>
      </c>
      <c r="GEE1030">
        <v>14500</v>
      </c>
      <c r="GEF1030" t="s">
        <v>619</v>
      </c>
      <c r="GEG1030" t="s">
        <v>619</v>
      </c>
      <c r="GEH1030">
        <v>100000</v>
      </c>
      <c r="GEI1030" t="s">
        <v>619</v>
      </c>
      <c r="GNZ1030" t="s">
        <v>1399</v>
      </c>
      <c r="GOA1030">
        <v>14500</v>
      </c>
      <c r="GOB1030" t="s">
        <v>619</v>
      </c>
      <c r="GOC1030" t="s">
        <v>619</v>
      </c>
      <c r="GOD1030">
        <v>100000</v>
      </c>
      <c r="GOE1030" t="s">
        <v>619</v>
      </c>
      <c r="GXV1030" t="s">
        <v>1399</v>
      </c>
      <c r="GXW1030">
        <v>14500</v>
      </c>
      <c r="GXX1030" t="s">
        <v>619</v>
      </c>
      <c r="GXY1030" t="s">
        <v>619</v>
      </c>
      <c r="GXZ1030">
        <v>100000</v>
      </c>
      <c r="GYA1030" t="s">
        <v>619</v>
      </c>
      <c r="HHR1030" t="s">
        <v>1399</v>
      </c>
      <c r="HHS1030">
        <v>14500</v>
      </c>
      <c r="HHT1030" t="s">
        <v>619</v>
      </c>
      <c r="HHU1030" t="s">
        <v>619</v>
      </c>
      <c r="HHV1030">
        <v>100000</v>
      </c>
      <c r="HHW1030" t="s">
        <v>619</v>
      </c>
      <c r="HRN1030" t="s">
        <v>1399</v>
      </c>
      <c r="HRO1030">
        <v>14500</v>
      </c>
      <c r="HRP1030" t="s">
        <v>619</v>
      </c>
      <c r="HRQ1030" t="s">
        <v>619</v>
      </c>
      <c r="HRR1030">
        <v>100000</v>
      </c>
      <c r="HRS1030" t="s">
        <v>619</v>
      </c>
      <c r="IBJ1030" t="s">
        <v>1399</v>
      </c>
      <c r="IBK1030">
        <v>14500</v>
      </c>
      <c r="IBL1030" t="s">
        <v>619</v>
      </c>
      <c r="IBM1030" t="s">
        <v>619</v>
      </c>
      <c r="IBN1030">
        <v>100000</v>
      </c>
      <c r="IBO1030" t="s">
        <v>619</v>
      </c>
      <c r="ILF1030" t="s">
        <v>1399</v>
      </c>
      <c r="ILG1030">
        <v>14500</v>
      </c>
      <c r="ILH1030" t="s">
        <v>619</v>
      </c>
      <c r="ILI1030" t="s">
        <v>619</v>
      </c>
      <c r="ILJ1030">
        <v>100000</v>
      </c>
      <c r="ILK1030" t="s">
        <v>619</v>
      </c>
      <c r="IVB1030" t="s">
        <v>1399</v>
      </c>
      <c r="IVC1030">
        <v>14500</v>
      </c>
      <c r="IVD1030" t="s">
        <v>619</v>
      </c>
      <c r="IVE1030" t="s">
        <v>619</v>
      </c>
      <c r="IVF1030">
        <v>100000</v>
      </c>
      <c r="IVG1030" t="s">
        <v>619</v>
      </c>
      <c r="JEX1030" t="s">
        <v>1399</v>
      </c>
      <c r="JEY1030">
        <v>14500</v>
      </c>
      <c r="JEZ1030" t="s">
        <v>619</v>
      </c>
      <c r="JFA1030" t="s">
        <v>619</v>
      </c>
      <c r="JFB1030">
        <v>100000</v>
      </c>
      <c r="JFC1030" t="s">
        <v>619</v>
      </c>
      <c r="JOT1030" t="s">
        <v>1399</v>
      </c>
      <c r="JOU1030">
        <v>14500</v>
      </c>
      <c r="JOV1030" t="s">
        <v>619</v>
      </c>
      <c r="JOW1030" t="s">
        <v>619</v>
      </c>
      <c r="JOX1030">
        <v>100000</v>
      </c>
      <c r="JOY1030" t="s">
        <v>619</v>
      </c>
      <c r="JYP1030" t="s">
        <v>1399</v>
      </c>
      <c r="JYQ1030">
        <v>14500</v>
      </c>
      <c r="JYR1030" t="s">
        <v>619</v>
      </c>
      <c r="JYS1030" t="s">
        <v>619</v>
      </c>
      <c r="JYT1030">
        <v>100000</v>
      </c>
      <c r="JYU1030" t="s">
        <v>619</v>
      </c>
      <c r="KIL1030" t="s">
        <v>1399</v>
      </c>
      <c r="KIM1030">
        <v>14500</v>
      </c>
      <c r="KIN1030" t="s">
        <v>619</v>
      </c>
      <c r="KIO1030" t="s">
        <v>619</v>
      </c>
      <c r="KIP1030">
        <v>100000</v>
      </c>
      <c r="KIQ1030" t="s">
        <v>619</v>
      </c>
      <c r="KSH1030" t="s">
        <v>1399</v>
      </c>
      <c r="KSI1030">
        <v>14500</v>
      </c>
      <c r="KSJ1030" t="s">
        <v>619</v>
      </c>
      <c r="KSK1030" t="s">
        <v>619</v>
      </c>
      <c r="KSL1030">
        <v>100000</v>
      </c>
      <c r="KSM1030" t="s">
        <v>619</v>
      </c>
      <c r="LCD1030" t="s">
        <v>1399</v>
      </c>
      <c r="LCE1030">
        <v>14500</v>
      </c>
      <c r="LCF1030" t="s">
        <v>619</v>
      </c>
      <c r="LCG1030" t="s">
        <v>619</v>
      </c>
      <c r="LCH1030">
        <v>100000</v>
      </c>
      <c r="LCI1030" t="s">
        <v>619</v>
      </c>
      <c r="LLZ1030" t="s">
        <v>1399</v>
      </c>
      <c r="LMA1030">
        <v>14500</v>
      </c>
      <c r="LMB1030" t="s">
        <v>619</v>
      </c>
      <c r="LMC1030" t="s">
        <v>619</v>
      </c>
      <c r="LMD1030">
        <v>100000</v>
      </c>
      <c r="LME1030" t="s">
        <v>619</v>
      </c>
      <c r="LVV1030" t="s">
        <v>1399</v>
      </c>
      <c r="LVW1030">
        <v>14500</v>
      </c>
      <c r="LVX1030" t="s">
        <v>619</v>
      </c>
      <c r="LVY1030" t="s">
        <v>619</v>
      </c>
      <c r="LVZ1030">
        <v>100000</v>
      </c>
      <c r="LWA1030" t="s">
        <v>619</v>
      </c>
      <c r="MFR1030" t="s">
        <v>1399</v>
      </c>
      <c r="MFS1030">
        <v>14500</v>
      </c>
      <c r="MFT1030" t="s">
        <v>619</v>
      </c>
      <c r="MFU1030" t="s">
        <v>619</v>
      </c>
      <c r="MFV1030">
        <v>100000</v>
      </c>
      <c r="MFW1030" t="s">
        <v>619</v>
      </c>
      <c r="MPN1030" t="s">
        <v>1399</v>
      </c>
      <c r="MPO1030">
        <v>14500</v>
      </c>
      <c r="MPP1030" t="s">
        <v>619</v>
      </c>
      <c r="MPQ1030" t="s">
        <v>619</v>
      </c>
      <c r="MPR1030">
        <v>100000</v>
      </c>
      <c r="MPS1030" t="s">
        <v>619</v>
      </c>
      <c r="MZJ1030" t="s">
        <v>1399</v>
      </c>
      <c r="MZK1030">
        <v>14500</v>
      </c>
      <c r="MZL1030" t="s">
        <v>619</v>
      </c>
      <c r="MZM1030" t="s">
        <v>619</v>
      </c>
      <c r="MZN1030">
        <v>100000</v>
      </c>
      <c r="MZO1030" t="s">
        <v>619</v>
      </c>
      <c r="NJF1030" t="s">
        <v>1399</v>
      </c>
      <c r="NJG1030">
        <v>14500</v>
      </c>
      <c r="NJH1030" t="s">
        <v>619</v>
      </c>
      <c r="NJI1030" t="s">
        <v>619</v>
      </c>
      <c r="NJJ1030">
        <v>100000</v>
      </c>
      <c r="NJK1030" t="s">
        <v>619</v>
      </c>
      <c r="NTB1030" t="s">
        <v>1399</v>
      </c>
      <c r="NTC1030">
        <v>14500</v>
      </c>
      <c r="NTD1030" t="s">
        <v>619</v>
      </c>
      <c r="NTE1030" t="s">
        <v>619</v>
      </c>
      <c r="NTF1030">
        <v>100000</v>
      </c>
      <c r="NTG1030" t="s">
        <v>619</v>
      </c>
      <c r="OCX1030" t="s">
        <v>1399</v>
      </c>
      <c r="OCY1030">
        <v>14500</v>
      </c>
      <c r="OCZ1030" t="s">
        <v>619</v>
      </c>
      <c r="ODA1030" t="s">
        <v>619</v>
      </c>
      <c r="ODB1030">
        <v>100000</v>
      </c>
      <c r="ODC1030" t="s">
        <v>619</v>
      </c>
      <c r="OMT1030" t="s">
        <v>1399</v>
      </c>
      <c r="OMU1030">
        <v>14500</v>
      </c>
      <c r="OMV1030" t="s">
        <v>619</v>
      </c>
      <c r="OMW1030" t="s">
        <v>619</v>
      </c>
      <c r="OMX1030">
        <v>100000</v>
      </c>
      <c r="OMY1030" t="s">
        <v>619</v>
      </c>
      <c r="OWP1030" t="s">
        <v>1399</v>
      </c>
      <c r="OWQ1030">
        <v>14500</v>
      </c>
      <c r="OWR1030" t="s">
        <v>619</v>
      </c>
      <c r="OWS1030" t="s">
        <v>619</v>
      </c>
      <c r="OWT1030">
        <v>100000</v>
      </c>
      <c r="OWU1030" t="s">
        <v>619</v>
      </c>
      <c r="PGL1030" t="s">
        <v>1399</v>
      </c>
      <c r="PGM1030">
        <v>14500</v>
      </c>
      <c r="PGN1030" t="s">
        <v>619</v>
      </c>
      <c r="PGO1030" t="s">
        <v>619</v>
      </c>
      <c r="PGP1030">
        <v>100000</v>
      </c>
      <c r="PGQ1030" t="s">
        <v>619</v>
      </c>
      <c r="PQH1030" t="s">
        <v>1399</v>
      </c>
      <c r="PQI1030">
        <v>14500</v>
      </c>
      <c r="PQJ1030" t="s">
        <v>619</v>
      </c>
      <c r="PQK1030" t="s">
        <v>619</v>
      </c>
      <c r="PQL1030">
        <v>100000</v>
      </c>
      <c r="PQM1030" t="s">
        <v>619</v>
      </c>
      <c r="QAD1030" t="s">
        <v>1399</v>
      </c>
      <c r="QAE1030">
        <v>14500</v>
      </c>
      <c r="QAF1030" t="s">
        <v>619</v>
      </c>
      <c r="QAG1030" t="s">
        <v>619</v>
      </c>
      <c r="QAH1030">
        <v>100000</v>
      </c>
      <c r="QAI1030" t="s">
        <v>619</v>
      </c>
      <c r="QJZ1030" t="s">
        <v>1399</v>
      </c>
      <c r="QKA1030">
        <v>14500</v>
      </c>
      <c r="QKB1030" t="s">
        <v>619</v>
      </c>
      <c r="QKC1030" t="s">
        <v>619</v>
      </c>
      <c r="QKD1030">
        <v>100000</v>
      </c>
      <c r="QKE1030" t="s">
        <v>619</v>
      </c>
      <c r="QTV1030" t="s">
        <v>1399</v>
      </c>
      <c r="QTW1030">
        <v>14500</v>
      </c>
      <c r="QTX1030" t="s">
        <v>619</v>
      </c>
      <c r="QTY1030" t="s">
        <v>619</v>
      </c>
      <c r="QTZ1030">
        <v>100000</v>
      </c>
      <c r="QUA1030" t="s">
        <v>619</v>
      </c>
      <c r="RDR1030" t="s">
        <v>1399</v>
      </c>
      <c r="RDS1030">
        <v>14500</v>
      </c>
      <c r="RDT1030" t="s">
        <v>619</v>
      </c>
      <c r="RDU1030" t="s">
        <v>619</v>
      </c>
      <c r="RDV1030">
        <v>100000</v>
      </c>
      <c r="RDW1030" t="s">
        <v>619</v>
      </c>
      <c r="RNN1030" t="s">
        <v>1399</v>
      </c>
      <c r="RNO1030">
        <v>14500</v>
      </c>
      <c r="RNP1030" t="s">
        <v>619</v>
      </c>
      <c r="RNQ1030" t="s">
        <v>619</v>
      </c>
      <c r="RNR1030">
        <v>100000</v>
      </c>
      <c r="RNS1030" t="s">
        <v>619</v>
      </c>
      <c r="RXJ1030" t="s">
        <v>1399</v>
      </c>
      <c r="RXK1030">
        <v>14500</v>
      </c>
      <c r="RXL1030" t="s">
        <v>619</v>
      </c>
      <c r="RXM1030" t="s">
        <v>619</v>
      </c>
      <c r="RXN1030">
        <v>100000</v>
      </c>
      <c r="RXO1030" t="s">
        <v>619</v>
      </c>
      <c r="SHF1030" t="s">
        <v>1399</v>
      </c>
      <c r="SHG1030">
        <v>14500</v>
      </c>
      <c r="SHH1030" t="s">
        <v>619</v>
      </c>
      <c r="SHI1030" t="s">
        <v>619</v>
      </c>
      <c r="SHJ1030">
        <v>100000</v>
      </c>
      <c r="SHK1030" t="s">
        <v>619</v>
      </c>
      <c r="SRB1030" t="s">
        <v>1399</v>
      </c>
      <c r="SRC1030">
        <v>14500</v>
      </c>
      <c r="SRD1030" t="s">
        <v>619</v>
      </c>
      <c r="SRE1030" t="s">
        <v>619</v>
      </c>
      <c r="SRF1030">
        <v>100000</v>
      </c>
      <c r="SRG1030" t="s">
        <v>619</v>
      </c>
      <c r="TAX1030" t="s">
        <v>1399</v>
      </c>
      <c r="TAY1030">
        <v>14500</v>
      </c>
      <c r="TAZ1030" t="s">
        <v>619</v>
      </c>
      <c r="TBA1030" t="s">
        <v>619</v>
      </c>
      <c r="TBB1030">
        <v>100000</v>
      </c>
      <c r="TBC1030" t="s">
        <v>619</v>
      </c>
      <c r="TKT1030" t="s">
        <v>1399</v>
      </c>
      <c r="TKU1030">
        <v>14500</v>
      </c>
      <c r="TKV1030" t="s">
        <v>619</v>
      </c>
      <c r="TKW1030" t="s">
        <v>619</v>
      </c>
      <c r="TKX1030">
        <v>100000</v>
      </c>
      <c r="TKY1030" t="s">
        <v>619</v>
      </c>
      <c r="TUP1030" t="s">
        <v>1399</v>
      </c>
      <c r="TUQ1030">
        <v>14500</v>
      </c>
      <c r="TUR1030" t="s">
        <v>619</v>
      </c>
      <c r="TUS1030" t="s">
        <v>619</v>
      </c>
      <c r="TUT1030">
        <v>100000</v>
      </c>
      <c r="TUU1030" t="s">
        <v>619</v>
      </c>
      <c r="UEL1030" t="s">
        <v>1399</v>
      </c>
      <c r="UEM1030">
        <v>14500</v>
      </c>
      <c r="UEN1030" t="s">
        <v>619</v>
      </c>
      <c r="UEO1030" t="s">
        <v>619</v>
      </c>
      <c r="UEP1030">
        <v>100000</v>
      </c>
      <c r="UEQ1030" t="s">
        <v>619</v>
      </c>
      <c r="UOH1030" t="s">
        <v>1399</v>
      </c>
      <c r="UOI1030">
        <v>14500</v>
      </c>
      <c r="UOJ1030" t="s">
        <v>619</v>
      </c>
      <c r="UOK1030" t="s">
        <v>619</v>
      </c>
      <c r="UOL1030">
        <v>100000</v>
      </c>
      <c r="UOM1030" t="s">
        <v>619</v>
      </c>
      <c r="UYD1030" t="s">
        <v>1399</v>
      </c>
      <c r="UYE1030">
        <v>14500</v>
      </c>
      <c r="UYF1030" t="s">
        <v>619</v>
      </c>
      <c r="UYG1030" t="s">
        <v>619</v>
      </c>
      <c r="UYH1030">
        <v>100000</v>
      </c>
      <c r="UYI1030" t="s">
        <v>619</v>
      </c>
      <c r="VHZ1030" t="s">
        <v>1399</v>
      </c>
      <c r="VIA1030">
        <v>14500</v>
      </c>
      <c r="VIB1030" t="s">
        <v>619</v>
      </c>
      <c r="VIC1030" t="s">
        <v>619</v>
      </c>
      <c r="VID1030">
        <v>100000</v>
      </c>
      <c r="VIE1030" t="s">
        <v>619</v>
      </c>
      <c r="VRV1030" t="s">
        <v>1399</v>
      </c>
      <c r="VRW1030">
        <v>14500</v>
      </c>
      <c r="VRX1030" t="s">
        <v>619</v>
      </c>
      <c r="VRY1030" t="s">
        <v>619</v>
      </c>
      <c r="VRZ1030">
        <v>100000</v>
      </c>
      <c r="VSA1030" t="s">
        <v>619</v>
      </c>
      <c r="WBR1030" t="s">
        <v>1399</v>
      </c>
      <c r="WBS1030">
        <v>14500</v>
      </c>
      <c r="WBT1030" t="s">
        <v>619</v>
      </c>
      <c r="WBU1030" t="s">
        <v>619</v>
      </c>
      <c r="WBV1030">
        <v>100000</v>
      </c>
      <c r="WBW1030" t="s">
        <v>619</v>
      </c>
      <c r="WLN1030" t="s">
        <v>1399</v>
      </c>
      <c r="WLO1030">
        <v>14500</v>
      </c>
      <c r="WLP1030" t="s">
        <v>619</v>
      </c>
      <c r="WLQ1030" t="s">
        <v>619</v>
      </c>
      <c r="WLR1030">
        <v>100000</v>
      </c>
      <c r="WLS1030" t="s">
        <v>619</v>
      </c>
      <c r="WVJ1030" t="s">
        <v>1399</v>
      </c>
      <c r="WVK1030">
        <v>14500</v>
      </c>
      <c r="WVL1030" t="s">
        <v>619</v>
      </c>
      <c r="WVM1030" t="s">
        <v>619</v>
      </c>
      <c r="WVN1030">
        <v>100000</v>
      </c>
      <c r="WVO1030" t="s">
        <v>619</v>
      </c>
    </row>
    <row r="1031" spans="1:775 1026:1799 2050:2823 3074:3847 4098:4871 5122:5895 6146:6919 7170:7943 8194:8967 9218:9991 10242:11015 11266:12039 12290:13063 13314:14087 14338:15111 15362:16135">
      <c r="A1031" s="96" t="s">
        <v>1400</v>
      </c>
      <c r="B1031" t="s">
        <v>1003</v>
      </c>
      <c r="C1031" s="100">
        <v>1265900</v>
      </c>
      <c r="D1031" s="98">
        <v>0</v>
      </c>
      <c r="E1031" s="98">
        <v>0</v>
      </c>
      <c r="F1031" s="98">
        <v>0</v>
      </c>
      <c r="G1031" s="98">
        <v>0</v>
      </c>
      <c r="H1031" s="98"/>
      <c r="IX1031" t="s">
        <v>1400</v>
      </c>
      <c r="IY1031">
        <v>1265900</v>
      </c>
      <c r="IZ1031" t="s">
        <v>619</v>
      </c>
      <c r="JA1031" t="s">
        <v>619</v>
      </c>
      <c r="JB1031" t="s">
        <v>619</v>
      </c>
      <c r="JC1031" t="s">
        <v>619</v>
      </c>
      <c r="ST1031" t="s">
        <v>1400</v>
      </c>
      <c r="SU1031">
        <v>1265900</v>
      </c>
      <c r="SV1031" t="s">
        <v>619</v>
      </c>
      <c r="SW1031" t="s">
        <v>619</v>
      </c>
      <c r="SX1031" t="s">
        <v>619</v>
      </c>
      <c r="SY1031" t="s">
        <v>619</v>
      </c>
      <c r="ACP1031" t="s">
        <v>1400</v>
      </c>
      <c r="ACQ1031">
        <v>1265900</v>
      </c>
      <c r="ACR1031" t="s">
        <v>619</v>
      </c>
      <c r="ACS1031" t="s">
        <v>619</v>
      </c>
      <c r="ACT1031" t="s">
        <v>619</v>
      </c>
      <c r="ACU1031" t="s">
        <v>619</v>
      </c>
      <c r="AML1031" t="s">
        <v>1400</v>
      </c>
      <c r="AMM1031">
        <v>1265900</v>
      </c>
      <c r="AMN1031" t="s">
        <v>619</v>
      </c>
      <c r="AMO1031" t="s">
        <v>619</v>
      </c>
      <c r="AMP1031" t="s">
        <v>619</v>
      </c>
      <c r="AMQ1031" t="s">
        <v>619</v>
      </c>
      <c r="AWH1031" t="s">
        <v>1400</v>
      </c>
      <c r="AWI1031">
        <v>1265900</v>
      </c>
      <c r="AWJ1031" t="s">
        <v>619</v>
      </c>
      <c r="AWK1031" t="s">
        <v>619</v>
      </c>
      <c r="AWL1031" t="s">
        <v>619</v>
      </c>
      <c r="AWM1031" t="s">
        <v>619</v>
      </c>
      <c r="BGD1031" t="s">
        <v>1400</v>
      </c>
      <c r="BGE1031">
        <v>1265900</v>
      </c>
      <c r="BGF1031" t="s">
        <v>619</v>
      </c>
      <c r="BGG1031" t="s">
        <v>619</v>
      </c>
      <c r="BGH1031" t="s">
        <v>619</v>
      </c>
      <c r="BGI1031" t="s">
        <v>619</v>
      </c>
      <c r="BPZ1031" t="s">
        <v>1400</v>
      </c>
      <c r="BQA1031">
        <v>1265900</v>
      </c>
      <c r="BQB1031" t="s">
        <v>619</v>
      </c>
      <c r="BQC1031" t="s">
        <v>619</v>
      </c>
      <c r="BQD1031" t="s">
        <v>619</v>
      </c>
      <c r="BQE1031" t="s">
        <v>619</v>
      </c>
      <c r="BZV1031" t="s">
        <v>1400</v>
      </c>
      <c r="BZW1031">
        <v>1265900</v>
      </c>
      <c r="BZX1031" t="s">
        <v>619</v>
      </c>
      <c r="BZY1031" t="s">
        <v>619</v>
      </c>
      <c r="BZZ1031" t="s">
        <v>619</v>
      </c>
      <c r="CAA1031" t="s">
        <v>619</v>
      </c>
      <c r="CJR1031" t="s">
        <v>1400</v>
      </c>
      <c r="CJS1031">
        <v>1265900</v>
      </c>
      <c r="CJT1031" t="s">
        <v>619</v>
      </c>
      <c r="CJU1031" t="s">
        <v>619</v>
      </c>
      <c r="CJV1031" t="s">
        <v>619</v>
      </c>
      <c r="CJW1031" t="s">
        <v>619</v>
      </c>
      <c r="CTN1031" t="s">
        <v>1400</v>
      </c>
      <c r="CTO1031">
        <v>1265900</v>
      </c>
      <c r="CTP1031" t="s">
        <v>619</v>
      </c>
      <c r="CTQ1031" t="s">
        <v>619</v>
      </c>
      <c r="CTR1031" t="s">
        <v>619</v>
      </c>
      <c r="CTS1031" t="s">
        <v>619</v>
      </c>
      <c r="DDJ1031" t="s">
        <v>1400</v>
      </c>
      <c r="DDK1031">
        <v>1265900</v>
      </c>
      <c r="DDL1031" t="s">
        <v>619</v>
      </c>
      <c r="DDM1031" t="s">
        <v>619</v>
      </c>
      <c r="DDN1031" t="s">
        <v>619</v>
      </c>
      <c r="DDO1031" t="s">
        <v>619</v>
      </c>
      <c r="DNF1031" t="s">
        <v>1400</v>
      </c>
      <c r="DNG1031">
        <v>1265900</v>
      </c>
      <c r="DNH1031" t="s">
        <v>619</v>
      </c>
      <c r="DNI1031" t="s">
        <v>619</v>
      </c>
      <c r="DNJ1031" t="s">
        <v>619</v>
      </c>
      <c r="DNK1031" t="s">
        <v>619</v>
      </c>
      <c r="DXB1031" t="s">
        <v>1400</v>
      </c>
      <c r="DXC1031">
        <v>1265900</v>
      </c>
      <c r="DXD1031" t="s">
        <v>619</v>
      </c>
      <c r="DXE1031" t="s">
        <v>619</v>
      </c>
      <c r="DXF1031" t="s">
        <v>619</v>
      </c>
      <c r="DXG1031" t="s">
        <v>619</v>
      </c>
      <c r="EGX1031" t="s">
        <v>1400</v>
      </c>
      <c r="EGY1031">
        <v>1265900</v>
      </c>
      <c r="EGZ1031" t="s">
        <v>619</v>
      </c>
      <c r="EHA1031" t="s">
        <v>619</v>
      </c>
      <c r="EHB1031" t="s">
        <v>619</v>
      </c>
      <c r="EHC1031" t="s">
        <v>619</v>
      </c>
      <c r="EQT1031" t="s">
        <v>1400</v>
      </c>
      <c r="EQU1031">
        <v>1265900</v>
      </c>
      <c r="EQV1031" t="s">
        <v>619</v>
      </c>
      <c r="EQW1031" t="s">
        <v>619</v>
      </c>
      <c r="EQX1031" t="s">
        <v>619</v>
      </c>
      <c r="EQY1031" t="s">
        <v>619</v>
      </c>
      <c r="FAP1031" t="s">
        <v>1400</v>
      </c>
      <c r="FAQ1031">
        <v>1265900</v>
      </c>
      <c r="FAR1031" t="s">
        <v>619</v>
      </c>
      <c r="FAS1031" t="s">
        <v>619</v>
      </c>
      <c r="FAT1031" t="s">
        <v>619</v>
      </c>
      <c r="FAU1031" t="s">
        <v>619</v>
      </c>
      <c r="FKL1031" t="s">
        <v>1400</v>
      </c>
      <c r="FKM1031">
        <v>1265900</v>
      </c>
      <c r="FKN1031" t="s">
        <v>619</v>
      </c>
      <c r="FKO1031" t="s">
        <v>619</v>
      </c>
      <c r="FKP1031" t="s">
        <v>619</v>
      </c>
      <c r="FKQ1031" t="s">
        <v>619</v>
      </c>
      <c r="FUH1031" t="s">
        <v>1400</v>
      </c>
      <c r="FUI1031">
        <v>1265900</v>
      </c>
      <c r="FUJ1031" t="s">
        <v>619</v>
      </c>
      <c r="FUK1031" t="s">
        <v>619</v>
      </c>
      <c r="FUL1031" t="s">
        <v>619</v>
      </c>
      <c r="FUM1031" t="s">
        <v>619</v>
      </c>
      <c r="GED1031" t="s">
        <v>1400</v>
      </c>
      <c r="GEE1031">
        <v>1265900</v>
      </c>
      <c r="GEF1031" t="s">
        <v>619</v>
      </c>
      <c r="GEG1031" t="s">
        <v>619</v>
      </c>
      <c r="GEH1031" t="s">
        <v>619</v>
      </c>
      <c r="GEI1031" t="s">
        <v>619</v>
      </c>
      <c r="GNZ1031" t="s">
        <v>1400</v>
      </c>
      <c r="GOA1031">
        <v>1265900</v>
      </c>
      <c r="GOB1031" t="s">
        <v>619</v>
      </c>
      <c r="GOC1031" t="s">
        <v>619</v>
      </c>
      <c r="GOD1031" t="s">
        <v>619</v>
      </c>
      <c r="GOE1031" t="s">
        <v>619</v>
      </c>
      <c r="GXV1031" t="s">
        <v>1400</v>
      </c>
      <c r="GXW1031">
        <v>1265900</v>
      </c>
      <c r="GXX1031" t="s">
        <v>619</v>
      </c>
      <c r="GXY1031" t="s">
        <v>619</v>
      </c>
      <c r="GXZ1031" t="s">
        <v>619</v>
      </c>
      <c r="GYA1031" t="s">
        <v>619</v>
      </c>
      <c r="HHR1031" t="s">
        <v>1400</v>
      </c>
      <c r="HHS1031">
        <v>1265900</v>
      </c>
      <c r="HHT1031" t="s">
        <v>619</v>
      </c>
      <c r="HHU1031" t="s">
        <v>619</v>
      </c>
      <c r="HHV1031" t="s">
        <v>619</v>
      </c>
      <c r="HHW1031" t="s">
        <v>619</v>
      </c>
      <c r="HRN1031" t="s">
        <v>1400</v>
      </c>
      <c r="HRO1031">
        <v>1265900</v>
      </c>
      <c r="HRP1031" t="s">
        <v>619</v>
      </c>
      <c r="HRQ1031" t="s">
        <v>619</v>
      </c>
      <c r="HRR1031" t="s">
        <v>619</v>
      </c>
      <c r="HRS1031" t="s">
        <v>619</v>
      </c>
      <c r="IBJ1031" t="s">
        <v>1400</v>
      </c>
      <c r="IBK1031">
        <v>1265900</v>
      </c>
      <c r="IBL1031" t="s">
        <v>619</v>
      </c>
      <c r="IBM1031" t="s">
        <v>619</v>
      </c>
      <c r="IBN1031" t="s">
        <v>619</v>
      </c>
      <c r="IBO1031" t="s">
        <v>619</v>
      </c>
      <c r="ILF1031" t="s">
        <v>1400</v>
      </c>
      <c r="ILG1031">
        <v>1265900</v>
      </c>
      <c r="ILH1031" t="s">
        <v>619</v>
      </c>
      <c r="ILI1031" t="s">
        <v>619</v>
      </c>
      <c r="ILJ1031" t="s">
        <v>619</v>
      </c>
      <c r="ILK1031" t="s">
        <v>619</v>
      </c>
      <c r="IVB1031" t="s">
        <v>1400</v>
      </c>
      <c r="IVC1031">
        <v>1265900</v>
      </c>
      <c r="IVD1031" t="s">
        <v>619</v>
      </c>
      <c r="IVE1031" t="s">
        <v>619</v>
      </c>
      <c r="IVF1031" t="s">
        <v>619</v>
      </c>
      <c r="IVG1031" t="s">
        <v>619</v>
      </c>
      <c r="JEX1031" t="s">
        <v>1400</v>
      </c>
      <c r="JEY1031">
        <v>1265900</v>
      </c>
      <c r="JEZ1031" t="s">
        <v>619</v>
      </c>
      <c r="JFA1031" t="s">
        <v>619</v>
      </c>
      <c r="JFB1031" t="s">
        <v>619</v>
      </c>
      <c r="JFC1031" t="s">
        <v>619</v>
      </c>
      <c r="JOT1031" t="s">
        <v>1400</v>
      </c>
      <c r="JOU1031">
        <v>1265900</v>
      </c>
      <c r="JOV1031" t="s">
        <v>619</v>
      </c>
      <c r="JOW1031" t="s">
        <v>619</v>
      </c>
      <c r="JOX1031" t="s">
        <v>619</v>
      </c>
      <c r="JOY1031" t="s">
        <v>619</v>
      </c>
      <c r="JYP1031" t="s">
        <v>1400</v>
      </c>
      <c r="JYQ1031">
        <v>1265900</v>
      </c>
      <c r="JYR1031" t="s">
        <v>619</v>
      </c>
      <c r="JYS1031" t="s">
        <v>619</v>
      </c>
      <c r="JYT1031" t="s">
        <v>619</v>
      </c>
      <c r="JYU1031" t="s">
        <v>619</v>
      </c>
      <c r="KIL1031" t="s">
        <v>1400</v>
      </c>
      <c r="KIM1031">
        <v>1265900</v>
      </c>
      <c r="KIN1031" t="s">
        <v>619</v>
      </c>
      <c r="KIO1031" t="s">
        <v>619</v>
      </c>
      <c r="KIP1031" t="s">
        <v>619</v>
      </c>
      <c r="KIQ1031" t="s">
        <v>619</v>
      </c>
      <c r="KSH1031" t="s">
        <v>1400</v>
      </c>
      <c r="KSI1031">
        <v>1265900</v>
      </c>
      <c r="KSJ1031" t="s">
        <v>619</v>
      </c>
      <c r="KSK1031" t="s">
        <v>619</v>
      </c>
      <c r="KSL1031" t="s">
        <v>619</v>
      </c>
      <c r="KSM1031" t="s">
        <v>619</v>
      </c>
      <c r="LCD1031" t="s">
        <v>1400</v>
      </c>
      <c r="LCE1031">
        <v>1265900</v>
      </c>
      <c r="LCF1031" t="s">
        <v>619</v>
      </c>
      <c r="LCG1031" t="s">
        <v>619</v>
      </c>
      <c r="LCH1031" t="s">
        <v>619</v>
      </c>
      <c r="LCI1031" t="s">
        <v>619</v>
      </c>
      <c r="LLZ1031" t="s">
        <v>1400</v>
      </c>
      <c r="LMA1031">
        <v>1265900</v>
      </c>
      <c r="LMB1031" t="s">
        <v>619</v>
      </c>
      <c r="LMC1031" t="s">
        <v>619</v>
      </c>
      <c r="LMD1031" t="s">
        <v>619</v>
      </c>
      <c r="LME1031" t="s">
        <v>619</v>
      </c>
      <c r="LVV1031" t="s">
        <v>1400</v>
      </c>
      <c r="LVW1031">
        <v>1265900</v>
      </c>
      <c r="LVX1031" t="s">
        <v>619</v>
      </c>
      <c r="LVY1031" t="s">
        <v>619</v>
      </c>
      <c r="LVZ1031" t="s">
        <v>619</v>
      </c>
      <c r="LWA1031" t="s">
        <v>619</v>
      </c>
      <c r="MFR1031" t="s">
        <v>1400</v>
      </c>
      <c r="MFS1031">
        <v>1265900</v>
      </c>
      <c r="MFT1031" t="s">
        <v>619</v>
      </c>
      <c r="MFU1031" t="s">
        <v>619</v>
      </c>
      <c r="MFV1031" t="s">
        <v>619</v>
      </c>
      <c r="MFW1031" t="s">
        <v>619</v>
      </c>
      <c r="MPN1031" t="s">
        <v>1400</v>
      </c>
      <c r="MPO1031">
        <v>1265900</v>
      </c>
      <c r="MPP1031" t="s">
        <v>619</v>
      </c>
      <c r="MPQ1031" t="s">
        <v>619</v>
      </c>
      <c r="MPR1031" t="s">
        <v>619</v>
      </c>
      <c r="MPS1031" t="s">
        <v>619</v>
      </c>
      <c r="MZJ1031" t="s">
        <v>1400</v>
      </c>
      <c r="MZK1031">
        <v>1265900</v>
      </c>
      <c r="MZL1031" t="s">
        <v>619</v>
      </c>
      <c r="MZM1031" t="s">
        <v>619</v>
      </c>
      <c r="MZN1031" t="s">
        <v>619</v>
      </c>
      <c r="MZO1031" t="s">
        <v>619</v>
      </c>
      <c r="NJF1031" t="s">
        <v>1400</v>
      </c>
      <c r="NJG1031">
        <v>1265900</v>
      </c>
      <c r="NJH1031" t="s">
        <v>619</v>
      </c>
      <c r="NJI1031" t="s">
        <v>619</v>
      </c>
      <c r="NJJ1031" t="s">
        <v>619</v>
      </c>
      <c r="NJK1031" t="s">
        <v>619</v>
      </c>
      <c r="NTB1031" t="s">
        <v>1400</v>
      </c>
      <c r="NTC1031">
        <v>1265900</v>
      </c>
      <c r="NTD1031" t="s">
        <v>619</v>
      </c>
      <c r="NTE1031" t="s">
        <v>619</v>
      </c>
      <c r="NTF1031" t="s">
        <v>619</v>
      </c>
      <c r="NTG1031" t="s">
        <v>619</v>
      </c>
      <c r="OCX1031" t="s">
        <v>1400</v>
      </c>
      <c r="OCY1031">
        <v>1265900</v>
      </c>
      <c r="OCZ1031" t="s">
        <v>619</v>
      </c>
      <c r="ODA1031" t="s">
        <v>619</v>
      </c>
      <c r="ODB1031" t="s">
        <v>619</v>
      </c>
      <c r="ODC1031" t="s">
        <v>619</v>
      </c>
      <c r="OMT1031" t="s">
        <v>1400</v>
      </c>
      <c r="OMU1031">
        <v>1265900</v>
      </c>
      <c r="OMV1031" t="s">
        <v>619</v>
      </c>
      <c r="OMW1031" t="s">
        <v>619</v>
      </c>
      <c r="OMX1031" t="s">
        <v>619</v>
      </c>
      <c r="OMY1031" t="s">
        <v>619</v>
      </c>
      <c r="OWP1031" t="s">
        <v>1400</v>
      </c>
      <c r="OWQ1031">
        <v>1265900</v>
      </c>
      <c r="OWR1031" t="s">
        <v>619</v>
      </c>
      <c r="OWS1031" t="s">
        <v>619</v>
      </c>
      <c r="OWT1031" t="s">
        <v>619</v>
      </c>
      <c r="OWU1031" t="s">
        <v>619</v>
      </c>
      <c r="PGL1031" t="s">
        <v>1400</v>
      </c>
      <c r="PGM1031">
        <v>1265900</v>
      </c>
      <c r="PGN1031" t="s">
        <v>619</v>
      </c>
      <c r="PGO1031" t="s">
        <v>619</v>
      </c>
      <c r="PGP1031" t="s">
        <v>619</v>
      </c>
      <c r="PGQ1031" t="s">
        <v>619</v>
      </c>
      <c r="PQH1031" t="s">
        <v>1400</v>
      </c>
      <c r="PQI1031">
        <v>1265900</v>
      </c>
      <c r="PQJ1031" t="s">
        <v>619</v>
      </c>
      <c r="PQK1031" t="s">
        <v>619</v>
      </c>
      <c r="PQL1031" t="s">
        <v>619</v>
      </c>
      <c r="PQM1031" t="s">
        <v>619</v>
      </c>
      <c r="QAD1031" t="s">
        <v>1400</v>
      </c>
      <c r="QAE1031">
        <v>1265900</v>
      </c>
      <c r="QAF1031" t="s">
        <v>619</v>
      </c>
      <c r="QAG1031" t="s">
        <v>619</v>
      </c>
      <c r="QAH1031" t="s">
        <v>619</v>
      </c>
      <c r="QAI1031" t="s">
        <v>619</v>
      </c>
      <c r="QJZ1031" t="s">
        <v>1400</v>
      </c>
      <c r="QKA1031">
        <v>1265900</v>
      </c>
      <c r="QKB1031" t="s">
        <v>619</v>
      </c>
      <c r="QKC1031" t="s">
        <v>619</v>
      </c>
      <c r="QKD1031" t="s">
        <v>619</v>
      </c>
      <c r="QKE1031" t="s">
        <v>619</v>
      </c>
      <c r="QTV1031" t="s">
        <v>1400</v>
      </c>
      <c r="QTW1031">
        <v>1265900</v>
      </c>
      <c r="QTX1031" t="s">
        <v>619</v>
      </c>
      <c r="QTY1031" t="s">
        <v>619</v>
      </c>
      <c r="QTZ1031" t="s">
        <v>619</v>
      </c>
      <c r="QUA1031" t="s">
        <v>619</v>
      </c>
      <c r="RDR1031" t="s">
        <v>1400</v>
      </c>
      <c r="RDS1031">
        <v>1265900</v>
      </c>
      <c r="RDT1031" t="s">
        <v>619</v>
      </c>
      <c r="RDU1031" t="s">
        <v>619</v>
      </c>
      <c r="RDV1031" t="s">
        <v>619</v>
      </c>
      <c r="RDW1031" t="s">
        <v>619</v>
      </c>
      <c r="RNN1031" t="s">
        <v>1400</v>
      </c>
      <c r="RNO1031">
        <v>1265900</v>
      </c>
      <c r="RNP1031" t="s">
        <v>619</v>
      </c>
      <c r="RNQ1031" t="s">
        <v>619</v>
      </c>
      <c r="RNR1031" t="s">
        <v>619</v>
      </c>
      <c r="RNS1031" t="s">
        <v>619</v>
      </c>
      <c r="RXJ1031" t="s">
        <v>1400</v>
      </c>
      <c r="RXK1031">
        <v>1265900</v>
      </c>
      <c r="RXL1031" t="s">
        <v>619</v>
      </c>
      <c r="RXM1031" t="s">
        <v>619</v>
      </c>
      <c r="RXN1031" t="s">
        <v>619</v>
      </c>
      <c r="RXO1031" t="s">
        <v>619</v>
      </c>
      <c r="SHF1031" t="s">
        <v>1400</v>
      </c>
      <c r="SHG1031">
        <v>1265900</v>
      </c>
      <c r="SHH1031" t="s">
        <v>619</v>
      </c>
      <c r="SHI1031" t="s">
        <v>619</v>
      </c>
      <c r="SHJ1031" t="s">
        <v>619</v>
      </c>
      <c r="SHK1031" t="s">
        <v>619</v>
      </c>
      <c r="SRB1031" t="s">
        <v>1400</v>
      </c>
      <c r="SRC1031">
        <v>1265900</v>
      </c>
      <c r="SRD1031" t="s">
        <v>619</v>
      </c>
      <c r="SRE1031" t="s">
        <v>619</v>
      </c>
      <c r="SRF1031" t="s">
        <v>619</v>
      </c>
      <c r="SRG1031" t="s">
        <v>619</v>
      </c>
      <c r="TAX1031" t="s">
        <v>1400</v>
      </c>
      <c r="TAY1031">
        <v>1265900</v>
      </c>
      <c r="TAZ1031" t="s">
        <v>619</v>
      </c>
      <c r="TBA1031" t="s">
        <v>619</v>
      </c>
      <c r="TBB1031" t="s">
        <v>619</v>
      </c>
      <c r="TBC1031" t="s">
        <v>619</v>
      </c>
      <c r="TKT1031" t="s">
        <v>1400</v>
      </c>
      <c r="TKU1031">
        <v>1265900</v>
      </c>
      <c r="TKV1031" t="s">
        <v>619</v>
      </c>
      <c r="TKW1031" t="s">
        <v>619</v>
      </c>
      <c r="TKX1031" t="s">
        <v>619</v>
      </c>
      <c r="TKY1031" t="s">
        <v>619</v>
      </c>
      <c r="TUP1031" t="s">
        <v>1400</v>
      </c>
      <c r="TUQ1031">
        <v>1265900</v>
      </c>
      <c r="TUR1031" t="s">
        <v>619</v>
      </c>
      <c r="TUS1031" t="s">
        <v>619</v>
      </c>
      <c r="TUT1031" t="s">
        <v>619</v>
      </c>
      <c r="TUU1031" t="s">
        <v>619</v>
      </c>
      <c r="UEL1031" t="s">
        <v>1400</v>
      </c>
      <c r="UEM1031">
        <v>1265900</v>
      </c>
      <c r="UEN1031" t="s">
        <v>619</v>
      </c>
      <c r="UEO1031" t="s">
        <v>619</v>
      </c>
      <c r="UEP1031" t="s">
        <v>619</v>
      </c>
      <c r="UEQ1031" t="s">
        <v>619</v>
      </c>
      <c r="UOH1031" t="s">
        <v>1400</v>
      </c>
      <c r="UOI1031">
        <v>1265900</v>
      </c>
      <c r="UOJ1031" t="s">
        <v>619</v>
      </c>
      <c r="UOK1031" t="s">
        <v>619</v>
      </c>
      <c r="UOL1031" t="s">
        <v>619</v>
      </c>
      <c r="UOM1031" t="s">
        <v>619</v>
      </c>
      <c r="UYD1031" t="s">
        <v>1400</v>
      </c>
      <c r="UYE1031">
        <v>1265900</v>
      </c>
      <c r="UYF1031" t="s">
        <v>619</v>
      </c>
      <c r="UYG1031" t="s">
        <v>619</v>
      </c>
      <c r="UYH1031" t="s">
        <v>619</v>
      </c>
      <c r="UYI1031" t="s">
        <v>619</v>
      </c>
      <c r="VHZ1031" t="s">
        <v>1400</v>
      </c>
      <c r="VIA1031">
        <v>1265900</v>
      </c>
      <c r="VIB1031" t="s">
        <v>619</v>
      </c>
      <c r="VIC1031" t="s">
        <v>619</v>
      </c>
      <c r="VID1031" t="s">
        <v>619</v>
      </c>
      <c r="VIE1031" t="s">
        <v>619</v>
      </c>
      <c r="VRV1031" t="s">
        <v>1400</v>
      </c>
      <c r="VRW1031">
        <v>1265900</v>
      </c>
      <c r="VRX1031" t="s">
        <v>619</v>
      </c>
      <c r="VRY1031" t="s">
        <v>619</v>
      </c>
      <c r="VRZ1031" t="s">
        <v>619</v>
      </c>
      <c r="VSA1031" t="s">
        <v>619</v>
      </c>
      <c r="WBR1031" t="s">
        <v>1400</v>
      </c>
      <c r="WBS1031">
        <v>1265900</v>
      </c>
      <c r="WBT1031" t="s">
        <v>619</v>
      </c>
      <c r="WBU1031" t="s">
        <v>619</v>
      </c>
      <c r="WBV1031" t="s">
        <v>619</v>
      </c>
      <c r="WBW1031" t="s">
        <v>619</v>
      </c>
      <c r="WLN1031" t="s">
        <v>1400</v>
      </c>
      <c r="WLO1031">
        <v>1265900</v>
      </c>
      <c r="WLP1031" t="s">
        <v>619</v>
      </c>
      <c r="WLQ1031" t="s">
        <v>619</v>
      </c>
      <c r="WLR1031" t="s">
        <v>619</v>
      </c>
      <c r="WLS1031" t="s">
        <v>619</v>
      </c>
      <c r="WVJ1031" t="s">
        <v>1400</v>
      </c>
      <c r="WVK1031">
        <v>1265900</v>
      </c>
      <c r="WVL1031" t="s">
        <v>619</v>
      </c>
      <c r="WVM1031" t="s">
        <v>619</v>
      </c>
      <c r="WVN1031" t="s">
        <v>619</v>
      </c>
      <c r="WVO1031" t="s">
        <v>619</v>
      </c>
    </row>
    <row r="1032" spans="1:775 1026:1799 2050:2823 3074:3847 4098:4871 5122:5895 6146:6919 7170:7943 8194:8967 9218:9991 10242:11015 11266:12039 12290:13063 13314:14087 14338:15111 15362:16135">
      <c r="A1032" s="96" t="s">
        <v>1401</v>
      </c>
      <c r="B1032" t="s">
        <v>1003</v>
      </c>
      <c r="C1032" s="98">
        <v>0</v>
      </c>
      <c r="D1032" s="98">
        <v>0</v>
      </c>
      <c r="E1032" s="100">
        <v>-10500</v>
      </c>
      <c r="F1032" s="100">
        <v>-1000</v>
      </c>
      <c r="G1032" s="100">
        <v>-3250</v>
      </c>
      <c r="H1032" s="100"/>
      <c r="IX1032" t="s">
        <v>1401</v>
      </c>
      <c r="IY1032" t="s">
        <v>619</v>
      </c>
      <c r="IZ1032" t="s">
        <v>619</v>
      </c>
      <c r="JA1032">
        <v>-10500</v>
      </c>
      <c r="JB1032">
        <v>-1000</v>
      </c>
      <c r="JC1032">
        <v>-3250</v>
      </c>
      <c r="ST1032" t="s">
        <v>1401</v>
      </c>
      <c r="SU1032" t="s">
        <v>619</v>
      </c>
      <c r="SV1032" t="s">
        <v>619</v>
      </c>
      <c r="SW1032">
        <v>-10500</v>
      </c>
      <c r="SX1032">
        <v>-1000</v>
      </c>
      <c r="SY1032">
        <v>-3250</v>
      </c>
      <c r="ACP1032" t="s">
        <v>1401</v>
      </c>
      <c r="ACQ1032" t="s">
        <v>619</v>
      </c>
      <c r="ACR1032" t="s">
        <v>619</v>
      </c>
      <c r="ACS1032">
        <v>-10500</v>
      </c>
      <c r="ACT1032">
        <v>-1000</v>
      </c>
      <c r="ACU1032">
        <v>-3250</v>
      </c>
      <c r="AML1032" t="s">
        <v>1401</v>
      </c>
      <c r="AMM1032" t="s">
        <v>619</v>
      </c>
      <c r="AMN1032" t="s">
        <v>619</v>
      </c>
      <c r="AMO1032">
        <v>-10500</v>
      </c>
      <c r="AMP1032">
        <v>-1000</v>
      </c>
      <c r="AMQ1032">
        <v>-3250</v>
      </c>
      <c r="AWH1032" t="s">
        <v>1401</v>
      </c>
      <c r="AWI1032" t="s">
        <v>619</v>
      </c>
      <c r="AWJ1032" t="s">
        <v>619</v>
      </c>
      <c r="AWK1032">
        <v>-10500</v>
      </c>
      <c r="AWL1032">
        <v>-1000</v>
      </c>
      <c r="AWM1032">
        <v>-3250</v>
      </c>
      <c r="BGD1032" t="s">
        <v>1401</v>
      </c>
      <c r="BGE1032" t="s">
        <v>619</v>
      </c>
      <c r="BGF1032" t="s">
        <v>619</v>
      </c>
      <c r="BGG1032">
        <v>-10500</v>
      </c>
      <c r="BGH1032">
        <v>-1000</v>
      </c>
      <c r="BGI1032">
        <v>-3250</v>
      </c>
      <c r="BPZ1032" t="s">
        <v>1401</v>
      </c>
      <c r="BQA1032" t="s">
        <v>619</v>
      </c>
      <c r="BQB1032" t="s">
        <v>619</v>
      </c>
      <c r="BQC1032">
        <v>-10500</v>
      </c>
      <c r="BQD1032">
        <v>-1000</v>
      </c>
      <c r="BQE1032">
        <v>-3250</v>
      </c>
      <c r="BZV1032" t="s">
        <v>1401</v>
      </c>
      <c r="BZW1032" t="s">
        <v>619</v>
      </c>
      <c r="BZX1032" t="s">
        <v>619</v>
      </c>
      <c r="BZY1032">
        <v>-10500</v>
      </c>
      <c r="BZZ1032">
        <v>-1000</v>
      </c>
      <c r="CAA1032">
        <v>-3250</v>
      </c>
      <c r="CJR1032" t="s">
        <v>1401</v>
      </c>
      <c r="CJS1032" t="s">
        <v>619</v>
      </c>
      <c r="CJT1032" t="s">
        <v>619</v>
      </c>
      <c r="CJU1032">
        <v>-10500</v>
      </c>
      <c r="CJV1032">
        <v>-1000</v>
      </c>
      <c r="CJW1032">
        <v>-3250</v>
      </c>
      <c r="CTN1032" t="s">
        <v>1401</v>
      </c>
      <c r="CTO1032" t="s">
        <v>619</v>
      </c>
      <c r="CTP1032" t="s">
        <v>619</v>
      </c>
      <c r="CTQ1032">
        <v>-10500</v>
      </c>
      <c r="CTR1032">
        <v>-1000</v>
      </c>
      <c r="CTS1032">
        <v>-3250</v>
      </c>
      <c r="DDJ1032" t="s">
        <v>1401</v>
      </c>
      <c r="DDK1032" t="s">
        <v>619</v>
      </c>
      <c r="DDL1032" t="s">
        <v>619</v>
      </c>
      <c r="DDM1032">
        <v>-10500</v>
      </c>
      <c r="DDN1032">
        <v>-1000</v>
      </c>
      <c r="DDO1032">
        <v>-3250</v>
      </c>
      <c r="DNF1032" t="s">
        <v>1401</v>
      </c>
      <c r="DNG1032" t="s">
        <v>619</v>
      </c>
      <c r="DNH1032" t="s">
        <v>619</v>
      </c>
      <c r="DNI1032">
        <v>-10500</v>
      </c>
      <c r="DNJ1032">
        <v>-1000</v>
      </c>
      <c r="DNK1032">
        <v>-3250</v>
      </c>
      <c r="DXB1032" t="s">
        <v>1401</v>
      </c>
      <c r="DXC1032" t="s">
        <v>619</v>
      </c>
      <c r="DXD1032" t="s">
        <v>619</v>
      </c>
      <c r="DXE1032">
        <v>-10500</v>
      </c>
      <c r="DXF1032">
        <v>-1000</v>
      </c>
      <c r="DXG1032">
        <v>-3250</v>
      </c>
      <c r="EGX1032" t="s">
        <v>1401</v>
      </c>
      <c r="EGY1032" t="s">
        <v>619</v>
      </c>
      <c r="EGZ1032" t="s">
        <v>619</v>
      </c>
      <c r="EHA1032">
        <v>-10500</v>
      </c>
      <c r="EHB1032">
        <v>-1000</v>
      </c>
      <c r="EHC1032">
        <v>-3250</v>
      </c>
      <c r="EQT1032" t="s">
        <v>1401</v>
      </c>
      <c r="EQU1032" t="s">
        <v>619</v>
      </c>
      <c r="EQV1032" t="s">
        <v>619</v>
      </c>
      <c r="EQW1032">
        <v>-10500</v>
      </c>
      <c r="EQX1032">
        <v>-1000</v>
      </c>
      <c r="EQY1032">
        <v>-3250</v>
      </c>
      <c r="FAP1032" t="s">
        <v>1401</v>
      </c>
      <c r="FAQ1032" t="s">
        <v>619</v>
      </c>
      <c r="FAR1032" t="s">
        <v>619</v>
      </c>
      <c r="FAS1032">
        <v>-10500</v>
      </c>
      <c r="FAT1032">
        <v>-1000</v>
      </c>
      <c r="FAU1032">
        <v>-3250</v>
      </c>
      <c r="FKL1032" t="s">
        <v>1401</v>
      </c>
      <c r="FKM1032" t="s">
        <v>619</v>
      </c>
      <c r="FKN1032" t="s">
        <v>619</v>
      </c>
      <c r="FKO1032">
        <v>-10500</v>
      </c>
      <c r="FKP1032">
        <v>-1000</v>
      </c>
      <c r="FKQ1032">
        <v>-3250</v>
      </c>
      <c r="FUH1032" t="s">
        <v>1401</v>
      </c>
      <c r="FUI1032" t="s">
        <v>619</v>
      </c>
      <c r="FUJ1032" t="s">
        <v>619</v>
      </c>
      <c r="FUK1032">
        <v>-10500</v>
      </c>
      <c r="FUL1032">
        <v>-1000</v>
      </c>
      <c r="FUM1032">
        <v>-3250</v>
      </c>
      <c r="GED1032" t="s">
        <v>1401</v>
      </c>
      <c r="GEE1032" t="s">
        <v>619</v>
      </c>
      <c r="GEF1032" t="s">
        <v>619</v>
      </c>
      <c r="GEG1032">
        <v>-10500</v>
      </c>
      <c r="GEH1032">
        <v>-1000</v>
      </c>
      <c r="GEI1032">
        <v>-3250</v>
      </c>
      <c r="GNZ1032" t="s">
        <v>1401</v>
      </c>
      <c r="GOA1032" t="s">
        <v>619</v>
      </c>
      <c r="GOB1032" t="s">
        <v>619</v>
      </c>
      <c r="GOC1032">
        <v>-10500</v>
      </c>
      <c r="GOD1032">
        <v>-1000</v>
      </c>
      <c r="GOE1032">
        <v>-3250</v>
      </c>
      <c r="GXV1032" t="s">
        <v>1401</v>
      </c>
      <c r="GXW1032" t="s">
        <v>619</v>
      </c>
      <c r="GXX1032" t="s">
        <v>619</v>
      </c>
      <c r="GXY1032">
        <v>-10500</v>
      </c>
      <c r="GXZ1032">
        <v>-1000</v>
      </c>
      <c r="GYA1032">
        <v>-3250</v>
      </c>
      <c r="HHR1032" t="s">
        <v>1401</v>
      </c>
      <c r="HHS1032" t="s">
        <v>619</v>
      </c>
      <c r="HHT1032" t="s">
        <v>619</v>
      </c>
      <c r="HHU1032">
        <v>-10500</v>
      </c>
      <c r="HHV1032">
        <v>-1000</v>
      </c>
      <c r="HHW1032">
        <v>-3250</v>
      </c>
      <c r="HRN1032" t="s">
        <v>1401</v>
      </c>
      <c r="HRO1032" t="s">
        <v>619</v>
      </c>
      <c r="HRP1032" t="s">
        <v>619</v>
      </c>
      <c r="HRQ1032">
        <v>-10500</v>
      </c>
      <c r="HRR1032">
        <v>-1000</v>
      </c>
      <c r="HRS1032">
        <v>-3250</v>
      </c>
      <c r="IBJ1032" t="s">
        <v>1401</v>
      </c>
      <c r="IBK1032" t="s">
        <v>619</v>
      </c>
      <c r="IBL1032" t="s">
        <v>619</v>
      </c>
      <c r="IBM1032">
        <v>-10500</v>
      </c>
      <c r="IBN1032">
        <v>-1000</v>
      </c>
      <c r="IBO1032">
        <v>-3250</v>
      </c>
      <c r="ILF1032" t="s">
        <v>1401</v>
      </c>
      <c r="ILG1032" t="s">
        <v>619</v>
      </c>
      <c r="ILH1032" t="s">
        <v>619</v>
      </c>
      <c r="ILI1032">
        <v>-10500</v>
      </c>
      <c r="ILJ1032">
        <v>-1000</v>
      </c>
      <c r="ILK1032">
        <v>-3250</v>
      </c>
      <c r="IVB1032" t="s">
        <v>1401</v>
      </c>
      <c r="IVC1032" t="s">
        <v>619</v>
      </c>
      <c r="IVD1032" t="s">
        <v>619</v>
      </c>
      <c r="IVE1032">
        <v>-10500</v>
      </c>
      <c r="IVF1032">
        <v>-1000</v>
      </c>
      <c r="IVG1032">
        <v>-3250</v>
      </c>
      <c r="JEX1032" t="s">
        <v>1401</v>
      </c>
      <c r="JEY1032" t="s">
        <v>619</v>
      </c>
      <c r="JEZ1032" t="s">
        <v>619</v>
      </c>
      <c r="JFA1032">
        <v>-10500</v>
      </c>
      <c r="JFB1032">
        <v>-1000</v>
      </c>
      <c r="JFC1032">
        <v>-3250</v>
      </c>
      <c r="JOT1032" t="s">
        <v>1401</v>
      </c>
      <c r="JOU1032" t="s">
        <v>619</v>
      </c>
      <c r="JOV1032" t="s">
        <v>619</v>
      </c>
      <c r="JOW1032">
        <v>-10500</v>
      </c>
      <c r="JOX1032">
        <v>-1000</v>
      </c>
      <c r="JOY1032">
        <v>-3250</v>
      </c>
      <c r="JYP1032" t="s">
        <v>1401</v>
      </c>
      <c r="JYQ1032" t="s">
        <v>619</v>
      </c>
      <c r="JYR1032" t="s">
        <v>619</v>
      </c>
      <c r="JYS1032">
        <v>-10500</v>
      </c>
      <c r="JYT1032">
        <v>-1000</v>
      </c>
      <c r="JYU1032">
        <v>-3250</v>
      </c>
      <c r="KIL1032" t="s">
        <v>1401</v>
      </c>
      <c r="KIM1032" t="s">
        <v>619</v>
      </c>
      <c r="KIN1032" t="s">
        <v>619</v>
      </c>
      <c r="KIO1032">
        <v>-10500</v>
      </c>
      <c r="KIP1032">
        <v>-1000</v>
      </c>
      <c r="KIQ1032">
        <v>-3250</v>
      </c>
      <c r="KSH1032" t="s">
        <v>1401</v>
      </c>
      <c r="KSI1032" t="s">
        <v>619</v>
      </c>
      <c r="KSJ1032" t="s">
        <v>619</v>
      </c>
      <c r="KSK1032">
        <v>-10500</v>
      </c>
      <c r="KSL1032">
        <v>-1000</v>
      </c>
      <c r="KSM1032">
        <v>-3250</v>
      </c>
      <c r="LCD1032" t="s">
        <v>1401</v>
      </c>
      <c r="LCE1032" t="s">
        <v>619</v>
      </c>
      <c r="LCF1032" t="s">
        <v>619</v>
      </c>
      <c r="LCG1032">
        <v>-10500</v>
      </c>
      <c r="LCH1032">
        <v>-1000</v>
      </c>
      <c r="LCI1032">
        <v>-3250</v>
      </c>
      <c r="LLZ1032" t="s">
        <v>1401</v>
      </c>
      <c r="LMA1032" t="s">
        <v>619</v>
      </c>
      <c r="LMB1032" t="s">
        <v>619</v>
      </c>
      <c r="LMC1032">
        <v>-10500</v>
      </c>
      <c r="LMD1032">
        <v>-1000</v>
      </c>
      <c r="LME1032">
        <v>-3250</v>
      </c>
      <c r="LVV1032" t="s">
        <v>1401</v>
      </c>
      <c r="LVW1032" t="s">
        <v>619</v>
      </c>
      <c r="LVX1032" t="s">
        <v>619</v>
      </c>
      <c r="LVY1032">
        <v>-10500</v>
      </c>
      <c r="LVZ1032">
        <v>-1000</v>
      </c>
      <c r="LWA1032">
        <v>-3250</v>
      </c>
      <c r="MFR1032" t="s">
        <v>1401</v>
      </c>
      <c r="MFS1032" t="s">
        <v>619</v>
      </c>
      <c r="MFT1032" t="s">
        <v>619</v>
      </c>
      <c r="MFU1032">
        <v>-10500</v>
      </c>
      <c r="MFV1032">
        <v>-1000</v>
      </c>
      <c r="MFW1032">
        <v>-3250</v>
      </c>
      <c r="MPN1032" t="s">
        <v>1401</v>
      </c>
      <c r="MPO1032" t="s">
        <v>619</v>
      </c>
      <c r="MPP1032" t="s">
        <v>619</v>
      </c>
      <c r="MPQ1032">
        <v>-10500</v>
      </c>
      <c r="MPR1032">
        <v>-1000</v>
      </c>
      <c r="MPS1032">
        <v>-3250</v>
      </c>
      <c r="MZJ1032" t="s">
        <v>1401</v>
      </c>
      <c r="MZK1032" t="s">
        <v>619</v>
      </c>
      <c r="MZL1032" t="s">
        <v>619</v>
      </c>
      <c r="MZM1032">
        <v>-10500</v>
      </c>
      <c r="MZN1032">
        <v>-1000</v>
      </c>
      <c r="MZO1032">
        <v>-3250</v>
      </c>
      <c r="NJF1032" t="s">
        <v>1401</v>
      </c>
      <c r="NJG1032" t="s">
        <v>619</v>
      </c>
      <c r="NJH1032" t="s">
        <v>619</v>
      </c>
      <c r="NJI1032">
        <v>-10500</v>
      </c>
      <c r="NJJ1032">
        <v>-1000</v>
      </c>
      <c r="NJK1032">
        <v>-3250</v>
      </c>
      <c r="NTB1032" t="s">
        <v>1401</v>
      </c>
      <c r="NTC1032" t="s">
        <v>619</v>
      </c>
      <c r="NTD1032" t="s">
        <v>619</v>
      </c>
      <c r="NTE1032">
        <v>-10500</v>
      </c>
      <c r="NTF1032">
        <v>-1000</v>
      </c>
      <c r="NTG1032">
        <v>-3250</v>
      </c>
      <c r="OCX1032" t="s">
        <v>1401</v>
      </c>
      <c r="OCY1032" t="s">
        <v>619</v>
      </c>
      <c r="OCZ1032" t="s">
        <v>619</v>
      </c>
      <c r="ODA1032">
        <v>-10500</v>
      </c>
      <c r="ODB1032">
        <v>-1000</v>
      </c>
      <c r="ODC1032">
        <v>-3250</v>
      </c>
      <c r="OMT1032" t="s">
        <v>1401</v>
      </c>
      <c r="OMU1032" t="s">
        <v>619</v>
      </c>
      <c r="OMV1032" t="s">
        <v>619</v>
      </c>
      <c r="OMW1032">
        <v>-10500</v>
      </c>
      <c r="OMX1032">
        <v>-1000</v>
      </c>
      <c r="OMY1032">
        <v>-3250</v>
      </c>
      <c r="OWP1032" t="s">
        <v>1401</v>
      </c>
      <c r="OWQ1032" t="s">
        <v>619</v>
      </c>
      <c r="OWR1032" t="s">
        <v>619</v>
      </c>
      <c r="OWS1032">
        <v>-10500</v>
      </c>
      <c r="OWT1032">
        <v>-1000</v>
      </c>
      <c r="OWU1032">
        <v>-3250</v>
      </c>
      <c r="PGL1032" t="s">
        <v>1401</v>
      </c>
      <c r="PGM1032" t="s">
        <v>619</v>
      </c>
      <c r="PGN1032" t="s">
        <v>619</v>
      </c>
      <c r="PGO1032">
        <v>-10500</v>
      </c>
      <c r="PGP1032">
        <v>-1000</v>
      </c>
      <c r="PGQ1032">
        <v>-3250</v>
      </c>
      <c r="PQH1032" t="s">
        <v>1401</v>
      </c>
      <c r="PQI1032" t="s">
        <v>619</v>
      </c>
      <c r="PQJ1032" t="s">
        <v>619</v>
      </c>
      <c r="PQK1032">
        <v>-10500</v>
      </c>
      <c r="PQL1032">
        <v>-1000</v>
      </c>
      <c r="PQM1032">
        <v>-3250</v>
      </c>
      <c r="QAD1032" t="s">
        <v>1401</v>
      </c>
      <c r="QAE1032" t="s">
        <v>619</v>
      </c>
      <c r="QAF1032" t="s">
        <v>619</v>
      </c>
      <c r="QAG1032">
        <v>-10500</v>
      </c>
      <c r="QAH1032">
        <v>-1000</v>
      </c>
      <c r="QAI1032">
        <v>-3250</v>
      </c>
      <c r="QJZ1032" t="s">
        <v>1401</v>
      </c>
      <c r="QKA1032" t="s">
        <v>619</v>
      </c>
      <c r="QKB1032" t="s">
        <v>619</v>
      </c>
      <c r="QKC1032">
        <v>-10500</v>
      </c>
      <c r="QKD1032">
        <v>-1000</v>
      </c>
      <c r="QKE1032">
        <v>-3250</v>
      </c>
      <c r="QTV1032" t="s">
        <v>1401</v>
      </c>
      <c r="QTW1032" t="s">
        <v>619</v>
      </c>
      <c r="QTX1032" t="s">
        <v>619</v>
      </c>
      <c r="QTY1032">
        <v>-10500</v>
      </c>
      <c r="QTZ1032">
        <v>-1000</v>
      </c>
      <c r="QUA1032">
        <v>-3250</v>
      </c>
      <c r="RDR1032" t="s">
        <v>1401</v>
      </c>
      <c r="RDS1032" t="s">
        <v>619</v>
      </c>
      <c r="RDT1032" t="s">
        <v>619</v>
      </c>
      <c r="RDU1032">
        <v>-10500</v>
      </c>
      <c r="RDV1032">
        <v>-1000</v>
      </c>
      <c r="RDW1032">
        <v>-3250</v>
      </c>
      <c r="RNN1032" t="s">
        <v>1401</v>
      </c>
      <c r="RNO1032" t="s">
        <v>619</v>
      </c>
      <c r="RNP1032" t="s">
        <v>619</v>
      </c>
      <c r="RNQ1032">
        <v>-10500</v>
      </c>
      <c r="RNR1032">
        <v>-1000</v>
      </c>
      <c r="RNS1032">
        <v>-3250</v>
      </c>
      <c r="RXJ1032" t="s">
        <v>1401</v>
      </c>
      <c r="RXK1032" t="s">
        <v>619</v>
      </c>
      <c r="RXL1032" t="s">
        <v>619</v>
      </c>
      <c r="RXM1032">
        <v>-10500</v>
      </c>
      <c r="RXN1032">
        <v>-1000</v>
      </c>
      <c r="RXO1032">
        <v>-3250</v>
      </c>
      <c r="SHF1032" t="s">
        <v>1401</v>
      </c>
      <c r="SHG1032" t="s">
        <v>619</v>
      </c>
      <c r="SHH1032" t="s">
        <v>619</v>
      </c>
      <c r="SHI1032">
        <v>-10500</v>
      </c>
      <c r="SHJ1032">
        <v>-1000</v>
      </c>
      <c r="SHK1032">
        <v>-3250</v>
      </c>
      <c r="SRB1032" t="s">
        <v>1401</v>
      </c>
      <c r="SRC1032" t="s">
        <v>619</v>
      </c>
      <c r="SRD1032" t="s">
        <v>619</v>
      </c>
      <c r="SRE1032">
        <v>-10500</v>
      </c>
      <c r="SRF1032">
        <v>-1000</v>
      </c>
      <c r="SRG1032">
        <v>-3250</v>
      </c>
      <c r="TAX1032" t="s">
        <v>1401</v>
      </c>
      <c r="TAY1032" t="s">
        <v>619</v>
      </c>
      <c r="TAZ1032" t="s">
        <v>619</v>
      </c>
      <c r="TBA1032">
        <v>-10500</v>
      </c>
      <c r="TBB1032">
        <v>-1000</v>
      </c>
      <c r="TBC1032">
        <v>-3250</v>
      </c>
      <c r="TKT1032" t="s">
        <v>1401</v>
      </c>
      <c r="TKU1032" t="s">
        <v>619</v>
      </c>
      <c r="TKV1032" t="s">
        <v>619</v>
      </c>
      <c r="TKW1032">
        <v>-10500</v>
      </c>
      <c r="TKX1032">
        <v>-1000</v>
      </c>
      <c r="TKY1032">
        <v>-3250</v>
      </c>
      <c r="TUP1032" t="s">
        <v>1401</v>
      </c>
      <c r="TUQ1032" t="s">
        <v>619</v>
      </c>
      <c r="TUR1032" t="s">
        <v>619</v>
      </c>
      <c r="TUS1032">
        <v>-10500</v>
      </c>
      <c r="TUT1032">
        <v>-1000</v>
      </c>
      <c r="TUU1032">
        <v>-3250</v>
      </c>
      <c r="UEL1032" t="s">
        <v>1401</v>
      </c>
      <c r="UEM1032" t="s">
        <v>619</v>
      </c>
      <c r="UEN1032" t="s">
        <v>619</v>
      </c>
      <c r="UEO1032">
        <v>-10500</v>
      </c>
      <c r="UEP1032">
        <v>-1000</v>
      </c>
      <c r="UEQ1032">
        <v>-3250</v>
      </c>
      <c r="UOH1032" t="s">
        <v>1401</v>
      </c>
      <c r="UOI1032" t="s">
        <v>619</v>
      </c>
      <c r="UOJ1032" t="s">
        <v>619</v>
      </c>
      <c r="UOK1032">
        <v>-10500</v>
      </c>
      <c r="UOL1032">
        <v>-1000</v>
      </c>
      <c r="UOM1032">
        <v>-3250</v>
      </c>
      <c r="UYD1032" t="s">
        <v>1401</v>
      </c>
      <c r="UYE1032" t="s">
        <v>619</v>
      </c>
      <c r="UYF1032" t="s">
        <v>619</v>
      </c>
      <c r="UYG1032">
        <v>-10500</v>
      </c>
      <c r="UYH1032">
        <v>-1000</v>
      </c>
      <c r="UYI1032">
        <v>-3250</v>
      </c>
      <c r="VHZ1032" t="s">
        <v>1401</v>
      </c>
      <c r="VIA1032" t="s">
        <v>619</v>
      </c>
      <c r="VIB1032" t="s">
        <v>619</v>
      </c>
      <c r="VIC1032">
        <v>-10500</v>
      </c>
      <c r="VID1032">
        <v>-1000</v>
      </c>
      <c r="VIE1032">
        <v>-3250</v>
      </c>
      <c r="VRV1032" t="s">
        <v>1401</v>
      </c>
      <c r="VRW1032" t="s">
        <v>619</v>
      </c>
      <c r="VRX1032" t="s">
        <v>619</v>
      </c>
      <c r="VRY1032">
        <v>-10500</v>
      </c>
      <c r="VRZ1032">
        <v>-1000</v>
      </c>
      <c r="VSA1032">
        <v>-3250</v>
      </c>
      <c r="WBR1032" t="s">
        <v>1401</v>
      </c>
      <c r="WBS1032" t="s">
        <v>619</v>
      </c>
      <c r="WBT1032" t="s">
        <v>619</v>
      </c>
      <c r="WBU1032">
        <v>-10500</v>
      </c>
      <c r="WBV1032">
        <v>-1000</v>
      </c>
      <c r="WBW1032">
        <v>-3250</v>
      </c>
      <c r="WLN1032" t="s">
        <v>1401</v>
      </c>
      <c r="WLO1032" t="s">
        <v>619</v>
      </c>
      <c r="WLP1032" t="s">
        <v>619</v>
      </c>
      <c r="WLQ1032">
        <v>-10500</v>
      </c>
      <c r="WLR1032">
        <v>-1000</v>
      </c>
      <c r="WLS1032">
        <v>-3250</v>
      </c>
      <c r="WVJ1032" t="s">
        <v>1401</v>
      </c>
      <c r="WVK1032" t="s">
        <v>619</v>
      </c>
      <c r="WVL1032" t="s">
        <v>619</v>
      </c>
      <c r="WVM1032">
        <v>-10500</v>
      </c>
      <c r="WVN1032">
        <v>-1000</v>
      </c>
      <c r="WVO1032">
        <v>-3250</v>
      </c>
    </row>
    <row r="1033" spans="1:775 1026:1799 2050:2823 3074:3847 4098:4871 5122:5895 6146:6919 7170:7943 8194:8967 9218:9991 10242:11015 11266:12039 12290:13063 13314:14087 14338:15111 15362:16135">
      <c r="A1033" s="96" t="s">
        <v>1402</v>
      </c>
      <c r="B1033" t="s">
        <v>1003</v>
      </c>
      <c r="C1033" s="98">
        <v>0</v>
      </c>
      <c r="D1033" s="98">
        <v>0</v>
      </c>
      <c r="E1033" s="100">
        <v>5000000</v>
      </c>
      <c r="F1033" s="98">
        <v>0</v>
      </c>
      <c r="G1033" s="98">
        <v>0</v>
      </c>
      <c r="H1033" s="98"/>
      <c r="IX1033" t="s">
        <v>1402</v>
      </c>
      <c r="IY1033" t="s">
        <v>619</v>
      </c>
      <c r="IZ1033" t="s">
        <v>619</v>
      </c>
      <c r="JA1033">
        <v>5000000</v>
      </c>
      <c r="JB1033" t="s">
        <v>619</v>
      </c>
      <c r="JC1033" t="s">
        <v>619</v>
      </c>
      <c r="ST1033" t="s">
        <v>1402</v>
      </c>
      <c r="SU1033" t="s">
        <v>619</v>
      </c>
      <c r="SV1033" t="s">
        <v>619</v>
      </c>
      <c r="SW1033">
        <v>5000000</v>
      </c>
      <c r="SX1033" t="s">
        <v>619</v>
      </c>
      <c r="SY1033" t="s">
        <v>619</v>
      </c>
      <c r="ACP1033" t="s">
        <v>1402</v>
      </c>
      <c r="ACQ1033" t="s">
        <v>619</v>
      </c>
      <c r="ACR1033" t="s">
        <v>619</v>
      </c>
      <c r="ACS1033">
        <v>5000000</v>
      </c>
      <c r="ACT1033" t="s">
        <v>619</v>
      </c>
      <c r="ACU1033" t="s">
        <v>619</v>
      </c>
      <c r="AML1033" t="s">
        <v>1402</v>
      </c>
      <c r="AMM1033" t="s">
        <v>619</v>
      </c>
      <c r="AMN1033" t="s">
        <v>619</v>
      </c>
      <c r="AMO1033">
        <v>5000000</v>
      </c>
      <c r="AMP1033" t="s">
        <v>619</v>
      </c>
      <c r="AMQ1033" t="s">
        <v>619</v>
      </c>
      <c r="AWH1033" t="s">
        <v>1402</v>
      </c>
      <c r="AWI1033" t="s">
        <v>619</v>
      </c>
      <c r="AWJ1033" t="s">
        <v>619</v>
      </c>
      <c r="AWK1033">
        <v>5000000</v>
      </c>
      <c r="AWL1033" t="s">
        <v>619</v>
      </c>
      <c r="AWM1033" t="s">
        <v>619</v>
      </c>
      <c r="BGD1033" t="s">
        <v>1402</v>
      </c>
      <c r="BGE1033" t="s">
        <v>619</v>
      </c>
      <c r="BGF1033" t="s">
        <v>619</v>
      </c>
      <c r="BGG1033">
        <v>5000000</v>
      </c>
      <c r="BGH1033" t="s">
        <v>619</v>
      </c>
      <c r="BGI1033" t="s">
        <v>619</v>
      </c>
      <c r="BPZ1033" t="s">
        <v>1402</v>
      </c>
      <c r="BQA1033" t="s">
        <v>619</v>
      </c>
      <c r="BQB1033" t="s">
        <v>619</v>
      </c>
      <c r="BQC1033">
        <v>5000000</v>
      </c>
      <c r="BQD1033" t="s">
        <v>619</v>
      </c>
      <c r="BQE1033" t="s">
        <v>619</v>
      </c>
      <c r="BZV1033" t="s">
        <v>1402</v>
      </c>
      <c r="BZW1033" t="s">
        <v>619</v>
      </c>
      <c r="BZX1033" t="s">
        <v>619</v>
      </c>
      <c r="BZY1033">
        <v>5000000</v>
      </c>
      <c r="BZZ1033" t="s">
        <v>619</v>
      </c>
      <c r="CAA1033" t="s">
        <v>619</v>
      </c>
      <c r="CJR1033" t="s">
        <v>1402</v>
      </c>
      <c r="CJS1033" t="s">
        <v>619</v>
      </c>
      <c r="CJT1033" t="s">
        <v>619</v>
      </c>
      <c r="CJU1033">
        <v>5000000</v>
      </c>
      <c r="CJV1033" t="s">
        <v>619</v>
      </c>
      <c r="CJW1033" t="s">
        <v>619</v>
      </c>
      <c r="CTN1033" t="s">
        <v>1402</v>
      </c>
      <c r="CTO1033" t="s">
        <v>619</v>
      </c>
      <c r="CTP1033" t="s">
        <v>619</v>
      </c>
      <c r="CTQ1033">
        <v>5000000</v>
      </c>
      <c r="CTR1033" t="s">
        <v>619</v>
      </c>
      <c r="CTS1033" t="s">
        <v>619</v>
      </c>
      <c r="DDJ1033" t="s">
        <v>1402</v>
      </c>
      <c r="DDK1033" t="s">
        <v>619</v>
      </c>
      <c r="DDL1033" t="s">
        <v>619</v>
      </c>
      <c r="DDM1033">
        <v>5000000</v>
      </c>
      <c r="DDN1033" t="s">
        <v>619</v>
      </c>
      <c r="DDO1033" t="s">
        <v>619</v>
      </c>
      <c r="DNF1033" t="s">
        <v>1402</v>
      </c>
      <c r="DNG1033" t="s">
        <v>619</v>
      </c>
      <c r="DNH1033" t="s">
        <v>619</v>
      </c>
      <c r="DNI1033">
        <v>5000000</v>
      </c>
      <c r="DNJ1033" t="s">
        <v>619</v>
      </c>
      <c r="DNK1033" t="s">
        <v>619</v>
      </c>
      <c r="DXB1033" t="s">
        <v>1402</v>
      </c>
      <c r="DXC1033" t="s">
        <v>619</v>
      </c>
      <c r="DXD1033" t="s">
        <v>619</v>
      </c>
      <c r="DXE1033">
        <v>5000000</v>
      </c>
      <c r="DXF1033" t="s">
        <v>619</v>
      </c>
      <c r="DXG1033" t="s">
        <v>619</v>
      </c>
      <c r="EGX1033" t="s">
        <v>1402</v>
      </c>
      <c r="EGY1033" t="s">
        <v>619</v>
      </c>
      <c r="EGZ1033" t="s">
        <v>619</v>
      </c>
      <c r="EHA1033">
        <v>5000000</v>
      </c>
      <c r="EHB1033" t="s">
        <v>619</v>
      </c>
      <c r="EHC1033" t="s">
        <v>619</v>
      </c>
      <c r="EQT1033" t="s">
        <v>1402</v>
      </c>
      <c r="EQU1033" t="s">
        <v>619</v>
      </c>
      <c r="EQV1033" t="s">
        <v>619</v>
      </c>
      <c r="EQW1033">
        <v>5000000</v>
      </c>
      <c r="EQX1033" t="s">
        <v>619</v>
      </c>
      <c r="EQY1033" t="s">
        <v>619</v>
      </c>
      <c r="FAP1033" t="s">
        <v>1402</v>
      </c>
      <c r="FAQ1033" t="s">
        <v>619</v>
      </c>
      <c r="FAR1033" t="s">
        <v>619</v>
      </c>
      <c r="FAS1033">
        <v>5000000</v>
      </c>
      <c r="FAT1033" t="s">
        <v>619</v>
      </c>
      <c r="FAU1033" t="s">
        <v>619</v>
      </c>
      <c r="FKL1033" t="s">
        <v>1402</v>
      </c>
      <c r="FKM1033" t="s">
        <v>619</v>
      </c>
      <c r="FKN1033" t="s">
        <v>619</v>
      </c>
      <c r="FKO1033">
        <v>5000000</v>
      </c>
      <c r="FKP1033" t="s">
        <v>619</v>
      </c>
      <c r="FKQ1033" t="s">
        <v>619</v>
      </c>
      <c r="FUH1033" t="s">
        <v>1402</v>
      </c>
      <c r="FUI1033" t="s">
        <v>619</v>
      </c>
      <c r="FUJ1033" t="s">
        <v>619</v>
      </c>
      <c r="FUK1033">
        <v>5000000</v>
      </c>
      <c r="FUL1033" t="s">
        <v>619</v>
      </c>
      <c r="FUM1033" t="s">
        <v>619</v>
      </c>
      <c r="GED1033" t="s">
        <v>1402</v>
      </c>
      <c r="GEE1033" t="s">
        <v>619</v>
      </c>
      <c r="GEF1033" t="s">
        <v>619</v>
      </c>
      <c r="GEG1033">
        <v>5000000</v>
      </c>
      <c r="GEH1033" t="s">
        <v>619</v>
      </c>
      <c r="GEI1033" t="s">
        <v>619</v>
      </c>
      <c r="GNZ1033" t="s">
        <v>1402</v>
      </c>
      <c r="GOA1033" t="s">
        <v>619</v>
      </c>
      <c r="GOB1033" t="s">
        <v>619</v>
      </c>
      <c r="GOC1033">
        <v>5000000</v>
      </c>
      <c r="GOD1033" t="s">
        <v>619</v>
      </c>
      <c r="GOE1033" t="s">
        <v>619</v>
      </c>
      <c r="GXV1033" t="s">
        <v>1402</v>
      </c>
      <c r="GXW1033" t="s">
        <v>619</v>
      </c>
      <c r="GXX1033" t="s">
        <v>619</v>
      </c>
      <c r="GXY1033">
        <v>5000000</v>
      </c>
      <c r="GXZ1033" t="s">
        <v>619</v>
      </c>
      <c r="GYA1033" t="s">
        <v>619</v>
      </c>
      <c r="HHR1033" t="s">
        <v>1402</v>
      </c>
      <c r="HHS1033" t="s">
        <v>619</v>
      </c>
      <c r="HHT1033" t="s">
        <v>619</v>
      </c>
      <c r="HHU1033">
        <v>5000000</v>
      </c>
      <c r="HHV1033" t="s">
        <v>619</v>
      </c>
      <c r="HHW1033" t="s">
        <v>619</v>
      </c>
      <c r="HRN1033" t="s">
        <v>1402</v>
      </c>
      <c r="HRO1033" t="s">
        <v>619</v>
      </c>
      <c r="HRP1033" t="s">
        <v>619</v>
      </c>
      <c r="HRQ1033">
        <v>5000000</v>
      </c>
      <c r="HRR1033" t="s">
        <v>619</v>
      </c>
      <c r="HRS1033" t="s">
        <v>619</v>
      </c>
      <c r="IBJ1033" t="s">
        <v>1402</v>
      </c>
      <c r="IBK1033" t="s">
        <v>619</v>
      </c>
      <c r="IBL1033" t="s">
        <v>619</v>
      </c>
      <c r="IBM1033">
        <v>5000000</v>
      </c>
      <c r="IBN1033" t="s">
        <v>619</v>
      </c>
      <c r="IBO1033" t="s">
        <v>619</v>
      </c>
      <c r="ILF1033" t="s">
        <v>1402</v>
      </c>
      <c r="ILG1033" t="s">
        <v>619</v>
      </c>
      <c r="ILH1033" t="s">
        <v>619</v>
      </c>
      <c r="ILI1033">
        <v>5000000</v>
      </c>
      <c r="ILJ1033" t="s">
        <v>619</v>
      </c>
      <c r="ILK1033" t="s">
        <v>619</v>
      </c>
      <c r="IVB1033" t="s">
        <v>1402</v>
      </c>
      <c r="IVC1033" t="s">
        <v>619</v>
      </c>
      <c r="IVD1033" t="s">
        <v>619</v>
      </c>
      <c r="IVE1033">
        <v>5000000</v>
      </c>
      <c r="IVF1033" t="s">
        <v>619</v>
      </c>
      <c r="IVG1033" t="s">
        <v>619</v>
      </c>
      <c r="JEX1033" t="s">
        <v>1402</v>
      </c>
      <c r="JEY1033" t="s">
        <v>619</v>
      </c>
      <c r="JEZ1033" t="s">
        <v>619</v>
      </c>
      <c r="JFA1033">
        <v>5000000</v>
      </c>
      <c r="JFB1033" t="s">
        <v>619</v>
      </c>
      <c r="JFC1033" t="s">
        <v>619</v>
      </c>
      <c r="JOT1033" t="s">
        <v>1402</v>
      </c>
      <c r="JOU1033" t="s">
        <v>619</v>
      </c>
      <c r="JOV1033" t="s">
        <v>619</v>
      </c>
      <c r="JOW1033">
        <v>5000000</v>
      </c>
      <c r="JOX1033" t="s">
        <v>619</v>
      </c>
      <c r="JOY1033" t="s">
        <v>619</v>
      </c>
      <c r="JYP1033" t="s">
        <v>1402</v>
      </c>
      <c r="JYQ1033" t="s">
        <v>619</v>
      </c>
      <c r="JYR1033" t="s">
        <v>619</v>
      </c>
      <c r="JYS1033">
        <v>5000000</v>
      </c>
      <c r="JYT1033" t="s">
        <v>619</v>
      </c>
      <c r="JYU1033" t="s">
        <v>619</v>
      </c>
      <c r="KIL1033" t="s">
        <v>1402</v>
      </c>
      <c r="KIM1033" t="s">
        <v>619</v>
      </c>
      <c r="KIN1033" t="s">
        <v>619</v>
      </c>
      <c r="KIO1033">
        <v>5000000</v>
      </c>
      <c r="KIP1033" t="s">
        <v>619</v>
      </c>
      <c r="KIQ1033" t="s">
        <v>619</v>
      </c>
      <c r="KSH1033" t="s">
        <v>1402</v>
      </c>
      <c r="KSI1033" t="s">
        <v>619</v>
      </c>
      <c r="KSJ1033" t="s">
        <v>619</v>
      </c>
      <c r="KSK1033">
        <v>5000000</v>
      </c>
      <c r="KSL1033" t="s">
        <v>619</v>
      </c>
      <c r="KSM1033" t="s">
        <v>619</v>
      </c>
      <c r="LCD1033" t="s">
        <v>1402</v>
      </c>
      <c r="LCE1033" t="s">
        <v>619</v>
      </c>
      <c r="LCF1033" t="s">
        <v>619</v>
      </c>
      <c r="LCG1033">
        <v>5000000</v>
      </c>
      <c r="LCH1033" t="s">
        <v>619</v>
      </c>
      <c r="LCI1033" t="s">
        <v>619</v>
      </c>
      <c r="LLZ1033" t="s">
        <v>1402</v>
      </c>
      <c r="LMA1033" t="s">
        <v>619</v>
      </c>
      <c r="LMB1033" t="s">
        <v>619</v>
      </c>
      <c r="LMC1033">
        <v>5000000</v>
      </c>
      <c r="LMD1033" t="s">
        <v>619</v>
      </c>
      <c r="LME1033" t="s">
        <v>619</v>
      </c>
      <c r="LVV1033" t="s">
        <v>1402</v>
      </c>
      <c r="LVW1033" t="s">
        <v>619</v>
      </c>
      <c r="LVX1033" t="s">
        <v>619</v>
      </c>
      <c r="LVY1033">
        <v>5000000</v>
      </c>
      <c r="LVZ1033" t="s">
        <v>619</v>
      </c>
      <c r="LWA1033" t="s">
        <v>619</v>
      </c>
      <c r="MFR1033" t="s">
        <v>1402</v>
      </c>
      <c r="MFS1033" t="s">
        <v>619</v>
      </c>
      <c r="MFT1033" t="s">
        <v>619</v>
      </c>
      <c r="MFU1033">
        <v>5000000</v>
      </c>
      <c r="MFV1033" t="s">
        <v>619</v>
      </c>
      <c r="MFW1033" t="s">
        <v>619</v>
      </c>
      <c r="MPN1033" t="s">
        <v>1402</v>
      </c>
      <c r="MPO1033" t="s">
        <v>619</v>
      </c>
      <c r="MPP1033" t="s">
        <v>619</v>
      </c>
      <c r="MPQ1033">
        <v>5000000</v>
      </c>
      <c r="MPR1033" t="s">
        <v>619</v>
      </c>
      <c r="MPS1033" t="s">
        <v>619</v>
      </c>
      <c r="MZJ1033" t="s">
        <v>1402</v>
      </c>
      <c r="MZK1033" t="s">
        <v>619</v>
      </c>
      <c r="MZL1033" t="s">
        <v>619</v>
      </c>
      <c r="MZM1033">
        <v>5000000</v>
      </c>
      <c r="MZN1033" t="s">
        <v>619</v>
      </c>
      <c r="MZO1033" t="s">
        <v>619</v>
      </c>
      <c r="NJF1033" t="s">
        <v>1402</v>
      </c>
      <c r="NJG1033" t="s">
        <v>619</v>
      </c>
      <c r="NJH1033" t="s">
        <v>619</v>
      </c>
      <c r="NJI1033">
        <v>5000000</v>
      </c>
      <c r="NJJ1033" t="s">
        <v>619</v>
      </c>
      <c r="NJK1033" t="s">
        <v>619</v>
      </c>
      <c r="NTB1033" t="s">
        <v>1402</v>
      </c>
      <c r="NTC1033" t="s">
        <v>619</v>
      </c>
      <c r="NTD1033" t="s">
        <v>619</v>
      </c>
      <c r="NTE1033">
        <v>5000000</v>
      </c>
      <c r="NTF1033" t="s">
        <v>619</v>
      </c>
      <c r="NTG1033" t="s">
        <v>619</v>
      </c>
      <c r="OCX1033" t="s">
        <v>1402</v>
      </c>
      <c r="OCY1033" t="s">
        <v>619</v>
      </c>
      <c r="OCZ1033" t="s">
        <v>619</v>
      </c>
      <c r="ODA1033">
        <v>5000000</v>
      </c>
      <c r="ODB1033" t="s">
        <v>619</v>
      </c>
      <c r="ODC1033" t="s">
        <v>619</v>
      </c>
      <c r="OMT1033" t="s">
        <v>1402</v>
      </c>
      <c r="OMU1033" t="s">
        <v>619</v>
      </c>
      <c r="OMV1033" t="s">
        <v>619</v>
      </c>
      <c r="OMW1033">
        <v>5000000</v>
      </c>
      <c r="OMX1033" t="s">
        <v>619</v>
      </c>
      <c r="OMY1033" t="s">
        <v>619</v>
      </c>
      <c r="OWP1033" t="s">
        <v>1402</v>
      </c>
      <c r="OWQ1033" t="s">
        <v>619</v>
      </c>
      <c r="OWR1033" t="s">
        <v>619</v>
      </c>
      <c r="OWS1033">
        <v>5000000</v>
      </c>
      <c r="OWT1033" t="s">
        <v>619</v>
      </c>
      <c r="OWU1033" t="s">
        <v>619</v>
      </c>
      <c r="PGL1033" t="s">
        <v>1402</v>
      </c>
      <c r="PGM1033" t="s">
        <v>619</v>
      </c>
      <c r="PGN1033" t="s">
        <v>619</v>
      </c>
      <c r="PGO1033">
        <v>5000000</v>
      </c>
      <c r="PGP1033" t="s">
        <v>619</v>
      </c>
      <c r="PGQ1033" t="s">
        <v>619</v>
      </c>
      <c r="PQH1033" t="s">
        <v>1402</v>
      </c>
      <c r="PQI1033" t="s">
        <v>619</v>
      </c>
      <c r="PQJ1033" t="s">
        <v>619</v>
      </c>
      <c r="PQK1033">
        <v>5000000</v>
      </c>
      <c r="PQL1033" t="s">
        <v>619</v>
      </c>
      <c r="PQM1033" t="s">
        <v>619</v>
      </c>
      <c r="QAD1033" t="s">
        <v>1402</v>
      </c>
      <c r="QAE1033" t="s">
        <v>619</v>
      </c>
      <c r="QAF1033" t="s">
        <v>619</v>
      </c>
      <c r="QAG1033">
        <v>5000000</v>
      </c>
      <c r="QAH1033" t="s">
        <v>619</v>
      </c>
      <c r="QAI1033" t="s">
        <v>619</v>
      </c>
      <c r="QJZ1033" t="s">
        <v>1402</v>
      </c>
      <c r="QKA1033" t="s">
        <v>619</v>
      </c>
      <c r="QKB1033" t="s">
        <v>619</v>
      </c>
      <c r="QKC1033">
        <v>5000000</v>
      </c>
      <c r="QKD1033" t="s">
        <v>619</v>
      </c>
      <c r="QKE1033" t="s">
        <v>619</v>
      </c>
      <c r="QTV1033" t="s">
        <v>1402</v>
      </c>
      <c r="QTW1033" t="s">
        <v>619</v>
      </c>
      <c r="QTX1033" t="s">
        <v>619</v>
      </c>
      <c r="QTY1033">
        <v>5000000</v>
      </c>
      <c r="QTZ1033" t="s">
        <v>619</v>
      </c>
      <c r="QUA1033" t="s">
        <v>619</v>
      </c>
      <c r="RDR1033" t="s">
        <v>1402</v>
      </c>
      <c r="RDS1033" t="s">
        <v>619</v>
      </c>
      <c r="RDT1033" t="s">
        <v>619</v>
      </c>
      <c r="RDU1033">
        <v>5000000</v>
      </c>
      <c r="RDV1033" t="s">
        <v>619</v>
      </c>
      <c r="RDW1033" t="s">
        <v>619</v>
      </c>
      <c r="RNN1033" t="s">
        <v>1402</v>
      </c>
      <c r="RNO1033" t="s">
        <v>619</v>
      </c>
      <c r="RNP1033" t="s">
        <v>619</v>
      </c>
      <c r="RNQ1033">
        <v>5000000</v>
      </c>
      <c r="RNR1033" t="s">
        <v>619</v>
      </c>
      <c r="RNS1033" t="s">
        <v>619</v>
      </c>
      <c r="RXJ1033" t="s">
        <v>1402</v>
      </c>
      <c r="RXK1033" t="s">
        <v>619</v>
      </c>
      <c r="RXL1033" t="s">
        <v>619</v>
      </c>
      <c r="RXM1033">
        <v>5000000</v>
      </c>
      <c r="RXN1033" t="s">
        <v>619</v>
      </c>
      <c r="RXO1033" t="s">
        <v>619</v>
      </c>
      <c r="SHF1033" t="s">
        <v>1402</v>
      </c>
      <c r="SHG1033" t="s">
        <v>619</v>
      </c>
      <c r="SHH1033" t="s">
        <v>619</v>
      </c>
      <c r="SHI1033">
        <v>5000000</v>
      </c>
      <c r="SHJ1033" t="s">
        <v>619</v>
      </c>
      <c r="SHK1033" t="s">
        <v>619</v>
      </c>
      <c r="SRB1033" t="s">
        <v>1402</v>
      </c>
      <c r="SRC1033" t="s">
        <v>619</v>
      </c>
      <c r="SRD1033" t="s">
        <v>619</v>
      </c>
      <c r="SRE1033">
        <v>5000000</v>
      </c>
      <c r="SRF1033" t="s">
        <v>619</v>
      </c>
      <c r="SRG1033" t="s">
        <v>619</v>
      </c>
      <c r="TAX1033" t="s">
        <v>1402</v>
      </c>
      <c r="TAY1033" t="s">
        <v>619</v>
      </c>
      <c r="TAZ1033" t="s">
        <v>619</v>
      </c>
      <c r="TBA1033">
        <v>5000000</v>
      </c>
      <c r="TBB1033" t="s">
        <v>619</v>
      </c>
      <c r="TBC1033" t="s">
        <v>619</v>
      </c>
      <c r="TKT1033" t="s">
        <v>1402</v>
      </c>
      <c r="TKU1033" t="s">
        <v>619</v>
      </c>
      <c r="TKV1033" t="s">
        <v>619</v>
      </c>
      <c r="TKW1033">
        <v>5000000</v>
      </c>
      <c r="TKX1033" t="s">
        <v>619</v>
      </c>
      <c r="TKY1033" t="s">
        <v>619</v>
      </c>
      <c r="TUP1033" t="s">
        <v>1402</v>
      </c>
      <c r="TUQ1033" t="s">
        <v>619</v>
      </c>
      <c r="TUR1033" t="s">
        <v>619</v>
      </c>
      <c r="TUS1033">
        <v>5000000</v>
      </c>
      <c r="TUT1033" t="s">
        <v>619</v>
      </c>
      <c r="TUU1033" t="s">
        <v>619</v>
      </c>
      <c r="UEL1033" t="s">
        <v>1402</v>
      </c>
      <c r="UEM1033" t="s">
        <v>619</v>
      </c>
      <c r="UEN1033" t="s">
        <v>619</v>
      </c>
      <c r="UEO1033">
        <v>5000000</v>
      </c>
      <c r="UEP1033" t="s">
        <v>619</v>
      </c>
      <c r="UEQ1033" t="s">
        <v>619</v>
      </c>
      <c r="UOH1033" t="s">
        <v>1402</v>
      </c>
      <c r="UOI1033" t="s">
        <v>619</v>
      </c>
      <c r="UOJ1033" t="s">
        <v>619</v>
      </c>
      <c r="UOK1033">
        <v>5000000</v>
      </c>
      <c r="UOL1033" t="s">
        <v>619</v>
      </c>
      <c r="UOM1033" t="s">
        <v>619</v>
      </c>
      <c r="UYD1033" t="s">
        <v>1402</v>
      </c>
      <c r="UYE1033" t="s">
        <v>619</v>
      </c>
      <c r="UYF1033" t="s">
        <v>619</v>
      </c>
      <c r="UYG1033">
        <v>5000000</v>
      </c>
      <c r="UYH1033" t="s">
        <v>619</v>
      </c>
      <c r="UYI1033" t="s">
        <v>619</v>
      </c>
      <c r="VHZ1033" t="s">
        <v>1402</v>
      </c>
      <c r="VIA1033" t="s">
        <v>619</v>
      </c>
      <c r="VIB1033" t="s">
        <v>619</v>
      </c>
      <c r="VIC1033">
        <v>5000000</v>
      </c>
      <c r="VID1033" t="s">
        <v>619</v>
      </c>
      <c r="VIE1033" t="s">
        <v>619</v>
      </c>
      <c r="VRV1033" t="s">
        <v>1402</v>
      </c>
      <c r="VRW1033" t="s">
        <v>619</v>
      </c>
      <c r="VRX1033" t="s">
        <v>619</v>
      </c>
      <c r="VRY1033">
        <v>5000000</v>
      </c>
      <c r="VRZ1033" t="s">
        <v>619</v>
      </c>
      <c r="VSA1033" t="s">
        <v>619</v>
      </c>
      <c r="WBR1033" t="s">
        <v>1402</v>
      </c>
      <c r="WBS1033" t="s">
        <v>619</v>
      </c>
      <c r="WBT1033" t="s">
        <v>619</v>
      </c>
      <c r="WBU1033">
        <v>5000000</v>
      </c>
      <c r="WBV1033" t="s">
        <v>619</v>
      </c>
      <c r="WBW1033" t="s">
        <v>619</v>
      </c>
      <c r="WLN1033" t="s">
        <v>1402</v>
      </c>
      <c r="WLO1033" t="s">
        <v>619</v>
      </c>
      <c r="WLP1033" t="s">
        <v>619</v>
      </c>
      <c r="WLQ1033">
        <v>5000000</v>
      </c>
      <c r="WLR1033" t="s">
        <v>619</v>
      </c>
      <c r="WLS1033" t="s">
        <v>619</v>
      </c>
      <c r="WVJ1033" t="s">
        <v>1402</v>
      </c>
      <c r="WVK1033" t="s">
        <v>619</v>
      </c>
      <c r="WVL1033" t="s">
        <v>619</v>
      </c>
      <c r="WVM1033">
        <v>5000000</v>
      </c>
      <c r="WVN1033" t="s">
        <v>619</v>
      </c>
      <c r="WVO1033" t="s">
        <v>619</v>
      </c>
    </row>
    <row r="1034" spans="1:775 1026:1799 2050:2823 3074:3847 4098:4871 5122:5895 6146:6919 7170:7943 8194:8967 9218:9991 10242:11015 11266:12039 12290:13063 13314:14087 14338:15111 15362:16135">
      <c r="A1034" s="96" t="s">
        <v>1403</v>
      </c>
      <c r="B1034" t="s">
        <v>1003</v>
      </c>
      <c r="C1034" s="98">
        <v>0</v>
      </c>
      <c r="D1034" s="98">
        <v>0</v>
      </c>
      <c r="E1034" s="100">
        <v>-2071515</v>
      </c>
      <c r="F1034" s="100">
        <v>-8000000</v>
      </c>
      <c r="G1034" s="98">
        <v>0</v>
      </c>
      <c r="H1034" s="98"/>
      <c r="IX1034" t="s">
        <v>1403</v>
      </c>
      <c r="IY1034" t="s">
        <v>619</v>
      </c>
      <c r="IZ1034" t="s">
        <v>619</v>
      </c>
      <c r="JA1034">
        <v>-2071515</v>
      </c>
      <c r="JB1034">
        <v>-8000000</v>
      </c>
      <c r="JC1034" t="s">
        <v>619</v>
      </c>
      <c r="ST1034" t="s">
        <v>1403</v>
      </c>
      <c r="SU1034" t="s">
        <v>619</v>
      </c>
      <c r="SV1034" t="s">
        <v>619</v>
      </c>
      <c r="SW1034">
        <v>-2071515</v>
      </c>
      <c r="SX1034">
        <v>-8000000</v>
      </c>
      <c r="SY1034" t="s">
        <v>619</v>
      </c>
      <c r="ACP1034" t="s">
        <v>1403</v>
      </c>
      <c r="ACQ1034" t="s">
        <v>619</v>
      </c>
      <c r="ACR1034" t="s">
        <v>619</v>
      </c>
      <c r="ACS1034">
        <v>-2071515</v>
      </c>
      <c r="ACT1034">
        <v>-8000000</v>
      </c>
      <c r="ACU1034" t="s">
        <v>619</v>
      </c>
      <c r="AML1034" t="s">
        <v>1403</v>
      </c>
      <c r="AMM1034" t="s">
        <v>619</v>
      </c>
      <c r="AMN1034" t="s">
        <v>619</v>
      </c>
      <c r="AMO1034">
        <v>-2071515</v>
      </c>
      <c r="AMP1034">
        <v>-8000000</v>
      </c>
      <c r="AMQ1034" t="s">
        <v>619</v>
      </c>
      <c r="AWH1034" t="s">
        <v>1403</v>
      </c>
      <c r="AWI1034" t="s">
        <v>619</v>
      </c>
      <c r="AWJ1034" t="s">
        <v>619</v>
      </c>
      <c r="AWK1034">
        <v>-2071515</v>
      </c>
      <c r="AWL1034">
        <v>-8000000</v>
      </c>
      <c r="AWM1034" t="s">
        <v>619</v>
      </c>
      <c r="BGD1034" t="s">
        <v>1403</v>
      </c>
      <c r="BGE1034" t="s">
        <v>619</v>
      </c>
      <c r="BGF1034" t="s">
        <v>619</v>
      </c>
      <c r="BGG1034">
        <v>-2071515</v>
      </c>
      <c r="BGH1034">
        <v>-8000000</v>
      </c>
      <c r="BGI1034" t="s">
        <v>619</v>
      </c>
      <c r="BPZ1034" t="s">
        <v>1403</v>
      </c>
      <c r="BQA1034" t="s">
        <v>619</v>
      </c>
      <c r="BQB1034" t="s">
        <v>619</v>
      </c>
      <c r="BQC1034">
        <v>-2071515</v>
      </c>
      <c r="BQD1034">
        <v>-8000000</v>
      </c>
      <c r="BQE1034" t="s">
        <v>619</v>
      </c>
      <c r="BZV1034" t="s">
        <v>1403</v>
      </c>
      <c r="BZW1034" t="s">
        <v>619</v>
      </c>
      <c r="BZX1034" t="s">
        <v>619</v>
      </c>
      <c r="BZY1034">
        <v>-2071515</v>
      </c>
      <c r="BZZ1034">
        <v>-8000000</v>
      </c>
      <c r="CAA1034" t="s">
        <v>619</v>
      </c>
      <c r="CJR1034" t="s">
        <v>1403</v>
      </c>
      <c r="CJS1034" t="s">
        <v>619</v>
      </c>
      <c r="CJT1034" t="s">
        <v>619</v>
      </c>
      <c r="CJU1034">
        <v>-2071515</v>
      </c>
      <c r="CJV1034">
        <v>-8000000</v>
      </c>
      <c r="CJW1034" t="s">
        <v>619</v>
      </c>
      <c r="CTN1034" t="s">
        <v>1403</v>
      </c>
      <c r="CTO1034" t="s">
        <v>619</v>
      </c>
      <c r="CTP1034" t="s">
        <v>619</v>
      </c>
      <c r="CTQ1034">
        <v>-2071515</v>
      </c>
      <c r="CTR1034">
        <v>-8000000</v>
      </c>
      <c r="CTS1034" t="s">
        <v>619</v>
      </c>
      <c r="DDJ1034" t="s">
        <v>1403</v>
      </c>
      <c r="DDK1034" t="s">
        <v>619</v>
      </c>
      <c r="DDL1034" t="s">
        <v>619</v>
      </c>
      <c r="DDM1034">
        <v>-2071515</v>
      </c>
      <c r="DDN1034">
        <v>-8000000</v>
      </c>
      <c r="DDO1034" t="s">
        <v>619</v>
      </c>
      <c r="DNF1034" t="s">
        <v>1403</v>
      </c>
      <c r="DNG1034" t="s">
        <v>619</v>
      </c>
      <c r="DNH1034" t="s">
        <v>619</v>
      </c>
      <c r="DNI1034">
        <v>-2071515</v>
      </c>
      <c r="DNJ1034">
        <v>-8000000</v>
      </c>
      <c r="DNK1034" t="s">
        <v>619</v>
      </c>
      <c r="DXB1034" t="s">
        <v>1403</v>
      </c>
      <c r="DXC1034" t="s">
        <v>619</v>
      </c>
      <c r="DXD1034" t="s">
        <v>619</v>
      </c>
      <c r="DXE1034">
        <v>-2071515</v>
      </c>
      <c r="DXF1034">
        <v>-8000000</v>
      </c>
      <c r="DXG1034" t="s">
        <v>619</v>
      </c>
      <c r="EGX1034" t="s">
        <v>1403</v>
      </c>
      <c r="EGY1034" t="s">
        <v>619</v>
      </c>
      <c r="EGZ1034" t="s">
        <v>619</v>
      </c>
      <c r="EHA1034">
        <v>-2071515</v>
      </c>
      <c r="EHB1034">
        <v>-8000000</v>
      </c>
      <c r="EHC1034" t="s">
        <v>619</v>
      </c>
      <c r="EQT1034" t="s">
        <v>1403</v>
      </c>
      <c r="EQU1034" t="s">
        <v>619</v>
      </c>
      <c r="EQV1034" t="s">
        <v>619</v>
      </c>
      <c r="EQW1034">
        <v>-2071515</v>
      </c>
      <c r="EQX1034">
        <v>-8000000</v>
      </c>
      <c r="EQY1034" t="s">
        <v>619</v>
      </c>
      <c r="FAP1034" t="s">
        <v>1403</v>
      </c>
      <c r="FAQ1034" t="s">
        <v>619</v>
      </c>
      <c r="FAR1034" t="s">
        <v>619</v>
      </c>
      <c r="FAS1034">
        <v>-2071515</v>
      </c>
      <c r="FAT1034">
        <v>-8000000</v>
      </c>
      <c r="FAU1034" t="s">
        <v>619</v>
      </c>
      <c r="FKL1034" t="s">
        <v>1403</v>
      </c>
      <c r="FKM1034" t="s">
        <v>619</v>
      </c>
      <c r="FKN1034" t="s">
        <v>619</v>
      </c>
      <c r="FKO1034">
        <v>-2071515</v>
      </c>
      <c r="FKP1034">
        <v>-8000000</v>
      </c>
      <c r="FKQ1034" t="s">
        <v>619</v>
      </c>
      <c r="FUH1034" t="s">
        <v>1403</v>
      </c>
      <c r="FUI1034" t="s">
        <v>619</v>
      </c>
      <c r="FUJ1034" t="s">
        <v>619</v>
      </c>
      <c r="FUK1034">
        <v>-2071515</v>
      </c>
      <c r="FUL1034">
        <v>-8000000</v>
      </c>
      <c r="FUM1034" t="s">
        <v>619</v>
      </c>
      <c r="GED1034" t="s">
        <v>1403</v>
      </c>
      <c r="GEE1034" t="s">
        <v>619</v>
      </c>
      <c r="GEF1034" t="s">
        <v>619</v>
      </c>
      <c r="GEG1034">
        <v>-2071515</v>
      </c>
      <c r="GEH1034">
        <v>-8000000</v>
      </c>
      <c r="GEI1034" t="s">
        <v>619</v>
      </c>
      <c r="GNZ1034" t="s">
        <v>1403</v>
      </c>
      <c r="GOA1034" t="s">
        <v>619</v>
      </c>
      <c r="GOB1034" t="s">
        <v>619</v>
      </c>
      <c r="GOC1034">
        <v>-2071515</v>
      </c>
      <c r="GOD1034">
        <v>-8000000</v>
      </c>
      <c r="GOE1034" t="s">
        <v>619</v>
      </c>
      <c r="GXV1034" t="s">
        <v>1403</v>
      </c>
      <c r="GXW1034" t="s">
        <v>619</v>
      </c>
      <c r="GXX1034" t="s">
        <v>619</v>
      </c>
      <c r="GXY1034">
        <v>-2071515</v>
      </c>
      <c r="GXZ1034">
        <v>-8000000</v>
      </c>
      <c r="GYA1034" t="s">
        <v>619</v>
      </c>
      <c r="HHR1034" t="s">
        <v>1403</v>
      </c>
      <c r="HHS1034" t="s">
        <v>619</v>
      </c>
      <c r="HHT1034" t="s">
        <v>619</v>
      </c>
      <c r="HHU1034">
        <v>-2071515</v>
      </c>
      <c r="HHV1034">
        <v>-8000000</v>
      </c>
      <c r="HHW1034" t="s">
        <v>619</v>
      </c>
      <c r="HRN1034" t="s">
        <v>1403</v>
      </c>
      <c r="HRO1034" t="s">
        <v>619</v>
      </c>
      <c r="HRP1034" t="s">
        <v>619</v>
      </c>
      <c r="HRQ1034">
        <v>-2071515</v>
      </c>
      <c r="HRR1034">
        <v>-8000000</v>
      </c>
      <c r="HRS1034" t="s">
        <v>619</v>
      </c>
      <c r="IBJ1034" t="s">
        <v>1403</v>
      </c>
      <c r="IBK1034" t="s">
        <v>619</v>
      </c>
      <c r="IBL1034" t="s">
        <v>619</v>
      </c>
      <c r="IBM1034">
        <v>-2071515</v>
      </c>
      <c r="IBN1034">
        <v>-8000000</v>
      </c>
      <c r="IBO1034" t="s">
        <v>619</v>
      </c>
      <c r="ILF1034" t="s">
        <v>1403</v>
      </c>
      <c r="ILG1034" t="s">
        <v>619</v>
      </c>
      <c r="ILH1034" t="s">
        <v>619</v>
      </c>
      <c r="ILI1034">
        <v>-2071515</v>
      </c>
      <c r="ILJ1034">
        <v>-8000000</v>
      </c>
      <c r="ILK1034" t="s">
        <v>619</v>
      </c>
      <c r="IVB1034" t="s">
        <v>1403</v>
      </c>
      <c r="IVC1034" t="s">
        <v>619</v>
      </c>
      <c r="IVD1034" t="s">
        <v>619</v>
      </c>
      <c r="IVE1034">
        <v>-2071515</v>
      </c>
      <c r="IVF1034">
        <v>-8000000</v>
      </c>
      <c r="IVG1034" t="s">
        <v>619</v>
      </c>
      <c r="JEX1034" t="s">
        <v>1403</v>
      </c>
      <c r="JEY1034" t="s">
        <v>619</v>
      </c>
      <c r="JEZ1034" t="s">
        <v>619</v>
      </c>
      <c r="JFA1034">
        <v>-2071515</v>
      </c>
      <c r="JFB1034">
        <v>-8000000</v>
      </c>
      <c r="JFC1034" t="s">
        <v>619</v>
      </c>
      <c r="JOT1034" t="s">
        <v>1403</v>
      </c>
      <c r="JOU1034" t="s">
        <v>619</v>
      </c>
      <c r="JOV1034" t="s">
        <v>619</v>
      </c>
      <c r="JOW1034">
        <v>-2071515</v>
      </c>
      <c r="JOX1034">
        <v>-8000000</v>
      </c>
      <c r="JOY1034" t="s">
        <v>619</v>
      </c>
      <c r="JYP1034" t="s">
        <v>1403</v>
      </c>
      <c r="JYQ1034" t="s">
        <v>619</v>
      </c>
      <c r="JYR1034" t="s">
        <v>619</v>
      </c>
      <c r="JYS1034">
        <v>-2071515</v>
      </c>
      <c r="JYT1034">
        <v>-8000000</v>
      </c>
      <c r="JYU1034" t="s">
        <v>619</v>
      </c>
      <c r="KIL1034" t="s">
        <v>1403</v>
      </c>
      <c r="KIM1034" t="s">
        <v>619</v>
      </c>
      <c r="KIN1034" t="s">
        <v>619</v>
      </c>
      <c r="KIO1034">
        <v>-2071515</v>
      </c>
      <c r="KIP1034">
        <v>-8000000</v>
      </c>
      <c r="KIQ1034" t="s">
        <v>619</v>
      </c>
      <c r="KSH1034" t="s">
        <v>1403</v>
      </c>
      <c r="KSI1034" t="s">
        <v>619</v>
      </c>
      <c r="KSJ1034" t="s">
        <v>619</v>
      </c>
      <c r="KSK1034">
        <v>-2071515</v>
      </c>
      <c r="KSL1034">
        <v>-8000000</v>
      </c>
      <c r="KSM1034" t="s">
        <v>619</v>
      </c>
      <c r="LCD1034" t="s">
        <v>1403</v>
      </c>
      <c r="LCE1034" t="s">
        <v>619</v>
      </c>
      <c r="LCF1034" t="s">
        <v>619</v>
      </c>
      <c r="LCG1034">
        <v>-2071515</v>
      </c>
      <c r="LCH1034">
        <v>-8000000</v>
      </c>
      <c r="LCI1034" t="s">
        <v>619</v>
      </c>
      <c r="LLZ1034" t="s">
        <v>1403</v>
      </c>
      <c r="LMA1034" t="s">
        <v>619</v>
      </c>
      <c r="LMB1034" t="s">
        <v>619</v>
      </c>
      <c r="LMC1034">
        <v>-2071515</v>
      </c>
      <c r="LMD1034">
        <v>-8000000</v>
      </c>
      <c r="LME1034" t="s">
        <v>619</v>
      </c>
      <c r="LVV1034" t="s">
        <v>1403</v>
      </c>
      <c r="LVW1034" t="s">
        <v>619</v>
      </c>
      <c r="LVX1034" t="s">
        <v>619</v>
      </c>
      <c r="LVY1034">
        <v>-2071515</v>
      </c>
      <c r="LVZ1034">
        <v>-8000000</v>
      </c>
      <c r="LWA1034" t="s">
        <v>619</v>
      </c>
      <c r="MFR1034" t="s">
        <v>1403</v>
      </c>
      <c r="MFS1034" t="s">
        <v>619</v>
      </c>
      <c r="MFT1034" t="s">
        <v>619</v>
      </c>
      <c r="MFU1034">
        <v>-2071515</v>
      </c>
      <c r="MFV1034">
        <v>-8000000</v>
      </c>
      <c r="MFW1034" t="s">
        <v>619</v>
      </c>
      <c r="MPN1034" t="s">
        <v>1403</v>
      </c>
      <c r="MPO1034" t="s">
        <v>619</v>
      </c>
      <c r="MPP1034" t="s">
        <v>619</v>
      </c>
      <c r="MPQ1034">
        <v>-2071515</v>
      </c>
      <c r="MPR1034">
        <v>-8000000</v>
      </c>
      <c r="MPS1034" t="s">
        <v>619</v>
      </c>
      <c r="MZJ1034" t="s">
        <v>1403</v>
      </c>
      <c r="MZK1034" t="s">
        <v>619</v>
      </c>
      <c r="MZL1034" t="s">
        <v>619</v>
      </c>
      <c r="MZM1034">
        <v>-2071515</v>
      </c>
      <c r="MZN1034">
        <v>-8000000</v>
      </c>
      <c r="MZO1034" t="s">
        <v>619</v>
      </c>
      <c r="NJF1034" t="s">
        <v>1403</v>
      </c>
      <c r="NJG1034" t="s">
        <v>619</v>
      </c>
      <c r="NJH1034" t="s">
        <v>619</v>
      </c>
      <c r="NJI1034">
        <v>-2071515</v>
      </c>
      <c r="NJJ1034">
        <v>-8000000</v>
      </c>
      <c r="NJK1034" t="s">
        <v>619</v>
      </c>
      <c r="NTB1034" t="s">
        <v>1403</v>
      </c>
      <c r="NTC1034" t="s">
        <v>619</v>
      </c>
      <c r="NTD1034" t="s">
        <v>619</v>
      </c>
      <c r="NTE1034">
        <v>-2071515</v>
      </c>
      <c r="NTF1034">
        <v>-8000000</v>
      </c>
      <c r="NTG1034" t="s">
        <v>619</v>
      </c>
      <c r="OCX1034" t="s">
        <v>1403</v>
      </c>
      <c r="OCY1034" t="s">
        <v>619</v>
      </c>
      <c r="OCZ1034" t="s">
        <v>619</v>
      </c>
      <c r="ODA1034">
        <v>-2071515</v>
      </c>
      <c r="ODB1034">
        <v>-8000000</v>
      </c>
      <c r="ODC1034" t="s">
        <v>619</v>
      </c>
      <c r="OMT1034" t="s">
        <v>1403</v>
      </c>
      <c r="OMU1034" t="s">
        <v>619</v>
      </c>
      <c r="OMV1034" t="s">
        <v>619</v>
      </c>
      <c r="OMW1034">
        <v>-2071515</v>
      </c>
      <c r="OMX1034">
        <v>-8000000</v>
      </c>
      <c r="OMY1034" t="s">
        <v>619</v>
      </c>
      <c r="OWP1034" t="s">
        <v>1403</v>
      </c>
      <c r="OWQ1034" t="s">
        <v>619</v>
      </c>
      <c r="OWR1034" t="s">
        <v>619</v>
      </c>
      <c r="OWS1034">
        <v>-2071515</v>
      </c>
      <c r="OWT1034">
        <v>-8000000</v>
      </c>
      <c r="OWU1034" t="s">
        <v>619</v>
      </c>
      <c r="PGL1034" t="s">
        <v>1403</v>
      </c>
      <c r="PGM1034" t="s">
        <v>619</v>
      </c>
      <c r="PGN1034" t="s">
        <v>619</v>
      </c>
      <c r="PGO1034">
        <v>-2071515</v>
      </c>
      <c r="PGP1034">
        <v>-8000000</v>
      </c>
      <c r="PGQ1034" t="s">
        <v>619</v>
      </c>
      <c r="PQH1034" t="s">
        <v>1403</v>
      </c>
      <c r="PQI1034" t="s">
        <v>619</v>
      </c>
      <c r="PQJ1034" t="s">
        <v>619</v>
      </c>
      <c r="PQK1034">
        <v>-2071515</v>
      </c>
      <c r="PQL1034">
        <v>-8000000</v>
      </c>
      <c r="PQM1034" t="s">
        <v>619</v>
      </c>
      <c r="QAD1034" t="s">
        <v>1403</v>
      </c>
      <c r="QAE1034" t="s">
        <v>619</v>
      </c>
      <c r="QAF1034" t="s">
        <v>619</v>
      </c>
      <c r="QAG1034">
        <v>-2071515</v>
      </c>
      <c r="QAH1034">
        <v>-8000000</v>
      </c>
      <c r="QAI1034" t="s">
        <v>619</v>
      </c>
      <c r="QJZ1034" t="s">
        <v>1403</v>
      </c>
      <c r="QKA1034" t="s">
        <v>619</v>
      </c>
      <c r="QKB1034" t="s">
        <v>619</v>
      </c>
      <c r="QKC1034">
        <v>-2071515</v>
      </c>
      <c r="QKD1034">
        <v>-8000000</v>
      </c>
      <c r="QKE1034" t="s">
        <v>619</v>
      </c>
      <c r="QTV1034" t="s">
        <v>1403</v>
      </c>
      <c r="QTW1034" t="s">
        <v>619</v>
      </c>
      <c r="QTX1034" t="s">
        <v>619</v>
      </c>
      <c r="QTY1034">
        <v>-2071515</v>
      </c>
      <c r="QTZ1034">
        <v>-8000000</v>
      </c>
      <c r="QUA1034" t="s">
        <v>619</v>
      </c>
      <c r="RDR1034" t="s">
        <v>1403</v>
      </c>
      <c r="RDS1034" t="s">
        <v>619</v>
      </c>
      <c r="RDT1034" t="s">
        <v>619</v>
      </c>
      <c r="RDU1034">
        <v>-2071515</v>
      </c>
      <c r="RDV1034">
        <v>-8000000</v>
      </c>
      <c r="RDW1034" t="s">
        <v>619</v>
      </c>
      <c r="RNN1034" t="s">
        <v>1403</v>
      </c>
      <c r="RNO1034" t="s">
        <v>619</v>
      </c>
      <c r="RNP1034" t="s">
        <v>619</v>
      </c>
      <c r="RNQ1034">
        <v>-2071515</v>
      </c>
      <c r="RNR1034">
        <v>-8000000</v>
      </c>
      <c r="RNS1034" t="s">
        <v>619</v>
      </c>
      <c r="RXJ1034" t="s">
        <v>1403</v>
      </c>
      <c r="RXK1034" t="s">
        <v>619</v>
      </c>
      <c r="RXL1034" t="s">
        <v>619</v>
      </c>
      <c r="RXM1034">
        <v>-2071515</v>
      </c>
      <c r="RXN1034">
        <v>-8000000</v>
      </c>
      <c r="RXO1034" t="s">
        <v>619</v>
      </c>
      <c r="SHF1034" t="s">
        <v>1403</v>
      </c>
      <c r="SHG1034" t="s">
        <v>619</v>
      </c>
      <c r="SHH1034" t="s">
        <v>619</v>
      </c>
      <c r="SHI1034">
        <v>-2071515</v>
      </c>
      <c r="SHJ1034">
        <v>-8000000</v>
      </c>
      <c r="SHK1034" t="s">
        <v>619</v>
      </c>
      <c r="SRB1034" t="s">
        <v>1403</v>
      </c>
      <c r="SRC1034" t="s">
        <v>619</v>
      </c>
      <c r="SRD1034" t="s">
        <v>619</v>
      </c>
      <c r="SRE1034">
        <v>-2071515</v>
      </c>
      <c r="SRF1034">
        <v>-8000000</v>
      </c>
      <c r="SRG1034" t="s">
        <v>619</v>
      </c>
      <c r="TAX1034" t="s">
        <v>1403</v>
      </c>
      <c r="TAY1034" t="s">
        <v>619</v>
      </c>
      <c r="TAZ1034" t="s">
        <v>619</v>
      </c>
      <c r="TBA1034">
        <v>-2071515</v>
      </c>
      <c r="TBB1034">
        <v>-8000000</v>
      </c>
      <c r="TBC1034" t="s">
        <v>619</v>
      </c>
      <c r="TKT1034" t="s">
        <v>1403</v>
      </c>
      <c r="TKU1034" t="s">
        <v>619</v>
      </c>
      <c r="TKV1034" t="s">
        <v>619</v>
      </c>
      <c r="TKW1034">
        <v>-2071515</v>
      </c>
      <c r="TKX1034">
        <v>-8000000</v>
      </c>
      <c r="TKY1034" t="s">
        <v>619</v>
      </c>
      <c r="TUP1034" t="s">
        <v>1403</v>
      </c>
      <c r="TUQ1034" t="s">
        <v>619</v>
      </c>
      <c r="TUR1034" t="s">
        <v>619</v>
      </c>
      <c r="TUS1034">
        <v>-2071515</v>
      </c>
      <c r="TUT1034">
        <v>-8000000</v>
      </c>
      <c r="TUU1034" t="s">
        <v>619</v>
      </c>
      <c r="UEL1034" t="s">
        <v>1403</v>
      </c>
      <c r="UEM1034" t="s">
        <v>619</v>
      </c>
      <c r="UEN1034" t="s">
        <v>619</v>
      </c>
      <c r="UEO1034">
        <v>-2071515</v>
      </c>
      <c r="UEP1034">
        <v>-8000000</v>
      </c>
      <c r="UEQ1034" t="s">
        <v>619</v>
      </c>
      <c r="UOH1034" t="s">
        <v>1403</v>
      </c>
      <c r="UOI1034" t="s">
        <v>619</v>
      </c>
      <c r="UOJ1034" t="s">
        <v>619</v>
      </c>
      <c r="UOK1034">
        <v>-2071515</v>
      </c>
      <c r="UOL1034">
        <v>-8000000</v>
      </c>
      <c r="UOM1034" t="s">
        <v>619</v>
      </c>
      <c r="UYD1034" t="s">
        <v>1403</v>
      </c>
      <c r="UYE1034" t="s">
        <v>619</v>
      </c>
      <c r="UYF1034" t="s">
        <v>619</v>
      </c>
      <c r="UYG1034">
        <v>-2071515</v>
      </c>
      <c r="UYH1034">
        <v>-8000000</v>
      </c>
      <c r="UYI1034" t="s">
        <v>619</v>
      </c>
      <c r="VHZ1034" t="s">
        <v>1403</v>
      </c>
      <c r="VIA1034" t="s">
        <v>619</v>
      </c>
      <c r="VIB1034" t="s">
        <v>619</v>
      </c>
      <c r="VIC1034">
        <v>-2071515</v>
      </c>
      <c r="VID1034">
        <v>-8000000</v>
      </c>
      <c r="VIE1034" t="s">
        <v>619</v>
      </c>
      <c r="VRV1034" t="s">
        <v>1403</v>
      </c>
      <c r="VRW1034" t="s">
        <v>619</v>
      </c>
      <c r="VRX1034" t="s">
        <v>619</v>
      </c>
      <c r="VRY1034">
        <v>-2071515</v>
      </c>
      <c r="VRZ1034">
        <v>-8000000</v>
      </c>
      <c r="VSA1034" t="s">
        <v>619</v>
      </c>
      <c r="WBR1034" t="s">
        <v>1403</v>
      </c>
      <c r="WBS1034" t="s">
        <v>619</v>
      </c>
      <c r="WBT1034" t="s">
        <v>619</v>
      </c>
      <c r="WBU1034">
        <v>-2071515</v>
      </c>
      <c r="WBV1034">
        <v>-8000000</v>
      </c>
      <c r="WBW1034" t="s">
        <v>619</v>
      </c>
      <c r="WLN1034" t="s">
        <v>1403</v>
      </c>
      <c r="WLO1034" t="s">
        <v>619</v>
      </c>
      <c r="WLP1034" t="s">
        <v>619</v>
      </c>
      <c r="WLQ1034">
        <v>-2071515</v>
      </c>
      <c r="WLR1034">
        <v>-8000000</v>
      </c>
      <c r="WLS1034" t="s">
        <v>619</v>
      </c>
      <c r="WVJ1034" t="s">
        <v>1403</v>
      </c>
      <c r="WVK1034" t="s">
        <v>619</v>
      </c>
      <c r="WVL1034" t="s">
        <v>619</v>
      </c>
      <c r="WVM1034">
        <v>-2071515</v>
      </c>
      <c r="WVN1034">
        <v>-8000000</v>
      </c>
      <c r="WVO1034" t="s">
        <v>619</v>
      </c>
    </row>
    <row r="1035" spans="1:775 1026:1799 2050:2823 3074:3847 4098:4871 5122:5895 6146:6919 7170:7943 8194:8967 9218:9991 10242:11015 11266:12039 12290:13063 13314:14087 14338:15111 15362:16135">
      <c r="A1035" s="96" t="s">
        <v>1404</v>
      </c>
      <c r="B1035" t="s">
        <v>1003</v>
      </c>
      <c r="C1035" s="100">
        <v>47124</v>
      </c>
      <c r="D1035" s="98">
        <v>0</v>
      </c>
      <c r="E1035" s="98">
        <v>0</v>
      </c>
      <c r="F1035" s="98">
        <v>0</v>
      </c>
      <c r="G1035" s="98">
        <v>0</v>
      </c>
      <c r="H1035" s="98"/>
      <c r="IX1035" t="s">
        <v>1404</v>
      </c>
      <c r="IY1035">
        <v>47124</v>
      </c>
      <c r="IZ1035" t="s">
        <v>619</v>
      </c>
      <c r="JA1035" t="s">
        <v>619</v>
      </c>
      <c r="JB1035" t="s">
        <v>619</v>
      </c>
      <c r="JC1035" t="s">
        <v>619</v>
      </c>
      <c r="ST1035" t="s">
        <v>1404</v>
      </c>
      <c r="SU1035">
        <v>47124</v>
      </c>
      <c r="SV1035" t="s">
        <v>619</v>
      </c>
      <c r="SW1035" t="s">
        <v>619</v>
      </c>
      <c r="SX1035" t="s">
        <v>619</v>
      </c>
      <c r="SY1035" t="s">
        <v>619</v>
      </c>
      <c r="ACP1035" t="s">
        <v>1404</v>
      </c>
      <c r="ACQ1035">
        <v>47124</v>
      </c>
      <c r="ACR1035" t="s">
        <v>619</v>
      </c>
      <c r="ACS1035" t="s">
        <v>619</v>
      </c>
      <c r="ACT1035" t="s">
        <v>619</v>
      </c>
      <c r="ACU1035" t="s">
        <v>619</v>
      </c>
      <c r="AML1035" t="s">
        <v>1404</v>
      </c>
      <c r="AMM1035">
        <v>47124</v>
      </c>
      <c r="AMN1035" t="s">
        <v>619</v>
      </c>
      <c r="AMO1035" t="s">
        <v>619</v>
      </c>
      <c r="AMP1035" t="s">
        <v>619</v>
      </c>
      <c r="AMQ1035" t="s">
        <v>619</v>
      </c>
      <c r="AWH1035" t="s">
        <v>1404</v>
      </c>
      <c r="AWI1035">
        <v>47124</v>
      </c>
      <c r="AWJ1035" t="s">
        <v>619</v>
      </c>
      <c r="AWK1035" t="s">
        <v>619</v>
      </c>
      <c r="AWL1035" t="s">
        <v>619</v>
      </c>
      <c r="AWM1035" t="s">
        <v>619</v>
      </c>
      <c r="BGD1035" t="s">
        <v>1404</v>
      </c>
      <c r="BGE1035">
        <v>47124</v>
      </c>
      <c r="BGF1035" t="s">
        <v>619</v>
      </c>
      <c r="BGG1035" t="s">
        <v>619</v>
      </c>
      <c r="BGH1035" t="s">
        <v>619</v>
      </c>
      <c r="BGI1035" t="s">
        <v>619</v>
      </c>
      <c r="BPZ1035" t="s">
        <v>1404</v>
      </c>
      <c r="BQA1035">
        <v>47124</v>
      </c>
      <c r="BQB1035" t="s">
        <v>619</v>
      </c>
      <c r="BQC1035" t="s">
        <v>619</v>
      </c>
      <c r="BQD1035" t="s">
        <v>619</v>
      </c>
      <c r="BQE1035" t="s">
        <v>619</v>
      </c>
      <c r="BZV1035" t="s">
        <v>1404</v>
      </c>
      <c r="BZW1035">
        <v>47124</v>
      </c>
      <c r="BZX1035" t="s">
        <v>619</v>
      </c>
      <c r="BZY1035" t="s">
        <v>619</v>
      </c>
      <c r="BZZ1035" t="s">
        <v>619</v>
      </c>
      <c r="CAA1035" t="s">
        <v>619</v>
      </c>
      <c r="CJR1035" t="s">
        <v>1404</v>
      </c>
      <c r="CJS1035">
        <v>47124</v>
      </c>
      <c r="CJT1035" t="s">
        <v>619</v>
      </c>
      <c r="CJU1035" t="s">
        <v>619</v>
      </c>
      <c r="CJV1035" t="s">
        <v>619</v>
      </c>
      <c r="CJW1035" t="s">
        <v>619</v>
      </c>
      <c r="CTN1035" t="s">
        <v>1404</v>
      </c>
      <c r="CTO1035">
        <v>47124</v>
      </c>
      <c r="CTP1035" t="s">
        <v>619</v>
      </c>
      <c r="CTQ1035" t="s">
        <v>619</v>
      </c>
      <c r="CTR1035" t="s">
        <v>619</v>
      </c>
      <c r="CTS1035" t="s">
        <v>619</v>
      </c>
      <c r="DDJ1035" t="s">
        <v>1404</v>
      </c>
      <c r="DDK1035">
        <v>47124</v>
      </c>
      <c r="DDL1035" t="s">
        <v>619</v>
      </c>
      <c r="DDM1035" t="s">
        <v>619</v>
      </c>
      <c r="DDN1035" t="s">
        <v>619</v>
      </c>
      <c r="DDO1035" t="s">
        <v>619</v>
      </c>
      <c r="DNF1035" t="s">
        <v>1404</v>
      </c>
      <c r="DNG1035">
        <v>47124</v>
      </c>
      <c r="DNH1035" t="s">
        <v>619</v>
      </c>
      <c r="DNI1035" t="s">
        <v>619</v>
      </c>
      <c r="DNJ1035" t="s">
        <v>619</v>
      </c>
      <c r="DNK1035" t="s">
        <v>619</v>
      </c>
      <c r="DXB1035" t="s">
        <v>1404</v>
      </c>
      <c r="DXC1035">
        <v>47124</v>
      </c>
      <c r="DXD1035" t="s">
        <v>619</v>
      </c>
      <c r="DXE1035" t="s">
        <v>619</v>
      </c>
      <c r="DXF1035" t="s">
        <v>619</v>
      </c>
      <c r="DXG1035" t="s">
        <v>619</v>
      </c>
      <c r="EGX1035" t="s">
        <v>1404</v>
      </c>
      <c r="EGY1035">
        <v>47124</v>
      </c>
      <c r="EGZ1035" t="s">
        <v>619</v>
      </c>
      <c r="EHA1035" t="s">
        <v>619</v>
      </c>
      <c r="EHB1035" t="s">
        <v>619</v>
      </c>
      <c r="EHC1035" t="s">
        <v>619</v>
      </c>
      <c r="EQT1035" t="s">
        <v>1404</v>
      </c>
      <c r="EQU1035">
        <v>47124</v>
      </c>
      <c r="EQV1035" t="s">
        <v>619</v>
      </c>
      <c r="EQW1035" t="s">
        <v>619</v>
      </c>
      <c r="EQX1035" t="s">
        <v>619</v>
      </c>
      <c r="EQY1035" t="s">
        <v>619</v>
      </c>
      <c r="FAP1035" t="s">
        <v>1404</v>
      </c>
      <c r="FAQ1035">
        <v>47124</v>
      </c>
      <c r="FAR1035" t="s">
        <v>619</v>
      </c>
      <c r="FAS1035" t="s">
        <v>619</v>
      </c>
      <c r="FAT1035" t="s">
        <v>619</v>
      </c>
      <c r="FAU1035" t="s">
        <v>619</v>
      </c>
      <c r="FKL1035" t="s">
        <v>1404</v>
      </c>
      <c r="FKM1035">
        <v>47124</v>
      </c>
      <c r="FKN1035" t="s">
        <v>619</v>
      </c>
      <c r="FKO1035" t="s">
        <v>619</v>
      </c>
      <c r="FKP1035" t="s">
        <v>619</v>
      </c>
      <c r="FKQ1035" t="s">
        <v>619</v>
      </c>
      <c r="FUH1035" t="s">
        <v>1404</v>
      </c>
      <c r="FUI1035">
        <v>47124</v>
      </c>
      <c r="FUJ1035" t="s">
        <v>619</v>
      </c>
      <c r="FUK1035" t="s">
        <v>619</v>
      </c>
      <c r="FUL1035" t="s">
        <v>619</v>
      </c>
      <c r="FUM1035" t="s">
        <v>619</v>
      </c>
      <c r="GED1035" t="s">
        <v>1404</v>
      </c>
      <c r="GEE1035">
        <v>47124</v>
      </c>
      <c r="GEF1035" t="s">
        <v>619</v>
      </c>
      <c r="GEG1035" t="s">
        <v>619</v>
      </c>
      <c r="GEH1035" t="s">
        <v>619</v>
      </c>
      <c r="GEI1035" t="s">
        <v>619</v>
      </c>
      <c r="GNZ1035" t="s">
        <v>1404</v>
      </c>
      <c r="GOA1035">
        <v>47124</v>
      </c>
      <c r="GOB1035" t="s">
        <v>619</v>
      </c>
      <c r="GOC1035" t="s">
        <v>619</v>
      </c>
      <c r="GOD1035" t="s">
        <v>619</v>
      </c>
      <c r="GOE1035" t="s">
        <v>619</v>
      </c>
      <c r="GXV1035" t="s">
        <v>1404</v>
      </c>
      <c r="GXW1035">
        <v>47124</v>
      </c>
      <c r="GXX1035" t="s">
        <v>619</v>
      </c>
      <c r="GXY1035" t="s">
        <v>619</v>
      </c>
      <c r="GXZ1035" t="s">
        <v>619</v>
      </c>
      <c r="GYA1035" t="s">
        <v>619</v>
      </c>
      <c r="HHR1035" t="s">
        <v>1404</v>
      </c>
      <c r="HHS1035">
        <v>47124</v>
      </c>
      <c r="HHT1035" t="s">
        <v>619</v>
      </c>
      <c r="HHU1035" t="s">
        <v>619</v>
      </c>
      <c r="HHV1035" t="s">
        <v>619</v>
      </c>
      <c r="HHW1035" t="s">
        <v>619</v>
      </c>
      <c r="HRN1035" t="s">
        <v>1404</v>
      </c>
      <c r="HRO1035">
        <v>47124</v>
      </c>
      <c r="HRP1035" t="s">
        <v>619</v>
      </c>
      <c r="HRQ1035" t="s">
        <v>619</v>
      </c>
      <c r="HRR1035" t="s">
        <v>619</v>
      </c>
      <c r="HRS1035" t="s">
        <v>619</v>
      </c>
      <c r="IBJ1035" t="s">
        <v>1404</v>
      </c>
      <c r="IBK1035">
        <v>47124</v>
      </c>
      <c r="IBL1035" t="s">
        <v>619</v>
      </c>
      <c r="IBM1035" t="s">
        <v>619</v>
      </c>
      <c r="IBN1035" t="s">
        <v>619</v>
      </c>
      <c r="IBO1035" t="s">
        <v>619</v>
      </c>
      <c r="ILF1035" t="s">
        <v>1404</v>
      </c>
      <c r="ILG1035">
        <v>47124</v>
      </c>
      <c r="ILH1035" t="s">
        <v>619</v>
      </c>
      <c r="ILI1035" t="s">
        <v>619</v>
      </c>
      <c r="ILJ1035" t="s">
        <v>619</v>
      </c>
      <c r="ILK1035" t="s">
        <v>619</v>
      </c>
      <c r="IVB1035" t="s">
        <v>1404</v>
      </c>
      <c r="IVC1035">
        <v>47124</v>
      </c>
      <c r="IVD1035" t="s">
        <v>619</v>
      </c>
      <c r="IVE1035" t="s">
        <v>619</v>
      </c>
      <c r="IVF1035" t="s">
        <v>619</v>
      </c>
      <c r="IVG1035" t="s">
        <v>619</v>
      </c>
      <c r="JEX1035" t="s">
        <v>1404</v>
      </c>
      <c r="JEY1035">
        <v>47124</v>
      </c>
      <c r="JEZ1035" t="s">
        <v>619</v>
      </c>
      <c r="JFA1035" t="s">
        <v>619</v>
      </c>
      <c r="JFB1035" t="s">
        <v>619</v>
      </c>
      <c r="JFC1035" t="s">
        <v>619</v>
      </c>
      <c r="JOT1035" t="s">
        <v>1404</v>
      </c>
      <c r="JOU1035">
        <v>47124</v>
      </c>
      <c r="JOV1035" t="s">
        <v>619</v>
      </c>
      <c r="JOW1035" t="s">
        <v>619</v>
      </c>
      <c r="JOX1035" t="s">
        <v>619</v>
      </c>
      <c r="JOY1035" t="s">
        <v>619</v>
      </c>
      <c r="JYP1035" t="s">
        <v>1404</v>
      </c>
      <c r="JYQ1035">
        <v>47124</v>
      </c>
      <c r="JYR1035" t="s">
        <v>619</v>
      </c>
      <c r="JYS1035" t="s">
        <v>619</v>
      </c>
      <c r="JYT1035" t="s">
        <v>619</v>
      </c>
      <c r="JYU1035" t="s">
        <v>619</v>
      </c>
      <c r="KIL1035" t="s">
        <v>1404</v>
      </c>
      <c r="KIM1035">
        <v>47124</v>
      </c>
      <c r="KIN1035" t="s">
        <v>619</v>
      </c>
      <c r="KIO1035" t="s">
        <v>619</v>
      </c>
      <c r="KIP1035" t="s">
        <v>619</v>
      </c>
      <c r="KIQ1035" t="s">
        <v>619</v>
      </c>
      <c r="KSH1035" t="s">
        <v>1404</v>
      </c>
      <c r="KSI1035">
        <v>47124</v>
      </c>
      <c r="KSJ1035" t="s">
        <v>619</v>
      </c>
      <c r="KSK1035" t="s">
        <v>619</v>
      </c>
      <c r="KSL1035" t="s">
        <v>619</v>
      </c>
      <c r="KSM1035" t="s">
        <v>619</v>
      </c>
      <c r="LCD1035" t="s">
        <v>1404</v>
      </c>
      <c r="LCE1035">
        <v>47124</v>
      </c>
      <c r="LCF1035" t="s">
        <v>619</v>
      </c>
      <c r="LCG1035" t="s">
        <v>619</v>
      </c>
      <c r="LCH1035" t="s">
        <v>619</v>
      </c>
      <c r="LCI1035" t="s">
        <v>619</v>
      </c>
      <c r="LLZ1035" t="s">
        <v>1404</v>
      </c>
      <c r="LMA1035">
        <v>47124</v>
      </c>
      <c r="LMB1035" t="s">
        <v>619</v>
      </c>
      <c r="LMC1035" t="s">
        <v>619</v>
      </c>
      <c r="LMD1035" t="s">
        <v>619</v>
      </c>
      <c r="LME1035" t="s">
        <v>619</v>
      </c>
      <c r="LVV1035" t="s">
        <v>1404</v>
      </c>
      <c r="LVW1035">
        <v>47124</v>
      </c>
      <c r="LVX1035" t="s">
        <v>619</v>
      </c>
      <c r="LVY1035" t="s">
        <v>619</v>
      </c>
      <c r="LVZ1035" t="s">
        <v>619</v>
      </c>
      <c r="LWA1035" t="s">
        <v>619</v>
      </c>
      <c r="MFR1035" t="s">
        <v>1404</v>
      </c>
      <c r="MFS1035">
        <v>47124</v>
      </c>
      <c r="MFT1035" t="s">
        <v>619</v>
      </c>
      <c r="MFU1035" t="s">
        <v>619</v>
      </c>
      <c r="MFV1035" t="s">
        <v>619</v>
      </c>
      <c r="MFW1035" t="s">
        <v>619</v>
      </c>
      <c r="MPN1035" t="s">
        <v>1404</v>
      </c>
      <c r="MPO1035">
        <v>47124</v>
      </c>
      <c r="MPP1035" t="s">
        <v>619</v>
      </c>
      <c r="MPQ1035" t="s">
        <v>619</v>
      </c>
      <c r="MPR1035" t="s">
        <v>619</v>
      </c>
      <c r="MPS1035" t="s">
        <v>619</v>
      </c>
      <c r="MZJ1035" t="s">
        <v>1404</v>
      </c>
      <c r="MZK1035">
        <v>47124</v>
      </c>
      <c r="MZL1035" t="s">
        <v>619</v>
      </c>
      <c r="MZM1035" t="s">
        <v>619</v>
      </c>
      <c r="MZN1035" t="s">
        <v>619</v>
      </c>
      <c r="MZO1035" t="s">
        <v>619</v>
      </c>
      <c r="NJF1035" t="s">
        <v>1404</v>
      </c>
      <c r="NJG1035">
        <v>47124</v>
      </c>
      <c r="NJH1035" t="s">
        <v>619</v>
      </c>
      <c r="NJI1035" t="s">
        <v>619</v>
      </c>
      <c r="NJJ1035" t="s">
        <v>619</v>
      </c>
      <c r="NJK1035" t="s">
        <v>619</v>
      </c>
      <c r="NTB1035" t="s">
        <v>1404</v>
      </c>
      <c r="NTC1035">
        <v>47124</v>
      </c>
      <c r="NTD1035" t="s">
        <v>619</v>
      </c>
      <c r="NTE1035" t="s">
        <v>619</v>
      </c>
      <c r="NTF1035" t="s">
        <v>619</v>
      </c>
      <c r="NTG1035" t="s">
        <v>619</v>
      </c>
      <c r="OCX1035" t="s">
        <v>1404</v>
      </c>
      <c r="OCY1035">
        <v>47124</v>
      </c>
      <c r="OCZ1035" t="s">
        <v>619</v>
      </c>
      <c r="ODA1035" t="s">
        <v>619</v>
      </c>
      <c r="ODB1035" t="s">
        <v>619</v>
      </c>
      <c r="ODC1035" t="s">
        <v>619</v>
      </c>
      <c r="OMT1035" t="s">
        <v>1404</v>
      </c>
      <c r="OMU1035">
        <v>47124</v>
      </c>
      <c r="OMV1035" t="s">
        <v>619</v>
      </c>
      <c r="OMW1035" t="s">
        <v>619</v>
      </c>
      <c r="OMX1035" t="s">
        <v>619</v>
      </c>
      <c r="OMY1035" t="s">
        <v>619</v>
      </c>
      <c r="OWP1035" t="s">
        <v>1404</v>
      </c>
      <c r="OWQ1035">
        <v>47124</v>
      </c>
      <c r="OWR1035" t="s">
        <v>619</v>
      </c>
      <c r="OWS1035" t="s">
        <v>619</v>
      </c>
      <c r="OWT1035" t="s">
        <v>619</v>
      </c>
      <c r="OWU1035" t="s">
        <v>619</v>
      </c>
      <c r="PGL1035" t="s">
        <v>1404</v>
      </c>
      <c r="PGM1035">
        <v>47124</v>
      </c>
      <c r="PGN1035" t="s">
        <v>619</v>
      </c>
      <c r="PGO1035" t="s">
        <v>619</v>
      </c>
      <c r="PGP1035" t="s">
        <v>619</v>
      </c>
      <c r="PGQ1035" t="s">
        <v>619</v>
      </c>
      <c r="PQH1035" t="s">
        <v>1404</v>
      </c>
      <c r="PQI1035">
        <v>47124</v>
      </c>
      <c r="PQJ1035" t="s">
        <v>619</v>
      </c>
      <c r="PQK1035" t="s">
        <v>619</v>
      </c>
      <c r="PQL1035" t="s">
        <v>619</v>
      </c>
      <c r="PQM1035" t="s">
        <v>619</v>
      </c>
      <c r="QAD1035" t="s">
        <v>1404</v>
      </c>
      <c r="QAE1035">
        <v>47124</v>
      </c>
      <c r="QAF1035" t="s">
        <v>619</v>
      </c>
      <c r="QAG1035" t="s">
        <v>619</v>
      </c>
      <c r="QAH1035" t="s">
        <v>619</v>
      </c>
      <c r="QAI1035" t="s">
        <v>619</v>
      </c>
      <c r="QJZ1035" t="s">
        <v>1404</v>
      </c>
      <c r="QKA1035">
        <v>47124</v>
      </c>
      <c r="QKB1035" t="s">
        <v>619</v>
      </c>
      <c r="QKC1035" t="s">
        <v>619</v>
      </c>
      <c r="QKD1035" t="s">
        <v>619</v>
      </c>
      <c r="QKE1035" t="s">
        <v>619</v>
      </c>
      <c r="QTV1035" t="s">
        <v>1404</v>
      </c>
      <c r="QTW1035">
        <v>47124</v>
      </c>
      <c r="QTX1035" t="s">
        <v>619</v>
      </c>
      <c r="QTY1035" t="s">
        <v>619</v>
      </c>
      <c r="QTZ1035" t="s">
        <v>619</v>
      </c>
      <c r="QUA1035" t="s">
        <v>619</v>
      </c>
      <c r="RDR1035" t="s">
        <v>1404</v>
      </c>
      <c r="RDS1035">
        <v>47124</v>
      </c>
      <c r="RDT1035" t="s">
        <v>619</v>
      </c>
      <c r="RDU1035" t="s">
        <v>619</v>
      </c>
      <c r="RDV1035" t="s">
        <v>619</v>
      </c>
      <c r="RDW1035" t="s">
        <v>619</v>
      </c>
      <c r="RNN1035" t="s">
        <v>1404</v>
      </c>
      <c r="RNO1035">
        <v>47124</v>
      </c>
      <c r="RNP1035" t="s">
        <v>619</v>
      </c>
      <c r="RNQ1035" t="s">
        <v>619</v>
      </c>
      <c r="RNR1035" t="s">
        <v>619</v>
      </c>
      <c r="RNS1035" t="s">
        <v>619</v>
      </c>
      <c r="RXJ1035" t="s">
        <v>1404</v>
      </c>
      <c r="RXK1035">
        <v>47124</v>
      </c>
      <c r="RXL1035" t="s">
        <v>619</v>
      </c>
      <c r="RXM1035" t="s">
        <v>619</v>
      </c>
      <c r="RXN1035" t="s">
        <v>619</v>
      </c>
      <c r="RXO1035" t="s">
        <v>619</v>
      </c>
      <c r="SHF1035" t="s">
        <v>1404</v>
      </c>
      <c r="SHG1035">
        <v>47124</v>
      </c>
      <c r="SHH1035" t="s">
        <v>619</v>
      </c>
      <c r="SHI1035" t="s">
        <v>619</v>
      </c>
      <c r="SHJ1035" t="s">
        <v>619</v>
      </c>
      <c r="SHK1035" t="s">
        <v>619</v>
      </c>
      <c r="SRB1035" t="s">
        <v>1404</v>
      </c>
      <c r="SRC1035">
        <v>47124</v>
      </c>
      <c r="SRD1035" t="s">
        <v>619</v>
      </c>
      <c r="SRE1035" t="s">
        <v>619</v>
      </c>
      <c r="SRF1035" t="s">
        <v>619</v>
      </c>
      <c r="SRG1035" t="s">
        <v>619</v>
      </c>
      <c r="TAX1035" t="s">
        <v>1404</v>
      </c>
      <c r="TAY1035">
        <v>47124</v>
      </c>
      <c r="TAZ1035" t="s">
        <v>619</v>
      </c>
      <c r="TBA1035" t="s">
        <v>619</v>
      </c>
      <c r="TBB1035" t="s">
        <v>619</v>
      </c>
      <c r="TBC1035" t="s">
        <v>619</v>
      </c>
      <c r="TKT1035" t="s">
        <v>1404</v>
      </c>
      <c r="TKU1035">
        <v>47124</v>
      </c>
      <c r="TKV1035" t="s">
        <v>619</v>
      </c>
      <c r="TKW1035" t="s">
        <v>619</v>
      </c>
      <c r="TKX1035" t="s">
        <v>619</v>
      </c>
      <c r="TKY1035" t="s">
        <v>619</v>
      </c>
      <c r="TUP1035" t="s">
        <v>1404</v>
      </c>
      <c r="TUQ1035">
        <v>47124</v>
      </c>
      <c r="TUR1035" t="s">
        <v>619</v>
      </c>
      <c r="TUS1035" t="s">
        <v>619</v>
      </c>
      <c r="TUT1035" t="s">
        <v>619</v>
      </c>
      <c r="TUU1035" t="s">
        <v>619</v>
      </c>
      <c r="UEL1035" t="s">
        <v>1404</v>
      </c>
      <c r="UEM1035">
        <v>47124</v>
      </c>
      <c r="UEN1035" t="s">
        <v>619</v>
      </c>
      <c r="UEO1035" t="s">
        <v>619</v>
      </c>
      <c r="UEP1035" t="s">
        <v>619</v>
      </c>
      <c r="UEQ1035" t="s">
        <v>619</v>
      </c>
      <c r="UOH1035" t="s">
        <v>1404</v>
      </c>
      <c r="UOI1035">
        <v>47124</v>
      </c>
      <c r="UOJ1035" t="s">
        <v>619</v>
      </c>
      <c r="UOK1035" t="s">
        <v>619</v>
      </c>
      <c r="UOL1035" t="s">
        <v>619</v>
      </c>
      <c r="UOM1035" t="s">
        <v>619</v>
      </c>
      <c r="UYD1035" t="s">
        <v>1404</v>
      </c>
      <c r="UYE1035">
        <v>47124</v>
      </c>
      <c r="UYF1035" t="s">
        <v>619</v>
      </c>
      <c r="UYG1035" t="s">
        <v>619</v>
      </c>
      <c r="UYH1035" t="s">
        <v>619</v>
      </c>
      <c r="UYI1035" t="s">
        <v>619</v>
      </c>
      <c r="VHZ1035" t="s">
        <v>1404</v>
      </c>
      <c r="VIA1035">
        <v>47124</v>
      </c>
      <c r="VIB1035" t="s">
        <v>619</v>
      </c>
      <c r="VIC1035" t="s">
        <v>619</v>
      </c>
      <c r="VID1035" t="s">
        <v>619</v>
      </c>
      <c r="VIE1035" t="s">
        <v>619</v>
      </c>
      <c r="VRV1035" t="s">
        <v>1404</v>
      </c>
      <c r="VRW1035">
        <v>47124</v>
      </c>
      <c r="VRX1035" t="s">
        <v>619</v>
      </c>
      <c r="VRY1035" t="s">
        <v>619</v>
      </c>
      <c r="VRZ1035" t="s">
        <v>619</v>
      </c>
      <c r="VSA1035" t="s">
        <v>619</v>
      </c>
      <c r="WBR1035" t="s">
        <v>1404</v>
      </c>
      <c r="WBS1035">
        <v>47124</v>
      </c>
      <c r="WBT1035" t="s">
        <v>619</v>
      </c>
      <c r="WBU1035" t="s">
        <v>619</v>
      </c>
      <c r="WBV1035" t="s">
        <v>619</v>
      </c>
      <c r="WBW1035" t="s">
        <v>619</v>
      </c>
      <c r="WLN1035" t="s">
        <v>1404</v>
      </c>
      <c r="WLO1035">
        <v>47124</v>
      </c>
      <c r="WLP1035" t="s">
        <v>619</v>
      </c>
      <c r="WLQ1035" t="s">
        <v>619</v>
      </c>
      <c r="WLR1035" t="s">
        <v>619</v>
      </c>
      <c r="WLS1035" t="s">
        <v>619</v>
      </c>
      <c r="WVJ1035" t="s">
        <v>1404</v>
      </c>
      <c r="WVK1035">
        <v>47124</v>
      </c>
      <c r="WVL1035" t="s">
        <v>619</v>
      </c>
      <c r="WVM1035" t="s">
        <v>619</v>
      </c>
      <c r="WVN1035" t="s">
        <v>619</v>
      </c>
      <c r="WVO1035" t="s">
        <v>619</v>
      </c>
    </row>
    <row r="1036" spans="1:775 1026:1799 2050:2823 3074:3847 4098:4871 5122:5895 6146:6919 7170:7943 8194:8967 9218:9991 10242:11015 11266:12039 12290:13063 13314:14087 14338:15111 15362:16135" s="1337" customFormat="1" ht="14.5" thickBot="1">
      <c r="A1036" s="1430" t="s">
        <v>1405</v>
      </c>
      <c r="B1036" s="1337" t="s">
        <v>825</v>
      </c>
      <c r="C1036" s="1431">
        <v>0</v>
      </c>
      <c r="D1036" s="1431">
        <v>0</v>
      </c>
      <c r="E1036" s="1431">
        <v>0</v>
      </c>
      <c r="F1036" s="1431">
        <v>0</v>
      </c>
      <c r="G1036" s="1432">
        <v>-32629</v>
      </c>
      <c r="H1036" s="1432"/>
      <c r="IX1036" s="1337" t="s">
        <v>1405</v>
      </c>
      <c r="IY1036" s="1337" t="s">
        <v>619</v>
      </c>
      <c r="IZ1036" s="1337" t="s">
        <v>619</v>
      </c>
      <c r="JA1036" s="1337" t="s">
        <v>619</v>
      </c>
      <c r="JB1036" s="1337" t="s">
        <v>619</v>
      </c>
      <c r="JC1036" s="1337">
        <v>-32629</v>
      </c>
      <c r="ST1036" s="1337" t="s">
        <v>1405</v>
      </c>
      <c r="SU1036" s="1337" t="s">
        <v>619</v>
      </c>
      <c r="SV1036" s="1337" t="s">
        <v>619</v>
      </c>
      <c r="SW1036" s="1337" t="s">
        <v>619</v>
      </c>
      <c r="SX1036" s="1337" t="s">
        <v>619</v>
      </c>
      <c r="SY1036" s="1337">
        <v>-32629</v>
      </c>
      <c r="ACP1036" s="1337" t="s">
        <v>1405</v>
      </c>
      <c r="ACQ1036" s="1337" t="s">
        <v>619</v>
      </c>
      <c r="ACR1036" s="1337" t="s">
        <v>619</v>
      </c>
      <c r="ACS1036" s="1337" t="s">
        <v>619</v>
      </c>
      <c r="ACT1036" s="1337" t="s">
        <v>619</v>
      </c>
      <c r="ACU1036" s="1337">
        <v>-32629</v>
      </c>
      <c r="AML1036" s="1337" t="s">
        <v>1405</v>
      </c>
      <c r="AMM1036" s="1337" t="s">
        <v>619</v>
      </c>
      <c r="AMN1036" s="1337" t="s">
        <v>619</v>
      </c>
      <c r="AMO1036" s="1337" t="s">
        <v>619</v>
      </c>
      <c r="AMP1036" s="1337" t="s">
        <v>619</v>
      </c>
      <c r="AMQ1036" s="1337">
        <v>-32629</v>
      </c>
      <c r="AWH1036" s="1337" t="s">
        <v>1405</v>
      </c>
      <c r="AWI1036" s="1337" t="s">
        <v>619</v>
      </c>
      <c r="AWJ1036" s="1337" t="s">
        <v>619</v>
      </c>
      <c r="AWK1036" s="1337" t="s">
        <v>619</v>
      </c>
      <c r="AWL1036" s="1337" t="s">
        <v>619</v>
      </c>
      <c r="AWM1036" s="1337">
        <v>-32629</v>
      </c>
      <c r="BGD1036" s="1337" t="s">
        <v>1405</v>
      </c>
      <c r="BGE1036" s="1337" t="s">
        <v>619</v>
      </c>
      <c r="BGF1036" s="1337" t="s">
        <v>619</v>
      </c>
      <c r="BGG1036" s="1337" t="s">
        <v>619</v>
      </c>
      <c r="BGH1036" s="1337" t="s">
        <v>619</v>
      </c>
      <c r="BGI1036" s="1337">
        <v>-32629</v>
      </c>
      <c r="BPZ1036" s="1337" t="s">
        <v>1405</v>
      </c>
      <c r="BQA1036" s="1337" t="s">
        <v>619</v>
      </c>
      <c r="BQB1036" s="1337" t="s">
        <v>619</v>
      </c>
      <c r="BQC1036" s="1337" t="s">
        <v>619</v>
      </c>
      <c r="BQD1036" s="1337" t="s">
        <v>619</v>
      </c>
      <c r="BQE1036" s="1337">
        <v>-32629</v>
      </c>
      <c r="BZV1036" s="1337" t="s">
        <v>1405</v>
      </c>
      <c r="BZW1036" s="1337" t="s">
        <v>619</v>
      </c>
      <c r="BZX1036" s="1337" t="s">
        <v>619</v>
      </c>
      <c r="BZY1036" s="1337" t="s">
        <v>619</v>
      </c>
      <c r="BZZ1036" s="1337" t="s">
        <v>619</v>
      </c>
      <c r="CAA1036" s="1337">
        <v>-32629</v>
      </c>
      <c r="CJR1036" s="1337" t="s">
        <v>1405</v>
      </c>
      <c r="CJS1036" s="1337" t="s">
        <v>619</v>
      </c>
      <c r="CJT1036" s="1337" t="s">
        <v>619</v>
      </c>
      <c r="CJU1036" s="1337" t="s">
        <v>619</v>
      </c>
      <c r="CJV1036" s="1337" t="s">
        <v>619</v>
      </c>
      <c r="CJW1036" s="1337">
        <v>-32629</v>
      </c>
      <c r="CTN1036" s="1337" t="s">
        <v>1405</v>
      </c>
      <c r="CTO1036" s="1337" t="s">
        <v>619</v>
      </c>
      <c r="CTP1036" s="1337" t="s">
        <v>619</v>
      </c>
      <c r="CTQ1036" s="1337" t="s">
        <v>619</v>
      </c>
      <c r="CTR1036" s="1337" t="s">
        <v>619</v>
      </c>
      <c r="CTS1036" s="1337">
        <v>-32629</v>
      </c>
      <c r="DDJ1036" s="1337" t="s">
        <v>1405</v>
      </c>
      <c r="DDK1036" s="1337" t="s">
        <v>619</v>
      </c>
      <c r="DDL1036" s="1337" t="s">
        <v>619</v>
      </c>
      <c r="DDM1036" s="1337" t="s">
        <v>619</v>
      </c>
      <c r="DDN1036" s="1337" t="s">
        <v>619</v>
      </c>
      <c r="DDO1036" s="1337">
        <v>-32629</v>
      </c>
      <c r="DNF1036" s="1337" t="s">
        <v>1405</v>
      </c>
      <c r="DNG1036" s="1337" t="s">
        <v>619</v>
      </c>
      <c r="DNH1036" s="1337" t="s">
        <v>619</v>
      </c>
      <c r="DNI1036" s="1337" t="s">
        <v>619</v>
      </c>
      <c r="DNJ1036" s="1337" t="s">
        <v>619</v>
      </c>
      <c r="DNK1036" s="1337">
        <v>-32629</v>
      </c>
      <c r="DXB1036" s="1337" t="s">
        <v>1405</v>
      </c>
      <c r="DXC1036" s="1337" t="s">
        <v>619</v>
      </c>
      <c r="DXD1036" s="1337" t="s">
        <v>619</v>
      </c>
      <c r="DXE1036" s="1337" t="s">
        <v>619</v>
      </c>
      <c r="DXF1036" s="1337" t="s">
        <v>619</v>
      </c>
      <c r="DXG1036" s="1337">
        <v>-32629</v>
      </c>
      <c r="EGX1036" s="1337" t="s">
        <v>1405</v>
      </c>
      <c r="EGY1036" s="1337" t="s">
        <v>619</v>
      </c>
      <c r="EGZ1036" s="1337" t="s">
        <v>619</v>
      </c>
      <c r="EHA1036" s="1337" t="s">
        <v>619</v>
      </c>
      <c r="EHB1036" s="1337" t="s">
        <v>619</v>
      </c>
      <c r="EHC1036" s="1337">
        <v>-32629</v>
      </c>
      <c r="EQT1036" s="1337" t="s">
        <v>1405</v>
      </c>
      <c r="EQU1036" s="1337" t="s">
        <v>619</v>
      </c>
      <c r="EQV1036" s="1337" t="s">
        <v>619</v>
      </c>
      <c r="EQW1036" s="1337" t="s">
        <v>619</v>
      </c>
      <c r="EQX1036" s="1337" t="s">
        <v>619</v>
      </c>
      <c r="EQY1036" s="1337">
        <v>-32629</v>
      </c>
      <c r="FAP1036" s="1337" t="s">
        <v>1405</v>
      </c>
      <c r="FAQ1036" s="1337" t="s">
        <v>619</v>
      </c>
      <c r="FAR1036" s="1337" t="s">
        <v>619</v>
      </c>
      <c r="FAS1036" s="1337" t="s">
        <v>619</v>
      </c>
      <c r="FAT1036" s="1337" t="s">
        <v>619</v>
      </c>
      <c r="FAU1036" s="1337">
        <v>-32629</v>
      </c>
      <c r="FKL1036" s="1337" t="s">
        <v>1405</v>
      </c>
      <c r="FKM1036" s="1337" t="s">
        <v>619</v>
      </c>
      <c r="FKN1036" s="1337" t="s">
        <v>619</v>
      </c>
      <c r="FKO1036" s="1337" t="s">
        <v>619</v>
      </c>
      <c r="FKP1036" s="1337" t="s">
        <v>619</v>
      </c>
      <c r="FKQ1036" s="1337">
        <v>-32629</v>
      </c>
      <c r="FUH1036" s="1337" t="s">
        <v>1405</v>
      </c>
      <c r="FUI1036" s="1337" t="s">
        <v>619</v>
      </c>
      <c r="FUJ1036" s="1337" t="s">
        <v>619</v>
      </c>
      <c r="FUK1036" s="1337" t="s">
        <v>619</v>
      </c>
      <c r="FUL1036" s="1337" t="s">
        <v>619</v>
      </c>
      <c r="FUM1036" s="1337">
        <v>-32629</v>
      </c>
      <c r="GED1036" s="1337" t="s">
        <v>1405</v>
      </c>
      <c r="GEE1036" s="1337" t="s">
        <v>619</v>
      </c>
      <c r="GEF1036" s="1337" t="s">
        <v>619</v>
      </c>
      <c r="GEG1036" s="1337" t="s">
        <v>619</v>
      </c>
      <c r="GEH1036" s="1337" t="s">
        <v>619</v>
      </c>
      <c r="GEI1036" s="1337">
        <v>-32629</v>
      </c>
      <c r="GNZ1036" s="1337" t="s">
        <v>1405</v>
      </c>
      <c r="GOA1036" s="1337" t="s">
        <v>619</v>
      </c>
      <c r="GOB1036" s="1337" t="s">
        <v>619</v>
      </c>
      <c r="GOC1036" s="1337" t="s">
        <v>619</v>
      </c>
      <c r="GOD1036" s="1337" t="s">
        <v>619</v>
      </c>
      <c r="GOE1036" s="1337">
        <v>-32629</v>
      </c>
      <c r="GXV1036" s="1337" t="s">
        <v>1405</v>
      </c>
      <c r="GXW1036" s="1337" t="s">
        <v>619</v>
      </c>
      <c r="GXX1036" s="1337" t="s">
        <v>619</v>
      </c>
      <c r="GXY1036" s="1337" t="s">
        <v>619</v>
      </c>
      <c r="GXZ1036" s="1337" t="s">
        <v>619</v>
      </c>
      <c r="GYA1036" s="1337">
        <v>-32629</v>
      </c>
      <c r="HHR1036" s="1337" t="s">
        <v>1405</v>
      </c>
      <c r="HHS1036" s="1337" t="s">
        <v>619</v>
      </c>
      <c r="HHT1036" s="1337" t="s">
        <v>619</v>
      </c>
      <c r="HHU1036" s="1337" t="s">
        <v>619</v>
      </c>
      <c r="HHV1036" s="1337" t="s">
        <v>619</v>
      </c>
      <c r="HHW1036" s="1337">
        <v>-32629</v>
      </c>
      <c r="HRN1036" s="1337" t="s">
        <v>1405</v>
      </c>
      <c r="HRO1036" s="1337" t="s">
        <v>619</v>
      </c>
      <c r="HRP1036" s="1337" t="s">
        <v>619</v>
      </c>
      <c r="HRQ1036" s="1337" t="s">
        <v>619</v>
      </c>
      <c r="HRR1036" s="1337" t="s">
        <v>619</v>
      </c>
      <c r="HRS1036" s="1337">
        <v>-32629</v>
      </c>
      <c r="IBJ1036" s="1337" t="s">
        <v>1405</v>
      </c>
      <c r="IBK1036" s="1337" t="s">
        <v>619</v>
      </c>
      <c r="IBL1036" s="1337" t="s">
        <v>619</v>
      </c>
      <c r="IBM1036" s="1337" t="s">
        <v>619</v>
      </c>
      <c r="IBN1036" s="1337" t="s">
        <v>619</v>
      </c>
      <c r="IBO1036" s="1337">
        <v>-32629</v>
      </c>
      <c r="ILF1036" s="1337" t="s">
        <v>1405</v>
      </c>
      <c r="ILG1036" s="1337" t="s">
        <v>619</v>
      </c>
      <c r="ILH1036" s="1337" t="s">
        <v>619</v>
      </c>
      <c r="ILI1036" s="1337" t="s">
        <v>619</v>
      </c>
      <c r="ILJ1036" s="1337" t="s">
        <v>619</v>
      </c>
      <c r="ILK1036" s="1337">
        <v>-32629</v>
      </c>
      <c r="IVB1036" s="1337" t="s">
        <v>1405</v>
      </c>
      <c r="IVC1036" s="1337" t="s">
        <v>619</v>
      </c>
      <c r="IVD1036" s="1337" t="s">
        <v>619</v>
      </c>
      <c r="IVE1036" s="1337" t="s">
        <v>619</v>
      </c>
      <c r="IVF1036" s="1337" t="s">
        <v>619</v>
      </c>
      <c r="IVG1036" s="1337">
        <v>-32629</v>
      </c>
      <c r="JEX1036" s="1337" t="s">
        <v>1405</v>
      </c>
      <c r="JEY1036" s="1337" t="s">
        <v>619</v>
      </c>
      <c r="JEZ1036" s="1337" t="s">
        <v>619</v>
      </c>
      <c r="JFA1036" s="1337" t="s">
        <v>619</v>
      </c>
      <c r="JFB1036" s="1337" t="s">
        <v>619</v>
      </c>
      <c r="JFC1036" s="1337">
        <v>-32629</v>
      </c>
      <c r="JOT1036" s="1337" t="s">
        <v>1405</v>
      </c>
      <c r="JOU1036" s="1337" t="s">
        <v>619</v>
      </c>
      <c r="JOV1036" s="1337" t="s">
        <v>619</v>
      </c>
      <c r="JOW1036" s="1337" t="s">
        <v>619</v>
      </c>
      <c r="JOX1036" s="1337" t="s">
        <v>619</v>
      </c>
      <c r="JOY1036" s="1337">
        <v>-32629</v>
      </c>
      <c r="JYP1036" s="1337" t="s">
        <v>1405</v>
      </c>
      <c r="JYQ1036" s="1337" t="s">
        <v>619</v>
      </c>
      <c r="JYR1036" s="1337" t="s">
        <v>619</v>
      </c>
      <c r="JYS1036" s="1337" t="s">
        <v>619</v>
      </c>
      <c r="JYT1036" s="1337" t="s">
        <v>619</v>
      </c>
      <c r="JYU1036" s="1337">
        <v>-32629</v>
      </c>
      <c r="KIL1036" s="1337" t="s">
        <v>1405</v>
      </c>
      <c r="KIM1036" s="1337" t="s">
        <v>619</v>
      </c>
      <c r="KIN1036" s="1337" t="s">
        <v>619</v>
      </c>
      <c r="KIO1036" s="1337" t="s">
        <v>619</v>
      </c>
      <c r="KIP1036" s="1337" t="s">
        <v>619</v>
      </c>
      <c r="KIQ1036" s="1337">
        <v>-32629</v>
      </c>
      <c r="KSH1036" s="1337" t="s">
        <v>1405</v>
      </c>
      <c r="KSI1036" s="1337" t="s">
        <v>619</v>
      </c>
      <c r="KSJ1036" s="1337" t="s">
        <v>619</v>
      </c>
      <c r="KSK1036" s="1337" t="s">
        <v>619</v>
      </c>
      <c r="KSL1036" s="1337" t="s">
        <v>619</v>
      </c>
      <c r="KSM1036" s="1337">
        <v>-32629</v>
      </c>
      <c r="LCD1036" s="1337" t="s">
        <v>1405</v>
      </c>
      <c r="LCE1036" s="1337" t="s">
        <v>619</v>
      </c>
      <c r="LCF1036" s="1337" t="s">
        <v>619</v>
      </c>
      <c r="LCG1036" s="1337" t="s">
        <v>619</v>
      </c>
      <c r="LCH1036" s="1337" t="s">
        <v>619</v>
      </c>
      <c r="LCI1036" s="1337">
        <v>-32629</v>
      </c>
      <c r="LLZ1036" s="1337" t="s">
        <v>1405</v>
      </c>
      <c r="LMA1036" s="1337" t="s">
        <v>619</v>
      </c>
      <c r="LMB1036" s="1337" t="s">
        <v>619</v>
      </c>
      <c r="LMC1036" s="1337" t="s">
        <v>619</v>
      </c>
      <c r="LMD1036" s="1337" t="s">
        <v>619</v>
      </c>
      <c r="LME1036" s="1337">
        <v>-32629</v>
      </c>
      <c r="LVV1036" s="1337" t="s">
        <v>1405</v>
      </c>
      <c r="LVW1036" s="1337" t="s">
        <v>619</v>
      </c>
      <c r="LVX1036" s="1337" t="s">
        <v>619</v>
      </c>
      <c r="LVY1036" s="1337" t="s">
        <v>619</v>
      </c>
      <c r="LVZ1036" s="1337" t="s">
        <v>619</v>
      </c>
      <c r="LWA1036" s="1337">
        <v>-32629</v>
      </c>
      <c r="MFR1036" s="1337" t="s">
        <v>1405</v>
      </c>
      <c r="MFS1036" s="1337" t="s">
        <v>619</v>
      </c>
      <c r="MFT1036" s="1337" t="s">
        <v>619</v>
      </c>
      <c r="MFU1036" s="1337" t="s">
        <v>619</v>
      </c>
      <c r="MFV1036" s="1337" t="s">
        <v>619</v>
      </c>
      <c r="MFW1036" s="1337">
        <v>-32629</v>
      </c>
      <c r="MPN1036" s="1337" t="s">
        <v>1405</v>
      </c>
      <c r="MPO1036" s="1337" t="s">
        <v>619</v>
      </c>
      <c r="MPP1036" s="1337" t="s">
        <v>619</v>
      </c>
      <c r="MPQ1036" s="1337" t="s">
        <v>619</v>
      </c>
      <c r="MPR1036" s="1337" t="s">
        <v>619</v>
      </c>
      <c r="MPS1036" s="1337">
        <v>-32629</v>
      </c>
      <c r="MZJ1036" s="1337" t="s">
        <v>1405</v>
      </c>
      <c r="MZK1036" s="1337" t="s">
        <v>619</v>
      </c>
      <c r="MZL1036" s="1337" t="s">
        <v>619</v>
      </c>
      <c r="MZM1036" s="1337" t="s">
        <v>619</v>
      </c>
      <c r="MZN1036" s="1337" t="s">
        <v>619</v>
      </c>
      <c r="MZO1036" s="1337">
        <v>-32629</v>
      </c>
      <c r="NJF1036" s="1337" t="s">
        <v>1405</v>
      </c>
      <c r="NJG1036" s="1337" t="s">
        <v>619</v>
      </c>
      <c r="NJH1036" s="1337" t="s">
        <v>619</v>
      </c>
      <c r="NJI1036" s="1337" t="s">
        <v>619</v>
      </c>
      <c r="NJJ1036" s="1337" t="s">
        <v>619</v>
      </c>
      <c r="NJK1036" s="1337">
        <v>-32629</v>
      </c>
      <c r="NTB1036" s="1337" t="s">
        <v>1405</v>
      </c>
      <c r="NTC1036" s="1337" t="s">
        <v>619</v>
      </c>
      <c r="NTD1036" s="1337" t="s">
        <v>619</v>
      </c>
      <c r="NTE1036" s="1337" t="s">
        <v>619</v>
      </c>
      <c r="NTF1036" s="1337" t="s">
        <v>619</v>
      </c>
      <c r="NTG1036" s="1337">
        <v>-32629</v>
      </c>
      <c r="OCX1036" s="1337" t="s">
        <v>1405</v>
      </c>
      <c r="OCY1036" s="1337" t="s">
        <v>619</v>
      </c>
      <c r="OCZ1036" s="1337" t="s">
        <v>619</v>
      </c>
      <c r="ODA1036" s="1337" t="s">
        <v>619</v>
      </c>
      <c r="ODB1036" s="1337" t="s">
        <v>619</v>
      </c>
      <c r="ODC1036" s="1337">
        <v>-32629</v>
      </c>
      <c r="OMT1036" s="1337" t="s">
        <v>1405</v>
      </c>
      <c r="OMU1036" s="1337" t="s">
        <v>619</v>
      </c>
      <c r="OMV1036" s="1337" t="s">
        <v>619</v>
      </c>
      <c r="OMW1036" s="1337" t="s">
        <v>619</v>
      </c>
      <c r="OMX1036" s="1337" t="s">
        <v>619</v>
      </c>
      <c r="OMY1036" s="1337">
        <v>-32629</v>
      </c>
      <c r="OWP1036" s="1337" t="s">
        <v>1405</v>
      </c>
      <c r="OWQ1036" s="1337" t="s">
        <v>619</v>
      </c>
      <c r="OWR1036" s="1337" t="s">
        <v>619</v>
      </c>
      <c r="OWS1036" s="1337" t="s">
        <v>619</v>
      </c>
      <c r="OWT1036" s="1337" t="s">
        <v>619</v>
      </c>
      <c r="OWU1036" s="1337">
        <v>-32629</v>
      </c>
      <c r="PGL1036" s="1337" t="s">
        <v>1405</v>
      </c>
      <c r="PGM1036" s="1337" t="s">
        <v>619</v>
      </c>
      <c r="PGN1036" s="1337" t="s">
        <v>619</v>
      </c>
      <c r="PGO1036" s="1337" t="s">
        <v>619</v>
      </c>
      <c r="PGP1036" s="1337" t="s">
        <v>619</v>
      </c>
      <c r="PGQ1036" s="1337">
        <v>-32629</v>
      </c>
      <c r="PQH1036" s="1337" t="s">
        <v>1405</v>
      </c>
      <c r="PQI1036" s="1337" t="s">
        <v>619</v>
      </c>
      <c r="PQJ1036" s="1337" t="s">
        <v>619</v>
      </c>
      <c r="PQK1036" s="1337" t="s">
        <v>619</v>
      </c>
      <c r="PQL1036" s="1337" t="s">
        <v>619</v>
      </c>
      <c r="PQM1036" s="1337">
        <v>-32629</v>
      </c>
      <c r="QAD1036" s="1337" t="s">
        <v>1405</v>
      </c>
      <c r="QAE1036" s="1337" t="s">
        <v>619</v>
      </c>
      <c r="QAF1036" s="1337" t="s">
        <v>619</v>
      </c>
      <c r="QAG1036" s="1337" t="s">
        <v>619</v>
      </c>
      <c r="QAH1036" s="1337" t="s">
        <v>619</v>
      </c>
      <c r="QAI1036" s="1337">
        <v>-32629</v>
      </c>
      <c r="QJZ1036" s="1337" t="s">
        <v>1405</v>
      </c>
      <c r="QKA1036" s="1337" t="s">
        <v>619</v>
      </c>
      <c r="QKB1036" s="1337" t="s">
        <v>619</v>
      </c>
      <c r="QKC1036" s="1337" t="s">
        <v>619</v>
      </c>
      <c r="QKD1036" s="1337" t="s">
        <v>619</v>
      </c>
      <c r="QKE1036" s="1337">
        <v>-32629</v>
      </c>
      <c r="QTV1036" s="1337" t="s">
        <v>1405</v>
      </c>
      <c r="QTW1036" s="1337" t="s">
        <v>619</v>
      </c>
      <c r="QTX1036" s="1337" t="s">
        <v>619</v>
      </c>
      <c r="QTY1036" s="1337" t="s">
        <v>619</v>
      </c>
      <c r="QTZ1036" s="1337" t="s">
        <v>619</v>
      </c>
      <c r="QUA1036" s="1337">
        <v>-32629</v>
      </c>
      <c r="RDR1036" s="1337" t="s">
        <v>1405</v>
      </c>
      <c r="RDS1036" s="1337" t="s">
        <v>619</v>
      </c>
      <c r="RDT1036" s="1337" t="s">
        <v>619</v>
      </c>
      <c r="RDU1036" s="1337" t="s">
        <v>619</v>
      </c>
      <c r="RDV1036" s="1337" t="s">
        <v>619</v>
      </c>
      <c r="RDW1036" s="1337">
        <v>-32629</v>
      </c>
      <c r="RNN1036" s="1337" t="s">
        <v>1405</v>
      </c>
      <c r="RNO1036" s="1337" t="s">
        <v>619</v>
      </c>
      <c r="RNP1036" s="1337" t="s">
        <v>619</v>
      </c>
      <c r="RNQ1036" s="1337" t="s">
        <v>619</v>
      </c>
      <c r="RNR1036" s="1337" t="s">
        <v>619</v>
      </c>
      <c r="RNS1036" s="1337">
        <v>-32629</v>
      </c>
      <c r="RXJ1036" s="1337" t="s">
        <v>1405</v>
      </c>
      <c r="RXK1036" s="1337" t="s">
        <v>619</v>
      </c>
      <c r="RXL1036" s="1337" t="s">
        <v>619</v>
      </c>
      <c r="RXM1036" s="1337" t="s">
        <v>619</v>
      </c>
      <c r="RXN1036" s="1337" t="s">
        <v>619</v>
      </c>
      <c r="RXO1036" s="1337">
        <v>-32629</v>
      </c>
      <c r="SHF1036" s="1337" t="s">
        <v>1405</v>
      </c>
      <c r="SHG1036" s="1337" t="s">
        <v>619</v>
      </c>
      <c r="SHH1036" s="1337" t="s">
        <v>619</v>
      </c>
      <c r="SHI1036" s="1337" t="s">
        <v>619</v>
      </c>
      <c r="SHJ1036" s="1337" t="s">
        <v>619</v>
      </c>
      <c r="SHK1036" s="1337">
        <v>-32629</v>
      </c>
      <c r="SRB1036" s="1337" t="s">
        <v>1405</v>
      </c>
      <c r="SRC1036" s="1337" t="s">
        <v>619</v>
      </c>
      <c r="SRD1036" s="1337" t="s">
        <v>619</v>
      </c>
      <c r="SRE1036" s="1337" t="s">
        <v>619</v>
      </c>
      <c r="SRF1036" s="1337" t="s">
        <v>619</v>
      </c>
      <c r="SRG1036" s="1337">
        <v>-32629</v>
      </c>
      <c r="TAX1036" s="1337" t="s">
        <v>1405</v>
      </c>
      <c r="TAY1036" s="1337" t="s">
        <v>619</v>
      </c>
      <c r="TAZ1036" s="1337" t="s">
        <v>619</v>
      </c>
      <c r="TBA1036" s="1337" t="s">
        <v>619</v>
      </c>
      <c r="TBB1036" s="1337" t="s">
        <v>619</v>
      </c>
      <c r="TBC1036" s="1337">
        <v>-32629</v>
      </c>
      <c r="TKT1036" s="1337" t="s">
        <v>1405</v>
      </c>
      <c r="TKU1036" s="1337" t="s">
        <v>619</v>
      </c>
      <c r="TKV1036" s="1337" t="s">
        <v>619</v>
      </c>
      <c r="TKW1036" s="1337" t="s">
        <v>619</v>
      </c>
      <c r="TKX1036" s="1337" t="s">
        <v>619</v>
      </c>
      <c r="TKY1036" s="1337">
        <v>-32629</v>
      </c>
      <c r="TUP1036" s="1337" t="s">
        <v>1405</v>
      </c>
      <c r="TUQ1036" s="1337" t="s">
        <v>619</v>
      </c>
      <c r="TUR1036" s="1337" t="s">
        <v>619</v>
      </c>
      <c r="TUS1036" s="1337" t="s">
        <v>619</v>
      </c>
      <c r="TUT1036" s="1337" t="s">
        <v>619</v>
      </c>
      <c r="TUU1036" s="1337">
        <v>-32629</v>
      </c>
      <c r="UEL1036" s="1337" t="s">
        <v>1405</v>
      </c>
      <c r="UEM1036" s="1337" t="s">
        <v>619</v>
      </c>
      <c r="UEN1036" s="1337" t="s">
        <v>619</v>
      </c>
      <c r="UEO1036" s="1337" t="s">
        <v>619</v>
      </c>
      <c r="UEP1036" s="1337" t="s">
        <v>619</v>
      </c>
      <c r="UEQ1036" s="1337">
        <v>-32629</v>
      </c>
      <c r="UOH1036" s="1337" t="s">
        <v>1405</v>
      </c>
      <c r="UOI1036" s="1337" t="s">
        <v>619</v>
      </c>
      <c r="UOJ1036" s="1337" t="s">
        <v>619</v>
      </c>
      <c r="UOK1036" s="1337" t="s">
        <v>619</v>
      </c>
      <c r="UOL1036" s="1337" t="s">
        <v>619</v>
      </c>
      <c r="UOM1036" s="1337">
        <v>-32629</v>
      </c>
      <c r="UYD1036" s="1337" t="s">
        <v>1405</v>
      </c>
      <c r="UYE1036" s="1337" t="s">
        <v>619</v>
      </c>
      <c r="UYF1036" s="1337" t="s">
        <v>619</v>
      </c>
      <c r="UYG1036" s="1337" t="s">
        <v>619</v>
      </c>
      <c r="UYH1036" s="1337" t="s">
        <v>619</v>
      </c>
      <c r="UYI1036" s="1337">
        <v>-32629</v>
      </c>
      <c r="VHZ1036" s="1337" t="s">
        <v>1405</v>
      </c>
      <c r="VIA1036" s="1337" t="s">
        <v>619</v>
      </c>
      <c r="VIB1036" s="1337" t="s">
        <v>619</v>
      </c>
      <c r="VIC1036" s="1337" t="s">
        <v>619</v>
      </c>
      <c r="VID1036" s="1337" t="s">
        <v>619</v>
      </c>
      <c r="VIE1036" s="1337">
        <v>-32629</v>
      </c>
      <c r="VRV1036" s="1337" t="s">
        <v>1405</v>
      </c>
      <c r="VRW1036" s="1337" t="s">
        <v>619</v>
      </c>
      <c r="VRX1036" s="1337" t="s">
        <v>619</v>
      </c>
      <c r="VRY1036" s="1337" t="s">
        <v>619</v>
      </c>
      <c r="VRZ1036" s="1337" t="s">
        <v>619</v>
      </c>
      <c r="VSA1036" s="1337">
        <v>-32629</v>
      </c>
      <c r="WBR1036" s="1337" t="s">
        <v>1405</v>
      </c>
      <c r="WBS1036" s="1337" t="s">
        <v>619</v>
      </c>
      <c r="WBT1036" s="1337" t="s">
        <v>619</v>
      </c>
      <c r="WBU1036" s="1337" t="s">
        <v>619</v>
      </c>
      <c r="WBV1036" s="1337" t="s">
        <v>619</v>
      </c>
      <c r="WBW1036" s="1337">
        <v>-32629</v>
      </c>
      <c r="WLN1036" s="1337" t="s">
        <v>1405</v>
      </c>
      <c r="WLO1036" s="1337" t="s">
        <v>619</v>
      </c>
      <c r="WLP1036" s="1337" t="s">
        <v>619</v>
      </c>
      <c r="WLQ1036" s="1337" t="s">
        <v>619</v>
      </c>
      <c r="WLR1036" s="1337" t="s">
        <v>619</v>
      </c>
      <c r="WLS1036" s="1337">
        <v>-32629</v>
      </c>
      <c r="WVJ1036" s="1337" t="s">
        <v>1405</v>
      </c>
      <c r="WVK1036" s="1337" t="s">
        <v>619</v>
      </c>
      <c r="WVL1036" s="1337" t="s">
        <v>619</v>
      </c>
      <c r="WVM1036" s="1337" t="s">
        <v>619</v>
      </c>
      <c r="WVN1036" s="1337" t="s">
        <v>619</v>
      </c>
      <c r="WVO1036" s="1337">
        <v>-32629</v>
      </c>
    </row>
    <row r="1037" spans="1:775 1026:1799 2050:2823 3074:3847 4098:4871 5122:5895 6146:6919 7170:7943 8194:8967 9218:9991 10242:11015 11266:12039 12290:13063 13314:14087 14338:15111 15362:16135">
      <c r="A1037" s="96" t="s">
        <v>841</v>
      </c>
      <c r="C1037" s="100">
        <v>11603092</v>
      </c>
      <c r="D1037" s="100">
        <v>3094953</v>
      </c>
      <c r="E1037" s="100">
        <v>41357435</v>
      </c>
      <c r="F1037" s="100">
        <v>18128743</v>
      </c>
      <c r="G1037" s="100">
        <v>-1616384</v>
      </c>
      <c r="H1037" s="100"/>
      <c r="IX1037" t="s">
        <v>1406</v>
      </c>
      <c r="IY1037">
        <v>11603092</v>
      </c>
      <c r="IZ1037">
        <v>3094953</v>
      </c>
      <c r="JA1037">
        <v>41357435</v>
      </c>
      <c r="JB1037">
        <v>18128743</v>
      </c>
      <c r="JC1037">
        <v>-1616384</v>
      </c>
      <c r="ST1037" t="s">
        <v>1406</v>
      </c>
      <c r="SU1037">
        <v>11603092</v>
      </c>
      <c r="SV1037">
        <v>3094953</v>
      </c>
      <c r="SW1037">
        <v>41357435</v>
      </c>
      <c r="SX1037">
        <v>18128743</v>
      </c>
      <c r="SY1037">
        <v>-1616384</v>
      </c>
      <c r="ACP1037" t="s">
        <v>1406</v>
      </c>
      <c r="ACQ1037">
        <v>11603092</v>
      </c>
      <c r="ACR1037">
        <v>3094953</v>
      </c>
      <c r="ACS1037">
        <v>41357435</v>
      </c>
      <c r="ACT1037">
        <v>18128743</v>
      </c>
      <c r="ACU1037">
        <v>-1616384</v>
      </c>
      <c r="AML1037" t="s">
        <v>1406</v>
      </c>
      <c r="AMM1037">
        <v>11603092</v>
      </c>
      <c r="AMN1037">
        <v>3094953</v>
      </c>
      <c r="AMO1037">
        <v>41357435</v>
      </c>
      <c r="AMP1037">
        <v>18128743</v>
      </c>
      <c r="AMQ1037">
        <v>-1616384</v>
      </c>
      <c r="AWH1037" t="s">
        <v>1406</v>
      </c>
      <c r="AWI1037">
        <v>11603092</v>
      </c>
      <c r="AWJ1037">
        <v>3094953</v>
      </c>
      <c r="AWK1037">
        <v>41357435</v>
      </c>
      <c r="AWL1037">
        <v>18128743</v>
      </c>
      <c r="AWM1037">
        <v>-1616384</v>
      </c>
      <c r="BGD1037" t="s">
        <v>1406</v>
      </c>
      <c r="BGE1037">
        <v>11603092</v>
      </c>
      <c r="BGF1037">
        <v>3094953</v>
      </c>
      <c r="BGG1037">
        <v>41357435</v>
      </c>
      <c r="BGH1037">
        <v>18128743</v>
      </c>
      <c r="BGI1037">
        <v>-1616384</v>
      </c>
      <c r="BPZ1037" t="s">
        <v>1406</v>
      </c>
      <c r="BQA1037">
        <v>11603092</v>
      </c>
      <c r="BQB1037">
        <v>3094953</v>
      </c>
      <c r="BQC1037">
        <v>41357435</v>
      </c>
      <c r="BQD1037">
        <v>18128743</v>
      </c>
      <c r="BQE1037">
        <v>-1616384</v>
      </c>
      <c r="BZV1037" t="s">
        <v>1406</v>
      </c>
      <c r="BZW1037">
        <v>11603092</v>
      </c>
      <c r="BZX1037">
        <v>3094953</v>
      </c>
      <c r="BZY1037">
        <v>41357435</v>
      </c>
      <c r="BZZ1037">
        <v>18128743</v>
      </c>
      <c r="CAA1037">
        <v>-1616384</v>
      </c>
      <c r="CJR1037" t="s">
        <v>1406</v>
      </c>
      <c r="CJS1037">
        <v>11603092</v>
      </c>
      <c r="CJT1037">
        <v>3094953</v>
      </c>
      <c r="CJU1037">
        <v>41357435</v>
      </c>
      <c r="CJV1037">
        <v>18128743</v>
      </c>
      <c r="CJW1037">
        <v>-1616384</v>
      </c>
      <c r="CTN1037" t="s">
        <v>1406</v>
      </c>
      <c r="CTO1037">
        <v>11603092</v>
      </c>
      <c r="CTP1037">
        <v>3094953</v>
      </c>
      <c r="CTQ1037">
        <v>41357435</v>
      </c>
      <c r="CTR1037">
        <v>18128743</v>
      </c>
      <c r="CTS1037">
        <v>-1616384</v>
      </c>
      <c r="DDJ1037" t="s">
        <v>1406</v>
      </c>
      <c r="DDK1037">
        <v>11603092</v>
      </c>
      <c r="DDL1037">
        <v>3094953</v>
      </c>
      <c r="DDM1037">
        <v>41357435</v>
      </c>
      <c r="DDN1037">
        <v>18128743</v>
      </c>
      <c r="DDO1037">
        <v>-1616384</v>
      </c>
      <c r="DNF1037" t="s">
        <v>1406</v>
      </c>
      <c r="DNG1037">
        <v>11603092</v>
      </c>
      <c r="DNH1037">
        <v>3094953</v>
      </c>
      <c r="DNI1037">
        <v>41357435</v>
      </c>
      <c r="DNJ1037">
        <v>18128743</v>
      </c>
      <c r="DNK1037">
        <v>-1616384</v>
      </c>
      <c r="DXB1037" t="s">
        <v>1406</v>
      </c>
      <c r="DXC1037">
        <v>11603092</v>
      </c>
      <c r="DXD1037">
        <v>3094953</v>
      </c>
      <c r="DXE1037">
        <v>41357435</v>
      </c>
      <c r="DXF1037">
        <v>18128743</v>
      </c>
      <c r="DXG1037">
        <v>-1616384</v>
      </c>
      <c r="EGX1037" t="s">
        <v>1406</v>
      </c>
      <c r="EGY1037">
        <v>11603092</v>
      </c>
      <c r="EGZ1037">
        <v>3094953</v>
      </c>
      <c r="EHA1037">
        <v>41357435</v>
      </c>
      <c r="EHB1037">
        <v>18128743</v>
      </c>
      <c r="EHC1037">
        <v>-1616384</v>
      </c>
      <c r="EQT1037" t="s">
        <v>1406</v>
      </c>
      <c r="EQU1037">
        <v>11603092</v>
      </c>
      <c r="EQV1037">
        <v>3094953</v>
      </c>
      <c r="EQW1037">
        <v>41357435</v>
      </c>
      <c r="EQX1037">
        <v>18128743</v>
      </c>
      <c r="EQY1037">
        <v>-1616384</v>
      </c>
      <c r="FAP1037" t="s">
        <v>1406</v>
      </c>
      <c r="FAQ1037">
        <v>11603092</v>
      </c>
      <c r="FAR1037">
        <v>3094953</v>
      </c>
      <c r="FAS1037">
        <v>41357435</v>
      </c>
      <c r="FAT1037">
        <v>18128743</v>
      </c>
      <c r="FAU1037">
        <v>-1616384</v>
      </c>
      <c r="FKL1037" t="s">
        <v>1406</v>
      </c>
      <c r="FKM1037">
        <v>11603092</v>
      </c>
      <c r="FKN1037">
        <v>3094953</v>
      </c>
      <c r="FKO1037">
        <v>41357435</v>
      </c>
      <c r="FKP1037">
        <v>18128743</v>
      </c>
      <c r="FKQ1037">
        <v>-1616384</v>
      </c>
      <c r="FUH1037" t="s">
        <v>1406</v>
      </c>
      <c r="FUI1037">
        <v>11603092</v>
      </c>
      <c r="FUJ1037">
        <v>3094953</v>
      </c>
      <c r="FUK1037">
        <v>41357435</v>
      </c>
      <c r="FUL1037">
        <v>18128743</v>
      </c>
      <c r="FUM1037">
        <v>-1616384</v>
      </c>
      <c r="GED1037" t="s">
        <v>1406</v>
      </c>
      <c r="GEE1037">
        <v>11603092</v>
      </c>
      <c r="GEF1037">
        <v>3094953</v>
      </c>
      <c r="GEG1037">
        <v>41357435</v>
      </c>
      <c r="GEH1037">
        <v>18128743</v>
      </c>
      <c r="GEI1037">
        <v>-1616384</v>
      </c>
      <c r="GNZ1037" t="s">
        <v>1406</v>
      </c>
      <c r="GOA1037">
        <v>11603092</v>
      </c>
      <c r="GOB1037">
        <v>3094953</v>
      </c>
      <c r="GOC1037">
        <v>41357435</v>
      </c>
      <c r="GOD1037">
        <v>18128743</v>
      </c>
      <c r="GOE1037">
        <v>-1616384</v>
      </c>
      <c r="GXV1037" t="s">
        <v>1406</v>
      </c>
      <c r="GXW1037">
        <v>11603092</v>
      </c>
      <c r="GXX1037">
        <v>3094953</v>
      </c>
      <c r="GXY1037">
        <v>41357435</v>
      </c>
      <c r="GXZ1037">
        <v>18128743</v>
      </c>
      <c r="GYA1037">
        <v>-1616384</v>
      </c>
      <c r="HHR1037" t="s">
        <v>1406</v>
      </c>
      <c r="HHS1037">
        <v>11603092</v>
      </c>
      <c r="HHT1037">
        <v>3094953</v>
      </c>
      <c r="HHU1037">
        <v>41357435</v>
      </c>
      <c r="HHV1037">
        <v>18128743</v>
      </c>
      <c r="HHW1037">
        <v>-1616384</v>
      </c>
      <c r="HRN1037" t="s">
        <v>1406</v>
      </c>
      <c r="HRO1037">
        <v>11603092</v>
      </c>
      <c r="HRP1037">
        <v>3094953</v>
      </c>
      <c r="HRQ1037">
        <v>41357435</v>
      </c>
      <c r="HRR1037">
        <v>18128743</v>
      </c>
      <c r="HRS1037">
        <v>-1616384</v>
      </c>
      <c r="IBJ1037" t="s">
        <v>1406</v>
      </c>
      <c r="IBK1037">
        <v>11603092</v>
      </c>
      <c r="IBL1037">
        <v>3094953</v>
      </c>
      <c r="IBM1037">
        <v>41357435</v>
      </c>
      <c r="IBN1037">
        <v>18128743</v>
      </c>
      <c r="IBO1037">
        <v>-1616384</v>
      </c>
      <c r="ILF1037" t="s">
        <v>1406</v>
      </c>
      <c r="ILG1037">
        <v>11603092</v>
      </c>
      <c r="ILH1037">
        <v>3094953</v>
      </c>
      <c r="ILI1037">
        <v>41357435</v>
      </c>
      <c r="ILJ1037">
        <v>18128743</v>
      </c>
      <c r="ILK1037">
        <v>-1616384</v>
      </c>
      <c r="IVB1037" t="s">
        <v>1406</v>
      </c>
      <c r="IVC1037">
        <v>11603092</v>
      </c>
      <c r="IVD1037">
        <v>3094953</v>
      </c>
      <c r="IVE1037">
        <v>41357435</v>
      </c>
      <c r="IVF1037">
        <v>18128743</v>
      </c>
      <c r="IVG1037">
        <v>-1616384</v>
      </c>
      <c r="JEX1037" t="s">
        <v>1406</v>
      </c>
      <c r="JEY1037">
        <v>11603092</v>
      </c>
      <c r="JEZ1037">
        <v>3094953</v>
      </c>
      <c r="JFA1037">
        <v>41357435</v>
      </c>
      <c r="JFB1037">
        <v>18128743</v>
      </c>
      <c r="JFC1037">
        <v>-1616384</v>
      </c>
      <c r="JOT1037" t="s">
        <v>1406</v>
      </c>
      <c r="JOU1037">
        <v>11603092</v>
      </c>
      <c r="JOV1037">
        <v>3094953</v>
      </c>
      <c r="JOW1037">
        <v>41357435</v>
      </c>
      <c r="JOX1037">
        <v>18128743</v>
      </c>
      <c r="JOY1037">
        <v>-1616384</v>
      </c>
      <c r="JYP1037" t="s">
        <v>1406</v>
      </c>
      <c r="JYQ1037">
        <v>11603092</v>
      </c>
      <c r="JYR1037">
        <v>3094953</v>
      </c>
      <c r="JYS1037">
        <v>41357435</v>
      </c>
      <c r="JYT1037">
        <v>18128743</v>
      </c>
      <c r="JYU1037">
        <v>-1616384</v>
      </c>
      <c r="KIL1037" t="s">
        <v>1406</v>
      </c>
      <c r="KIM1037">
        <v>11603092</v>
      </c>
      <c r="KIN1037">
        <v>3094953</v>
      </c>
      <c r="KIO1037">
        <v>41357435</v>
      </c>
      <c r="KIP1037">
        <v>18128743</v>
      </c>
      <c r="KIQ1037">
        <v>-1616384</v>
      </c>
      <c r="KSH1037" t="s">
        <v>1406</v>
      </c>
      <c r="KSI1037">
        <v>11603092</v>
      </c>
      <c r="KSJ1037">
        <v>3094953</v>
      </c>
      <c r="KSK1037">
        <v>41357435</v>
      </c>
      <c r="KSL1037">
        <v>18128743</v>
      </c>
      <c r="KSM1037">
        <v>-1616384</v>
      </c>
      <c r="LCD1037" t="s">
        <v>1406</v>
      </c>
      <c r="LCE1037">
        <v>11603092</v>
      </c>
      <c r="LCF1037">
        <v>3094953</v>
      </c>
      <c r="LCG1037">
        <v>41357435</v>
      </c>
      <c r="LCH1037">
        <v>18128743</v>
      </c>
      <c r="LCI1037">
        <v>-1616384</v>
      </c>
      <c r="LLZ1037" t="s">
        <v>1406</v>
      </c>
      <c r="LMA1037">
        <v>11603092</v>
      </c>
      <c r="LMB1037">
        <v>3094953</v>
      </c>
      <c r="LMC1037">
        <v>41357435</v>
      </c>
      <c r="LMD1037">
        <v>18128743</v>
      </c>
      <c r="LME1037">
        <v>-1616384</v>
      </c>
      <c r="LVV1037" t="s">
        <v>1406</v>
      </c>
      <c r="LVW1037">
        <v>11603092</v>
      </c>
      <c r="LVX1037">
        <v>3094953</v>
      </c>
      <c r="LVY1037">
        <v>41357435</v>
      </c>
      <c r="LVZ1037">
        <v>18128743</v>
      </c>
      <c r="LWA1037">
        <v>-1616384</v>
      </c>
      <c r="MFR1037" t="s">
        <v>1406</v>
      </c>
      <c r="MFS1037">
        <v>11603092</v>
      </c>
      <c r="MFT1037">
        <v>3094953</v>
      </c>
      <c r="MFU1037">
        <v>41357435</v>
      </c>
      <c r="MFV1037">
        <v>18128743</v>
      </c>
      <c r="MFW1037">
        <v>-1616384</v>
      </c>
      <c r="MPN1037" t="s">
        <v>1406</v>
      </c>
      <c r="MPO1037">
        <v>11603092</v>
      </c>
      <c r="MPP1037">
        <v>3094953</v>
      </c>
      <c r="MPQ1037">
        <v>41357435</v>
      </c>
      <c r="MPR1037">
        <v>18128743</v>
      </c>
      <c r="MPS1037">
        <v>-1616384</v>
      </c>
      <c r="MZJ1037" t="s">
        <v>1406</v>
      </c>
      <c r="MZK1037">
        <v>11603092</v>
      </c>
      <c r="MZL1037">
        <v>3094953</v>
      </c>
      <c r="MZM1037">
        <v>41357435</v>
      </c>
      <c r="MZN1037">
        <v>18128743</v>
      </c>
      <c r="MZO1037">
        <v>-1616384</v>
      </c>
      <c r="NJF1037" t="s">
        <v>1406</v>
      </c>
      <c r="NJG1037">
        <v>11603092</v>
      </c>
      <c r="NJH1037">
        <v>3094953</v>
      </c>
      <c r="NJI1037">
        <v>41357435</v>
      </c>
      <c r="NJJ1037">
        <v>18128743</v>
      </c>
      <c r="NJK1037">
        <v>-1616384</v>
      </c>
      <c r="NTB1037" t="s">
        <v>1406</v>
      </c>
      <c r="NTC1037">
        <v>11603092</v>
      </c>
      <c r="NTD1037">
        <v>3094953</v>
      </c>
      <c r="NTE1037">
        <v>41357435</v>
      </c>
      <c r="NTF1037">
        <v>18128743</v>
      </c>
      <c r="NTG1037">
        <v>-1616384</v>
      </c>
      <c r="OCX1037" t="s">
        <v>1406</v>
      </c>
      <c r="OCY1037">
        <v>11603092</v>
      </c>
      <c r="OCZ1037">
        <v>3094953</v>
      </c>
      <c r="ODA1037">
        <v>41357435</v>
      </c>
      <c r="ODB1037">
        <v>18128743</v>
      </c>
      <c r="ODC1037">
        <v>-1616384</v>
      </c>
      <c r="OMT1037" t="s">
        <v>1406</v>
      </c>
      <c r="OMU1037">
        <v>11603092</v>
      </c>
      <c r="OMV1037">
        <v>3094953</v>
      </c>
      <c r="OMW1037">
        <v>41357435</v>
      </c>
      <c r="OMX1037">
        <v>18128743</v>
      </c>
      <c r="OMY1037">
        <v>-1616384</v>
      </c>
      <c r="OWP1037" t="s">
        <v>1406</v>
      </c>
      <c r="OWQ1037">
        <v>11603092</v>
      </c>
      <c r="OWR1037">
        <v>3094953</v>
      </c>
      <c r="OWS1037">
        <v>41357435</v>
      </c>
      <c r="OWT1037">
        <v>18128743</v>
      </c>
      <c r="OWU1037">
        <v>-1616384</v>
      </c>
      <c r="PGL1037" t="s">
        <v>1406</v>
      </c>
      <c r="PGM1037">
        <v>11603092</v>
      </c>
      <c r="PGN1037">
        <v>3094953</v>
      </c>
      <c r="PGO1037">
        <v>41357435</v>
      </c>
      <c r="PGP1037">
        <v>18128743</v>
      </c>
      <c r="PGQ1037">
        <v>-1616384</v>
      </c>
      <c r="PQH1037" t="s">
        <v>1406</v>
      </c>
      <c r="PQI1037">
        <v>11603092</v>
      </c>
      <c r="PQJ1037">
        <v>3094953</v>
      </c>
      <c r="PQK1037">
        <v>41357435</v>
      </c>
      <c r="PQL1037">
        <v>18128743</v>
      </c>
      <c r="PQM1037">
        <v>-1616384</v>
      </c>
      <c r="QAD1037" t="s">
        <v>1406</v>
      </c>
      <c r="QAE1037">
        <v>11603092</v>
      </c>
      <c r="QAF1037">
        <v>3094953</v>
      </c>
      <c r="QAG1037">
        <v>41357435</v>
      </c>
      <c r="QAH1037">
        <v>18128743</v>
      </c>
      <c r="QAI1037">
        <v>-1616384</v>
      </c>
      <c r="QJZ1037" t="s">
        <v>1406</v>
      </c>
      <c r="QKA1037">
        <v>11603092</v>
      </c>
      <c r="QKB1037">
        <v>3094953</v>
      </c>
      <c r="QKC1037">
        <v>41357435</v>
      </c>
      <c r="QKD1037">
        <v>18128743</v>
      </c>
      <c r="QKE1037">
        <v>-1616384</v>
      </c>
      <c r="QTV1037" t="s">
        <v>1406</v>
      </c>
      <c r="QTW1037">
        <v>11603092</v>
      </c>
      <c r="QTX1037">
        <v>3094953</v>
      </c>
      <c r="QTY1037">
        <v>41357435</v>
      </c>
      <c r="QTZ1037">
        <v>18128743</v>
      </c>
      <c r="QUA1037">
        <v>-1616384</v>
      </c>
      <c r="RDR1037" t="s">
        <v>1406</v>
      </c>
      <c r="RDS1037">
        <v>11603092</v>
      </c>
      <c r="RDT1037">
        <v>3094953</v>
      </c>
      <c r="RDU1037">
        <v>41357435</v>
      </c>
      <c r="RDV1037">
        <v>18128743</v>
      </c>
      <c r="RDW1037">
        <v>-1616384</v>
      </c>
      <c r="RNN1037" t="s">
        <v>1406</v>
      </c>
      <c r="RNO1037">
        <v>11603092</v>
      </c>
      <c r="RNP1037">
        <v>3094953</v>
      </c>
      <c r="RNQ1037">
        <v>41357435</v>
      </c>
      <c r="RNR1037">
        <v>18128743</v>
      </c>
      <c r="RNS1037">
        <v>-1616384</v>
      </c>
      <c r="RXJ1037" t="s">
        <v>1406</v>
      </c>
      <c r="RXK1037">
        <v>11603092</v>
      </c>
      <c r="RXL1037">
        <v>3094953</v>
      </c>
      <c r="RXM1037">
        <v>41357435</v>
      </c>
      <c r="RXN1037">
        <v>18128743</v>
      </c>
      <c r="RXO1037">
        <v>-1616384</v>
      </c>
      <c r="SHF1037" t="s">
        <v>1406</v>
      </c>
      <c r="SHG1037">
        <v>11603092</v>
      </c>
      <c r="SHH1037">
        <v>3094953</v>
      </c>
      <c r="SHI1037">
        <v>41357435</v>
      </c>
      <c r="SHJ1037">
        <v>18128743</v>
      </c>
      <c r="SHK1037">
        <v>-1616384</v>
      </c>
      <c r="SRB1037" t="s">
        <v>1406</v>
      </c>
      <c r="SRC1037">
        <v>11603092</v>
      </c>
      <c r="SRD1037">
        <v>3094953</v>
      </c>
      <c r="SRE1037">
        <v>41357435</v>
      </c>
      <c r="SRF1037">
        <v>18128743</v>
      </c>
      <c r="SRG1037">
        <v>-1616384</v>
      </c>
      <c r="TAX1037" t="s">
        <v>1406</v>
      </c>
      <c r="TAY1037">
        <v>11603092</v>
      </c>
      <c r="TAZ1037">
        <v>3094953</v>
      </c>
      <c r="TBA1037">
        <v>41357435</v>
      </c>
      <c r="TBB1037">
        <v>18128743</v>
      </c>
      <c r="TBC1037">
        <v>-1616384</v>
      </c>
      <c r="TKT1037" t="s">
        <v>1406</v>
      </c>
      <c r="TKU1037">
        <v>11603092</v>
      </c>
      <c r="TKV1037">
        <v>3094953</v>
      </c>
      <c r="TKW1037">
        <v>41357435</v>
      </c>
      <c r="TKX1037">
        <v>18128743</v>
      </c>
      <c r="TKY1037">
        <v>-1616384</v>
      </c>
      <c r="TUP1037" t="s">
        <v>1406</v>
      </c>
      <c r="TUQ1037">
        <v>11603092</v>
      </c>
      <c r="TUR1037">
        <v>3094953</v>
      </c>
      <c r="TUS1037">
        <v>41357435</v>
      </c>
      <c r="TUT1037">
        <v>18128743</v>
      </c>
      <c r="TUU1037">
        <v>-1616384</v>
      </c>
      <c r="UEL1037" t="s">
        <v>1406</v>
      </c>
      <c r="UEM1037">
        <v>11603092</v>
      </c>
      <c r="UEN1037">
        <v>3094953</v>
      </c>
      <c r="UEO1037">
        <v>41357435</v>
      </c>
      <c r="UEP1037">
        <v>18128743</v>
      </c>
      <c r="UEQ1037">
        <v>-1616384</v>
      </c>
      <c r="UOH1037" t="s">
        <v>1406</v>
      </c>
      <c r="UOI1037">
        <v>11603092</v>
      </c>
      <c r="UOJ1037">
        <v>3094953</v>
      </c>
      <c r="UOK1037">
        <v>41357435</v>
      </c>
      <c r="UOL1037">
        <v>18128743</v>
      </c>
      <c r="UOM1037">
        <v>-1616384</v>
      </c>
      <c r="UYD1037" t="s">
        <v>1406</v>
      </c>
      <c r="UYE1037">
        <v>11603092</v>
      </c>
      <c r="UYF1037">
        <v>3094953</v>
      </c>
      <c r="UYG1037">
        <v>41357435</v>
      </c>
      <c r="UYH1037">
        <v>18128743</v>
      </c>
      <c r="UYI1037">
        <v>-1616384</v>
      </c>
      <c r="VHZ1037" t="s">
        <v>1406</v>
      </c>
      <c r="VIA1037">
        <v>11603092</v>
      </c>
      <c r="VIB1037">
        <v>3094953</v>
      </c>
      <c r="VIC1037">
        <v>41357435</v>
      </c>
      <c r="VID1037">
        <v>18128743</v>
      </c>
      <c r="VIE1037">
        <v>-1616384</v>
      </c>
      <c r="VRV1037" t="s">
        <v>1406</v>
      </c>
      <c r="VRW1037">
        <v>11603092</v>
      </c>
      <c r="VRX1037">
        <v>3094953</v>
      </c>
      <c r="VRY1037">
        <v>41357435</v>
      </c>
      <c r="VRZ1037">
        <v>18128743</v>
      </c>
      <c r="VSA1037">
        <v>-1616384</v>
      </c>
      <c r="WBR1037" t="s">
        <v>1406</v>
      </c>
      <c r="WBS1037">
        <v>11603092</v>
      </c>
      <c r="WBT1037">
        <v>3094953</v>
      </c>
      <c r="WBU1037">
        <v>41357435</v>
      </c>
      <c r="WBV1037">
        <v>18128743</v>
      </c>
      <c r="WBW1037">
        <v>-1616384</v>
      </c>
      <c r="WLN1037" t="s">
        <v>1406</v>
      </c>
      <c r="WLO1037">
        <v>11603092</v>
      </c>
      <c r="WLP1037">
        <v>3094953</v>
      </c>
      <c r="WLQ1037">
        <v>41357435</v>
      </c>
      <c r="WLR1037">
        <v>18128743</v>
      </c>
      <c r="WLS1037">
        <v>-1616384</v>
      </c>
      <c r="WVJ1037" t="s">
        <v>1406</v>
      </c>
      <c r="WVK1037">
        <v>11603092</v>
      </c>
      <c r="WVL1037">
        <v>3094953</v>
      </c>
      <c r="WVM1037">
        <v>41357435</v>
      </c>
      <c r="WVN1037">
        <v>18128743</v>
      </c>
      <c r="WVO1037">
        <v>-1616384</v>
      </c>
    </row>
    <row r="1038" spans="1:775 1026:1799 2050:2823 3074:3847 4098:4871 5122:5895 6146:6919 7170:7943 8194:8967 9218:9991 10242:11015 11266:12039 12290:13063 13314:14087 14338:15111 15362:16135">
      <c r="A1038" s="96"/>
      <c r="C1038" s="100">
        <f>SUM(C1016:C1035)</f>
        <v>11603092</v>
      </c>
      <c r="D1038" s="100">
        <f>SUM(D1016:D1035)</f>
        <v>3094953</v>
      </c>
      <c r="E1038" s="100">
        <f>SUM(E1016:E1035)</f>
        <v>41357435</v>
      </c>
      <c r="F1038" s="100">
        <f>SUM(F1016:F1035)</f>
        <v>18128743</v>
      </c>
      <c r="G1038" s="100">
        <f>SUM(G1016:G1035)</f>
        <v>-1583755</v>
      </c>
      <c r="H1038" s="100"/>
    </row>
    <row r="1039" spans="1:775 1026:1799 2050:2823 3074:3847 4098:4871 5122:5895 6146:6919 7170:7943 8194:8967 9218:9991 10242:11015 11266:12039 12290:13063 13314:14087 14338:15111 15362:16135">
      <c r="A1039" s="99" t="s">
        <v>842</v>
      </c>
      <c r="C1039" s="96"/>
      <c r="D1039" s="96"/>
      <c r="E1039" s="96"/>
      <c r="F1039" s="96"/>
      <c r="G1039" s="96"/>
      <c r="H1039" s="96"/>
      <c r="IX1039" t="s">
        <v>842</v>
      </c>
      <c r="ST1039" t="s">
        <v>842</v>
      </c>
      <c r="ACP1039" t="s">
        <v>842</v>
      </c>
      <c r="AML1039" t="s">
        <v>842</v>
      </c>
      <c r="AWH1039" t="s">
        <v>842</v>
      </c>
      <c r="BGD1039" t="s">
        <v>842</v>
      </c>
      <c r="BPZ1039" t="s">
        <v>842</v>
      </c>
      <c r="BZV1039" t="s">
        <v>842</v>
      </c>
      <c r="CJR1039" t="s">
        <v>842</v>
      </c>
      <c r="CTN1039" t="s">
        <v>842</v>
      </c>
      <c r="DDJ1039" t="s">
        <v>842</v>
      </c>
      <c r="DNF1039" t="s">
        <v>842</v>
      </c>
      <c r="DXB1039" t="s">
        <v>842</v>
      </c>
      <c r="EGX1039" t="s">
        <v>842</v>
      </c>
      <c r="EQT1039" t="s">
        <v>842</v>
      </c>
      <c r="FAP1039" t="s">
        <v>842</v>
      </c>
      <c r="FKL1039" t="s">
        <v>842</v>
      </c>
      <c r="FUH1039" t="s">
        <v>842</v>
      </c>
      <c r="GED1039" t="s">
        <v>842</v>
      </c>
      <c r="GNZ1039" t="s">
        <v>842</v>
      </c>
      <c r="GXV1039" t="s">
        <v>842</v>
      </c>
      <c r="HHR1039" t="s">
        <v>842</v>
      </c>
      <c r="HRN1039" t="s">
        <v>842</v>
      </c>
      <c r="IBJ1039" t="s">
        <v>842</v>
      </c>
      <c r="ILF1039" t="s">
        <v>842</v>
      </c>
      <c r="IVB1039" t="s">
        <v>842</v>
      </c>
      <c r="JEX1039" t="s">
        <v>842</v>
      </c>
      <c r="JOT1039" t="s">
        <v>842</v>
      </c>
      <c r="JYP1039" t="s">
        <v>842</v>
      </c>
      <c r="KIL1039" t="s">
        <v>842</v>
      </c>
      <c r="KSH1039" t="s">
        <v>842</v>
      </c>
      <c r="LCD1039" t="s">
        <v>842</v>
      </c>
      <c r="LLZ1039" t="s">
        <v>842</v>
      </c>
      <c r="LVV1039" t="s">
        <v>842</v>
      </c>
      <c r="MFR1039" t="s">
        <v>842</v>
      </c>
      <c r="MPN1039" t="s">
        <v>842</v>
      </c>
      <c r="MZJ1039" t="s">
        <v>842</v>
      </c>
      <c r="NJF1039" t="s">
        <v>842</v>
      </c>
      <c r="NTB1039" t="s">
        <v>842</v>
      </c>
      <c r="OCX1039" t="s">
        <v>842</v>
      </c>
      <c r="OMT1039" t="s">
        <v>842</v>
      </c>
      <c r="OWP1039" t="s">
        <v>842</v>
      </c>
      <c r="PGL1039" t="s">
        <v>842</v>
      </c>
      <c r="PQH1039" t="s">
        <v>842</v>
      </c>
      <c r="QAD1039" t="s">
        <v>842</v>
      </c>
      <c r="QJZ1039" t="s">
        <v>842</v>
      </c>
      <c r="QTV1039" t="s">
        <v>842</v>
      </c>
      <c r="RDR1039" t="s">
        <v>842</v>
      </c>
      <c r="RNN1039" t="s">
        <v>842</v>
      </c>
      <c r="RXJ1039" t="s">
        <v>842</v>
      </c>
      <c r="SHF1039" t="s">
        <v>842</v>
      </c>
      <c r="SRB1039" t="s">
        <v>842</v>
      </c>
      <c r="TAX1039" t="s">
        <v>842</v>
      </c>
      <c r="TKT1039" t="s">
        <v>842</v>
      </c>
      <c r="TUP1039" t="s">
        <v>842</v>
      </c>
      <c r="UEL1039" t="s">
        <v>842</v>
      </c>
      <c r="UOH1039" t="s">
        <v>842</v>
      </c>
      <c r="UYD1039" t="s">
        <v>842</v>
      </c>
      <c r="VHZ1039" t="s">
        <v>842</v>
      </c>
      <c r="VRV1039" t="s">
        <v>842</v>
      </c>
      <c r="WBR1039" t="s">
        <v>842</v>
      </c>
      <c r="WLN1039" t="s">
        <v>842</v>
      </c>
      <c r="WVJ1039" t="s">
        <v>842</v>
      </c>
    </row>
    <row r="1040" spans="1:775 1026:1799 2050:2823 3074:3847 4098:4871 5122:5895 6146:6919 7170:7943 8194:8967 9218:9991 10242:11015 11266:12039 12290:13063 13314:14087 14338:15111 15362:16135" s="1337" customFormat="1" ht="14.5" thickBot="1">
      <c r="A1040" s="1430" t="s">
        <v>843</v>
      </c>
      <c r="C1040" s="1432">
        <v>-56947</v>
      </c>
      <c r="D1040" s="1432">
        <v>10166</v>
      </c>
      <c r="E1040" s="1432">
        <v>-682040</v>
      </c>
      <c r="F1040" s="1432">
        <v>-500959</v>
      </c>
      <c r="G1040" s="1432">
        <v>-121896</v>
      </c>
      <c r="H1040" s="1432"/>
      <c r="IX1040" s="1337" t="s">
        <v>843</v>
      </c>
      <c r="IY1040" s="1337">
        <v>-56947</v>
      </c>
      <c r="IZ1040" s="1337">
        <v>10166</v>
      </c>
      <c r="JA1040" s="1337">
        <v>-682040</v>
      </c>
      <c r="JB1040" s="1337">
        <v>-500959</v>
      </c>
      <c r="JC1040" s="1337">
        <v>-121896</v>
      </c>
      <c r="ST1040" s="1337" t="s">
        <v>843</v>
      </c>
      <c r="SU1040" s="1337">
        <v>-56947</v>
      </c>
      <c r="SV1040" s="1337">
        <v>10166</v>
      </c>
      <c r="SW1040" s="1337">
        <v>-682040</v>
      </c>
      <c r="SX1040" s="1337">
        <v>-500959</v>
      </c>
      <c r="SY1040" s="1337">
        <v>-121896</v>
      </c>
      <c r="ACP1040" s="1337" t="s">
        <v>843</v>
      </c>
      <c r="ACQ1040" s="1337">
        <v>-56947</v>
      </c>
      <c r="ACR1040" s="1337">
        <v>10166</v>
      </c>
      <c r="ACS1040" s="1337">
        <v>-682040</v>
      </c>
      <c r="ACT1040" s="1337">
        <v>-500959</v>
      </c>
      <c r="ACU1040" s="1337">
        <v>-121896</v>
      </c>
      <c r="AML1040" s="1337" t="s">
        <v>843</v>
      </c>
      <c r="AMM1040" s="1337">
        <v>-56947</v>
      </c>
      <c r="AMN1040" s="1337">
        <v>10166</v>
      </c>
      <c r="AMO1040" s="1337">
        <v>-682040</v>
      </c>
      <c r="AMP1040" s="1337">
        <v>-500959</v>
      </c>
      <c r="AMQ1040" s="1337">
        <v>-121896</v>
      </c>
      <c r="AWH1040" s="1337" t="s">
        <v>843</v>
      </c>
      <c r="AWI1040" s="1337">
        <v>-56947</v>
      </c>
      <c r="AWJ1040" s="1337">
        <v>10166</v>
      </c>
      <c r="AWK1040" s="1337">
        <v>-682040</v>
      </c>
      <c r="AWL1040" s="1337">
        <v>-500959</v>
      </c>
      <c r="AWM1040" s="1337">
        <v>-121896</v>
      </c>
      <c r="BGD1040" s="1337" t="s">
        <v>843</v>
      </c>
      <c r="BGE1040" s="1337">
        <v>-56947</v>
      </c>
      <c r="BGF1040" s="1337">
        <v>10166</v>
      </c>
      <c r="BGG1040" s="1337">
        <v>-682040</v>
      </c>
      <c r="BGH1040" s="1337">
        <v>-500959</v>
      </c>
      <c r="BGI1040" s="1337">
        <v>-121896</v>
      </c>
      <c r="BPZ1040" s="1337" t="s">
        <v>843</v>
      </c>
      <c r="BQA1040" s="1337">
        <v>-56947</v>
      </c>
      <c r="BQB1040" s="1337">
        <v>10166</v>
      </c>
      <c r="BQC1040" s="1337">
        <v>-682040</v>
      </c>
      <c r="BQD1040" s="1337">
        <v>-500959</v>
      </c>
      <c r="BQE1040" s="1337">
        <v>-121896</v>
      </c>
      <c r="BZV1040" s="1337" t="s">
        <v>843</v>
      </c>
      <c r="BZW1040" s="1337">
        <v>-56947</v>
      </c>
      <c r="BZX1040" s="1337">
        <v>10166</v>
      </c>
      <c r="BZY1040" s="1337">
        <v>-682040</v>
      </c>
      <c r="BZZ1040" s="1337">
        <v>-500959</v>
      </c>
      <c r="CAA1040" s="1337">
        <v>-121896</v>
      </c>
      <c r="CJR1040" s="1337" t="s">
        <v>843</v>
      </c>
      <c r="CJS1040" s="1337">
        <v>-56947</v>
      </c>
      <c r="CJT1040" s="1337">
        <v>10166</v>
      </c>
      <c r="CJU1040" s="1337">
        <v>-682040</v>
      </c>
      <c r="CJV1040" s="1337">
        <v>-500959</v>
      </c>
      <c r="CJW1040" s="1337">
        <v>-121896</v>
      </c>
      <c r="CTN1040" s="1337" t="s">
        <v>843</v>
      </c>
      <c r="CTO1040" s="1337">
        <v>-56947</v>
      </c>
      <c r="CTP1040" s="1337">
        <v>10166</v>
      </c>
      <c r="CTQ1040" s="1337">
        <v>-682040</v>
      </c>
      <c r="CTR1040" s="1337">
        <v>-500959</v>
      </c>
      <c r="CTS1040" s="1337">
        <v>-121896</v>
      </c>
      <c r="DDJ1040" s="1337" t="s">
        <v>843</v>
      </c>
      <c r="DDK1040" s="1337">
        <v>-56947</v>
      </c>
      <c r="DDL1040" s="1337">
        <v>10166</v>
      </c>
      <c r="DDM1040" s="1337">
        <v>-682040</v>
      </c>
      <c r="DDN1040" s="1337">
        <v>-500959</v>
      </c>
      <c r="DDO1040" s="1337">
        <v>-121896</v>
      </c>
      <c r="DNF1040" s="1337" t="s">
        <v>843</v>
      </c>
      <c r="DNG1040" s="1337">
        <v>-56947</v>
      </c>
      <c r="DNH1040" s="1337">
        <v>10166</v>
      </c>
      <c r="DNI1040" s="1337">
        <v>-682040</v>
      </c>
      <c r="DNJ1040" s="1337">
        <v>-500959</v>
      </c>
      <c r="DNK1040" s="1337">
        <v>-121896</v>
      </c>
      <c r="DXB1040" s="1337" t="s">
        <v>843</v>
      </c>
      <c r="DXC1040" s="1337">
        <v>-56947</v>
      </c>
      <c r="DXD1040" s="1337">
        <v>10166</v>
      </c>
      <c r="DXE1040" s="1337">
        <v>-682040</v>
      </c>
      <c r="DXF1040" s="1337">
        <v>-500959</v>
      </c>
      <c r="DXG1040" s="1337">
        <v>-121896</v>
      </c>
      <c r="EGX1040" s="1337" t="s">
        <v>843</v>
      </c>
      <c r="EGY1040" s="1337">
        <v>-56947</v>
      </c>
      <c r="EGZ1040" s="1337">
        <v>10166</v>
      </c>
      <c r="EHA1040" s="1337">
        <v>-682040</v>
      </c>
      <c r="EHB1040" s="1337">
        <v>-500959</v>
      </c>
      <c r="EHC1040" s="1337">
        <v>-121896</v>
      </c>
      <c r="EQT1040" s="1337" t="s">
        <v>843</v>
      </c>
      <c r="EQU1040" s="1337">
        <v>-56947</v>
      </c>
      <c r="EQV1040" s="1337">
        <v>10166</v>
      </c>
      <c r="EQW1040" s="1337">
        <v>-682040</v>
      </c>
      <c r="EQX1040" s="1337">
        <v>-500959</v>
      </c>
      <c r="EQY1040" s="1337">
        <v>-121896</v>
      </c>
      <c r="FAP1040" s="1337" t="s">
        <v>843</v>
      </c>
      <c r="FAQ1040" s="1337">
        <v>-56947</v>
      </c>
      <c r="FAR1040" s="1337">
        <v>10166</v>
      </c>
      <c r="FAS1040" s="1337">
        <v>-682040</v>
      </c>
      <c r="FAT1040" s="1337">
        <v>-500959</v>
      </c>
      <c r="FAU1040" s="1337">
        <v>-121896</v>
      </c>
      <c r="FKL1040" s="1337" t="s">
        <v>843</v>
      </c>
      <c r="FKM1040" s="1337">
        <v>-56947</v>
      </c>
      <c r="FKN1040" s="1337">
        <v>10166</v>
      </c>
      <c r="FKO1040" s="1337">
        <v>-682040</v>
      </c>
      <c r="FKP1040" s="1337">
        <v>-500959</v>
      </c>
      <c r="FKQ1040" s="1337">
        <v>-121896</v>
      </c>
      <c r="FUH1040" s="1337" t="s">
        <v>843</v>
      </c>
      <c r="FUI1040" s="1337">
        <v>-56947</v>
      </c>
      <c r="FUJ1040" s="1337">
        <v>10166</v>
      </c>
      <c r="FUK1040" s="1337">
        <v>-682040</v>
      </c>
      <c r="FUL1040" s="1337">
        <v>-500959</v>
      </c>
      <c r="FUM1040" s="1337">
        <v>-121896</v>
      </c>
      <c r="GED1040" s="1337" t="s">
        <v>843</v>
      </c>
      <c r="GEE1040" s="1337">
        <v>-56947</v>
      </c>
      <c r="GEF1040" s="1337">
        <v>10166</v>
      </c>
      <c r="GEG1040" s="1337">
        <v>-682040</v>
      </c>
      <c r="GEH1040" s="1337">
        <v>-500959</v>
      </c>
      <c r="GEI1040" s="1337">
        <v>-121896</v>
      </c>
      <c r="GNZ1040" s="1337" t="s">
        <v>843</v>
      </c>
      <c r="GOA1040" s="1337">
        <v>-56947</v>
      </c>
      <c r="GOB1040" s="1337">
        <v>10166</v>
      </c>
      <c r="GOC1040" s="1337">
        <v>-682040</v>
      </c>
      <c r="GOD1040" s="1337">
        <v>-500959</v>
      </c>
      <c r="GOE1040" s="1337">
        <v>-121896</v>
      </c>
      <c r="GXV1040" s="1337" t="s">
        <v>843</v>
      </c>
      <c r="GXW1040" s="1337">
        <v>-56947</v>
      </c>
      <c r="GXX1040" s="1337">
        <v>10166</v>
      </c>
      <c r="GXY1040" s="1337">
        <v>-682040</v>
      </c>
      <c r="GXZ1040" s="1337">
        <v>-500959</v>
      </c>
      <c r="GYA1040" s="1337">
        <v>-121896</v>
      </c>
      <c r="HHR1040" s="1337" t="s">
        <v>843</v>
      </c>
      <c r="HHS1040" s="1337">
        <v>-56947</v>
      </c>
      <c r="HHT1040" s="1337">
        <v>10166</v>
      </c>
      <c r="HHU1040" s="1337">
        <v>-682040</v>
      </c>
      <c r="HHV1040" s="1337">
        <v>-500959</v>
      </c>
      <c r="HHW1040" s="1337">
        <v>-121896</v>
      </c>
      <c r="HRN1040" s="1337" t="s">
        <v>843</v>
      </c>
      <c r="HRO1040" s="1337">
        <v>-56947</v>
      </c>
      <c r="HRP1040" s="1337">
        <v>10166</v>
      </c>
      <c r="HRQ1040" s="1337">
        <v>-682040</v>
      </c>
      <c r="HRR1040" s="1337">
        <v>-500959</v>
      </c>
      <c r="HRS1040" s="1337">
        <v>-121896</v>
      </c>
      <c r="IBJ1040" s="1337" t="s">
        <v>843</v>
      </c>
      <c r="IBK1040" s="1337">
        <v>-56947</v>
      </c>
      <c r="IBL1040" s="1337">
        <v>10166</v>
      </c>
      <c r="IBM1040" s="1337">
        <v>-682040</v>
      </c>
      <c r="IBN1040" s="1337">
        <v>-500959</v>
      </c>
      <c r="IBO1040" s="1337">
        <v>-121896</v>
      </c>
      <c r="ILF1040" s="1337" t="s">
        <v>843</v>
      </c>
      <c r="ILG1040" s="1337">
        <v>-56947</v>
      </c>
      <c r="ILH1040" s="1337">
        <v>10166</v>
      </c>
      <c r="ILI1040" s="1337">
        <v>-682040</v>
      </c>
      <c r="ILJ1040" s="1337">
        <v>-500959</v>
      </c>
      <c r="ILK1040" s="1337">
        <v>-121896</v>
      </c>
      <c r="IVB1040" s="1337" t="s">
        <v>843</v>
      </c>
      <c r="IVC1040" s="1337">
        <v>-56947</v>
      </c>
      <c r="IVD1040" s="1337">
        <v>10166</v>
      </c>
      <c r="IVE1040" s="1337">
        <v>-682040</v>
      </c>
      <c r="IVF1040" s="1337">
        <v>-500959</v>
      </c>
      <c r="IVG1040" s="1337">
        <v>-121896</v>
      </c>
      <c r="JEX1040" s="1337" t="s">
        <v>843</v>
      </c>
      <c r="JEY1040" s="1337">
        <v>-56947</v>
      </c>
      <c r="JEZ1040" s="1337">
        <v>10166</v>
      </c>
      <c r="JFA1040" s="1337">
        <v>-682040</v>
      </c>
      <c r="JFB1040" s="1337">
        <v>-500959</v>
      </c>
      <c r="JFC1040" s="1337">
        <v>-121896</v>
      </c>
      <c r="JOT1040" s="1337" t="s">
        <v>843</v>
      </c>
      <c r="JOU1040" s="1337">
        <v>-56947</v>
      </c>
      <c r="JOV1040" s="1337">
        <v>10166</v>
      </c>
      <c r="JOW1040" s="1337">
        <v>-682040</v>
      </c>
      <c r="JOX1040" s="1337">
        <v>-500959</v>
      </c>
      <c r="JOY1040" s="1337">
        <v>-121896</v>
      </c>
      <c r="JYP1040" s="1337" t="s">
        <v>843</v>
      </c>
      <c r="JYQ1040" s="1337">
        <v>-56947</v>
      </c>
      <c r="JYR1040" s="1337">
        <v>10166</v>
      </c>
      <c r="JYS1040" s="1337">
        <v>-682040</v>
      </c>
      <c r="JYT1040" s="1337">
        <v>-500959</v>
      </c>
      <c r="JYU1040" s="1337">
        <v>-121896</v>
      </c>
      <c r="KIL1040" s="1337" t="s">
        <v>843</v>
      </c>
      <c r="KIM1040" s="1337">
        <v>-56947</v>
      </c>
      <c r="KIN1040" s="1337">
        <v>10166</v>
      </c>
      <c r="KIO1040" s="1337">
        <v>-682040</v>
      </c>
      <c r="KIP1040" s="1337">
        <v>-500959</v>
      </c>
      <c r="KIQ1040" s="1337">
        <v>-121896</v>
      </c>
      <c r="KSH1040" s="1337" t="s">
        <v>843</v>
      </c>
      <c r="KSI1040" s="1337">
        <v>-56947</v>
      </c>
      <c r="KSJ1040" s="1337">
        <v>10166</v>
      </c>
      <c r="KSK1040" s="1337">
        <v>-682040</v>
      </c>
      <c r="KSL1040" s="1337">
        <v>-500959</v>
      </c>
      <c r="KSM1040" s="1337">
        <v>-121896</v>
      </c>
      <c r="LCD1040" s="1337" t="s">
        <v>843</v>
      </c>
      <c r="LCE1040" s="1337">
        <v>-56947</v>
      </c>
      <c r="LCF1040" s="1337">
        <v>10166</v>
      </c>
      <c r="LCG1040" s="1337">
        <v>-682040</v>
      </c>
      <c r="LCH1040" s="1337">
        <v>-500959</v>
      </c>
      <c r="LCI1040" s="1337">
        <v>-121896</v>
      </c>
      <c r="LLZ1040" s="1337" t="s">
        <v>843</v>
      </c>
      <c r="LMA1040" s="1337">
        <v>-56947</v>
      </c>
      <c r="LMB1040" s="1337">
        <v>10166</v>
      </c>
      <c r="LMC1040" s="1337">
        <v>-682040</v>
      </c>
      <c r="LMD1040" s="1337">
        <v>-500959</v>
      </c>
      <c r="LME1040" s="1337">
        <v>-121896</v>
      </c>
      <c r="LVV1040" s="1337" t="s">
        <v>843</v>
      </c>
      <c r="LVW1040" s="1337">
        <v>-56947</v>
      </c>
      <c r="LVX1040" s="1337">
        <v>10166</v>
      </c>
      <c r="LVY1040" s="1337">
        <v>-682040</v>
      </c>
      <c r="LVZ1040" s="1337">
        <v>-500959</v>
      </c>
      <c r="LWA1040" s="1337">
        <v>-121896</v>
      </c>
      <c r="MFR1040" s="1337" t="s">
        <v>843</v>
      </c>
      <c r="MFS1040" s="1337">
        <v>-56947</v>
      </c>
      <c r="MFT1040" s="1337">
        <v>10166</v>
      </c>
      <c r="MFU1040" s="1337">
        <v>-682040</v>
      </c>
      <c r="MFV1040" s="1337">
        <v>-500959</v>
      </c>
      <c r="MFW1040" s="1337">
        <v>-121896</v>
      </c>
      <c r="MPN1040" s="1337" t="s">
        <v>843</v>
      </c>
      <c r="MPO1040" s="1337">
        <v>-56947</v>
      </c>
      <c r="MPP1040" s="1337">
        <v>10166</v>
      </c>
      <c r="MPQ1040" s="1337">
        <v>-682040</v>
      </c>
      <c r="MPR1040" s="1337">
        <v>-500959</v>
      </c>
      <c r="MPS1040" s="1337">
        <v>-121896</v>
      </c>
      <c r="MZJ1040" s="1337" t="s">
        <v>843</v>
      </c>
      <c r="MZK1040" s="1337">
        <v>-56947</v>
      </c>
      <c r="MZL1040" s="1337">
        <v>10166</v>
      </c>
      <c r="MZM1040" s="1337">
        <v>-682040</v>
      </c>
      <c r="MZN1040" s="1337">
        <v>-500959</v>
      </c>
      <c r="MZO1040" s="1337">
        <v>-121896</v>
      </c>
      <c r="NJF1040" s="1337" t="s">
        <v>843</v>
      </c>
      <c r="NJG1040" s="1337">
        <v>-56947</v>
      </c>
      <c r="NJH1040" s="1337">
        <v>10166</v>
      </c>
      <c r="NJI1040" s="1337">
        <v>-682040</v>
      </c>
      <c r="NJJ1040" s="1337">
        <v>-500959</v>
      </c>
      <c r="NJK1040" s="1337">
        <v>-121896</v>
      </c>
      <c r="NTB1040" s="1337" t="s">
        <v>843</v>
      </c>
      <c r="NTC1040" s="1337">
        <v>-56947</v>
      </c>
      <c r="NTD1040" s="1337">
        <v>10166</v>
      </c>
      <c r="NTE1040" s="1337">
        <v>-682040</v>
      </c>
      <c r="NTF1040" s="1337">
        <v>-500959</v>
      </c>
      <c r="NTG1040" s="1337">
        <v>-121896</v>
      </c>
      <c r="OCX1040" s="1337" t="s">
        <v>843</v>
      </c>
      <c r="OCY1040" s="1337">
        <v>-56947</v>
      </c>
      <c r="OCZ1040" s="1337">
        <v>10166</v>
      </c>
      <c r="ODA1040" s="1337">
        <v>-682040</v>
      </c>
      <c r="ODB1040" s="1337">
        <v>-500959</v>
      </c>
      <c r="ODC1040" s="1337">
        <v>-121896</v>
      </c>
      <c r="OMT1040" s="1337" t="s">
        <v>843</v>
      </c>
      <c r="OMU1040" s="1337">
        <v>-56947</v>
      </c>
      <c r="OMV1040" s="1337">
        <v>10166</v>
      </c>
      <c r="OMW1040" s="1337">
        <v>-682040</v>
      </c>
      <c r="OMX1040" s="1337">
        <v>-500959</v>
      </c>
      <c r="OMY1040" s="1337">
        <v>-121896</v>
      </c>
      <c r="OWP1040" s="1337" t="s">
        <v>843</v>
      </c>
      <c r="OWQ1040" s="1337">
        <v>-56947</v>
      </c>
      <c r="OWR1040" s="1337">
        <v>10166</v>
      </c>
      <c r="OWS1040" s="1337">
        <v>-682040</v>
      </c>
      <c r="OWT1040" s="1337">
        <v>-500959</v>
      </c>
      <c r="OWU1040" s="1337">
        <v>-121896</v>
      </c>
      <c r="PGL1040" s="1337" t="s">
        <v>843</v>
      </c>
      <c r="PGM1040" s="1337">
        <v>-56947</v>
      </c>
      <c r="PGN1040" s="1337">
        <v>10166</v>
      </c>
      <c r="PGO1040" s="1337">
        <v>-682040</v>
      </c>
      <c r="PGP1040" s="1337">
        <v>-500959</v>
      </c>
      <c r="PGQ1040" s="1337">
        <v>-121896</v>
      </c>
      <c r="PQH1040" s="1337" t="s">
        <v>843</v>
      </c>
      <c r="PQI1040" s="1337">
        <v>-56947</v>
      </c>
      <c r="PQJ1040" s="1337">
        <v>10166</v>
      </c>
      <c r="PQK1040" s="1337">
        <v>-682040</v>
      </c>
      <c r="PQL1040" s="1337">
        <v>-500959</v>
      </c>
      <c r="PQM1040" s="1337">
        <v>-121896</v>
      </c>
      <c r="QAD1040" s="1337" t="s">
        <v>843</v>
      </c>
      <c r="QAE1040" s="1337">
        <v>-56947</v>
      </c>
      <c r="QAF1040" s="1337">
        <v>10166</v>
      </c>
      <c r="QAG1040" s="1337">
        <v>-682040</v>
      </c>
      <c r="QAH1040" s="1337">
        <v>-500959</v>
      </c>
      <c r="QAI1040" s="1337">
        <v>-121896</v>
      </c>
      <c r="QJZ1040" s="1337" t="s">
        <v>843</v>
      </c>
      <c r="QKA1040" s="1337">
        <v>-56947</v>
      </c>
      <c r="QKB1040" s="1337">
        <v>10166</v>
      </c>
      <c r="QKC1040" s="1337">
        <v>-682040</v>
      </c>
      <c r="QKD1040" s="1337">
        <v>-500959</v>
      </c>
      <c r="QKE1040" s="1337">
        <v>-121896</v>
      </c>
      <c r="QTV1040" s="1337" t="s">
        <v>843</v>
      </c>
      <c r="QTW1040" s="1337">
        <v>-56947</v>
      </c>
      <c r="QTX1040" s="1337">
        <v>10166</v>
      </c>
      <c r="QTY1040" s="1337">
        <v>-682040</v>
      </c>
      <c r="QTZ1040" s="1337">
        <v>-500959</v>
      </c>
      <c r="QUA1040" s="1337">
        <v>-121896</v>
      </c>
      <c r="RDR1040" s="1337" t="s">
        <v>843</v>
      </c>
      <c r="RDS1040" s="1337">
        <v>-56947</v>
      </c>
      <c r="RDT1040" s="1337">
        <v>10166</v>
      </c>
      <c r="RDU1040" s="1337">
        <v>-682040</v>
      </c>
      <c r="RDV1040" s="1337">
        <v>-500959</v>
      </c>
      <c r="RDW1040" s="1337">
        <v>-121896</v>
      </c>
      <c r="RNN1040" s="1337" t="s">
        <v>843</v>
      </c>
      <c r="RNO1040" s="1337">
        <v>-56947</v>
      </c>
      <c r="RNP1040" s="1337">
        <v>10166</v>
      </c>
      <c r="RNQ1040" s="1337">
        <v>-682040</v>
      </c>
      <c r="RNR1040" s="1337">
        <v>-500959</v>
      </c>
      <c r="RNS1040" s="1337">
        <v>-121896</v>
      </c>
      <c r="RXJ1040" s="1337" t="s">
        <v>843</v>
      </c>
      <c r="RXK1040" s="1337">
        <v>-56947</v>
      </c>
      <c r="RXL1040" s="1337">
        <v>10166</v>
      </c>
      <c r="RXM1040" s="1337">
        <v>-682040</v>
      </c>
      <c r="RXN1040" s="1337">
        <v>-500959</v>
      </c>
      <c r="RXO1040" s="1337">
        <v>-121896</v>
      </c>
      <c r="SHF1040" s="1337" t="s">
        <v>843</v>
      </c>
      <c r="SHG1040" s="1337">
        <v>-56947</v>
      </c>
      <c r="SHH1040" s="1337">
        <v>10166</v>
      </c>
      <c r="SHI1040" s="1337">
        <v>-682040</v>
      </c>
      <c r="SHJ1040" s="1337">
        <v>-500959</v>
      </c>
      <c r="SHK1040" s="1337">
        <v>-121896</v>
      </c>
      <c r="SRB1040" s="1337" t="s">
        <v>843</v>
      </c>
      <c r="SRC1040" s="1337">
        <v>-56947</v>
      </c>
      <c r="SRD1040" s="1337">
        <v>10166</v>
      </c>
      <c r="SRE1040" s="1337">
        <v>-682040</v>
      </c>
      <c r="SRF1040" s="1337">
        <v>-500959</v>
      </c>
      <c r="SRG1040" s="1337">
        <v>-121896</v>
      </c>
      <c r="TAX1040" s="1337" t="s">
        <v>843</v>
      </c>
      <c r="TAY1040" s="1337">
        <v>-56947</v>
      </c>
      <c r="TAZ1040" s="1337">
        <v>10166</v>
      </c>
      <c r="TBA1040" s="1337">
        <v>-682040</v>
      </c>
      <c r="TBB1040" s="1337">
        <v>-500959</v>
      </c>
      <c r="TBC1040" s="1337">
        <v>-121896</v>
      </c>
      <c r="TKT1040" s="1337" t="s">
        <v>843</v>
      </c>
      <c r="TKU1040" s="1337">
        <v>-56947</v>
      </c>
      <c r="TKV1040" s="1337">
        <v>10166</v>
      </c>
      <c r="TKW1040" s="1337">
        <v>-682040</v>
      </c>
      <c r="TKX1040" s="1337">
        <v>-500959</v>
      </c>
      <c r="TKY1040" s="1337">
        <v>-121896</v>
      </c>
      <c r="TUP1040" s="1337" t="s">
        <v>843</v>
      </c>
      <c r="TUQ1040" s="1337">
        <v>-56947</v>
      </c>
      <c r="TUR1040" s="1337">
        <v>10166</v>
      </c>
      <c r="TUS1040" s="1337">
        <v>-682040</v>
      </c>
      <c r="TUT1040" s="1337">
        <v>-500959</v>
      </c>
      <c r="TUU1040" s="1337">
        <v>-121896</v>
      </c>
      <c r="UEL1040" s="1337" t="s">
        <v>843</v>
      </c>
      <c r="UEM1040" s="1337">
        <v>-56947</v>
      </c>
      <c r="UEN1040" s="1337">
        <v>10166</v>
      </c>
      <c r="UEO1040" s="1337">
        <v>-682040</v>
      </c>
      <c r="UEP1040" s="1337">
        <v>-500959</v>
      </c>
      <c r="UEQ1040" s="1337">
        <v>-121896</v>
      </c>
      <c r="UOH1040" s="1337" t="s">
        <v>843</v>
      </c>
      <c r="UOI1040" s="1337">
        <v>-56947</v>
      </c>
      <c r="UOJ1040" s="1337">
        <v>10166</v>
      </c>
      <c r="UOK1040" s="1337">
        <v>-682040</v>
      </c>
      <c r="UOL1040" s="1337">
        <v>-500959</v>
      </c>
      <c r="UOM1040" s="1337">
        <v>-121896</v>
      </c>
      <c r="UYD1040" s="1337" t="s">
        <v>843</v>
      </c>
      <c r="UYE1040" s="1337">
        <v>-56947</v>
      </c>
      <c r="UYF1040" s="1337">
        <v>10166</v>
      </c>
      <c r="UYG1040" s="1337">
        <v>-682040</v>
      </c>
      <c r="UYH1040" s="1337">
        <v>-500959</v>
      </c>
      <c r="UYI1040" s="1337">
        <v>-121896</v>
      </c>
      <c r="VHZ1040" s="1337" t="s">
        <v>843</v>
      </c>
      <c r="VIA1040" s="1337">
        <v>-56947</v>
      </c>
      <c r="VIB1040" s="1337">
        <v>10166</v>
      </c>
      <c r="VIC1040" s="1337">
        <v>-682040</v>
      </c>
      <c r="VID1040" s="1337">
        <v>-500959</v>
      </c>
      <c r="VIE1040" s="1337">
        <v>-121896</v>
      </c>
      <c r="VRV1040" s="1337" t="s">
        <v>843</v>
      </c>
      <c r="VRW1040" s="1337">
        <v>-56947</v>
      </c>
      <c r="VRX1040" s="1337">
        <v>10166</v>
      </c>
      <c r="VRY1040" s="1337">
        <v>-682040</v>
      </c>
      <c r="VRZ1040" s="1337">
        <v>-500959</v>
      </c>
      <c r="VSA1040" s="1337">
        <v>-121896</v>
      </c>
      <c r="WBR1040" s="1337" t="s">
        <v>843</v>
      </c>
      <c r="WBS1040" s="1337">
        <v>-56947</v>
      </c>
      <c r="WBT1040" s="1337">
        <v>10166</v>
      </c>
      <c r="WBU1040" s="1337">
        <v>-682040</v>
      </c>
      <c r="WBV1040" s="1337">
        <v>-500959</v>
      </c>
      <c r="WBW1040" s="1337">
        <v>-121896</v>
      </c>
      <c r="WLN1040" s="1337" t="s">
        <v>843</v>
      </c>
      <c r="WLO1040" s="1337">
        <v>-56947</v>
      </c>
      <c r="WLP1040" s="1337">
        <v>10166</v>
      </c>
      <c r="WLQ1040" s="1337">
        <v>-682040</v>
      </c>
      <c r="WLR1040" s="1337">
        <v>-500959</v>
      </c>
      <c r="WLS1040" s="1337">
        <v>-121896</v>
      </c>
      <c r="WVJ1040" s="1337" t="s">
        <v>843</v>
      </c>
      <c r="WVK1040" s="1337">
        <v>-56947</v>
      </c>
      <c r="WVL1040" s="1337">
        <v>10166</v>
      </c>
      <c r="WVM1040" s="1337">
        <v>-682040</v>
      </c>
      <c r="WVN1040" s="1337">
        <v>-500959</v>
      </c>
      <c r="WVO1040" s="1337">
        <v>-121896</v>
      </c>
    </row>
    <row r="1041" spans="1:775 1026:1799 2050:2823 3074:3847 4098:4871 5122:5895 6146:6919 7170:7943 8194:8967 9218:9991 10242:11015 11266:12039 12290:13063 13314:14087 14338:15111 15362:16135">
      <c r="A1041" s="96" t="s">
        <v>844</v>
      </c>
      <c r="C1041" s="100">
        <v>-4306466</v>
      </c>
      <c r="D1041" s="100">
        <v>-2234518</v>
      </c>
      <c r="E1041" s="100">
        <v>37555229</v>
      </c>
      <c r="F1041" s="100">
        <v>-20170534</v>
      </c>
      <c r="G1041" s="100">
        <v>4780729</v>
      </c>
      <c r="H1041" s="100"/>
      <c r="IX1041" t="s">
        <v>844</v>
      </c>
      <c r="IY1041">
        <v>-4306466</v>
      </c>
      <c r="IZ1041">
        <v>-2234518</v>
      </c>
      <c r="JA1041">
        <v>37555229</v>
      </c>
      <c r="JB1041">
        <v>-20170534</v>
      </c>
      <c r="JC1041">
        <v>4780729</v>
      </c>
      <c r="ST1041" t="s">
        <v>844</v>
      </c>
      <c r="SU1041">
        <v>-4306466</v>
      </c>
      <c r="SV1041">
        <v>-2234518</v>
      </c>
      <c r="SW1041">
        <v>37555229</v>
      </c>
      <c r="SX1041">
        <v>-20170534</v>
      </c>
      <c r="SY1041">
        <v>4780729</v>
      </c>
      <c r="ACP1041" t="s">
        <v>844</v>
      </c>
      <c r="ACQ1041">
        <v>-4306466</v>
      </c>
      <c r="ACR1041">
        <v>-2234518</v>
      </c>
      <c r="ACS1041">
        <v>37555229</v>
      </c>
      <c r="ACT1041">
        <v>-20170534</v>
      </c>
      <c r="ACU1041">
        <v>4780729</v>
      </c>
      <c r="AML1041" t="s">
        <v>844</v>
      </c>
      <c r="AMM1041">
        <v>-4306466</v>
      </c>
      <c r="AMN1041">
        <v>-2234518</v>
      </c>
      <c r="AMO1041">
        <v>37555229</v>
      </c>
      <c r="AMP1041">
        <v>-20170534</v>
      </c>
      <c r="AMQ1041">
        <v>4780729</v>
      </c>
      <c r="AWH1041" t="s">
        <v>844</v>
      </c>
      <c r="AWI1041">
        <v>-4306466</v>
      </c>
      <c r="AWJ1041">
        <v>-2234518</v>
      </c>
      <c r="AWK1041">
        <v>37555229</v>
      </c>
      <c r="AWL1041">
        <v>-20170534</v>
      </c>
      <c r="AWM1041">
        <v>4780729</v>
      </c>
      <c r="BGD1041" t="s">
        <v>844</v>
      </c>
      <c r="BGE1041">
        <v>-4306466</v>
      </c>
      <c r="BGF1041">
        <v>-2234518</v>
      </c>
      <c r="BGG1041">
        <v>37555229</v>
      </c>
      <c r="BGH1041">
        <v>-20170534</v>
      </c>
      <c r="BGI1041">
        <v>4780729</v>
      </c>
      <c r="BPZ1041" t="s">
        <v>844</v>
      </c>
      <c r="BQA1041">
        <v>-4306466</v>
      </c>
      <c r="BQB1041">
        <v>-2234518</v>
      </c>
      <c r="BQC1041">
        <v>37555229</v>
      </c>
      <c r="BQD1041">
        <v>-20170534</v>
      </c>
      <c r="BQE1041">
        <v>4780729</v>
      </c>
      <c r="BZV1041" t="s">
        <v>844</v>
      </c>
      <c r="BZW1041">
        <v>-4306466</v>
      </c>
      <c r="BZX1041">
        <v>-2234518</v>
      </c>
      <c r="BZY1041">
        <v>37555229</v>
      </c>
      <c r="BZZ1041">
        <v>-20170534</v>
      </c>
      <c r="CAA1041">
        <v>4780729</v>
      </c>
      <c r="CJR1041" t="s">
        <v>844</v>
      </c>
      <c r="CJS1041">
        <v>-4306466</v>
      </c>
      <c r="CJT1041">
        <v>-2234518</v>
      </c>
      <c r="CJU1041">
        <v>37555229</v>
      </c>
      <c r="CJV1041">
        <v>-20170534</v>
      </c>
      <c r="CJW1041">
        <v>4780729</v>
      </c>
      <c r="CTN1041" t="s">
        <v>844</v>
      </c>
      <c r="CTO1041">
        <v>-4306466</v>
      </c>
      <c r="CTP1041">
        <v>-2234518</v>
      </c>
      <c r="CTQ1041">
        <v>37555229</v>
      </c>
      <c r="CTR1041">
        <v>-20170534</v>
      </c>
      <c r="CTS1041">
        <v>4780729</v>
      </c>
      <c r="DDJ1041" t="s">
        <v>844</v>
      </c>
      <c r="DDK1041">
        <v>-4306466</v>
      </c>
      <c r="DDL1041">
        <v>-2234518</v>
      </c>
      <c r="DDM1041">
        <v>37555229</v>
      </c>
      <c r="DDN1041">
        <v>-20170534</v>
      </c>
      <c r="DDO1041">
        <v>4780729</v>
      </c>
      <c r="DNF1041" t="s">
        <v>844</v>
      </c>
      <c r="DNG1041">
        <v>-4306466</v>
      </c>
      <c r="DNH1041">
        <v>-2234518</v>
      </c>
      <c r="DNI1041">
        <v>37555229</v>
      </c>
      <c r="DNJ1041">
        <v>-20170534</v>
      </c>
      <c r="DNK1041">
        <v>4780729</v>
      </c>
      <c r="DXB1041" t="s">
        <v>844</v>
      </c>
      <c r="DXC1041">
        <v>-4306466</v>
      </c>
      <c r="DXD1041">
        <v>-2234518</v>
      </c>
      <c r="DXE1041">
        <v>37555229</v>
      </c>
      <c r="DXF1041">
        <v>-20170534</v>
      </c>
      <c r="DXG1041">
        <v>4780729</v>
      </c>
      <c r="EGX1041" t="s">
        <v>844</v>
      </c>
      <c r="EGY1041">
        <v>-4306466</v>
      </c>
      <c r="EGZ1041">
        <v>-2234518</v>
      </c>
      <c r="EHA1041">
        <v>37555229</v>
      </c>
      <c r="EHB1041">
        <v>-20170534</v>
      </c>
      <c r="EHC1041">
        <v>4780729</v>
      </c>
      <c r="EQT1041" t="s">
        <v>844</v>
      </c>
      <c r="EQU1041">
        <v>-4306466</v>
      </c>
      <c r="EQV1041">
        <v>-2234518</v>
      </c>
      <c r="EQW1041">
        <v>37555229</v>
      </c>
      <c r="EQX1041">
        <v>-20170534</v>
      </c>
      <c r="EQY1041">
        <v>4780729</v>
      </c>
      <c r="FAP1041" t="s">
        <v>844</v>
      </c>
      <c r="FAQ1041">
        <v>-4306466</v>
      </c>
      <c r="FAR1041">
        <v>-2234518</v>
      </c>
      <c r="FAS1041">
        <v>37555229</v>
      </c>
      <c r="FAT1041">
        <v>-20170534</v>
      </c>
      <c r="FAU1041">
        <v>4780729</v>
      </c>
      <c r="FKL1041" t="s">
        <v>844</v>
      </c>
      <c r="FKM1041">
        <v>-4306466</v>
      </c>
      <c r="FKN1041">
        <v>-2234518</v>
      </c>
      <c r="FKO1041">
        <v>37555229</v>
      </c>
      <c r="FKP1041">
        <v>-20170534</v>
      </c>
      <c r="FKQ1041">
        <v>4780729</v>
      </c>
      <c r="FUH1041" t="s">
        <v>844</v>
      </c>
      <c r="FUI1041">
        <v>-4306466</v>
      </c>
      <c r="FUJ1041">
        <v>-2234518</v>
      </c>
      <c r="FUK1041">
        <v>37555229</v>
      </c>
      <c r="FUL1041">
        <v>-20170534</v>
      </c>
      <c r="FUM1041">
        <v>4780729</v>
      </c>
      <c r="GED1041" t="s">
        <v>844</v>
      </c>
      <c r="GEE1041">
        <v>-4306466</v>
      </c>
      <c r="GEF1041">
        <v>-2234518</v>
      </c>
      <c r="GEG1041">
        <v>37555229</v>
      </c>
      <c r="GEH1041">
        <v>-20170534</v>
      </c>
      <c r="GEI1041">
        <v>4780729</v>
      </c>
      <c r="GNZ1041" t="s">
        <v>844</v>
      </c>
      <c r="GOA1041">
        <v>-4306466</v>
      </c>
      <c r="GOB1041">
        <v>-2234518</v>
      </c>
      <c r="GOC1041">
        <v>37555229</v>
      </c>
      <c r="GOD1041">
        <v>-20170534</v>
      </c>
      <c r="GOE1041">
        <v>4780729</v>
      </c>
      <c r="GXV1041" t="s">
        <v>844</v>
      </c>
      <c r="GXW1041">
        <v>-4306466</v>
      </c>
      <c r="GXX1041">
        <v>-2234518</v>
      </c>
      <c r="GXY1041">
        <v>37555229</v>
      </c>
      <c r="GXZ1041">
        <v>-20170534</v>
      </c>
      <c r="GYA1041">
        <v>4780729</v>
      </c>
      <c r="HHR1041" t="s">
        <v>844</v>
      </c>
      <c r="HHS1041">
        <v>-4306466</v>
      </c>
      <c r="HHT1041">
        <v>-2234518</v>
      </c>
      <c r="HHU1041">
        <v>37555229</v>
      </c>
      <c r="HHV1041">
        <v>-20170534</v>
      </c>
      <c r="HHW1041">
        <v>4780729</v>
      </c>
      <c r="HRN1041" t="s">
        <v>844</v>
      </c>
      <c r="HRO1041">
        <v>-4306466</v>
      </c>
      <c r="HRP1041">
        <v>-2234518</v>
      </c>
      <c r="HRQ1041">
        <v>37555229</v>
      </c>
      <c r="HRR1041">
        <v>-20170534</v>
      </c>
      <c r="HRS1041">
        <v>4780729</v>
      </c>
      <c r="IBJ1041" t="s">
        <v>844</v>
      </c>
      <c r="IBK1041">
        <v>-4306466</v>
      </c>
      <c r="IBL1041">
        <v>-2234518</v>
      </c>
      <c r="IBM1041">
        <v>37555229</v>
      </c>
      <c r="IBN1041">
        <v>-20170534</v>
      </c>
      <c r="IBO1041">
        <v>4780729</v>
      </c>
      <c r="ILF1041" t="s">
        <v>844</v>
      </c>
      <c r="ILG1041">
        <v>-4306466</v>
      </c>
      <c r="ILH1041">
        <v>-2234518</v>
      </c>
      <c r="ILI1041">
        <v>37555229</v>
      </c>
      <c r="ILJ1041">
        <v>-20170534</v>
      </c>
      <c r="ILK1041">
        <v>4780729</v>
      </c>
      <c r="IVB1041" t="s">
        <v>844</v>
      </c>
      <c r="IVC1041">
        <v>-4306466</v>
      </c>
      <c r="IVD1041">
        <v>-2234518</v>
      </c>
      <c r="IVE1041">
        <v>37555229</v>
      </c>
      <c r="IVF1041">
        <v>-20170534</v>
      </c>
      <c r="IVG1041">
        <v>4780729</v>
      </c>
      <c r="JEX1041" t="s">
        <v>844</v>
      </c>
      <c r="JEY1041">
        <v>-4306466</v>
      </c>
      <c r="JEZ1041">
        <v>-2234518</v>
      </c>
      <c r="JFA1041">
        <v>37555229</v>
      </c>
      <c r="JFB1041">
        <v>-20170534</v>
      </c>
      <c r="JFC1041">
        <v>4780729</v>
      </c>
      <c r="JOT1041" t="s">
        <v>844</v>
      </c>
      <c r="JOU1041">
        <v>-4306466</v>
      </c>
      <c r="JOV1041">
        <v>-2234518</v>
      </c>
      <c r="JOW1041">
        <v>37555229</v>
      </c>
      <c r="JOX1041">
        <v>-20170534</v>
      </c>
      <c r="JOY1041">
        <v>4780729</v>
      </c>
      <c r="JYP1041" t="s">
        <v>844</v>
      </c>
      <c r="JYQ1041">
        <v>-4306466</v>
      </c>
      <c r="JYR1041">
        <v>-2234518</v>
      </c>
      <c r="JYS1041">
        <v>37555229</v>
      </c>
      <c r="JYT1041">
        <v>-20170534</v>
      </c>
      <c r="JYU1041">
        <v>4780729</v>
      </c>
      <c r="KIL1041" t="s">
        <v>844</v>
      </c>
      <c r="KIM1041">
        <v>-4306466</v>
      </c>
      <c r="KIN1041">
        <v>-2234518</v>
      </c>
      <c r="KIO1041">
        <v>37555229</v>
      </c>
      <c r="KIP1041">
        <v>-20170534</v>
      </c>
      <c r="KIQ1041">
        <v>4780729</v>
      </c>
      <c r="KSH1041" t="s">
        <v>844</v>
      </c>
      <c r="KSI1041">
        <v>-4306466</v>
      </c>
      <c r="KSJ1041">
        <v>-2234518</v>
      </c>
      <c r="KSK1041">
        <v>37555229</v>
      </c>
      <c r="KSL1041">
        <v>-20170534</v>
      </c>
      <c r="KSM1041">
        <v>4780729</v>
      </c>
      <c r="LCD1041" t="s">
        <v>844</v>
      </c>
      <c r="LCE1041">
        <v>-4306466</v>
      </c>
      <c r="LCF1041">
        <v>-2234518</v>
      </c>
      <c r="LCG1041">
        <v>37555229</v>
      </c>
      <c r="LCH1041">
        <v>-20170534</v>
      </c>
      <c r="LCI1041">
        <v>4780729</v>
      </c>
      <c r="LLZ1041" t="s">
        <v>844</v>
      </c>
      <c r="LMA1041">
        <v>-4306466</v>
      </c>
      <c r="LMB1041">
        <v>-2234518</v>
      </c>
      <c r="LMC1041">
        <v>37555229</v>
      </c>
      <c r="LMD1041">
        <v>-20170534</v>
      </c>
      <c r="LME1041">
        <v>4780729</v>
      </c>
      <c r="LVV1041" t="s">
        <v>844</v>
      </c>
      <c r="LVW1041">
        <v>-4306466</v>
      </c>
      <c r="LVX1041">
        <v>-2234518</v>
      </c>
      <c r="LVY1041">
        <v>37555229</v>
      </c>
      <c r="LVZ1041">
        <v>-20170534</v>
      </c>
      <c r="LWA1041">
        <v>4780729</v>
      </c>
      <c r="MFR1041" t="s">
        <v>844</v>
      </c>
      <c r="MFS1041">
        <v>-4306466</v>
      </c>
      <c r="MFT1041">
        <v>-2234518</v>
      </c>
      <c r="MFU1041">
        <v>37555229</v>
      </c>
      <c r="MFV1041">
        <v>-20170534</v>
      </c>
      <c r="MFW1041">
        <v>4780729</v>
      </c>
      <c r="MPN1041" t="s">
        <v>844</v>
      </c>
      <c r="MPO1041">
        <v>-4306466</v>
      </c>
      <c r="MPP1041">
        <v>-2234518</v>
      </c>
      <c r="MPQ1041">
        <v>37555229</v>
      </c>
      <c r="MPR1041">
        <v>-20170534</v>
      </c>
      <c r="MPS1041">
        <v>4780729</v>
      </c>
      <c r="MZJ1041" t="s">
        <v>844</v>
      </c>
      <c r="MZK1041">
        <v>-4306466</v>
      </c>
      <c r="MZL1041">
        <v>-2234518</v>
      </c>
      <c r="MZM1041">
        <v>37555229</v>
      </c>
      <c r="MZN1041">
        <v>-20170534</v>
      </c>
      <c r="MZO1041">
        <v>4780729</v>
      </c>
      <c r="NJF1041" t="s">
        <v>844</v>
      </c>
      <c r="NJG1041">
        <v>-4306466</v>
      </c>
      <c r="NJH1041">
        <v>-2234518</v>
      </c>
      <c r="NJI1041">
        <v>37555229</v>
      </c>
      <c r="NJJ1041">
        <v>-20170534</v>
      </c>
      <c r="NJK1041">
        <v>4780729</v>
      </c>
      <c r="NTB1041" t="s">
        <v>844</v>
      </c>
      <c r="NTC1041">
        <v>-4306466</v>
      </c>
      <c r="NTD1041">
        <v>-2234518</v>
      </c>
      <c r="NTE1041">
        <v>37555229</v>
      </c>
      <c r="NTF1041">
        <v>-20170534</v>
      </c>
      <c r="NTG1041">
        <v>4780729</v>
      </c>
      <c r="OCX1041" t="s">
        <v>844</v>
      </c>
      <c r="OCY1041">
        <v>-4306466</v>
      </c>
      <c r="OCZ1041">
        <v>-2234518</v>
      </c>
      <c r="ODA1041">
        <v>37555229</v>
      </c>
      <c r="ODB1041">
        <v>-20170534</v>
      </c>
      <c r="ODC1041">
        <v>4780729</v>
      </c>
      <c r="OMT1041" t="s">
        <v>844</v>
      </c>
      <c r="OMU1041">
        <v>-4306466</v>
      </c>
      <c r="OMV1041">
        <v>-2234518</v>
      </c>
      <c r="OMW1041">
        <v>37555229</v>
      </c>
      <c r="OMX1041">
        <v>-20170534</v>
      </c>
      <c r="OMY1041">
        <v>4780729</v>
      </c>
      <c r="OWP1041" t="s">
        <v>844</v>
      </c>
      <c r="OWQ1041">
        <v>-4306466</v>
      </c>
      <c r="OWR1041">
        <v>-2234518</v>
      </c>
      <c r="OWS1041">
        <v>37555229</v>
      </c>
      <c r="OWT1041">
        <v>-20170534</v>
      </c>
      <c r="OWU1041">
        <v>4780729</v>
      </c>
      <c r="PGL1041" t="s">
        <v>844</v>
      </c>
      <c r="PGM1041">
        <v>-4306466</v>
      </c>
      <c r="PGN1041">
        <v>-2234518</v>
      </c>
      <c r="PGO1041">
        <v>37555229</v>
      </c>
      <c r="PGP1041">
        <v>-20170534</v>
      </c>
      <c r="PGQ1041">
        <v>4780729</v>
      </c>
      <c r="PQH1041" t="s">
        <v>844</v>
      </c>
      <c r="PQI1041">
        <v>-4306466</v>
      </c>
      <c r="PQJ1041">
        <v>-2234518</v>
      </c>
      <c r="PQK1041">
        <v>37555229</v>
      </c>
      <c r="PQL1041">
        <v>-20170534</v>
      </c>
      <c r="PQM1041">
        <v>4780729</v>
      </c>
      <c r="QAD1041" t="s">
        <v>844</v>
      </c>
      <c r="QAE1041">
        <v>-4306466</v>
      </c>
      <c r="QAF1041">
        <v>-2234518</v>
      </c>
      <c r="QAG1041">
        <v>37555229</v>
      </c>
      <c r="QAH1041">
        <v>-20170534</v>
      </c>
      <c r="QAI1041">
        <v>4780729</v>
      </c>
      <c r="QJZ1041" t="s">
        <v>844</v>
      </c>
      <c r="QKA1041">
        <v>-4306466</v>
      </c>
      <c r="QKB1041">
        <v>-2234518</v>
      </c>
      <c r="QKC1041">
        <v>37555229</v>
      </c>
      <c r="QKD1041">
        <v>-20170534</v>
      </c>
      <c r="QKE1041">
        <v>4780729</v>
      </c>
      <c r="QTV1041" t="s">
        <v>844</v>
      </c>
      <c r="QTW1041">
        <v>-4306466</v>
      </c>
      <c r="QTX1041">
        <v>-2234518</v>
      </c>
      <c r="QTY1041">
        <v>37555229</v>
      </c>
      <c r="QTZ1041">
        <v>-20170534</v>
      </c>
      <c r="QUA1041">
        <v>4780729</v>
      </c>
      <c r="RDR1041" t="s">
        <v>844</v>
      </c>
      <c r="RDS1041">
        <v>-4306466</v>
      </c>
      <c r="RDT1041">
        <v>-2234518</v>
      </c>
      <c r="RDU1041">
        <v>37555229</v>
      </c>
      <c r="RDV1041">
        <v>-20170534</v>
      </c>
      <c r="RDW1041">
        <v>4780729</v>
      </c>
      <c r="RNN1041" t="s">
        <v>844</v>
      </c>
      <c r="RNO1041">
        <v>-4306466</v>
      </c>
      <c r="RNP1041">
        <v>-2234518</v>
      </c>
      <c r="RNQ1041">
        <v>37555229</v>
      </c>
      <c r="RNR1041">
        <v>-20170534</v>
      </c>
      <c r="RNS1041">
        <v>4780729</v>
      </c>
      <c r="RXJ1041" t="s">
        <v>844</v>
      </c>
      <c r="RXK1041">
        <v>-4306466</v>
      </c>
      <c r="RXL1041">
        <v>-2234518</v>
      </c>
      <c r="RXM1041">
        <v>37555229</v>
      </c>
      <c r="RXN1041">
        <v>-20170534</v>
      </c>
      <c r="RXO1041">
        <v>4780729</v>
      </c>
      <c r="SHF1041" t="s">
        <v>844</v>
      </c>
      <c r="SHG1041">
        <v>-4306466</v>
      </c>
      <c r="SHH1041">
        <v>-2234518</v>
      </c>
      <c r="SHI1041">
        <v>37555229</v>
      </c>
      <c r="SHJ1041">
        <v>-20170534</v>
      </c>
      <c r="SHK1041">
        <v>4780729</v>
      </c>
      <c r="SRB1041" t="s">
        <v>844</v>
      </c>
      <c r="SRC1041">
        <v>-4306466</v>
      </c>
      <c r="SRD1041">
        <v>-2234518</v>
      </c>
      <c r="SRE1041">
        <v>37555229</v>
      </c>
      <c r="SRF1041">
        <v>-20170534</v>
      </c>
      <c r="SRG1041">
        <v>4780729</v>
      </c>
      <c r="TAX1041" t="s">
        <v>844</v>
      </c>
      <c r="TAY1041">
        <v>-4306466</v>
      </c>
      <c r="TAZ1041">
        <v>-2234518</v>
      </c>
      <c r="TBA1041">
        <v>37555229</v>
      </c>
      <c r="TBB1041">
        <v>-20170534</v>
      </c>
      <c r="TBC1041">
        <v>4780729</v>
      </c>
      <c r="TKT1041" t="s">
        <v>844</v>
      </c>
      <c r="TKU1041">
        <v>-4306466</v>
      </c>
      <c r="TKV1041">
        <v>-2234518</v>
      </c>
      <c r="TKW1041">
        <v>37555229</v>
      </c>
      <c r="TKX1041">
        <v>-20170534</v>
      </c>
      <c r="TKY1041">
        <v>4780729</v>
      </c>
      <c r="TUP1041" t="s">
        <v>844</v>
      </c>
      <c r="TUQ1041">
        <v>-4306466</v>
      </c>
      <c r="TUR1041">
        <v>-2234518</v>
      </c>
      <c r="TUS1041">
        <v>37555229</v>
      </c>
      <c r="TUT1041">
        <v>-20170534</v>
      </c>
      <c r="TUU1041">
        <v>4780729</v>
      </c>
      <c r="UEL1041" t="s">
        <v>844</v>
      </c>
      <c r="UEM1041">
        <v>-4306466</v>
      </c>
      <c r="UEN1041">
        <v>-2234518</v>
      </c>
      <c r="UEO1041">
        <v>37555229</v>
      </c>
      <c r="UEP1041">
        <v>-20170534</v>
      </c>
      <c r="UEQ1041">
        <v>4780729</v>
      </c>
      <c r="UOH1041" t="s">
        <v>844</v>
      </c>
      <c r="UOI1041">
        <v>-4306466</v>
      </c>
      <c r="UOJ1041">
        <v>-2234518</v>
      </c>
      <c r="UOK1041">
        <v>37555229</v>
      </c>
      <c r="UOL1041">
        <v>-20170534</v>
      </c>
      <c r="UOM1041">
        <v>4780729</v>
      </c>
      <c r="UYD1041" t="s">
        <v>844</v>
      </c>
      <c r="UYE1041">
        <v>-4306466</v>
      </c>
      <c r="UYF1041">
        <v>-2234518</v>
      </c>
      <c r="UYG1041">
        <v>37555229</v>
      </c>
      <c r="UYH1041">
        <v>-20170534</v>
      </c>
      <c r="UYI1041">
        <v>4780729</v>
      </c>
      <c r="VHZ1041" t="s">
        <v>844</v>
      </c>
      <c r="VIA1041">
        <v>-4306466</v>
      </c>
      <c r="VIB1041">
        <v>-2234518</v>
      </c>
      <c r="VIC1041">
        <v>37555229</v>
      </c>
      <c r="VID1041">
        <v>-20170534</v>
      </c>
      <c r="VIE1041">
        <v>4780729</v>
      </c>
      <c r="VRV1041" t="s">
        <v>844</v>
      </c>
      <c r="VRW1041">
        <v>-4306466</v>
      </c>
      <c r="VRX1041">
        <v>-2234518</v>
      </c>
      <c r="VRY1041">
        <v>37555229</v>
      </c>
      <c r="VRZ1041">
        <v>-20170534</v>
      </c>
      <c r="VSA1041">
        <v>4780729</v>
      </c>
      <c r="WBR1041" t="s">
        <v>844</v>
      </c>
      <c r="WBS1041">
        <v>-4306466</v>
      </c>
      <c r="WBT1041">
        <v>-2234518</v>
      </c>
      <c r="WBU1041">
        <v>37555229</v>
      </c>
      <c r="WBV1041">
        <v>-20170534</v>
      </c>
      <c r="WBW1041">
        <v>4780729</v>
      </c>
      <c r="WLN1041" t="s">
        <v>844</v>
      </c>
      <c r="WLO1041">
        <v>-4306466</v>
      </c>
      <c r="WLP1041">
        <v>-2234518</v>
      </c>
      <c r="WLQ1041">
        <v>37555229</v>
      </c>
      <c r="WLR1041">
        <v>-20170534</v>
      </c>
      <c r="WLS1041">
        <v>4780729</v>
      </c>
      <c r="WVJ1041" t="s">
        <v>844</v>
      </c>
      <c r="WVK1041">
        <v>-4306466</v>
      </c>
      <c r="WVL1041">
        <v>-2234518</v>
      </c>
      <c r="WVM1041">
        <v>37555229</v>
      </c>
      <c r="WVN1041">
        <v>-20170534</v>
      </c>
      <c r="WVO1041">
        <v>4780729</v>
      </c>
    </row>
  </sheetData>
  <protectedRanges>
    <protectedRange sqref="A1:XFD108 I193:J193 I241:J241 I330:J330" name="tesla IS and BS"/>
  </protectedRanges>
  <mergeCells count="15">
    <mergeCell ref="A963:B963"/>
    <mergeCell ref="A648:N648"/>
    <mergeCell ref="A563:N563"/>
    <mergeCell ref="A418:N418"/>
    <mergeCell ref="A329:N329"/>
    <mergeCell ref="A487:N487"/>
    <mergeCell ref="A777:N777"/>
    <mergeCell ref="A701:N701"/>
    <mergeCell ref="A954:M954"/>
    <mergeCell ref="A961:A962"/>
    <mergeCell ref="A240:N240"/>
    <mergeCell ref="A1:N1"/>
    <mergeCell ref="A38:N38"/>
    <mergeCell ref="A109:N109"/>
    <mergeCell ref="A192:N192"/>
  </mergeCells>
  <phoneticPr fontId="4" type="noConversion"/>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3B67F-BBC8-494B-8B62-8760BA3E282B}">
  <dimension ref="A1:O74"/>
  <sheetViews>
    <sheetView zoomScale="144" workbookViewId="0">
      <pane ySplit="1" topLeftCell="A50" activePane="bottomLeft" state="frozen"/>
      <selection pane="bottomLeft" activeCell="I63" sqref="I63"/>
    </sheetView>
  </sheetViews>
  <sheetFormatPr defaultColWidth="8.83203125" defaultRowHeight="14.25" customHeight="1"/>
  <cols>
    <col min="1" max="1" width="15.1640625" customWidth="1"/>
    <col min="2" max="2" width="25.83203125" bestFit="1" customWidth="1"/>
    <col min="6" max="6" width="9.83203125" customWidth="1"/>
    <col min="7" max="8" width="10.1640625" customWidth="1"/>
    <col min="9" max="9" width="11.75" bestFit="1" customWidth="1"/>
    <col min="13" max="13" width="9.75" bestFit="1" customWidth="1"/>
    <col min="14" max="14" width="9" bestFit="1" customWidth="1"/>
  </cols>
  <sheetData>
    <row r="1" spans="1:15" s="39" customFormat="1" ht="14">
      <c r="D1" s="55">
        <v>2021</v>
      </c>
      <c r="E1" s="351">
        <v>2022</v>
      </c>
      <c r="F1" s="351" t="s">
        <v>11</v>
      </c>
      <c r="G1" s="351" t="s">
        <v>12</v>
      </c>
      <c r="H1" s="351" t="s">
        <v>13</v>
      </c>
      <c r="I1" s="58" t="s">
        <v>1407</v>
      </c>
      <c r="J1" s="58" t="s">
        <v>1408</v>
      </c>
    </row>
    <row r="2" spans="1:15" s="290" customFormat="1" ht="15.5">
      <c r="A2" s="292" t="s">
        <v>1409</v>
      </c>
      <c r="B2" s="293" t="s">
        <v>1410</v>
      </c>
      <c r="D2" s="1573">
        <v>182.63</v>
      </c>
      <c r="J2" s="290" t="s">
        <v>1411</v>
      </c>
    </row>
    <row r="3" spans="1:15" s="39" customFormat="1" ht="14">
      <c r="B3" s="39" t="s">
        <v>582</v>
      </c>
      <c r="D3" s="89">
        <f>'Earning Forecast'!G65</f>
        <v>1.6293788012990846</v>
      </c>
      <c r="E3" s="89">
        <f>'Earning Forecast'!H65</f>
        <v>3.6277814541164726</v>
      </c>
      <c r="F3" s="89">
        <f>'Earning Forecast'!I65</f>
        <v>2.9196599769271137</v>
      </c>
      <c r="G3" s="89">
        <f>'Earning Forecast'!J65</f>
        <v>3.8918087120229705</v>
      </c>
      <c r="H3" s="89">
        <f>'Earning Forecast'!K65</f>
        <v>5.1788683664585013</v>
      </c>
    </row>
    <row r="4" spans="1:15" s="39" customFormat="1" ht="14">
      <c r="B4" s="39" t="s">
        <v>1412</v>
      </c>
      <c r="D4" s="88">
        <f>$D2/D3</f>
        <v>112.08566102271077</v>
      </c>
      <c r="E4" s="88">
        <f>$D2/E3</f>
        <v>50.342062307190055</v>
      </c>
      <c r="F4" s="88">
        <f>$D2/F3</f>
        <v>62.551804471496908</v>
      </c>
      <c r="G4" s="88">
        <f>$D2/G3</f>
        <v>46.926766836150207</v>
      </c>
      <c r="H4" s="88">
        <f>$D2/H3</f>
        <v>35.26446070396824</v>
      </c>
    </row>
    <row r="5" spans="1:15" s="39" customFormat="1" ht="15.5">
      <c r="B5" s="39" t="s">
        <v>1413</v>
      </c>
      <c r="D5" s="619">
        <v>0.25</v>
      </c>
      <c r="E5" s="619">
        <v>0.25</v>
      </c>
      <c r="F5" s="619">
        <v>0.25</v>
      </c>
      <c r="G5" s="619">
        <v>0.25</v>
      </c>
      <c r="H5" s="619">
        <v>0.25</v>
      </c>
    </row>
    <row r="6" spans="1:15" s="39" customFormat="1" ht="15.5">
      <c r="B6" s="39" t="s">
        <v>1414</v>
      </c>
      <c r="D6" s="619">
        <v>0.1</v>
      </c>
      <c r="E6" s="619">
        <v>0.1</v>
      </c>
      <c r="F6" s="619">
        <v>0.1</v>
      </c>
      <c r="G6" s="619">
        <v>0.1</v>
      </c>
      <c r="H6" s="619">
        <v>0.1</v>
      </c>
    </row>
    <row r="7" spans="1:15" s="39" customFormat="1" ht="15">
      <c r="B7" s="39" t="s">
        <v>1415</v>
      </c>
      <c r="D7" s="56"/>
      <c r="E7" s="88">
        <f>E9/E3</f>
        <v>36.009826609170055</v>
      </c>
      <c r="F7" s="88">
        <f>F9/F3</f>
        <v>49.217840566423604</v>
      </c>
      <c r="G7" s="88">
        <f>G9/G3</f>
        <v>40.615895300686198</v>
      </c>
      <c r="H7" s="620">
        <f>H11*H19+H12*H20+H13*H21+H14*H22</f>
        <v>33.574173427873511</v>
      </c>
    </row>
    <row r="8" spans="1:15" s="39" customFormat="1" ht="14">
      <c r="B8" s="39" t="s">
        <v>1416</v>
      </c>
      <c r="D8" s="88">
        <f t="shared" ref="D8:E8" si="0">E8/(1+D5)</f>
        <v>71.219701635320106</v>
      </c>
      <c r="E8" s="88">
        <f t="shared" si="0"/>
        <v>89.024627044150137</v>
      </c>
      <c r="F8" s="88">
        <f>G8/(1+F5)</f>
        <v>111.28078380518767</v>
      </c>
      <c r="G8" s="88">
        <f>H8/(1+G5)</f>
        <v>139.10097975648458</v>
      </c>
      <c r="H8" s="88">
        <f>H3*H7</f>
        <v>173.87622469560571</v>
      </c>
      <c r="J8" s="58" t="s">
        <v>1417</v>
      </c>
      <c r="L8" s="88"/>
      <c r="M8" s="88"/>
      <c r="N8" s="88"/>
    </row>
    <row r="9" spans="1:15" s="58" customFormat="1" ht="14">
      <c r="B9" s="58" t="s">
        <v>1418</v>
      </c>
      <c r="D9" s="352">
        <f>E9/(1+D6)</f>
        <v>118.75980103517907</v>
      </c>
      <c r="E9" s="352">
        <f>F9/(1+E6)</f>
        <v>130.63578113869698</v>
      </c>
      <c r="F9" s="352">
        <f>G9/(1+F6)</f>
        <v>143.69935925256669</v>
      </c>
      <c r="G9" s="352">
        <f>H9/(1+G6)</f>
        <v>158.06929517782336</v>
      </c>
      <c r="H9" s="352">
        <f>H8</f>
        <v>173.87622469560571</v>
      </c>
      <c r="I9" s="352">
        <f>H9*(1+H6)</f>
        <v>191.26384716516631</v>
      </c>
      <c r="J9" s="58" t="s">
        <v>1419</v>
      </c>
      <c r="L9" s="1185"/>
      <c r="M9" s="1185"/>
      <c r="N9" s="1185"/>
      <c r="O9" s="39"/>
    </row>
    <row r="10" spans="1:15" s="58" customFormat="1" ht="15">
      <c r="B10" s="58" t="s">
        <v>1420</v>
      </c>
      <c r="E10" s="621">
        <f>(E9-$D2)/$D2</f>
        <v>-0.28469703149155678</v>
      </c>
      <c r="F10" s="621">
        <f>(F9-$D2)/$D2</f>
        <v>-0.21316673464071237</v>
      </c>
      <c r="G10" s="621">
        <f>(G9-$D2)/$D2</f>
        <v>-0.13448340810478362</v>
      </c>
      <c r="H10" s="621">
        <f>(H9-$D2)/$D2</f>
        <v>-4.7931748915261904E-2</v>
      </c>
    </row>
    <row r="11" spans="1:15" s="39" customFormat="1" ht="14">
      <c r="A11" s="39" t="s">
        <v>1421</v>
      </c>
      <c r="B11" s="39" t="s">
        <v>1422</v>
      </c>
      <c r="D11" s="92">
        <f>'Earning Forecast'!G10</f>
        <v>1.0170720231626964</v>
      </c>
      <c r="E11" s="92">
        <f>'Earning Forecast'!H10</f>
        <v>0.97612959806985733</v>
      </c>
      <c r="F11" s="92">
        <f>'Earning Forecast'!I10</f>
        <v>0.8436740534879017</v>
      </c>
      <c r="G11" s="92">
        <f>'Earning Forecast'!J10</f>
        <v>0.78324246346717519</v>
      </c>
      <c r="H11" s="92">
        <f>'Earning Forecast'!K10</f>
        <v>0.75908756034922387</v>
      </c>
      <c r="J11" s="57"/>
    </row>
    <row r="12" spans="1:15" s="39" customFormat="1" ht="14">
      <c r="B12" s="39" t="s">
        <v>1423</v>
      </c>
      <c r="D12" s="92">
        <f>'Earning Forecast'!G18</f>
        <v>-7.6432900071479459E-3</v>
      </c>
      <c r="E12" s="92">
        <f>'Earning Forecast'!H18</f>
        <v>1.0093496607735657E-2</v>
      </c>
      <c r="F12" s="92">
        <f>'Earning Forecast'!I18</f>
        <v>3.194888604471096E-2</v>
      </c>
      <c r="G12" s="92">
        <f>'Earning Forecast'!J18</f>
        <v>4.733976138608488E-2</v>
      </c>
      <c r="H12" s="92">
        <f>'Earning Forecast'!K18</f>
        <v>5.8464088519417111E-2</v>
      </c>
      <c r="J12" s="57"/>
    </row>
    <row r="13" spans="1:15" s="39" customFormat="1" ht="14">
      <c r="B13" s="39" t="s">
        <v>1424</v>
      </c>
      <c r="D13" s="92">
        <f>'Earning Forecast'!G25</f>
        <v>-9.4287331555484473E-3</v>
      </c>
      <c r="E13" s="92">
        <f>'Earning Forecast'!H25</f>
        <v>1.3776905322406965E-2</v>
      </c>
      <c r="F13" s="92">
        <f>'Earning Forecast'!I25</f>
        <v>1.1833147869095071E-2</v>
      </c>
      <c r="G13" s="92">
        <f>'Earning Forecast'!J25</f>
        <v>6.5865177540351868E-3</v>
      </c>
      <c r="H13" s="92">
        <f>'Earning Forecast'!K25</f>
        <v>8.6562558232683266E-3</v>
      </c>
      <c r="J13" s="57"/>
    </row>
    <row r="14" spans="1:15" s="39" customFormat="1" ht="14">
      <c r="B14" s="39" t="s">
        <v>1425</v>
      </c>
      <c r="D14" s="92"/>
      <c r="E14" s="92"/>
      <c r="F14" s="1184">
        <f>'Earning Forecast'!I32</f>
        <v>0.21109485464393404</v>
      </c>
      <c r="G14" s="1184">
        <f>'Earning Forecast'!J32</f>
        <v>0.2781182783715444</v>
      </c>
      <c r="H14" s="1184">
        <f>'Earning Forecast'!K32</f>
        <v>0.27026113515837391</v>
      </c>
      <c r="J14" s="57"/>
    </row>
    <row r="15" spans="1:15" s="39" customFormat="1" ht="14">
      <c r="A15" s="39" t="s">
        <v>582</v>
      </c>
      <c r="B15" s="39" t="s">
        <v>1422</v>
      </c>
      <c r="D15" s="88">
        <f>D$3*D11</f>
        <v>1.6571955939356691</v>
      </c>
      <c r="E15" s="88">
        <f>E$3*E11</f>
        <v>3.5411848526919951</v>
      </c>
      <c r="F15" s="88">
        <f>F$3*F11</f>
        <v>2.4632413675404914</v>
      </c>
      <c r="G15" s="88">
        <f>G$3*G11</f>
        <v>3.0482298429478858</v>
      </c>
      <c r="H15" s="88">
        <f>H$3*H11</f>
        <v>3.9312145536647543</v>
      </c>
      <c r="J15" s="57"/>
    </row>
    <row r="16" spans="1:15" s="39" customFormat="1" ht="14">
      <c r="B16" s="39" t="s">
        <v>1423</v>
      </c>
      <c r="D16" s="88">
        <f t="shared" ref="D16:G17" si="1">D$3*D12</f>
        <v>-1.2453814709827992E-2</v>
      </c>
      <c r="E16" s="88">
        <f>E$3*E12</f>
        <v>3.6616999800730944E-2</v>
      </c>
      <c r="F16" s="88">
        <f>F$3*F12</f>
        <v>9.327988389214778E-2</v>
      </c>
      <c r="G16" s="88">
        <f t="shared" si="1"/>
        <v>0.18423729578745376</v>
      </c>
      <c r="H16" s="88">
        <f>H$3*H12</f>
        <v>0.3027778186070389</v>
      </c>
      <c r="J16" s="57"/>
    </row>
    <row r="17" spans="1:14" s="39" customFormat="1" ht="14">
      <c r="B17" s="39" t="s">
        <v>1424</v>
      </c>
      <c r="D17" s="88">
        <f t="shared" si="1"/>
        <v>-1.5362977926756465E-2</v>
      </c>
      <c r="E17" s="88">
        <f t="shared" si="1"/>
        <v>4.9979601623746511E-2</v>
      </c>
      <c r="F17" s="88">
        <f t="shared" si="1"/>
        <v>3.4548768234457239E-2</v>
      </c>
      <c r="G17" s="88">
        <f t="shared" si="1"/>
        <v>2.5633467177048109E-2</v>
      </c>
      <c r="H17" s="88">
        <f t="shared" ref="H17:H18" si="2">H$3*H13</f>
        <v>4.4829609455096529E-2</v>
      </c>
      <c r="J17" s="57"/>
    </row>
    <row r="18" spans="1:14" s="39" customFormat="1" ht="14">
      <c r="B18" s="39" t="s">
        <v>1425</v>
      </c>
      <c r="D18" s="88"/>
      <c r="E18" s="88"/>
      <c r="F18" s="1023">
        <f>F$3*F14</f>
        <v>0.61632519843914091</v>
      </c>
      <c r="G18" s="1023">
        <f>G$3*G14</f>
        <v>1.0823831387392062</v>
      </c>
      <c r="H18" s="1023">
        <f t="shared" si="2"/>
        <v>1.3996468435548681</v>
      </c>
      <c r="J18" s="57"/>
    </row>
    <row r="19" spans="1:14" s="39" customFormat="1" ht="15.5">
      <c r="A19" s="39" t="s">
        <v>1415</v>
      </c>
      <c r="B19" s="39" t="s">
        <v>1422</v>
      </c>
      <c r="D19" s="56"/>
      <c r="E19" s="622"/>
      <c r="F19" s="95">
        <v>25</v>
      </c>
      <c r="G19" s="95">
        <v>25</v>
      </c>
      <c r="H19" s="95">
        <f>25+5</f>
        <v>30</v>
      </c>
      <c r="J19" s="57" t="s">
        <v>1426</v>
      </c>
    </row>
    <row r="20" spans="1:14" s="39" customFormat="1" ht="15.5">
      <c r="B20" s="39" t="s">
        <v>1423</v>
      </c>
      <c r="D20" s="56"/>
      <c r="E20" s="622"/>
      <c r="F20" s="95">
        <v>15</v>
      </c>
      <c r="G20" s="95">
        <v>15</v>
      </c>
      <c r="H20" s="95">
        <f>15+5</f>
        <v>20</v>
      </c>
      <c r="I20" s="93"/>
      <c r="J20" s="57" t="s">
        <v>1427</v>
      </c>
      <c r="N20" s="39" t="s">
        <v>1428</v>
      </c>
    </row>
    <row r="21" spans="1:14" s="39" customFormat="1" ht="15.5">
      <c r="B21" s="39" t="s">
        <v>1424</v>
      </c>
      <c r="D21" s="56"/>
      <c r="E21" s="622"/>
      <c r="F21" s="95">
        <v>15</v>
      </c>
      <c r="G21" s="95">
        <v>15</v>
      </c>
      <c r="H21" s="95">
        <f>15+5</f>
        <v>20</v>
      </c>
      <c r="I21" s="93"/>
      <c r="J21" s="57" t="s">
        <v>1429</v>
      </c>
    </row>
    <row r="22" spans="1:14" s="39" customFormat="1" ht="15.5">
      <c r="B22" s="39" t="s">
        <v>1425</v>
      </c>
      <c r="D22" s="56"/>
      <c r="E22" s="622"/>
      <c r="F22" s="95">
        <v>30</v>
      </c>
      <c r="G22" s="95">
        <f>H22</f>
        <v>35</v>
      </c>
      <c r="H22" s="95">
        <f>30+5</f>
        <v>35</v>
      </c>
      <c r="I22" s="93"/>
      <c r="J22" s="57"/>
    </row>
    <row r="24" spans="1:14" s="291" customFormat="1" ht="15.5">
      <c r="A24" s="292" t="s">
        <v>1430</v>
      </c>
      <c r="B24" s="293" t="s">
        <v>1410</v>
      </c>
      <c r="C24" s="290"/>
      <c r="D24" s="294">
        <v>244</v>
      </c>
      <c r="E24" s="290"/>
      <c r="F24" s="290"/>
      <c r="G24" s="290"/>
      <c r="H24" s="290"/>
      <c r="I24" s="290"/>
    </row>
    <row r="25" spans="1:14" ht="14">
      <c r="A25" s="39"/>
      <c r="B25" s="39" t="s">
        <v>1431</v>
      </c>
      <c r="C25" s="39"/>
      <c r="D25" s="89">
        <f>'Earning Forecast'!G152/0.92</f>
        <v>1.1370059651902134</v>
      </c>
      <c r="E25" s="89">
        <f>'Earning Forecast'!H152/0.92</f>
        <v>6.2064550799701736</v>
      </c>
      <c r="F25" s="89">
        <f>'Earning Forecast'!I152/0.92</f>
        <v>11.715706707473776</v>
      </c>
      <c r="G25" s="89">
        <f>'Earning Forecast'!J152/0.92</f>
        <v>15.917833985127077</v>
      </c>
      <c r="H25" s="89">
        <f>'Earning Forecast'!K152/0.92</f>
        <v>18.824534660605</v>
      </c>
      <c r="I25" s="39"/>
    </row>
    <row r="26" spans="1:14" ht="14">
      <c r="A26" s="39"/>
      <c r="B26" s="39" t="s">
        <v>1412</v>
      </c>
      <c r="C26" s="39"/>
      <c r="D26" s="88">
        <f>$D24/D25</f>
        <v>214.59869822158802</v>
      </c>
      <c r="E26" s="88">
        <f>$D24/E25</f>
        <v>39.313907352274363</v>
      </c>
      <c r="F26" s="88">
        <f>$D24/F25</f>
        <v>20.826741919405134</v>
      </c>
      <c r="G26" s="88">
        <f>$D24/G25</f>
        <v>15.328718733213504</v>
      </c>
      <c r="H26" s="88">
        <f>$D24/H25</f>
        <v>12.961807789630541</v>
      </c>
      <c r="I26" s="39" t="s">
        <v>1432</v>
      </c>
    </row>
    <row r="27" spans="1:14" ht="15.5">
      <c r="A27" s="39"/>
      <c r="B27" s="39" t="s">
        <v>1413</v>
      </c>
      <c r="C27" s="39"/>
      <c r="D27" s="94">
        <v>0.25</v>
      </c>
      <c r="E27" s="94">
        <v>0.25</v>
      </c>
      <c r="F27" s="94">
        <v>0.25</v>
      </c>
      <c r="G27" s="94">
        <v>0.25</v>
      </c>
      <c r="H27" s="94">
        <v>0.25</v>
      </c>
      <c r="I27" s="39"/>
    </row>
    <row r="28" spans="1:14" ht="15.5">
      <c r="A28" s="39"/>
      <c r="B28" s="39" t="s">
        <v>1414</v>
      </c>
      <c r="C28" s="39"/>
      <c r="D28" s="94">
        <v>0.1</v>
      </c>
      <c r="E28" s="94">
        <v>0.1</v>
      </c>
      <c r="F28" s="94">
        <v>0.1</v>
      </c>
      <c r="G28" s="94">
        <v>0.1</v>
      </c>
      <c r="H28" s="94">
        <v>0.1</v>
      </c>
      <c r="I28" s="39"/>
    </row>
    <row r="29" spans="1:14" ht="15">
      <c r="A29" s="39"/>
      <c r="B29" s="39" t="s">
        <v>1415</v>
      </c>
      <c r="C29" s="39"/>
      <c r="D29" s="56"/>
      <c r="E29" s="88">
        <f>E31/E25</f>
        <v>44.967050078610626</v>
      </c>
      <c r="F29" s="88">
        <f>F31/F25</f>
        <v>26.203675262286342</v>
      </c>
      <c r="G29" s="88">
        <f>G31/G25</f>
        <v>21.214823056292868</v>
      </c>
      <c r="H29" s="620">
        <f>H33*H39+H34*H40+H35*H41</f>
        <v>19.732941146996158</v>
      </c>
      <c r="I29" s="39" t="s">
        <v>1433</v>
      </c>
    </row>
    <row r="30" spans="1:14" ht="14">
      <c r="A30" s="39"/>
      <c r="B30" s="39" t="s">
        <v>1416</v>
      </c>
      <c r="C30" s="39"/>
      <c r="D30" s="88">
        <f>E30/(1+D27)</f>
        <v>152.15142280286523</v>
      </c>
      <c r="E30" s="88">
        <f>F30/(1+E27)</f>
        <v>190.18927850358153</v>
      </c>
      <c r="F30" s="88">
        <f>G30/(1+F27)</f>
        <v>237.73659812947693</v>
      </c>
      <c r="G30" s="88">
        <f>H30/(1+G27)</f>
        <v>297.17074766184618</v>
      </c>
      <c r="H30" s="88">
        <f>H25*H29</f>
        <v>371.46343457730774</v>
      </c>
      <c r="I30" s="39" t="s">
        <v>1434</v>
      </c>
    </row>
    <row r="31" spans="1:14" s="64" customFormat="1" ht="14">
      <c r="A31" s="58"/>
      <c r="B31" s="58" t="s">
        <v>1418</v>
      </c>
      <c r="C31" s="58"/>
      <c r="D31" s="352">
        <f>E31/(1+D28)</f>
        <v>253.71452399242372</v>
      </c>
      <c r="E31" s="352">
        <f t="shared" ref="E31" si="3">F31/(1+E28)</f>
        <v>279.08597639166612</v>
      </c>
      <c r="F31" s="88">
        <f>G31/(1+F28)</f>
        <v>306.99457403083278</v>
      </c>
      <c r="G31" s="88">
        <f>H31/(1+G28)</f>
        <v>337.69403143391611</v>
      </c>
      <c r="H31" s="352">
        <f>H30</f>
        <v>371.46343457730774</v>
      </c>
      <c r="I31" s="39" t="s">
        <v>1435</v>
      </c>
    </row>
    <row r="32" spans="1:14" s="64" customFormat="1" ht="15">
      <c r="A32" s="58"/>
      <c r="B32" s="58" t="s">
        <v>1420</v>
      </c>
      <c r="C32" s="58"/>
      <c r="D32" s="58"/>
      <c r="E32" s="91">
        <f>(E31-$D24)/$D24</f>
        <v>0.14379498521174641</v>
      </c>
      <c r="F32" s="91">
        <f>(F31-$D24)/$D24</f>
        <v>0.25817448373292123</v>
      </c>
      <c r="G32" s="91">
        <f>(G31-$D24)/$D24</f>
        <v>0.38399193210621357</v>
      </c>
      <c r="H32" s="91">
        <f>(H31-$D24)/$D24</f>
        <v>0.52239112531683496</v>
      </c>
      <c r="I32" s="58"/>
    </row>
    <row r="33" spans="1:15" ht="14">
      <c r="A33" s="39" t="s">
        <v>1421</v>
      </c>
      <c r="B33" s="39" t="s">
        <v>1436</v>
      </c>
      <c r="C33" s="39"/>
      <c r="D33" s="92">
        <f>'Earning Forecast'!G101</f>
        <v>3.8680616950486239E-2</v>
      </c>
      <c r="E33" s="92">
        <f>'Earning Forecast'!H101</f>
        <v>3.360598632090811E-2</v>
      </c>
      <c r="F33" s="92">
        <f>'Earning Forecast'!I101</f>
        <v>3.2410738337928319E-2</v>
      </c>
      <c r="G33" s="92">
        <f>'Earning Forecast'!J101</f>
        <v>1.3941757737325361E-2</v>
      </c>
      <c r="H33" s="92">
        <f>'Earning Forecast'!K101</f>
        <v>1.8089002890372196E-2</v>
      </c>
      <c r="I33" s="39"/>
    </row>
    <row r="34" spans="1:15" ht="14">
      <c r="A34" s="39"/>
      <c r="B34" s="39" t="s">
        <v>1437</v>
      </c>
      <c r="C34" s="39"/>
      <c r="D34" s="92">
        <f>'Earning Forecast'!G110</f>
        <v>0.24487592669283675</v>
      </c>
      <c r="E34" s="92">
        <f>'Earning Forecast'!H110</f>
        <v>8.2141102531541055E-2</v>
      </c>
      <c r="F34" s="92">
        <f>'Earning Forecast'!I110</f>
        <v>8.0126207960461243E-2</v>
      </c>
      <c r="G34" s="92">
        <f>'Earning Forecast'!J110</f>
        <v>5.830000566757565E-2</v>
      </c>
      <c r="H34" s="92">
        <f>'Earning Forecast'!K110</f>
        <v>5.1439306540366964E-2</v>
      </c>
      <c r="I34" s="39"/>
    </row>
    <row r="35" spans="1:15" ht="14">
      <c r="A35" s="39"/>
      <c r="B35" s="39" t="s">
        <v>1422</v>
      </c>
      <c r="C35" s="39"/>
      <c r="D35" s="92">
        <f>'Earning Forecast'!G88</f>
        <v>0.71492393206559401</v>
      </c>
      <c r="E35" s="92">
        <f>'Earning Forecast'!H88</f>
        <v>0.88242336895393314</v>
      </c>
      <c r="F35" s="92">
        <f>'Earning Forecast'!I88</f>
        <v>0.88695334093174438</v>
      </c>
      <c r="G35" s="92">
        <f>'Earning Forecast'!J88</f>
        <v>0.92724544192276459</v>
      </c>
      <c r="H35" s="92">
        <f>'Earning Forecast'!K88</f>
        <v>0.92997857455416044</v>
      </c>
      <c r="I35" s="39"/>
    </row>
    <row r="36" spans="1:15" ht="14">
      <c r="A36" s="39" t="s">
        <v>582</v>
      </c>
      <c r="B36" s="39" t="s">
        <v>1436</v>
      </c>
      <c r="C36" s="39"/>
      <c r="D36" s="88">
        <f t="shared" ref="D36:F38" si="4">D$25*D33</f>
        <v>4.3980092209940536E-2</v>
      </c>
      <c r="E36" s="88">
        <f t="shared" si="4"/>
        <v>0.20857404451880832</v>
      </c>
      <c r="F36" s="88">
        <f t="shared" si="4"/>
        <v>0.37971470453984429</v>
      </c>
      <c r="G36" s="88">
        <f>G$25*G33</f>
        <v>0.22192258512360602</v>
      </c>
      <c r="H36" s="88">
        <f>H$25*H33</f>
        <v>0.34051706188559544</v>
      </c>
      <c r="I36" s="39"/>
    </row>
    <row r="37" spans="1:15" ht="14">
      <c r="A37" s="39"/>
      <c r="B37" s="39" t="s">
        <v>1437</v>
      </c>
      <c r="C37" s="39"/>
      <c r="D37" s="88">
        <f t="shared" si="4"/>
        <v>0.27842538938123679</v>
      </c>
      <c r="E37" s="88">
        <f t="shared" si="4"/>
        <v>0.50980506308123386</v>
      </c>
      <c r="F37" s="88">
        <f t="shared" si="4"/>
        <v>0.93873515204681446</v>
      </c>
      <c r="G37" s="88">
        <f t="shared" ref="G37:G38" si="5">G$25*G34</f>
        <v>0.92800981154843687</v>
      </c>
      <c r="H37" s="88">
        <f>H$25*H34</f>
        <v>0.96832100888662342</v>
      </c>
      <c r="I37" s="39"/>
    </row>
    <row r="38" spans="1:15" ht="14">
      <c r="A38" s="39"/>
      <c r="B38" s="39" t="s">
        <v>1422</v>
      </c>
      <c r="C38" s="39"/>
      <c r="D38" s="88">
        <f t="shared" si="4"/>
        <v>0.81287277541582326</v>
      </c>
      <c r="E38" s="88">
        <f t="shared" si="4"/>
        <v>5.4767210009285332</v>
      </c>
      <c r="F38" s="88">
        <f t="shared" si="4"/>
        <v>10.391285205570313</v>
      </c>
      <c r="G38" s="88">
        <f t="shared" si="5"/>
        <v>14.759739007992357</v>
      </c>
      <c r="H38" s="88">
        <f>H$25*H35</f>
        <v>17.506413910314823</v>
      </c>
      <c r="I38" s="39"/>
    </row>
    <row r="39" spans="1:15" ht="15.5">
      <c r="A39" s="39" t="s">
        <v>1415</v>
      </c>
      <c r="B39" s="39" t="s">
        <v>1436</v>
      </c>
      <c r="C39" s="39"/>
      <c r="D39" s="56"/>
      <c r="E39" s="90"/>
      <c r="F39" s="95">
        <v>20</v>
      </c>
      <c r="G39" s="95">
        <v>20</v>
      </c>
      <c r="H39" s="95">
        <v>20</v>
      </c>
      <c r="I39" s="39"/>
      <c r="J39" t="s">
        <v>1438</v>
      </c>
    </row>
    <row r="40" spans="1:15" ht="15.5">
      <c r="A40" s="39"/>
      <c r="B40" s="39" t="s">
        <v>1437</v>
      </c>
      <c r="C40" s="39"/>
      <c r="D40" s="56"/>
      <c r="E40" s="90"/>
      <c r="F40" s="95">
        <v>15</v>
      </c>
      <c r="G40" s="95">
        <v>15</v>
      </c>
      <c r="H40" s="95">
        <v>15</v>
      </c>
      <c r="I40" s="39"/>
      <c r="J40" t="s">
        <v>1439</v>
      </c>
    </row>
    <row r="41" spans="1:15" ht="15.5">
      <c r="A41" s="39"/>
      <c r="B41" s="39" t="s">
        <v>1422</v>
      </c>
      <c r="C41" s="39"/>
      <c r="D41" s="56"/>
      <c r="E41" s="90"/>
      <c r="F41" s="95">
        <v>25</v>
      </c>
      <c r="G41" s="95">
        <v>20</v>
      </c>
      <c r="H41" s="95">
        <v>20</v>
      </c>
      <c r="I41" s="39"/>
      <c r="J41" t="s">
        <v>1440</v>
      </c>
    </row>
    <row r="43" spans="1:15" s="290" customFormat="1" ht="15.5">
      <c r="A43" s="292" t="s">
        <v>57</v>
      </c>
      <c r="B43" s="293" t="s">
        <v>1410</v>
      </c>
      <c r="D43" s="294">
        <v>9.1</v>
      </c>
    </row>
    <row r="44" spans="1:15" s="39" customFormat="1" ht="14">
      <c r="B44" s="39" t="s">
        <v>1441</v>
      </c>
      <c r="D44" s="89">
        <f>'Earning Forecast'!G264</f>
        <v>-1.0891335772335724</v>
      </c>
      <c r="E44" s="89">
        <f>'Earning Forecast'!H264</f>
        <v>-1.3932262021856676</v>
      </c>
      <c r="F44" s="89">
        <f>'Earning Forecast'!I264</f>
        <v>-1.610134008954591</v>
      </c>
      <c r="G44" s="89">
        <f>'Earning Forecast'!J264</f>
        <v>-1.1909341924199437</v>
      </c>
      <c r="H44" s="89">
        <f>'Earning Forecast'!K264</f>
        <v>-0.54340316836723301</v>
      </c>
      <c r="M44" s="1204" t="s">
        <v>1442</v>
      </c>
      <c r="N44" s="1204" t="s">
        <v>1443</v>
      </c>
      <c r="O44" s="1204"/>
    </row>
    <row r="45" spans="1:15" s="39" customFormat="1" ht="14">
      <c r="B45" s="39" t="s">
        <v>1412</v>
      </c>
      <c r="D45" s="88">
        <f>$D43/D44</f>
        <v>-8.3552653138417021</v>
      </c>
      <c r="E45" s="88">
        <f>$D43/E44</f>
        <v>-6.5316026828407958</v>
      </c>
      <c r="F45" s="88">
        <f>$D43/F44</f>
        <v>-5.6517034913810322</v>
      </c>
      <c r="G45" s="88">
        <f>$D43/G44</f>
        <v>-7.64106031879819</v>
      </c>
      <c r="H45" s="88">
        <f>$D43/H44</f>
        <v>-16.746313841604618</v>
      </c>
      <c r="M45" s="1919">
        <v>29.68</v>
      </c>
      <c r="N45" s="1919">
        <v>10.01</v>
      </c>
      <c r="O45" s="1204" t="s">
        <v>664</v>
      </c>
    </row>
    <row r="46" spans="1:15" s="39" customFormat="1" ht="15.5">
      <c r="B46" s="39" t="s">
        <v>1444</v>
      </c>
      <c r="D46" s="94">
        <v>0.25</v>
      </c>
      <c r="E46" s="94">
        <v>0.25</v>
      </c>
      <c r="F46" s="94">
        <v>0.25</v>
      </c>
      <c r="G46" s="94">
        <v>0.25</v>
      </c>
      <c r="H46" s="94">
        <v>0.25</v>
      </c>
      <c r="M46" s="1918">
        <f>M45/D44</f>
        <v>-27.251019177452935</v>
      </c>
      <c r="N46" s="1918">
        <f>N45/E44</f>
        <v>-7.1847629511248758</v>
      </c>
      <c r="O46" s="1204" t="s">
        <v>1445</v>
      </c>
    </row>
    <row r="47" spans="1:15" s="39" customFormat="1" ht="15.5">
      <c r="B47" s="39" t="s">
        <v>1446</v>
      </c>
      <c r="D47" s="94">
        <v>0.1</v>
      </c>
      <c r="E47" s="94">
        <v>0.1</v>
      </c>
      <c r="F47" s="94">
        <v>0.1</v>
      </c>
      <c r="G47" s="94">
        <v>0.1</v>
      </c>
      <c r="H47" s="94">
        <v>0.1</v>
      </c>
    </row>
    <row r="48" spans="1:15" s="39" customFormat="1" ht="15.5">
      <c r="B48" s="39" t="s">
        <v>1415</v>
      </c>
      <c r="D48" s="56">
        <f>'Earning Forecast'!J263</f>
        <v>-8.4675421081057998</v>
      </c>
      <c r="E48" s="88">
        <f>E50/E44</f>
        <v>10.596733674911823</v>
      </c>
      <c r="F48" s="353">
        <f>F52*F56+F53*F57</f>
        <v>14.999999999999995</v>
      </c>
      <c r="G48" s="353">
        <f>G52*G56+G53*G57</f>
        <v>14.999999999999996</v>
      </c>
      <c r="H48" s="353">
        <f>H52*H56+H53*H57</f>
        <v>15.000000000000004</v>
      </c>
    </row>
    <row r="49" spans="1:15" s="39" customFormat="1" ht="14">
      <c r="B49" s="39" t="s">
        <v>1416</v>
      </c>
      <c r="D49" s="88">
        <f t="shared" ref="D49:F50" si="6">E49/(1+D46)</f>
        <v>-9.1463745977851652</v>
      </c>
      <c r="E49" s="88">
        <f t="shared" si="6"/>
        <v>-11.432968247231456</v>
      </c>
      <c r="F49" s="88">
        <f t="shared" si="6"/>
        <v>-14.29121030903932</v>
      </c>
      <c r="G49" s="88">
        <f>G44*G48</f>
        <v>-17.86401288629915</v>
      </c>
      <c r="H49" s="88">
        <f>H44*H48</f>
        <v>-8.1510475255084973</v>
      </c>
    </row>
    <row r="50" spans="1:15" s="58" customFormat="1" ht="14">
      <c r="B50" s="58" t="s">
        <v>1418</v>
      </c>
      <c r="D50" s="352">
        <f t="shared" si="6"/>
        <v>-13.421497284973064</v>
      </c>
      <c r="E50" s="352">
        <f t="shared" si="6"/>
        <v>-14.763647013470372</v>
      </c>
      <c r="F50" s="352">
        <f t="shared" si="6"/>
        <v>-16.24001171481741</v>
      </c>
      <c r="G50" s="352">
        <f>G49</f>
        <v>-17.86401288629915</v>
      </c>
      <c r="H50" s="352">
        <f>H49</f>
        <v>-8.1510475255084973</v>
      </c>
    </row>
    <row r="51" spans="1:15" s="58" customFormat="1" ht="15">
      <c r="B51" s="58" t="s">
        <v>1420</v>
      </c>
      <c r="E51" s="91">
        <f>(E50-$D43)/$D43</f>
        <v>-2.6223787926890516</v>
      </c>
      <c r="F51" s="91">
        <f>(F50-$D43)/$D43</f>
        <v>-2.784616671957957</v>
      </c>
      <c r="G51" s="91">
        <f>(G50-$D43)/$D43</f>
        <v>-2.963078339153753</v>
      </c>
      <c r="H51" s="91">
        <f>(H50-$D43)/$D43</f>
        <v>-1.895719508297637</v>
      </c>
    </row>
    <row r="52" spans="1:15" s="39" customFormat="1" ht="14">
      <c r="A52" s="39" t="s">
        <v>1421</v>
      </c>
      <c r="B52" s="39" t="s">
        <v>1422</v>
      </c>
      <c r="D52" s="92">
        <f>'Earning Forecast'!G218</f>
        <v>0.97532248722519155</v>
      </c>
      <c r="E52" s="92">
        <f>'Earning Forecast'!H218</f>
        <v>1.2120506384825951</v>
      </c>
      <c r="F52" s="92">
        <f>'Earning Forecast'!I218</f>
        <v>1.1128105387902025</v>
      </c>
      <c r="G52" s="92">
        <f>'Earning Forecast'!J218</f>
        <v>1.0376427194433897</v>
      </c>
      <c r="H52" s="92">
        <f>'Earning Forecast'!K218</f>
        <v>1.0280998327797364</v>
      </c>
      <c r="J52" s="57"/>
    </row>
    <row r="53" spans="1:15" s="39" customFormat="1" ht="14">
      <c r="B53" s="39" t="s">
        <v>1423</v>
      </c>
      <c r="D53" s="92">
        <f>'Earning Forecast'!G227</f>
        <v>2.4677512774808459E-2</v>
      </c>
      <c r="E53" s="92">
        <f>'Earning Forecast'!H227</f>
        <v>-0.21205063848259514</v>
      </c>
      <c r="F53" s="92">
        <f>'Earning Forecast'!I227</f>
        <v>-0.11281053879020282</v>
      </c>
      <c r="G53" s="92">
        <f>'Earning Forecast'!J227</f>
        <v>-3.7642719443389851E-2</v>
      </c>
      <c r="H53" s="92">
        <f>'Earning Forecast'!K227</f>
        <v>-2.8099832779736184E-2</v>
      </c>
      <c r="J53" s="57"/>
    </row>
    <row r="54" spans="1:15" s="39" customFormat="1" ht="14">
      <c r="A54" s="39" t="s">
        <v>582</v>
      </c>
      <c r="B54" s="39" t="s">
        <v>1422</v>
      </c>
      <c r="D54" s="88">
        <f>D$44*D52</f>
        <v>-1.0622564694679182</v>
      </c>
      <c r="E54" s="88">
        <f t="shared" ref="E54:G54" si="7">E$44*E52</f>
        <v>-1.6886607079098195</v>
      </c>
      <c r="F54" s="88">
        <f t="shared" si="7"/>
        <v>-1.7917740940291873</v>
      </c>
      <c r="G54" s="88">
        <f t="shared" si="7"/>
        <v>-1.2357641941007476</v>
      </c>
      <c r="H54" s="88">
        <f>H$44*H52</f>
        <v>-0.55867270653033119</v>
      </c>
      <c r="J54" s="57"/>
    </row>
    <row r="55" spans="1:15" s="39" customFormat="1" ht="14">
      <c r="B55" s="39" t="s">
        <v>1423</v>
      </c>
      <c r="D55" s="88">
        <f>D$44*D53</f>
        <v>-2.6877107765654318E-2</v>
      </c>
      <c r="E55" s="88">
        <f t="shared" ref="E55:G55" si="8">E$44*E53</f>
        <v>0.29543450572415203</v>
      </c>
      <c r="F55" s="88">
        <f t="shared" si="8"/>
        <v>0.18164008507459667</v>
      </c>
      <c r="G55" s="88">
        <f t="shared" si="8"/>
        <v>4.4830001680804005E-2</v>
      </c>
      <c r="H55" s="88">
        <f>H$44*H53</f>
        <v>1.5269538163098074E-2</v>
      </c>
      <c r="J55" s="57"/>
    </row>
    <row r="56" spans="1:15" s="39" customFormat="1" ht="15.5">
      <c r="A56" s="39" t="s">
        <v>1415</v>
      </c>
      <c r="B56" s="39" t="s">
        <v>1422</v>
      </c>
      <c r="D56" s="56"/>
      <c r="E56" s="90"/>
      <c r="F56" s="95">
        <v>15</v>
      </c>
      <c r="G56" s="95">
        <v>15</v>
      </c>
      <c r="H56" s="95">
        <v>15</v>
      </c>
      <c r="I56" s="87">
        <v>1</v>
      </c>
      <c r="J56" s="57" t="s">
        <v>1447</v>
      </c>
    </row>
    <row r="57" spans="1:15" s="39" customFormat="1" ht="15.5">
      <c r="B57" s="39" t="s">
        <v>1423</v>
      </c>
      <c r="D57" s="56"/>
      <c r="E57" s="90"/>
      <c r="F57" s="95">
        <v>15</v>
      </c>
      <c r="G57" s="95">
        <v>15</v>
      </c>
      <c r="H57" s="95">
        <v>15</v>
      </c>
      <c r="I57" s="93">
        <f>I56</f>
        <v>1</v>
      </c>
      <c r="J57" s="57" t="s">
        <v>1448</v>
      </c>
    </row>
    <row r="59" spans="1:15" s="290" customFormat="1" ht="16" thickBot="1">
      <c r="A59" s="292" t="s">
        <v>63</v>
      </c>
      <c r="B59" s="293" t="s">
        <v>1410</v>
      </c>
      <c r="D59" s="294">
        <v>35.32</v>
      </c>
      <c r="E59" s="1917"/>
      <c r="F59" s="1202"/>
      <c r="G59" s="1203"/>
      <c r="J59" s="290" t="s">
        <v>1411</v>
      </c>
    </row>
    <row r="60" spans="1:15" s="39" customFormat="1" ht="14">
      <c r="B60" s="39" t="s">
        <v>1449</v>
      </c>
      <c r="D60" s="89">
        <f>'Earning Forecast'!G314</f>
        <v>-0.17344814834741412</v>
      </c>
      <c r="E60" s="89">
        <f>'Earning Forecast'!H314</f>
        <v>-1.0365664890335735</v>
      </c>
      <c r="F60" s="89">
        <f>'Earning Forecast'!I314</f>
        <v>3.4963378914743757</v>
      </c>
      <c r="G60" s="89">
        <f>'Earning Forecast'!J314</f>
        <v>6.0799900747896372</v>
      </c>
      <c r="H60" s="89">
        <f>'Earning Forecast'!K314</f>
        <v>11.574043579698012</v>
      </c>
      <c r="M60" s="1204" t="s">
        <v>1442</v>
      </c>
      <c r="N60" s="1204" t="s">
        <v>1443</v>
      </c>
      <c r="O60" s="1204"/>
    </row>
    <row r="61" spans="1:15" s="39" customFormat="1" ht="14">
      <c r="B61" s="1201" t="s">
        <v>1450</v>
      </c>
      <c r="D61" s="88">
        <f>D60/6.35</f>
        <v>-2.731466903108884E-2</v>
      </c>
      <c r="E61" s="88">
        <f>E60/6.9</f>
        <v>-0.15022702739617005</v>
      </c>
      <c r="F61" s="88">
        <f>F60/7.12</f>
        <v>0.49105869262280555</v>
      </c>
      <c r="G61" s="88">
        <f t="shared" ref="G61" si="9">G60/7.12</f>
        <v>0.85393119027944342</v>
      </c>
      <c r="H61" s="88">
        <f>H60/7.12</f>
        <v>1.6255679184969118</v>
      </c>
      <c r="M61" s="1919">
        <v>32.1</v>
      </c>
      <c r="N61" s="1919">
        <v>20.399999999999999</v>
      </c>
      <c r="O61" s="1204" t="s">
        <v>664</v>
      </c>
    </row>
    <row r="62" spans="1:15" s="39" customFormat="1" ht="14">
      <c r="B62" s="39" t="s">
        <v>1412</v>
      </c>
      <c r="D62" s="88">
        <f>$D$59/D61</f>
        <v>-1293.0780878142693</v>
      </c>
      <c r="E62" s="88">
        <f>$D$59/E61</f>
        <v>-235.11082268076925</v>
      </c>
      <c r="F62" s="88">
        <f>$D$59/F61</f>
        <v>71.926229044743081</v>
      </c>
      <c r="G62" s="88">
        <f>$D$59/G61</f>
        <v>41.361646467605617</v>
      </c>
      <c r="H62" s="88">
        <f>$D$59/H61</f>
        <v>21.727791006517148</v>
      </c>
      <c r="M62" s="1918">
        <f>M61/D61</f>
        <v>-1175.1927128776344</v>
      </c>
      <c r="N62" s="1918">
        <f>N61/E61</f>
        <v>-135.79447289602751</v>
      </c>
      <c r="O62" s="1204" t="s">
        <v>1445</v>
      </c>
    </row>
    <row r="63" spans="1:15" s="39" customFormat="1" ht="15.5">
      <c r="B63" s="39" t="s">
        <v>1413</v>
      </c>
      <c r="D63" s="619">
        <v>0.25</v>
      </c>
      <c r="E63" s="619">
        <v>0.25</v>
      </c>
      <c r="F63" s="619">
        <v>0.25</v>
      </c>
      <c r="G63" s="619">
        <v>0.25</v>
      </c>
      <c r="H63" s="619">
        <v>0.25</v>
      </c>
      <c r="M63" s="1204"/>
      <c r="N63" s="1204"/>
      <c r="O63" s="1204"/>
    </row>
    <row r="64" spans="1:15" s="39" customFormat="1" ht="15.5">
      <c r="B64" s="39" t="s">
        <v>1414</v>
      </c>
      <c r="D64" s="619">
        <v>0.1</v>
      </c>
      <c r="E64" s="619">
        <v>0.1</v>
      </c>
      <c r="F64" s="619">
        <v>0.1</v>
      </c>
      <c r="G64" s="619">
        <v>0.1</v>
      </c>
      <c r="H64" s="619">
        <v>0.1</v>
      </c>
      <c r="M64" s="1920">
        <v>6.35</v>
      </c>
      <c r="N64" s="1919">
        <v>6.9</v>
      </c>
      <c r="O64" s="1204" t="s">
        <v>1451</v>
      </c>
    </row>
    <row r="65" spans="1:14" s="39" customFormat="1" ht="15">
      <c r="B65" s="39" t="s">
        <v>1415</v>
      </c>
      <c r="D65" s="88">
        <f>D67/D60</f>
        <v>-157.67414499046831</v>
      </c>
      <c r="E65" s="88">
        <f>E67/E60</f>
        <v>-29.021888762766967</v>
      </c>
      <c r="F65" s="88">
        <f>F67/F60</f>
        <v>9.4645969872163391</v>
      </c>
      <c r="G65" s="88">
        <f>G67/G60</f>
        <v>5.9869459544458241</v>
      </c>
      <c r="H65" s="620">
        <f>H69*H73+H70*H74</f>
        <v>24.631778668768007</v>
      </c>
      <c r="J65" s="58" t="s">
        <v>1417</v>
      </c>
    </row>
    <row r="66" spans="1:14" s="58" customFormat="1" ht="14">
      <c r="B66" s="39" t="s">
        <v>1452</v>
      </c>
      <c r="C66" s="39"/>
      <c r="D66" s="88">
        <f>E66/(1+D63)</f>
        <v>16.400641711909209</v>
      </c>
      <c r="E66" s="88">
        <f t="shared" ref="E66:F66" si="10">F66/(1+E63)</f>
        <v>20.500802139886513</v>
      </c>
      <c r="F66" s="88">
        <f t="shared" si="10"/>
        <v>25.626002674858142</v>
      </c>
      <c r="G66" s="88">
        <f>H66/(1+G63)</f>
        <v>32.032503343572678</v>
      </c>
      <c r="H66" s="88">
        <f>H61*H65</f>
        <v>40.040629179465846</v>
      </c>
      <c r="J66" s="58" t="s">
        <v>1419</v>
      </c>
    </row>
    <row r="67" spans="1:14" s="58" customFormat="1" ht="14">
      <c r="B67" s="58" t="s">
        <v>1453</v>
      </c>
      <c r="D67" s="352">
        <f>E67/(1+D64)</f>
        <v>27.34828849085843</v>
      </c>
      <c r="E67" s="352">
        <f>F67/(1+E64)</f>
        <v>30.083117339944277</v>
      </c>
      <c r="F67" s="352">
        <f>G67/(1+F64)</f>
        <v>33.091429073938706</v>
      </c>
      <c r="G67" s="352">
        <f>H67/(1+G64)</f>
        <v>36.400571981332583</v>
      </c>
      <c r="H67" s="352">
        <f>H66</f>
        <v>40.040629179465846</v>
      </c>
    </row>
    <row r="68" spans="1:14" s="39" customFormat="1" ht="15">
      <c r="A68" s="39" t="s">
        <v>1421</v>
      </c>
      <c r="B68" s="58" t="s">
        <v>1420</v>
      </c>
      <c r="C68" s="58"/>
      <c r="D68" s="621">
        <f>(D67-$D59)/$D59</f>
        <v>-0.2256996463516866</v>
      </c>
      <c r="E68" s="621">
        <f>(E67-$D59)/$D59</f>
        <v>-0.14826961098685515</v>
      </c>
      <c r="F68" s="621">
        <f>(F67-$D59)/$D59</f>
        <v>-6.309657208554062E-2</v>
      </c>
      <c r="G68" s="621">
        <f t="shared" ref="G68" si="11">(G67-$D59)/$D59</f>
        <v>3.05937707059055E-2</v>
      </c>
      <c r="H68" s="621">
        <f>(H67-$D59)/$D59</f>
        <v>0.1336531477764962</v>
      </c>
      <c r="J68" s="57"/>
    </row>
    <row r="69" spans="1:14" s="39" customFormat="1" ht="14">
      <c r="B69" s="39" t="s">
        <v>1422</v>
      </c>
      <c r="D69" s="92">
        <f>'Earning Forecast'!G273</f>
        <v>0.93255817021189447</v>
      </c>
      <c r="E69" s="92">
        <f>'Earning Forecast'!H273</f>
        <v>0.95763985395069384</v>
      </c>
      <c r="F69" s="92">
        <f>'Earning Forecast'!I273</f>
        <v>0.96387360366037889</v>
      </c>
      <c r="G69" s="92">
        <f>'Earning Forecast'!J273</f>
        <v>0.959721235712793</v>
      </c>
      <c r="H69" s="92">
        <f>'Earning Forecast'!K273</f>
        <v>0.96317786687680074</v>
      </c>
      <c r="J69" s="57"/>
    </row>
    <row r="70" spans="1:14" s="39" customFormat="1" ht="14">
      <c r="A70" s="39" t="s">
        <v>582</v>
      </c>
      <c r="B70" s="39" t="s">
        <v>1423</v>
      </c>
      <c r="D70" s="92">
        <f>'Earning Forecast'!G282</f>
        <v>6.7441829788105576E-2</v>
      </c>
      <c r="E70" s="92">
        <f>'Earning Forecast'!H282</f>
        <v>4.2360146049306199E-2</v>
      </c>
      <c r="F70" s="92">
        <f>'Earning Forecast'!I282</f>
        <v>3.6126396339621093E-2</v>
      </c>
      <c r="G70" s="92">
        <f>'Earning Forecast'!J282</f>
        <v>4.0278764287206906E-2</v>
      </c>
      <c r="H70" s="92">
        <f>'Earning Forecast'!K282</f>
        <v>3.6822133123199284E-2</v>
      </c>
      <c r="J70" s="57"/>
    </row>
    <row r="71" spans="1:14" s="39" customFormat="1" ht="14">
      <c r="B71" s="39" t="s">
        <v>1422</v>
      </c>
      <c r="D71" s="88">
        <f>D$61*D69</f>
        <v>-2.547251777157571E-2</v>
      </c>
      <c r="E71" s="88">
        <f t="shared" ref="E71:H71" si="12">E$61*E69</f>
        <v>-0.14386338857511519</v>
      </c>
      <c r="F71" s="88">
        <f t="shared" si="12"/>
        <v>0.47331851166709787</v>
      </c>
      <c r="G71" s="88">
        <f t="shared" si="12"/>
        <v>0.81953589714868358</v>
      </c>
      <c r="H71" s="88">
        <f t="shared" si="12"/>
        <v>1.5657110402012167</v>
      </c>
      <c r="J71" s="57"/>
    </row>
    <row r="72" spans="1:14" s="39" customFormat="1" ht="14">
      <c r="A72" s="39" t="s">
        <v>1415</v>
      </c>
      <c r="B72" s="39" t="s">
        <v>1423</v>
      </c>
      <c r="D72" s="88">
        <f>D$61*D70</f>
        <v>-1.8421512595131321E-3</v>
      </c>
      <c r="E72" s="88">
        <f t="shared" ref="E72:H72" si="13">E$61*E70</f>
        <v>-6.3636388210548869E-3</v>
      </c>
      <c r="F72" s="88">
        <f t="shared" si="13"/>
        <v>1.7740180955707643E-2</v>
      </c>
      <c r="G72" s="88">
        <f t="shared" si="13"/>
        <v>3.439529313075973E-2</v>
      </c>
      <c r="H72" s="88">
        <f t="shared" si="13"/>
        <v>5.9856878295695255E-2</v>
      </c>
      <c r="J72" s="57" t="s">
        <v>1454</v>
      </c>
    </row>
    <row r="73" spans="1:14" s="39" customFormat="1" ht="15.5">
      <c r="B73" s="39" t="s">
        <v>1422</v>
      </c>
      <c r="D73" s="88"/>
      <c r="E73" s="622"/>
      <c r="F73" s="95">
        <v>25</v>
      </c>
      <c r="G73" s="95">
        <v>25</v>
      </c>
      <c r="H73" s="95">
        <v>25</v>
      </c>
      <c r="I73" s="93"/>
      <c r="J73" s="57" t="s">
        <v>1427</v>
      </c>
      <c r="N73" s="39" t="s">
        <v>1428</v>
      </c>
    </row>
    <row r="74" spans="1:14" ht="14.25" customHeight="1">
      <c r="B74" s="39" t="s">
        <v>1423</v>
      </c>
      <c r="C74" s="39"/>
      <c r="D74" s="56"/>
      <c r="E74" s="622"/>
      <c r="F74" s="95">
        <v>15</v>
      </c>
      <c r="G74" s="95">
        <v>15</v>
      </c>
      <c r="H74" s="95">
        <v>15</v>
      </c>
    </row>
  </sheetData>
  <phoneticPr fontId="4" type="noConversion"/>
  <pageMargins left="0.7" right="0.7" top="0.75" bottom="0.75" header="0.3" footer="0.3"/>
  <pageSetup paperSize="9"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FEDD0-C26A-4DD9-B812-1EDAEA22FD2C}">
  <dimension ref="A1:M279"/>
  <sheetViews>
    <sheetView zoomScale="115" workbookViewId="0">
      <pane ySplit="1" topLeftCell="A221" activePane="bottomLeft" state="frozen"/>
      <selection pane="bottomLeft" activeCell="I245" sqref="I245"/>
    </sheetView>
  </sheetViews>
  <sheetFormatPr defaultColWidth="8.83203125" defaultRowHeight="14"/>
  <cols>
    <col min="1" max="1" width="17.1640625" style="48" customWidth="1"/>
    <col min="2" max="2" width="14.25" bestFit="1" customWidth="1"/>
    <col min="3" max="5" width="14.83203125" bestFit="1" customWidth="1"/>
    <col min="6" max="6" width="13.1640625" customWidth="1"/>
    <col min="7" max="7" width="11.1640625" bestFit="1" customWidth="1"/>
    <col min="8" max="9" width="9.75" bestFit="1" customWidth="1"/>
  </cols>
  <sheetData>
    <row r="1" spans="1:6" ht="15.5">
      <c r="B1" s="357">
        <v>2021</v>
      </c>
      <c r="C1" s="357">
        <v>2022</v>
      </c>
      <c r="D1" s="357" t="s">
        <v>11</v>
      </c>
      <c r="E1" s="357" t="s">
        <v>12</v>
      </c>
      <c r="F1" s="357" t="s">
        <v>13</v>
      </c>
    </row>
    <row r="2" spans="1:6" s="233" customFormat="1" ht="15.5">
      <c r="A2" s="502" t="s">
        <v>1409</v>
      </c>
      <c r="B2" s="499"/>
      <c r="C2" s="499"/>
      <c r="D2" s="499"/>
    </row>
    <row r="3" spans="1:6" ht="15.5">
      <c r="A3" s="503" t="s">
        <v>582</v>
      </c>
    </row>
    <row r="4" spans="1:6">
      <c r="A4" s="48">
        <v>202112</v>
      </c>
      <c r="B4" s="59">
        <v>2.88</v>
      </c>
      <c r="C4" s="59">
        <v>5.38</v>
      </c>
      <c r="D4" s="59">
        <v>7.32</v>
      </c>
    </row>
    <row r="5" spans="1:6">
      <c r="A5" s="48">
        <v>202201</v>
      </c>
      <c r="B5" s="59">
        <v>3.2872219519401353</v>
      </c>
      <c r="C5" s="59">
        <v>6.6683541629694911</v>
      </c>
      <c r="D5" s="59">
        <v>10.180569104816117</v>
      </c>
    </row>
    <row r="6" spans="1:6">
      <c r="A6" s="48">
        <v>202206</v>
      </c>
      <c r="B6" s="33">
        <v>4.8881364038972546</v>
      </c>
      <c r="C6" s="33">
        <v>7.5482692009474075</v>
      </c>
      <c r="D6" s="33">
        <v>11.807509890267204</v>
      </c>
      <c r="E6" s="33">
        <v>14.440958847974589</v>
      </c>
    </row>
    <row r="7" spans="1:6">
      <c r="A7" s="48">
        <v>202207</v>
      </c>
      <c r="B7" s="33"/>
      <c r="C7" s="33">
        <v>10.576674478469595</v>
      </c>
      <c r="D7" s="33">
        <v>19.989549553957509</v>
      </c>
      <c r="E7" s="33">
        <v>23.660363440163671</v>
      </c>
    </row>
    <row r="8" spans="1:6">
      <c r="A8" s="48">
        <v>202302</v>
      </c>
      <c r="B8" s="33"/>
      <c r="C8" s="33">
        <v>3.6132374017511384</v>
      </c>
      <c r="D8" s="33">
        <v>4.1202659769968992</v>
      </c>
      <c r="E8" s="33">
        <v>5.9425246633647877</v>
      </c>
      <c r="F8" s="33">
        <v>7.7455447013466028</v>
      </c>
    </row>
    <row r="9" spans="1:6">
      <c r="A9" s="48">
        <v>202311</v>
      </c>
      <c r="B9" s="33"/>
      <c r="C9" s="33"/>
      <c r="D9" s="33">
        <v>2.9196599769271137</v>
      </c>
      <c r="E9" s="33">
        <v>3.8918087120229705</v>
      </c>
      <c r="F9" s="33">
        <v>5.1788683664585013</v>
      </c>
    </row>
    <row r="10" spans="1:6" ht="15.5">
      <c r="A10" s="503" t="s">
        <v>1455</v>
      </c>
      <c r="C10" s="59"/>
      <c r="D10" s="59"/>
      <c r="E10" s="59"/>
    </row>
    <row r="11" spans="1:6">
      <c r="A11" s="48">
        <v>202112</v>
      </c>
      <c r="B11" s="59"/>
      <c r="C11" s="59"/>
      <c r="D11" s="59"/>
    </row>
    <row r="12" spans="1:6">
      <c r="A12" s="48">
        <v>202201</v>
      </c>
      <c r="B12" s="59" t="e">
        <f>'Model 20A'!H71/'Model 20A'!H66</f>
        <v>#REF!</v>
      </c>
      <c r="C12" s="59" t="e">
        <f>'Model 20A'!I71/'Model 20A'!I66</f>
        <v>#REF!</v>
      </c>
      <c r="D12" s="59" t="e">
        <f>'Model 20A'!J71/'Model 20A'!J66</f>
        <v>#REF!</v>
      </c>
    </row>
    <row r="13" spans="1:6">
      <c r="A13" s="48">
        <v>202206</v>
      </c>
      <c r="B13" s="59"/>
      <c r="C13" s="59"/>
      <c r="D13" s="59"/>
    </row>
    <row r="14" spans="1:6">
      <c r="A14" s="48">
        <v>2023011</v>
      </c>
      <c r="B14" s="59"/>
      <c r="C14" s="59"/>
      <c r="D14" s="59">
        <v>16.067811568979991</v>
      </c>
      <c r="E14" s="59">
        <v>19.412580347766461</v>
      </c>
      <c r="F14" s="59">
        <v>23.698603103029455</v>
      </c>
    </row>
    <row r="15" spans="1:6" ht="15.5">
      <c r="A15" s="503" t="s">
        <v>1456</v>
      </c>
      <c r="B15" s="59"/>
      <c r="C15" s="59"/>
      <c r="D15" s="59"/>
    </row>
    <row r="16" spans="1:6">
      <c r="A16" s="48">
        <v>202112</v>
      </c>
      <c r="B16" s="59"/>
      <c r="C16" s="59"/>
      <c r="D16" s="59"/>
    </row>
    <row r="17" spans="1:13">
      <c r="A17" s="48">
        <v>202201</v>
      </c>
      <c r="B17" s="33">
        <f>-'Model 20A'!H98/'Model 20A'!H66</f>
        <v>7.3051355102637147E-2</v>
      </c>
      <c r="C17" s="33">
        <f>-'Model 20A'!I98/'Model 20A'!I66</f>
        <v>8.3651573013275138E-2</v>
      </c>
      <c r="D17" s="33">
        <f>-'Model 20A'!J98/'Model 20A'!J66</f>
        <v>9.0540344777632911E-2</v>
      </c>
      <c r="F17" s="33"/>
      <c r="G17" s="33"/>
      <c r="H17" s="33"/>
      <c r="I17" s="33"/>
    </row>
    <row r="18" spans="1:13">
      <c r="A18" s="48">
        <v>202206</v>
      </c>
      <c r="C18" s="59"/>
      <c r="D18" s="59"/>
    </row>
    <row r="19" spans="1:13" ht="15.5">
      <c r="A19" s="503" t="s">
        <v>508</v>
      </c>
      <c r="B19" t="s">
        <v>1457</v>
      </c>
    </row>
    <row r="20" spans="1:13">
      <c r="A20" s="48">
        <v>202112</v>
      </c>
      <c r="B20" s="32">
        <v>50462.23</v>
      </c>
      <c r="C20" s="32">
        <v>72696.58</v>
      </c>
      <c r="D20" s="32">
        <v>86609.49</v>
      </c>
    </row>
    <row r="21" spans="1:13">
      <c r="A21" s="48">
        <v>202201</v>
      </c>
      <c r="B21" s="32">
        <v>53191.78</v>
      </c>
      <c r="C21" s="32">
        <v>82093.600000000006</v>
      </c>
      <c r="D21" s="32">
        <v>107116.91</v>
      </c>
    </row>
    <row r="22" spans="1:13">
      <c r="A22" s="48">
        <v>202206</v>
      </c>
      <c r="B22" s="32">
        <v>53823</v>
      </c>
      <c r="C22" s="32">
        <v>76871.546894889005</v>
      </c>
      <c r="D22" s="32">
        <v>106702.183682495</v>
      </c>
      <c r="E22" s="32">
        <v>121002.208485525</v>
      </c>
    </row>
    <row r="23" spans="1:13">
      <c r="A23" s="48">
        <v>202207</v>
      </c>
      <c r="B23" s="32"/>
      <c r="C23" s="32">
        <v>81436</v>
      </c>
      <c r="D23" s="32">
        <v>122806</v>
      </c>
      <c r="E23" s="32">
        <v>143196</v>
      </c>
    </row>
    <row r="24" spans="1:13">
      <c r="A24" s="48">
        <v>202301</v>
      </c>
      <c r="B24" s="32"/>
      <c r="C24" s="32"/>
      <c r="D24" s="32">
        <v>93499.877751522537</v>
      </c>
      <c r="E24" s="32">
        <v>107877.96773707941</v>
      </c>
      <c r="F24" s="32">
        <v>120184.89786332985</v>
      </c>
      <c r="H24" s="32"/>
      <c r="I24" s="32"/>
      <c r="J24" s="32"/>
    </row>
    <row r="25" spans="1:13">
      <c r="A25" s="48">
        <v>2023011</v>
      </c>
      <c r="B25" s="32"/>
      <c r="C25" s="32"/>
      <c r="D25" s="32">
        <v>98482.974651486948</v>
      </c>
      <c r="E25" s="32">
        <v>114567.98189971517</v>
      </c>
      <c r="F25" s="32">
        <v>127036.45968507002</v>
      </c>
      <c r="H25" s="32"/>
      <c r="I25" s="32"/>
      <c r="J25" s="32"/>
    </row>
    <row r="26" spans="1:13" ht="15.5">
      <c r="A26" s="503" t="s">
        <v>511</v>
      </c>
      <c r="B26" t="s">
        <v>1457</v>
      </c>
    </row>
    <row r="27" spans="1:13">
      <c r="A27" s="48">
        <v>202112</v>
      </c>
    </row>
    <row r="28" spans="1:13">
      <c r="A28" s="48">
        <v>202201</v>
      </c>
      <c r="B28" s="32">
        <v>13179.29</v>
      </c>
      <c r="C28" s="32">
        <v>21459.607</v>
      </c>
      <c r="D28" s="32">
        <v>29299.79</v>
      </c>
    </row>
    <row r="29" spans="1:13">
      <c r="A29" s="48">
        <v>202206</v>
      </c>
      <c r="B29" s="32">
        <v>13606.706</v>
      </c>
      <c r="C29" s="32">
        <v>20050.791066662099</v>
      </c>
      <c r="D29" s="32">
        <v>28616.849509112399</v>
      </c>
      <c r="E29" s="32">
        <v>33038.799848062103</v>
      </c>
    </row>
    <row r="30" spans="1:13">
      <c r="A30" s="48">
        <v>202207</v>
      </c>
      <c r="B30" s="32"/>
      <c r="C30" s="32">
        <v>22556</v>
      </c>
      <c r="D30" s="32">
        <v>38594</v>
      </c>
      <c r="E30" s="32">
        <v>44828</v>
      </c>
      <c r="K30" s="32"/>
      <c r="L30" s="32"/>
      <c r="M30" s="32"/>
    </row>
    <row r="31" spans="1:13">
      <c r="A31" s="48">
        <v>202301</v>
      </c>
      <c r="B31" s="32"/>
      <c r="C31" s="32"/>
      <c r="D31" s="32">
        <v>22685.523640742696</v>
      </c>
      <c r="E31" s="32">
        <v>28994.08515378369</v>
      </c>
      <c r="F31" s="32">
        <v>34804.768246769498</v>
      </c>
    </row>
    <row r="32" spans="1:13">
      <c r="A32" s="48">
        <v>202311</v>
      </c>
      <c r="B32" s="32"/>
      <c r="C32" s="32"/>
      <c r="D32" s="976">
        <v>18558.21207563037</v>
      </c>
      <c r="E32" s="976">
        <v>22509.284847686697</v>
      </c>
      <c r="F32" s="976">
        <v>27255.58793579293</v>
      </c>
    </row>
    <row r="33" spans="1:12" ht="15.5">
      <c r="A33" s="503" t="s">
        <v>527</v>
      </c>
      <c r="B33" t="s">
        <v>1457</v>
      </c>
    </row>
    <row r="34" spans="1:12">
      <c r="A34" s="48">
        <v>202112</v>
      </c>
      <c r="B34" s="32">
        <v>4774.21</v>
      </c>
      <c r="C34" s="32">
        <v>5956.42</v>
      </c>
      <c r="D34" s="32">
        <v>6408.08</v>
      </c>
    </row>
    <row r="35" spans="1:12">
      <c r="A35" s="48">
        <v>202201</v>
      </c>
      <c r="B35" s="32">
        <v>4774.21</v>
      </c>
      <c r="C35" s="32">
        <v>5956.42</v>
      </c>
      <c r="D35" s="32">
        <v>6408.08</v>
      </c>
    </row>
    <row r="36" spans="1:12">
      <c r="A36" s="48">
        <v>202206</v>
      </c>
      <c r="B36" s="19">
        <v>4517</v>
      </c>
      <c r="C36" s="19">
        <v>5806.1776488079804</v>
      </c>
      <c r="D36" s="19">
        <v>7253.3814278654399</v>
      </c>
      <c r="E36" s="19">
        <v>7402.9192967045201</v>
      </c>
    </row>
    <row r="37" spans="1:12">
      <c r="A37" s="48">
        <v>202207</v>
      </c>
      <c r="B37" s="32"/>
      <c r="C37" s="32">
        <v>4071</v>
      </c>
      <c r="D37" s="32">
        <v>5526</v>
      </c>
      <c r="E37" s="32">
        <v>5799</v>
      </c>
    </row>
    <row r="38" spans="1:12">
      <c r="A38" s="48">
        <v>202311</v>
      </c>
      <c r="B38" s="32"/>
      <c r="C38" s="32"/>
      <c r="D38" s="32"/>
      <c r="E38" s="32"/>
    </row>
    <row r="39" spans="1:12" ht="15.5">
      <c r="A39" s="503" t="s">
        <v>1458</v>
      </c>
      <c r="B39" t="s">
        <v>1457</v>
      </c>
      <c r="I39" s="235"/>
      <c r="J39" s="235"/>
      <c r="K39" s="235"/>
    </row>
    <row r="40" spans="1:12">
      <c r="A40" s="48">
        <v>202112</v>
      </c>
      <c r="B40" s="32">
        <v>394.9</v>
      </c>
      <c r="C40" s="32">
        <v>406.75</v>
      </c>
      <c r="D40" s="32">
        <v>414.88</v>
      </c>
      <c r="I40" s="235"/>
      <c r="J40" s="235"/>
      <c r="K40" s="235"/>
      <c r="L40" s="235"/>
    </row>
    <row r="41" spans="1:12">
      <c r="A41" s="48">
        <v>202201</v>
      </c>
      <c r="B41" s="32">
        <v>394.9</v>
      </c>
      <c r="C41" s="32">
        <v>406.75</v>
      </c>
      <c r="D41" s="32">
        <v>414.88</v>
      </c>
    </row>
    <row r="42" spans="1:12">
      <c r="A42" s="48">
        <v>202206</v>
      </c>
      <c r="B42" s="235">
        <v>371</v>
      </c>
      <c r="C42" s="235">
        <v>382.13</v>
      </c>
      <c r="D42" s="235">
        <v>389.77260000000001</v>
      </c>
      <c r="E42" s="235">
        <v>397.56805200000002</v>
      </c>
    </row>
    <row r="43" spans="1:12">
      <c r="A43" s="48">
        <v>202207</v>
      </c>
      <c r="B43" s="32"/>
      <c r="C43" s="235">
        <v>382.13</v>
      </c>
      <c r="D43" s="235">
        <v>389.77260000000001</v>
      </c>
      <c r="E43" s="235">
        <v>397.56805200000002</v>
      </c>
    </row>
    <row r="44" spans="1:12">
      <c r="A44" s="48">
        <v>202311</v>
      </c>
      <c r="B44" s="32"/>
      <c r="C44" s="1188">
        <v>191</v>
      </c>
      <c r="D44" s="1188">
        <v>171.9</v>
      </c>
      <c r="E44" s="1188">
        <v>154.71</v>
      </c>
      <c r="F44" s="1188">
        <v>139.239</v>
      </c>
    </row>
    <row r="45" spans="1:12" ht="15.5">
      <c r="A45" s="503" t="s">
        <v>543</v>
      </c>
      <c r="B45" t="s">
        <v>1459</v>
      </c>
    </row>
    <row r="46" spans="1:12">
      <c r="A46" s="48">
        <v>202112</v>
      </c>
      <c r="B46" s="32">
        <v>3356046</v>
      </c>
      <c r="C46" s="32">
        <v>6407559</v>
      </c>
      <c r="D46" s="32">
        <v>9049599</v>
      </c>
    </row>
    <row r="47" spans="1:12">
      <c r="A47" s="48">
        <v>202201</v>
      </c>
      <c r="B47" s="32">
        <v>3832344</v>
      </c>
      <c r="C47" s="32">
        <v>7660586.6564305555</v>
      </c>
      <c r="D47" s="32">
        <v>11718395.173637211</v>
      </c>
    </row>
    <row r="48" spans="1:12">
      <c r="A48" s="48">
        <v>202206</v>
      </c>
      <c r="B48" s="32">
        <v>5643706</v>
      </c>
      <c r="C48" s="32">
        <v>8626239.9180552512</v>
      </c>
      <c r="D48" s="32">
        <v>13535974.743998181</v>
      </c>
      <c r="E48" s="32">
        <v>16529708.538189761</v>
      </c>
    </row>
    <row r="49" spans="1:10">
      <c r="A49" s="48">
        <v>202207</v>
      </c>
      <c r="B49" s="32"/>
      <c r="C49" s="32">
        <v>12035753.97374003</v>
      </c>
      <c r="D49" s="32">
        <v>22820799.744383335</v>
      </c>
      <c r="E49" s="32">
        <v>26991725.003305361</v>
      </c>
      <c r="J49" s="32"/>
    </row>
    <row r="50" spans="1:10">
      <c r="A50" s="48">
        <v>202212</v>
      </c>
      <c r="B50" s="32"/>
      <c r="C50" s="32">
        <v>13257110.690679844</v>
      </c>
      <c r="D50" s="32">
        <v>22820799.744383335</v>
      </c>
      <c r="E50" s="32">
        <v>26991725.003305361</v>
      </c>
      <c r="G50" s="32"/>
      <c r="H50" s="32"/>
      <c r="I50" s="32"/>
      <c r="J50" s="32"/>
    </row>
    <row r="51" spans="1:10">
      <c r="A51" s="48">
        <v>202311</v>
      </c>
      <c r="B51" s="32"/>
      <c r="C51" s="32"/>
      <c r="D51" s="32">
        <v>9894195.6749410238</v>
      </c>
      <c r="E51" s="32">
        <v>13178620.176351514</v>
      </c>
      <c r="F51" s="32">
        <v>17526773.627438471</v>
      </c>
      <c r="G51" s="32"/>
      <c r="H51" s="32"/>
      <c r="I51" s="32"/>
      <c r="J51" s="32"/>
    </row>
    <row r="52" spans="1:10">
      <c r="A52" s="48" t="s">
        <v>1460</v>
      </c>
      <c r="B52" s="32"/>
      <c r="C52" s="32"/>
      <c r="D52" s="32"/>
      <c r="E52" s="32"/>
    </row>
    <row r="53" spans="1:10">
      <c r="A53" s="48">
        <v>202112</v>
      </c>
      <c r="B53" s="32">
        <v>936172</v>
      </c>
      <c r="C53" s="32">
        <v>1383900.4166666665</v>
      </c>
      <c r="D53" s="32">
        <v>1939333.3333333335</v>
      </c>
      <c r="E53" s="32">
        <v>2185833.3333333335</v>
      </c>
    </row>
    <row r="54" spans="1:10">
      <c r="A54" s="48">
        <v>202201</v>
      </c>
      <c r="B54" s="32">
        <v>936172</v>
      </c>
      <c r="C54" s="32">
        <v>1383900.4166666665</v>
      </c>
      <c r="D54" s="32">
        <v>1939333.3333333335</v>
      </c>
      <c r="E54" s="32">
        <v>2185833.3333333335</v>
      </c>
    </row>
    <row r="55" spans="1:10">
      <c r="A55" s="48">
        <v>202206</v>
      </c>
      <c r="B55" s="32">
        <v>936172</v>
      </c>
      <c r="C55" s="32">
        <v>1383900.4166666665</v>
      </c>
      <c r="D55" s="32">
        <v>1939333.3333333335</v>
      </c>
      <c r="E55" s="32">
        <v>2185833.3333333335</v>
      </c>
    </row>
    <row r="56" spans="1:10">
      <c r="A56" s="48">
        <v>202207</v>
      </c>
      <c r="B56" s="32"/>
      <c r="C56" s="32">
        <v>1267233.75</v>
      </c>
      <c r="D56" s="32">
        <v>1934333.3333333335</v>
      </c>
      <c r="E56" s="32">
        <v>2245833.3333333335</v>
      </c>
      <c r="G56" s="32"/>
      <c r="H56" s="32"/>
      <c r="I56" s="32"/>
    </row>
    <row r="57" spans="1:10">
      <c r="A57" s="48">
        <v>202212</v>
      </c>
      <c r="B57" s="32"/>
      <c r="C57" s="32">
        <v>1335000</v>
      </c>
      <c r="D57" s="32">
        <v>1934333.3333333335</v>
      </c>
      <c r="E57" s="32">
        <v>2245833.3333333335</v>
      </c>
      <c r="G57" s="32"/>
      <c r="H57" s="32"/>
      <c r="I57" s="32"/>
    </row>
    <row r="58" spans="1:10">
      <c r="A58" s="48">
        <v>202301</v>
      </c>
      <c r="B58" s="32"/>
      <c r="C58" s="32">
        <v>1292814.9646804899</v>
      </c>
      <c r="D58" s="32">
        <v>1621625.5898111297</v>
      </c>
      <c r="E58" s="32">
        <v>1947103.3844483199</v>
      </c>
      <c r="F58" s="32">
        <v>2167865.390495745</v>
      </c>
      <c r="G58" s="32"/>
      <c r="H58" s="32"/>
      <c r="I58" s="32"/>
    </row>
    <row r="59" spans="1:10">
      <c r="A59" s="48">
        <v>202311</v>
      </c>
      <c r="B59" s="32"/>
      <c r="C59" s="32"/>
      <c r="D59" s="32">
        <v>1715360.7642629009</v>
      </c>
      <c r="E59" s="32">
        <v>2047797.5489195492</v>
      </c>
      <c r="F59" s="32">
        <v>2246500.9182689302</v>
      </c>
      <c r="G59" s="32"/>
      <c r="H59" s="32"/>
      <c r="I59" s="32"/>
    </row>
    <row r="60" spans="1:10" ht="15.5">
      <c r="A60" s="503" t="s">
        <v>1461</v>
      </c>
    </row>
    <row r="61" spans="1:10">
      <c r="A61" s="48">
        <v>202112</v>
      </c>
      <c r="B61" s="60"/>
    </row>
    <row r="62" spans="1:10">
      <c r="A62" s="48">
        <v>202201</v>
      </c>
      <c r="B62" s="60">
        <v>0.14962590893035352</v>
      </c>
      <c r="C62" s="60">
        <v>0.25578510506376173</v>
      </c>
      <c r="D62" s="60">
        <v>0.30533404079803356</v>
      </c>
    </row>
    <row r="63" spans="1:10">
      <c r="A63" s="48">
        <v>202206</v>
      </c>
      <c r="B63" s="60">
        <v>0.20876743593186034</v>
      </c>
      <c r="C63" s="60">
        <v>0.26451048854403453</v>
      </c>
      <c r="D63" s="60">
        <v>0.31578245354851281</v>
      </c>
    </row>
    <row r="64" spans="1:10">
      <c r="A64" s="48">
        <v>202311</v>
      </c>
      <c r="B64" s="60"/>
      <c r="C64" s="60"/>
      <c r="D64" s="60"/>
    </row>
    <row r="65" spans="1:6" ht="15.5">
      <c r="A65" s="503" t="s">
        <v>1462</v>
      </c>
    </row>
    <row r="66" spans="1:6">
      <c r="A66" s="48">
        <v>202112</v>
      </c>
      <c r="B66" s="59"/>
      <c r="C66" s="236" t="s">
        <v>1463</v>
      </c>
      <c r="D66" s="236" t="s">
        <v>1464</v>
      </c>
    </row>
    <row r="67" spans="1:6">
      <c r="A67" s="48">
        <v>202201</v>
      </c>
      <c r="C67" s="236">
        <v>127.15160762548524</v>
      </c>
      <c r="D67" s="236">
        <v>104.10664955318606</v>
      </c>
    </row>
    <row r="68" spans="1:6">
      <c r="A68" s="48">
        <v>202206</v>
      </c>
      <c r="C68" s="236">
        <v>38.370076419001833</v>
      </c>
      <c r="D68" s="236">
        <v>24.520969408407833</v>
      </c>
      <c r="E68" s="236">
        <v>24.267742858067045</v>
      </c>
    </row>
    <row r="69" spans="1:6">
      <c r="A69" s="48">
        <v>202207</v>
      </c>
      <c r="B69" s="32"/>
      <c r="C69" s="61">
        <v>73.463544858234968</v>
      </c>
      <c r="D69" s="61">
        <v>38.870310604181192</v>
      </c>
      <c r="E69" s="61">
        <v>32.839732236785331</v>
      </c>
      <c r="F69" s="61"/>
    </row>
    <row r="70" spans="1:6">
      <c r="A70" s="48">
        <v>202302</v>
      </c>
      <c r="B70" s="32"/>
      <c r="C70" s="61">
        <v>45.942179143708877</v>
      </c>
      <c r="D70" s="61">
        <v>40.288661199729368</v>
      </c>
      <c r="E70" s="61">
        <v>27.934255119440625</v>
      </c>
      <c r="F70" s="61">
        <v>21.431675421244428</v>
      </c>
    </row>
    <row r="71" spans="1:6">
      <c r="A71" s="48">
        <v>202311</v>
      </c>
      <c r="B71" s="32"/>
      <c r="C71" s="61"/>
      <c r="D71" s="61">
        <v>80.33469714060999</v>
      </c>
      <c r="E71" s="61">
        <v>60.267607520226868</v>
      </c>
      <c r="F71" s="61">
        <v>45.289816887235126</v>
      </c>
    </row>
    <row r="72" spans="1:6" ht="15.5">
      <c r="A72" s="503" t="s">
        <v>1465</v>
      </c>
    </row>
    <row r="73" spans="1:6">
      <c r="A73" s="48">
        <v>202112</v>
      </c>
      <c r="B73" s="59"/>
      <c r="C73" s="59">
        <v>651.54999999999995</v>
      </c>
      <c r="D73" s="59">
        <v>814.43</v>
      </c>
    </row>
    <row r="74" spans="1:6">
      <c r="A74" s="48">
        <v>202201</v>
      </c>
      <c r="B74" s="59"/>
      <c r="C74" s="59">
        <v>847.89195203766781</v>
      </c>
      <c r="D74" s="59">
        <v>1059.8649400470847</v>
      </c>
    </row>
    <row r="75" spans="1:6">
      <c r="A75" s="48">
        <v>202206</v>
      </c>
      <c r="B75" s="59">
        <v>263.29787824686355</v>
      </c>
      <c r="C75" s="59">
        <v>289.62766607154992</v>
      </c>
      <c r="D75" s="59">
        <v>318.59043267870493</v>
      </c>
      <c r="E75" s="59">
        <v>350.44947594657543</v>
      </c>
    </row>
    <row r="76" spans="1:6">
      <c r="A76" s="48">
        <v>202207</v>
      </c>
      <c r="B76" s="32"/>
      <c r="C76" s="61">
        <v>476.21894772337686</v>
      </c>
      <c r="D76" s="61">
        <v>523.84084249571458</v>
      </c>
      <c r="E76" s="61">
        <v>576.2249267452861</v>
      </c>
      <c r="F76" s="61"/>
    </row>
    <row r="77" spans="1:6">
      <c r="A77" s="48">
        <v>202302</v>
      </c>
      <c r="B77" s="32"/>
      <c r="C77" s="61">
        <v>142.60115477762324</v>
      </c>
      <c r="D77" s="61">
        <v>156.86127025538556</v>
      </c>
      <c r="E77" s="61">
        <v>172.54739728092414</v>
      </c>
      <c r="F77" s="61">
        <v>189.80213700901658</v>
      </c>
    </row>
    <row r="78" spans="1:6">
      <c r="A78" s="48">
        <v>202311</v>
      </c>
      <c r="B78" s="32"/>
      <c r="C78" s="61"/>
      <c r="D78" s="61">
        <v>107.84782380537125</v>
      </c>
      <c r="E78" s="61">
        <v>118.63260618590839</v>
      </c>
      <c r="F78" s="61">
        <v>130.49586680449923</v>
      </c>
    </row>
    <row r="79" spans="1:6" ht="15.5">
      <c r="A79" s="503" t="s">
        <v>1466</v>
      </c>
      <c r="B79" s="59"/>
      <c r="C79" s="59"/>
      <c r="D79" s="59"/>
      <c r="E79" s="59"/>
    </row>
    <row r="80" spans="1:6">
      <c r="A80" s="48">
        <v>202207</v>
      </c>
      <c r="B80" s="59" t="s">
        <v>1467</v>
      </c>
      <c r="C80" s="59"/>
      <c r="D80" s="59"/>
      <c r="E80" s="59"/>
    </row>
    <row r="81" spans="1:6">
      <c r="A81" s="48">
        <v>202212</v>
      </c>
      <c r="B81" s="59" t="s">
        <v>1468</v>
      </c>
      <c r="C81" s="59"/>
      <c r="D81" s="59"/>
      <c r="E81" s="59"/>
    </row>
    <row r="82" spans="1:6">
      <c r="A82" s="48">
        <v>202302</v>
      </c>
      <c r="B82" s="59"/>
      <c r="C82" s="59"/>
      <c r="D82" s="59"/>
      <c r="E82" s="59"/>
    </row>
    <row r="83" spans="1:6" s="233" customFormat="1" ht="15.5">
      <c r="A83" s="502" t="s">
        <v>25</v>
      </c>
    </row>
    <row r="84" spans="1:6" ht="15.5">
      <c r="A84" s="503" t="s">
        <v>582</v>
      </c>
    </row>
    <row r="85" spans="1:6">
      <c r="A85" s="48">
        <v>202201</v>
      </c>
      <c r="B85" s="59">
        <v>2.2345229119152274</v>
      </c>
      <c r="C85" s="59">
        <v>3.6364604689764488</v>
      </c>
      <c r="D85" s="59">
        <v>4.6530756046078707</v>
      </c>
    </row>
    <row r="86" spans="1:6">
      <c r="A86" s="48">
        <v>202206</v>
      </c>
      <c r="B86" s="59">
        <v>1.0460454879749963</v>
      </c>
      <c r="C86" s="59">
        <v>3.259353531254809</v>
      </c>
      <c r="D86" s="59">
        <v>6.1939787096416961</v>
      </c>
      <c r="E86" s="59">
        <v>7.1095956120537727</v>
      </c>
    </row>
    <row r="87" spans="1:6">
      <c r="A87" s="48">
        <v>202208</v>
      </c>
      <c r="C87" s="59">
        <v>4.2441377416103707</v>
      </c>
      <c r="D87" s="59">
        <v>7.0489032699263294</v>
      </c>
      <c r="E87" s="59">
        <v>8.9130707054087992</v>
      </c>
    </row>
    <row r="88" spans="1:6">
      <c r="A88" s="48">
        <v>202211</v>
      </c>
      <c r="C88" s="59">
        <v>5.7965248153082287</v>
      </c>
      <c r="D88" s="59">
        <v>10.144058815946577</v>
      </c>
      <c r="E88" s="59">
        <v>12.476653608179074</v>
      </c>
    </row>
    <row r="89" spans="1:6">
      <c r="A89" s="48">
        <v>202309</v>
      </c>
      <c r="B89" s="59"/>
      <c r="C89" s="59">
        <v>5.7099386735725597</v>
      </c>
      <c r="D89" s="59">
        <v>9.6003099013441044</v>
      </c>
      <c r="E89" s="59">
        <v>16.222831694993733</v>
      </c>
      <c r="F89" s="59">
        <v>19.340866219684578</v>
      </c>
    </row>
    <row r="90" spans="1:6" ht="15.5">
      <c r="A90" s="503" t="s">
        <v>1455</v>
      </c>
    </row>
    <row r="91" spans="1:6" ht="15.5">
      <c r="A91" s="503"/>
    </row>
    <row r="93" spans="1:6" ht="15.5">
      <c r="A93" s="503" t="s">
        <v>1456</v>
      </c>
    </row>
    <row r="94" spans="1:6" ht="15.5">
      <c r="A94" s="503"/>
    </row>
    <row r="96" spans="1:6" ht="15.5">
      <c r="A96" s="503" t="s">
        <v>508</v>
      </c>
      <c r="B96" t="s">
        <v>1469</v>
      </c>
    </row>
    <row r="97" spans="1:6">
      <c r="A97" s="48">
        <v>202201</v>
      </c>
      <c r="B97" s="32">
        <v>202088914.42352611</v>
      </c>
      <c r="C97" s="32">
        <v>286062712.92776287</v>
      </c>
      <c r="D97" s="32">
        <v>338770976.9826659</v>
      </c>
    </row>
    <row r="98" spans="1:6">
      <c r="A98" s="48">
        <v>202206</v>
      </c>
      <c r="B98" s="32">
        <v>211299918</v>
      </c>
      <c r="C98" s="32">
        <v>293446827.08154076</v>
      </c>
      <c r="D98" s="32">
        <v>432668748.57113409</v>
      </c>
      <c r="E98" s="32">
        <v>545217728.01535606</v>
      </c>
    </row>
    <row r="99" spans="1:6">
      <c r="A99" s="48">
        <v>202208</v>
      </c>
      <c r="C99" s="976">
        <v>320970523.00740689</v>
      </c>
      <c r="D99" s="976">
        <v>479222588.53704798</v>
      </c>
      <c r="E99" s="976">
        <v>620832276.07968402</v>
      </c>
      <c r="F99" s="976"/>
    </row>
    <row r="100" spans="1:6">
      <c r="A100" s="48">
        <v>202309</v>
      </c>
      <c r="C100" s="976">
        <v>424061535</v>
      </c>
      <c r="D100" s="976">
        <v>515147746.29035157</v>
      </c>
      <c r="E100" s="976">
        <v>633163384.4241817</v>
      </c>
      <c r="F100" s="976">
        <v>706967592.78793728</v>
      </c>
    </row>
    <row r="101" spans="1:6">
      <c r="C101" s="976"/>
      <c r="D101" s="976"/>
      <c r="E101" s="976"/>
      <c r="F101" s="976"/>
    </row>
    <row r="102" spans="1:6" ht="15.5">
      <c r="A102" s="503" t="s">
        <v>511</v>
      </c>
      <c r="B102" t="s">
        <v>1469</v>
      </c>
      <c r="C102" s="976"/>
      <c r="D102" s="976"/>
      <c r="E102" s="976"/>
      <c r="F102" s="976"/>
    </row>
    <row r="103" spans="1:6">
      <c r="A103" s="48">
        <v>202201</v>
      </c>
      <c r="B103" s="32">
        <v>33474181.010059867</v>
      </c>
      <c r="C103" s="976">
        <v>50218752.883552641</v>
      </c>
      <c r="D103" s="976">
        <v>61083487.191895887</v>
      </c>
      <c r="E103" s="976"/>
      <c r="F103" s="976"/>
    </row>
    <row r="104" spans="1:6">
      <c r="A104" s="48">
        <v>202206</v>
      </c>
      <c r="B104" s="32">
        <v>23632560.999999993</v>
      </c>
      <c r="C104" s="976">
        <v>46184945.700234853</v>
      </c>
      <c r="D104" s="976">
        <v>68820094.990946576</v>
      </c>
      <c r="E104" s="976">
        <v>83752591.223466024</v>
      </c>
      <c r="F104" s="976"/>
    </row>
    <row r="105" spans="1:6">
      <c r="A105" s="48">
        <v>202208</v>
      </c>
      <c r="C105" s="976">
        <v>52128955.673480362</v>
      </c>
      <c r="D105" s="976">
        <v>80447871.264978245</v>
      </c>
      <c r="E105" s="976">
        <v>101172898.67547481</v>
      </c>
      <c r="F105" s="976"/>
    </row>
    <row r="106" spans="1:6">
      <c r="A106" s="48">
        <v>202309</v>
      </c>
      <c r="C106" s="976">
        <v>72273372.246499985</v>
      </c>
      <c r="D106" s="976">
        <v>91236597.317744136</v>
      </c>
      <c r="E106" s="976">
        <v>127123891.94910595</v>
      </c>
      <c r="F106" s="976">
        <v>151201746.3627753</v>
      </c>
    </row>
    <row r="107" spans="1:6">
      <c r="C107" s="32"/>
      <c r="D107" s="32"/>
      <c r="E107" s="32"/>
    </row>
    <row r="108" spans="1:6" ht="15.5">
      <c r="A108" s="503" t="s">
        <v>527</v>
      </c>
      <c r="B108" t="s">
        <v>1469</v>
      </c>
    </row>
    <row r="109" spans="1:6">
      <c r="A109" s="48">
        <v>202201</v>
      </c>
      <c r="B109" s="32">
        <v>13625892.412915682</v>
      </c>
      <c r="C109" s="32">
        <v>19018454.87576665</v>
      </c>
      <c r="D109" s="32">
        <v>22075754.270604514</v>
      </c>
      <c r="E109" s="32"/>
    </row>
    <row r="110" spans="1:6">
      <c r="A110" s="48">
        <v>202206</v>
      </c>
      <c r="B110" s="32">
        <v>11823920</v>
      </c>
      <c r="C110" s="32">
        <v>18387701.858638022</v>
      </c>
      <c r="D110" s="32">
        <v>25989413.435269676</v>
      </c>
      <c r="E110" s="32">
        <v>32474402.231379718</v>
      </c>
    </row>
    <row r="111" spans="1:6">
      <c r="A111" s="48">
        <v>202208</v>
      </c>
      <c r="C111" s="32">
        <v>20112367.004163709</v>
      </c>
      <c r="D111" s="32">
        <v>28785795.188907236</v>
      </c>
      <c r="E111" s="32">
        <v>36978175.902355842</v>
      </c>
    </row>
    <row r="112" spans="1:6">
      <c r="A112" s="48">
        <v>202309</v>
      </c>
      <c r="C112" s="976">
        <v>25068046</v>
      </c>
      <c r="D112" s="976">
        <v>30334671.810756944</v>
      </c>
      <c r="E112" s="976">
        <v>36714516.803785443</v>
      </c>
      <c r="F112" s="976">
        <v>41471992.095790438</v>
      </c>
    </row>
    <row r="113" spans="1:6">
      <c r="C113" s="32"/>
      <c r="D113" s="32"/>
      <c r="E113" s="32"/>
    </row>
    <row r="114" spans="1:6" ht="15.5">
      <c r="A114" s="503" t="s">
        <v>1458</v>
      </c>
      <c r="B114" t="s">
        <v>1469</v>
      </c>
    </row>
    <row r="115" spans="1:6">
      <c r="A115" s="48">
        <v>202201</v>
      </c>
    </row>
    <row r="116" spans="1:6">
      <c r="A116" s="48">
        <v>202206</v>
      </c>
      <c r="B116" s="32">
        <v>1907642</v>
      </c>
      <c r="C116" s="32">
        <v>2020521.0263140872</v>
      </c>
      <c r="D116" s="32">
        <v>2042023.5860964258</v>
      </c>
      <c r="E116" s="32">
        <v>1869763.035622197</v>
      </c>
    </row>
    <row r="117" spans="1:6">
      <c r="A117" s="48">
        <v>202208</v>
      </c>
      <c r="C117">
        <v>0</v>
      </c>
      <c r="D117">
        <v>0</v>
      </c>
      <c r="E117">
        <v>0</v>
      </c>
    </row>
    <row r="118" spans="1:6">
      <c r="A118" s="48">
        <v>202309</v>
      </c>
      <c r="C118" s="976">
        <v>-1617957</v>
      </c>
      <c r="D118" s="976">
        <v>1314762.3973059254</v>
      </c>
      <c r="E118" s="976">
        <v>1686272.9966916523</v>
      </c>
      <c r="F118" s="976">
        <v>2266228.7250563288</v>
      </c>
    </row>
    <row r="120" spans="1:6" ht="15.5">
      <c r="A120" s="503" t="s">
        <v>543</v>
      </c>
      <c r="B120" t="s">
        <v>1469</v>
      </c>
    </row>
    <row r="121" spans="1:6">
      <c r="A121" s="48">
        <v>202201</v>
      </c>
      <c r="B121" s="32">
        <v>8681817.4692557231</v>
      </c>
      <c r="C121" s="32">
        <v>14336194.486694796</v>
      </c>
      <c r="D121" s="32">
        <v>18540858.487355761</v>
      </c>
    </row>
    <row r="122" spans="1:6">
      <c r="A122" s="48">
        <v>202206</v>
      </c>
      <c r="B122" s="32">
        <v>3967265.9999999925</v>
      </c>
      <c r="C122" s="32">
        <v>12202597.555393303</v>
      </c>
      <c r="D122" s="32">
        <v>20034182.407888256</v>
      </c>
      <c r="E122" s="32">
        <v>24403836.126104843</v>
      </c>
    </row>
    <row r="123" spans="1:6">
      <c r="A123" s="48">
        <v>202208</v>
      </c>
      <c r="B123" s="32">
        <v>3967265.9999999925</v>
      </c>
      <c r="C123" s="32">
        <v>16594716.630552094</v>
      </c>
      <c r="D123" s="32">
        <v>27777986.549742009</v>
      </c>
      <c r="E123" s="32">
        <v>34583421.471127667</v>
      </c>
    </row>
    <row r="124" spans="1:6">
      <c r="A124" s="48">
        <v>202309</v>
      </c>
      <c r="B124" s="32"/>
      <c r="C124" s="976">
        <v>17713176.000000045</v>
      </c>
      <c r="D124" s="976">
        <v>29781752.249653168</v>
      </c>
      <c r="E124" s="976">
        <v>50325912.318776399</v>
      </c>
      <c r="F124" s="976">
        <v>59998572.126061022</v>
      </c>
    </row>
    <row r="125" spans="1:6">
      <c r="B125" s="32"/>
      <c r="C125" s="32"/>
      <c r="D125" s="32"/>
      <c r="E125" s="32"/>
    </row>
    <row r="126" spans="1:6">
      <c r="A126" s="48" t="s">
        <v>1460</v>
      </c>
    </row>
    <row r="127" spans="1:6">
      <c r="A127" s="48">
        <v>202201</v>
      </c>
      <c r="B127" s="32">
        <v>747540</v>
      </c>
      <c r="C127" s="32">
        <v>1163333.3333333333</v>
      </c>
      <c r="D127" s="32">
        <v>1380000</v>
      </c>
    </row>
    <row r="128" spans="1:6">
      <c r="A128" s="48">
        <v>202206</v>
      </c>
      <c r="B128" s="32">
        <v>747540</v>
      </c>
      <c r="C128" s="32">
        <v>1135208.3333333333</v>
      </c>
      <c r="D128" s="32">
        <v>1913125</v>
      </c>
      <c r="E128" s="32">
        <v>2230000</v>
      </c>
    </row>
    <row r="129" spans="1:12">
      <c r="A129" s="48">
        <v>202208</v>
      </c>
      <c r="B129" s="32">
        <v>747540</v>
      </c>
      <c r="C129" s="32">
        <v>1296416.6666666667</v>
      </c>
      <c r="D129" s="32">
        <v>2047250</v>
      </c>
      <c r="E129" s="32">
        <v>2610000</v>
      </c>
      <c r="F129" s="32"/>
    </row>
    <row r="130" spans="1:12">
      <c r="A130" s="48">
        <v>202211</v>
      </c>
      <c r="C130" s="32">
        <f>'Capacity Detail'!CA26</f>
        <v>1863494</v>
      </c>
      <c r="D130" s="32">
        <f>'Capacity Detail'!CB26</f>
        <v>2228697.6325651272</v>
      </c>
      <c r="E130" s="32">
        <f>'Capacity Detail'!CC26</f>
        <v>2565934.3624409507</v>
      </c>
    </row>
    <row r="131" spans="1:12">
      <c r="A131" s="48">
        <v>202309</v>
      </c>
      <c r="C131" s="976">
        <v>1863494</v>
      </c>
      <c r="D131" s="976">
        <v>2655548.7744204407</v>
      </c>
      <c r="E131" s="976">
        <v>3466858.4506657463</v>
      </c>
      <c r="F131" s="976">
        <v>4060521.4753986825</v>
      </c>
    </row>
    <row r="132" spans="1:12">
      <c r="C132" s="32"/>
      <c r="D132" s="32"/>
      <c r="E132" s="32"/>
    </row>
    <row r="133" spans="1:12" ht="15.5">
      <c r="A133" s="503" t="s">
        <v>1461</v>
      </c>
    </row>
    <row r="136" spans="1:12" ht="15.5">
      <c r="A136" s="503" t="s">
        <v>1462</v>
      </c>
    </row>
    <row r="137" spans="1:12">
      <c r="A137" s="48">
        <v>202201</v>
      </c>
      <c r="C137" s="61">
        <v>27.858787857065394</v>
      </c>
      <c r="D137" s="61">
        <v>27.215166205202063</v>
      </c>
    </row>
    <row r="138" spans="1:12">
      <c r="A138" s="48">
        <v>202206</v>
      </c>
      <c r="C138" s="61">
        <v>24.131348161930802</v>
      </c>
      <c r="D138" s="61">
        <v>18.517020406116</v>
      </c>
      <c r="E138" s="61">
        <v>18.709235223288069</v>
      </c>
    </row>
    <row r="139" spans="1:12">
      <c r="A139" s="48">
        <v>202208</v>
      </c>
      <c r="C139" s="61">
        <v>61.967828570099336</v>
      </c>
      <c r="D139" s="61">
        <v>37.310768771940985</v>
      </c>
      <c r="E139" s="61">
        <v>29.507226935875348</v>
      </c>
      <c r="L139">
        <v>750</v>
      </c>
    </row>
    <row r="140" spans="1:12">
      <c r="A140" s="48">
        <v>202309</v>
      </c>
      <c r="C140" s="61">
        <v>36.252578501072676</v>
      </c>
      <c r="D140" s="61">
        <v>21.561803954997192</v>
      </c>
      <c r="E140" s="61">
        <v>12.759794584066292</v>
      </c>
      <c r="F140" s="61">
        <v>10.702726426457639</v>
      </c>
    </row>
    <row r="141" spans="1:12">
      <c r="C141" s="61"/>
      <c r="D141" s="61"/>
      <c r="E141" s="61"/>
    </row>
    <row r="142" spans="1:12" ht="15.5">
      <c r="A142" s="503" t="s">
        <v>1465</v>
      </c>
      <c r="L142">
        <v>1.1000000000000001</v>
      </c>
    </row>
    <row r="143" spans="1:12">
      <c r="A143" s="48">
        <v>202201</v>
      </c>
      <c r="C143" s="61">
        <v>101.30738075581942</v>
      </c>
      <c r="D143" s="61">
        <v>126.63422594477429</v>
      </c>
      <c r="L143">
        <f>L139/L142^8</f>
        <v>349.8805351572999</v>
      </c>
    </row>
    <row r="144" spans="1:12">
      <c r="A144" s="48">
        <v>202206</v>
      </c>
      <c r="B144" s="61">
        <v>88.408795555294944</v>
      </c>
      <c r="C144" s="61">
        <v>97.249675110824441</v>
      </c>
      <c r="D144" s="61">
        <v>106.9746426219069</v>
      </c>
      <c r="E144" s="61">
        <v>117.67210688409759</v>
      </c>
      <c r="L144">
        <v>560</v>
      </c>
    </row>
    <row r="145" spans="1:12">
      <c r="A145" s="48">
        <v>202208</v>
      </c>
      <c r="C145" s="59">
        <v>139.94350662975853</v>
      </c>
      <c r="D145" s="59">
        <v>153.93785729273441</v>
      </c>
      <c r="E145" s="59">
        <v>169.33164302200785</v>
      </c>
      <c r="L145">
        <f>L144*0.9</f>
        <v>504</v>
      </c>
    </row>
    <row r="146" spans="1:12">
      <c r="A146" s="48">
        <v>202210</v>
      </c>
      <c r="C146" s="59">
        <v>152.11250720625929</v>
      </c>
      <c r="D146" s="59">
        <v>167.32375792688524</v>
      </c>
      <c r="E146" s="59">
        <v>184.05613371957378</v>
      </c>
    </row>
    <row r="147" spans="1:12">
      <c r="A147" s="48">
        <v>202309</v>
      </c>
      <c r="C147" s="59">
        <v>311.02778732127871</v>
      </c>
      <c r="D147" s="59">
        <v>342.1305660534066</v>
      </c>
      <c r="E147" s="59">
        <v>376.34362265874728</v>
      </c>
      <c r="F147" s="59">
        <v>413.97798492462204</v>
      </c>
    </row>
    <row r="148" spans="1:12">
      <c r="C148" s="59"/>
      <c r="D148" s="59"/>
      <c r="E148" s="59"/>
    </row>
    <row r="149" spans="1:12">
      <c r="A149" s="48" t="s">
        <v>1470</v>
      </c>
      <c r="C149" s="59"/>
      <c r="D149" s="59"/>
      <c r="E149" s="59"/>
      <c r="L149">
        <f>L143/L145</f>
        <v>0.69420741102638872</v>
      </c>
    </row>
    <row r="150" spans="1:12">
      <c r="A150" s="48">
        <v>202208</v>
      </c>
      <c r="B150" s="489">
        <f>B123/B129*1000</f>
        <v>5307.0952724937688</v>
      </c>
      <c r="C150" s="489">
        <f>C123/C129*1000</f>
        <v>12800.449930360939</v>
      </c>
      <c r="D150" s="489">
        <f>D123/D129*1000</f>
        <v>13568.438905723293</v>
      </c>
      <c r="E150" s="489">
        <f t="shared" ref="E150" si="0">E123/E129*1000</f>
        <v>13250.353054071904</v>
      </c>
      <c r="L150">
        <f>L145/L143</f>
        <v>1.4404916803200007</v>
      </c>
    </row>
    <row r="151" spans="1:12">
      <c r="A151" s="48">
        <v>202309</v>
      </c>
      <c r="B151" s="489"/>
      <c r="C151" s="646">
        <v>9505.357140940645</v>
      </c>
      <c r="D151" s="646">
        <v>11214.91442240705</v>
      </c>
      <c r="E151" s="646">
        <v>14516.287017461653</v>
      </c>
      <c r="F151" s="646">
        <v>14776.075558169547</v>
      </c>
    </row>
    <row r="152" spans="1:12">
      <c r="B152" s="489"/>
      <c r="C152" s="489"/>
      <c r="D152" s="489"/>
      <c r="E152" s="489"/>
    </row>
    <row r="153" spans="1:12">
      <c r="A153" s="48" t="s">
        <v>1471</v>
      </c>
      <c r="B153" s="489"/>
      <c r="C153" s="489"/>
      <c r="D153" s="489"/>
      <c r="E153" s="489"/>
    </row>
    <row r="154" spans="1:12">
      <c r="A154" s="48">
        <v>202208</v>
      </c>
      <c r="B154" s="489">
        <f>'Earning Forecast'!G132/'Est. Record'!B129*1000</f>
        <v>3027.9115498836181</v>
      </c>
      <c r="C154" s="489">
        <f>'Earning Forecast'!H132/'Est. Record'!C129*1000</f>
        <v>1292.4409590538019</v>
      </c>
      <c r="D154" s="489">
        <f>'Earning Forecast'!I132/'Est. Record'!D129*1000</f>
        <v>916.21589937721342</v>
      </c>
      <c r="E154" s="489">
        <f>'Earning Forecast'!J132/'Est. Record'!E129*1000</f>
        <v>742.62452107279694</v>
      </c>
    </row>
    <row r="155" spans="1:12">
      <c r="A155" s="48">
        <v>202309</v>
      </c>
      <c r="B155" s="489"/>
      <c r="C155" s="489"/>
      <c r="D155" s="646">
        <v>706.34100870896884</v>
      </c>
      <c r="E155" s="646">
        <v>559.07964734695031</v>
      </c>
      <c r="F155" s="646">
        <v>450.6412155235974</v>
      </c>
    </row>
    <row r="156" spans="1:12">
      <c r="B156" s="489"/>
      <c r="C156" s="489"/>
      <c r="D156" s="489"/>
      <c r="E156" s="489"/>
    </row>
    <row r="157" spans="1:12" s="497" customFormat="1" ht="16" thickBot="1">
      <c r="A157" s="504" t="s">
        <v>57</v>
      </c>
    </row>
    <row r="158" spans="1:12" ht="15.5">
      <c r="A158" s="503" t="s">
        <v>582</v>
      </c>
    </row>
    <row r="159" spans="1:12">
      <c r="A159" s="48">
        <v>202201</v>
      </c>
      <c r="B159">
        <v>-0.15</v>
      </c>
      <c r="C159">
        <v>0.04</v>
      </c>
      <c r="D159">
        <v>0.43</v>
      </c>
    </row>
    <row r="160" spans="1:12">
      <c r="A160" s="48">
        <v>202206</v>
      </c>
      <c r="B160" s="315">
        <v>-1.085272275643768</v>
      </c>
      <c r="C160" s="315">
        <v>0.1460907649524501</v>
      </c>
      <c r="D160" s="315">
        <v>0.7021527948024574</v>
      </c>
      <c r="E160" s="315">
        <v>1.917899216357863</v>
      </c>
    </row>
    <row r="162" spans="1:5" ht="15.5">
      <c r="A162" s="503" t="s">
        <v>1455</v>
      </c>
    </row>
    <row r="163" spans="1:5">
      <c r="A163" s="48">
        <v>202201</v>
      </c>
    </row>
    <row r="164" spans="1:5">
      <c r="A164" s="48">
        <v>202206</v>
      </c>
    </row>
    <row r="166" spans="1:5" ht="15.5">
      <c r="A166" s="503" t="s">
        <v>1456</v>
      </c>
    </row>
    <row r="167" spans="1:5">
      <c r="A167" s="48">
        <v>202201</v>
      </c>
    </row>
    <row r="168" spans="1:5">
      <c r="A168" s="48">
        <v>202206</v>
      </c>
    </row>
    <row r="170" spans="1:5" ht="15.5">
      <c r="A170" s="503" t="s">
        <v>508</v>
      </c>
      <c r="B170" t="s">
        <v>1459</v>
      </c>
    </row>
    <row r="171" spans="1:5">
      <c r="A171" s="48">
        <v>202201</v>
      </c>
      <c r="B171" s="19">
        <v>5521926</v>
      </c>
      <c r="C171" s="19">
        <v>10002221</v>
      </c>
      <c r="D171" s="19">
        <v>13123484</v>
      </c>
    </row>
    <row r="172" spans="1:5">
      <c r="A172" s="48">
        <v>202206</v>
      </c>
      <c r="B172" s="19">
        <v>5670593</v>
      </c>
      <c r="C172" s="19">
        <v>8778337.6340560503</v>
      </c>
      <c r="D172" s="19">
        <v>15209821.777929399</v>
      </c>
      <c r="E172" s="19">
        <v>25078122.275757127</v>
      </c>
    </row>
    <row r="174" spans="1:5" ht="15.5">
      <c r="A174" s="503" t="s">
        <v>511</v>
      </c>
      <c r="B174" t="s">
        <v>1459</v>
      </c>
    </row>
    <row r="175" spans="1:5">
      <c r="A175" s="48">
        <v>202201</v>
      </c>
      <c r="B175" s="19">
        <v>989581.82709865004</v>
      </c>
      <c r="C175" s="19">
        <v>1882098.6385200263</v>
      </c>
      <c r="D175" s="19">
        <v>2583827.1612472194</v>
      </c>
    </row>
    <row r="176" spans="1:5">
      <c r="A176" s="48">
        <v>202206</v>
      </c>
      <c r="B176" s="19">
        <v>1070431</v>
      </c>
      <c r="C176" s="19">
        <v>1720817.6831928096</v>
      </c>
      <c r="D176" s="19">
        <v>3089063.8132570689</v>
      </c>
      <c r="E176" s="19">
        <v>5265813.8797036028</v>
      </c>
    </row>
    <row r="178" spans="1:5" ht="15.5">
      <c r="A178" s="503" t="s">
        <v>527</v>
      </c>
      <c r="B178" t="s">
        <v>1459</v>
      </c>
    </row>
    <row r="179" spans="1:5">
      <c r="A179" s="48">
        <v>202201</v>
      </c>
      <c r="B179" s="19">
        <v>1135425</v>
      </c>
      <c r="C179" s="19">
        <v>1656580</v>
      </c>
      <c r="D179" s="19">
        <v>1648588</v>
      </c>
    </row>
    <row r="180" spans="1:5">
      <c r="A180" s="48">
        <v>202206</v>
      </c>
      <c r="B180" s="19">
        <v>1103220</v>
      </c>
      <c r="C180" s="19">
        <v>1356701.5737279546</v>
      </c>
      <c r="D180" s="19">
        <v>1742301.5316799053</v>
      </c>
      <c r="E180" s="19">
        <v>1869601.133682929</v>
      </c>
    </row>
    <row r="182" spans="1:5" ht="15.5">
      <c r="A182" s="503" t="s">
        <v>1458</v>
      </c>
      <c r="B182" t="s">
        <v>1459</v>
      </c>
    </row>
    <row r="183" spans="1:5">
      <c r="A183" s="48">
        <v>202201</v>
      </c>
      <c r="B183" s="19">
        <v>114666.66666666667</v>
      </c>
      <c r="C183" s="19">
        <v>120400.00000000001</v>
      </c>
      <c r="D183" s="19">
        <v>126420.00000000001</v>
      </c>
    </row>
    <row r="184" spans="1:5">
      <c r="A184" s="48">
        <v>202206</v>
      </c>
      <c r="B184" s="19">
        <v>6632</v>
      </c>
      <c r="C184" s="19">
        <v>36040.355150273856</v>
      </c>
      <c r="D184" s="19">
        <v>174314.84999038043</v>
      </c>
      <c r="E184" s="19">
        <v>476133.28134675528</v>
      </c>
    </row>
    <row r="186" spans="1:5" ht="15.5">
      <c r="A186" s="503" t="s">
        <v>543</v>
      </c>
      <c r="B186" t="s">
        <v>1459</v>
      </c>
    </row>
    <row r="187" spans="1:5">
      <c r="A187" s="48">
        <v>202201</v>
      </c>
      <c r="B187" s="30">
        <v>-221174</v>
      </c>
      <c r="C187" s="19">
        <v>61516</v>
      </c>
      <c r="D187" s="19">
        <v>652418</v>
      </c>
    </row>
    <row r="188" spans="1:5">
      <c r="A188" s="48">
        <v>202206</v>
      </c>
      <c r="B188" s="30">
        <v>-678131</v>
      </c>
      <c r="C188" s="19">
        <v>204228.6791848852</v>
      </c>
      <c r="D188" s="19">
        <v>987784.14994548913</v>
      </c>
      <c r="E188" s="19">
        <v>2698088.5942982803</v>
      </c>
    </row>
    <row r="190" spans="1:5">
      <c r="A190" s="48" t="s">
        <v>1460</v>
      </c>
    </row>
    <row r="191" spans="1:5">
      <c r="A191" s="48">
        <v>202201</v>
      </c>
      <c r="B191" s="19">
        <v>91429</v>
      </c>
      <c r="C191" s="19">
        <v>170055</v>
      </c>
      <c r="D191" s="19">
        <v>217446.25</v>
      </c>
    </row>
    <row r="192" spans="1:5">
      <c r="A192" s="48">
        <v>202206</v>
      </c>
      <c r="B192" s="19">
        <v>91429</v>
      </c>
      <c r="C192" s="19">
        <v>147555</v>
      </c>
      <c r="D192" s="19">
        <v>248531.25000000003</v>
      </c>
      <c r="E192" s="19">
        <v>400800</v>
      </c>
    </row>
    <row r="194" spans="1:6" ht="15.5">
      <c r="A194" s="503" t="s">
        <v>1461</v>
      </c>
    </row>
    <row r="195" spans="1:6">
      <c r="A195" s="48">
        <v>202201</v>
      </c>
    </row>
    <row r="196" spans="1:6">
      <c r="A196" s="48">
        <v>202206</v>
      </c>
    </row>
    <row r="198" spans="1:6" ht="15.5">
      <c r="A198" s="503" t="s">
        <v>1462</v>
      </c>
    </row>
    <row r="199" spans="1:6">
      <c r="A199" s="48">
        <v>202201</v>
      </c>
      <c r="C199" s="33">
        <v>252.73</v>
      </c>
      <c r="D199" s="33">
        <v>30</v>
      </c>
    </row>
    <row r="200" spans="1:6">
      <c r="A200" s="48">
        <v>202206</v>
      </c>
      <c r="C200" s="33">
        <v>162.74546942017398</v>
      </c>
      <c r="D200" s="33">
        <v>15</v>
      </c>
      <c r="E200" s="33">
        <v>15</v>
      </c>
    </row>
    <row r="202" spans="1:6" ht="15.5">
      <c r="A202" s="503" t="s">
        <v>1472</v>
      </c>
    </row>
    <row r="203" spans="1:6">
      <c r="A203" s="48">
        <v>202201</v>
      </c>
      <c r="C203">
        <v>10.43</v>
      </c>
      <c r="D203">
        <v>13.03</v>
      </c>
    </row>
    <row r="204" spans="1:6">
      <c r="A204" s="48">
        <v>202206</v>
      </c>
      <c r="B204" s="33">
        <v>21.614191018307991</v>
      </c>
      <c r="C204" s="33">
        <v>23.775610120138793</v>
      </c>
      <c r="D204" s="33">
        <v>26.153171132152675</v>
      </c>
      <c r="E204" s="33">
        <v>28.768488245367944</v>
      </c>
    </row>
    <row r="206" spans="1:6" s="497" customFormat="1" ht="16" thickBot="1">
      <c r="A206" s="504" t="s">
        <v>1473</v>
      </c>
    </row>
    <row r="207" spans="1:6" ht="15.5">
      <c r="A207" s="503" t="s">
        <v>582</v>
      </c>
    </row>
    <row r="208" spans="1:6">
      <c r="A208" s="48">
        <v>202308</v>
      </c>
      <c r="B208" s="59">
        <v>-0.17344814834741412</v>
      </c>
      <c r="C208" s="59">
        <v>-1.0365664890335735</v>
      </c>
      <c r="D208" s="59">
        <v>-1.2915027566823571</v>
      </c>
      <c r="E208" s="59">
        <v>-1.2100639290945494</v>
      </c>
      <c r="F208" s="59">
        <v>0.42535354036908929</v>
      </c>
    </row>
    <row r="209" spans="1:6">
      <c r="A209" s="48">
        <v>202312</v>
      </c>
      <c r="D209" s="1055">
        <v>3.6492140361593948</v>
      </c>
      <c r="E209" s="1055">
        <v>6.5780032167353699</v>
      </c>
      <c r="F209" s="1055">
        <v>10.163592969286208</v>
      </c>
    </row>
    <row r="210" spans="1:6" ht="15.5">
      <c r="A210" s="503" t="s">
        <v>1455</v>
      </c>
    </row>
    <row r="211" spans="1:6">
      <c r="A211" s="48">
        <v>202308</v>
      </c>
    </row>
    <row r="214" spans="1:6" ht="15.5">
      <c r="A214" s="503" t="s">
        <v>1456</v>
      </c>
    </row>
    <row r="215" spans="1:6">
      <c r="A215" s="48">
        <v>202308</v>
      </c>
    </row>
    <row r="218" spans="1:6" ht="15.5">
      <c r="A218" s="503" t="s">
        <v>508</v>
      </c>
    </row>
    <row r="219" spans="1:6">
      <c r="A219" s="48">
        <v>202308</v>
      </c>
      <c r="B219" s="976">
        <v>27009779</v>
      </c>
      <c r="C219" s="976">
        <v>45286816</v>
      </c>
      <c r="D219" s="976">
        <v>95391127.174618527</v>
      </c>
      <c r="E219" s="976">
        <v>116241696.82456431</v>
      </c>
      <c r="F219" s="976">
        <v>130670783.24634688</v>
      </c>
    </row>
    <row r="220" spans="1:6">
      <c r="A220" s="48">
        <v>202312</v>
      </c>
      <c r="D220" s="976">
        <v>120387865.74270482</v>
      </c>
      <c r="E220" s="976">
        <v>167775207.06106156</v>
      </c>
      <c r="F220" s="976">
        <v>193497770.58884141</v>
      </c>
    </row>
    <row r="222" spans="1:6" ht="15.5">
      <c r="A222" s="503" t="s">
        <v>511</v>
      </c>
    </row>
    <row r="223" spans="1:6">
      <c r="A223" s="48">
        <v>202308</v>
      </c>
      <c r="B223" s="976">
        <v>5761454</v>
      </c>
      <c r="C223" s="976">
        <v>8790456</v>
      </c>
      <c r="D223" s="976">
        <v>19991366.697967429</v>
      </c>
      <c r="E223" s="976">
        <v>26013238.770688079</v>
      </c>
      <c r="F223" s="976">
        <v>33714113.364273816</v>
      </c>
    </row>
    <row r="224" spans="1:6">
      <c r="A224" s="48">
        <v>202312</v>
      </c>
      <c r="D224" s="976">
        <v>26784276.57743372</v>
      </c>
      <c r="E224" s="976">
        <v>38395403.316062205</v>
      </c>
      <c r="F224" s="976">
        <v>44408993.681176446</v>
      </c>
    </row>
    <row r="226" spans="1:7" ht="15.5">
      <c r="A226" s="503" t="s">
        <v>527</v>
      </c>
    </row>
    <row r="227" spans="1:7">
      <c r="A227" s="48">
        <v>202308</v>
      </c>
      <c r="B227" s="976">
        <v>3492385</v>
      </c>
      <c r="C227" s="976">
        <v>5665301</v>
      </c>
      <c r="D227" s="976">
        <v>11851069.46341938</v>
      </c>
      <c r="E227" s="976">
        <v>14671081.69142407</v>
      </c>
      <c r="F227" s="976">
        <v>16357660.917247375</v>
      </c>
    </row>
    <row r="228" spans="1:7">
      <c r="A228" s="48">
        <v>202312</v>
      </c>
      <c r="D228" s="976">
        <v>9631029.2594163865</v>
      </c>
      <c r="E228" s="976">
        <v>11408714.080152187</v>
      </c>
      <c r="F228" s="976">
        <v>10526278.720032973</v>
      </c>
    </row>
    <row r="230" spans="1:7" ht="15.5">
      <c r="A230" s="503" t="s">
        <v>543</v>
      </c>
    </row>
    <row r="231" spans="1:7">
      <c r="A231" s="48">
        <v>202308</v>
      </c>
      <c r="B231" s="976">
        <v>-321455</v>
      </c>
      <c r="C231" s="976">
        <v>-2032348</v>
      </c>
      <c r="D231" s="976">
        <v>-2507105.1852742434</v>
      </c>
      <c r="E231" s="976">
        <v>-2349013.6087200134</v>
      </c>
      <c r="F231" s="976">
        <v>825709.47767352045</v>
      </c>
    </row>
    <row r="232" spans="1:7">
      <c r="A232" s="48">
        <v>202312</v>
      </c>
      <c r="D232" s="976">
        <v>7083967.4053293094</v>
      </c>
      <c r="E232" s="976">
        <v>12769423.749270411</v>
      </c>
      <c r="F232" s="976">
        <v>19729881.723033249</v>
      </c>
    </row>
    <row r="234" spans="1:7">
      <c r="A234" s="48" t="s">
        <v>1460</v>
      </c>
    </row>
    <row r="235" spans="1:7">
      <c r="A235" s="48">
        <v>202308</v>
      </c>
      <c r="B235" s="976">
        <v>90491</v>
      </c>
      <c r="C235" s="976">
        <v>133246</v>
      </c>
      <c r="D235" s="976">
        <v>296822.57247518725</v>
      </c>
      <c r="E235" s="976">
        <v>362291.54327244719</v>
      </c>
      <c r="F235" s="976">
        <v>412083.96373229183</v>
      </c>
    </row>
    <row r="236" spans="1:7">
      <c r="A236" s="48">
        <v>202312</v>
      </c>
    </row>
    <row r="237" spans="1:7">
      <c r="A237" s="1948" t="s">
        <v>24</v>
      </c>
      <c r="B237" s="976"/>
      <c r="C237" s="976"/>
      <c r="D237" s="980">
        <f>SUM(D238:D241)</f>
        <v>365034.78088320076</v>
      </c>
      <c r="E237" s="980">
        <f>SUM(E238:E241)</f>
        <v>504719.09325347329</v>
      </c>
      <c r="F237" s="980">
        <f>SUM(F238:F241)</f>
        <v>600507.80711496924</v>
      </c>
      <c r="G237" s="1000"/>
    </row>
    <row r="238" spans="1:7">
      <c r="A238" s="1949" t="s">
        <v>208</v>
      </c>
      <c r="B238" s="976"/>
      <c r="C238" s="976"/>
      <c r="D238" s="976">
        <v>9843.2856485358225</v>
      </c>
      <c r="E238" s="976">
        <v>0</v>
      </c>
      <c r="F238" s="976">
        <v>0</v>
      </c>
    </row>
    <row r="239" spans="1:7">
      <c r="A239" s="1949" t="s">
        <v>209</v>
      </c>
      <c r="B239" s="976"/>
      <c r="C239" s="976"/>
      <c r="D239" s="976">
        <v>114778.07284688945</v>
      </c>
      <c r="E239" s="976">
        <v>160879.10853686847</v>
      </c>
      <c r="F239" s="976">
        <v>202526.30802876645</v>
      </c>
    </row>
    <row r="240" spans="1:7">
      <c r="A240" s="1949" t="s">
        <v>210</v>
      </c>
      <c r="B240" s="976"/>
      <c r="C240" s="976"/>
      <c r="D240" s="976">
        <v>125098.12975771367</v>
      </c>
      <c r="E240" s="976">
        <v>172044.68750874072</v>
      </c>
      <c r="F240" s="976">
        <v>214739.52863686212</v>
      </c>
    </row>
    <row r="241" spans="1:6">
      <c r="A241" s="1949" t="s">
        <v>211</v>
      </c>
      <c r="D241" s="976">
        <v>115315.2926300618</v>
      </c>
      <c r="E241" s="976">
        <v>171795.29720786412</v>
      </c>
      <c r="F241" s="976">
        <v>183241.97044934059</v>
      </c>
    </row>
    <row r="242" spans="1:6">
      <c r="A242" s="1255"/>
      <c r="D242" s="976"/>
      <c r="E242" s="976"/>
      <c r="F242" s="976"/>
    </row>
    <row r="243" spans="1:6" ht="15.5">
      <c r="A243" s="503" t="s">
        <v>1462</v>
      </c>
    </row>
    <row r="244" spans="1:6">
      <c r="A244" s="48">
        <v>202308</v>
      </c>
      <c r="D244" s="1055">
        <v>51.030719411176236</v>
      </c>
      <c r="E244" s="1055">
        <v>14.881984653887498</v>
      </c>
      <c r="F244" s="1055">
        <v>6.1169553411436022</v>
      </c>
    </row>
    <row r="245" spans="1:6">
      <c r="A245" s="48">
        <v>202312</v>
      </c>
      <c r="D245" s="1055">
        <v>35.56930306466969</v>
      </c>
      <c r="E245" s="1055">
        <v>19.732431822132661</v>
      </c>
      <c r="F245" s="1055">
        <v>12.771074204983231</v>
      </c>
    </row>
    <row r="247" spans="1:6" ht="15.5">
      <c r="A247" s="503" t="s">
        <v>1465</v>
      </c>
    </row>
    <row r="248" spans="1:6">
      <c r="A248" s="48">
        <v>202308</v>
      </c>
      <c r="D248" s="1055"/>
      <c r="E248" s="1055"/>
      <c r="F248" s="1055"/>
    </row>
    <row r="249" spans="1:6">
      <c r="A249" s="48">
        <v>202312</v>
      </c>
      <c r="D249" s="1055">
        <v>29.135396121419053</v>
      </c>
      <c r="E249" s="1055">
        <v>32.04893573356096</v>
      </c>
      <c r="F249" s="1055">
        <v>35.253829306917055</v>
      </c>
    </row>
    <row r="251" spans="1:6" s="497" customFormat="1" ht="16" thickBot="1">
      <c r="A251" s="504" t="s">
        <v>57</v>
      </c>
    </row>
    <row r="252" spans="1:6" ht="15.5">
      <c r="A252" s="503" t="s">
        <v>582</v>
      </c>
    </row>
    <row r="253" spans="1:6">
      <c r="A253" s="48">
        <v>202312</v>
      </c>
      <c r="D253" s="1055"/>
      <c r="E253" s="1055"/>
      <c r="F253" s="1055"/>
    </row>
    <row r="254" spans="1:6" ht="15.5">
      <c r="A254" s="503" t="s">
        <v>1455</v>
      </c>
    </row>
    <row r="255" spans="1:6">
      <c r="A255" s="48">
        <v>202312</v>
      </c>
    </row>
    <row r="257" spans="1:6" ht="15.5">
      <c r="A257" s="503" t="s">
        <v>1456</v>
      </c>
    </row>
    <row r="258" spans="1:6">
      <c r="A258" s="48">
        <v>202312</v>
      </c>
    </row>
    <row r="260" spans="1:6" ht="15.5">
      <c r="A260" s="503" t="s">
        <v>508</v>
      </c>
    </row>
    <row r="261" spans="1:6">
      <c r="A261" s="48">
        <v>202312</v>
      </c>
      <c r="D261" s="976"/>
      <c r="E261" s="976"/>
      <c r="F261" s="976"/>
    </row>
    <row r="263" spans="1:6" ht="15.5">
      <c r="A263" s="503" t="s">
        <v>511</v>
      </c>
    </row>
    <row r="264" spans="1:6">
      <c r="A264" s="48">
        <v>202312</v>
      </c>
      <c r="D264" s="976"/>
      <c r="E264" s="976"/>
      <c r="F264" s="976"/>
    </row>
    <row r="266" spans="1:6" ht="15.5">
      <c r="A266" s="503" t="s">
        <v>527</v>
      </c>
    </row>
    <row r="267" spans="1:6">
      <c r="A267" s="48">
        <v>202312</v>
      </c>
      <c r="D267" s="976"/>
      <c r="E267" s="976"/>
      <c r="F267" s="976"/>
    </row>
    <row r="269" spans="1:6" ht="15.5">
      <c r="A269" s="503" t="s">
        <v>543</v>
      </c>
    </row>
    <row r="270" spans="1:6">
      <c r="A270" s="48">
        <v>202312</v>
      </c>
      <c r="D270" s="976"/>
      <c r="E270" s="976"/>
      <c r="F270" s="976"/>
    </row>
    <row r="272" spans="1:6">
      <c r="A272" s="48" t="s">
        <v>1460</v>
      </c>
    </row>
    <row r="273" spans="1:6">
      <c r="A273" s="48">
        <v>202312</v>
      </c>
      <c r="D273" s="976"/>
      <c r="E273" s="976"/>
      <c r="F273" s="976"/>
    </row>
    <row r="275" spans="1:6" ht="15.5">
      <c r="A275" s="503" t="s">
        <v>1462</v>
      </c>
    </row>
    <row r="276" spans="1:6">
      <c r="A276" s="48">
        <v>202312</v>
      </c>
      <c r="D276" s="1055"/>
      <c r="E276" s="1055"/>
      <c r="F276" s="1055"/>
    </row>
    <row r="278" spans="1:6" ht="15.5">
      <c r="A278" s="503" t="s">
        <v>1465</v>
      </c>
    </row>
    <row r="279" spans="1:6">
      <c r="A279" s="48">
        <v>202312</v>
      </c>
      <c r="D279" s="1055"/>
      <c r="E279" s="1055"/>
      <c r="F279" s="1055"/>
    </row>
  </sheetData>
  <phoneticPr fontId="4"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D8A52-B020-3846-BEE9-B851B1F27631}">
  <sheetPr>
    <pageSetUpPr fitToPage="1"/>
  </sheetPr>
  <dimension ref="A1:S63"/>
  <sheetViews>
    <sheetView showGridLines="0" topLeftCell="A28" zoomScale="125" zoomScaleNormal="100" workbookViewId="0">
      <selection activeCell="B39" sqref="B39"/>
    </sheetView>
  </sheetViews>
  <sheetFormatPr defaultColWidth="10.83203125" defaultRowHeight="15.5"/>
  <cols>
    <col min="1" max="1" width="9" style="667" bestFit="1" customWidth="1"/>
    <col min="2" max="2" width="25.83203125" style="670" customWidth="1"/>
    <col min="3" max="7" width="9.75" style="667" customWidth="1"/>
    <col min="8" max="8" width="11.1640625" style="667" bestFit="1" customWidth="1"/>
    <col min="9" max="9" width="26.75" style="670" customWidth="1"/>
    <col min="10" max="12" width="9.75" style="667" customWidth="1"/>
    <col min="13" max="13" width="10.1640625" style="667" customWidth="1"/>
    <col min="14" max="14" width="9.75" style="667" customWidth="1"/>
    <col min="15" max="16384" width="10.83203125" style="396"/>
  </cols>
  <sheetData>
    <row r="1" spans="2:19">
      <c r="B1" s="668"/>
    </row>
    <row r="2" spans="2:19">
      <c r="B2" s="668" t="s">
        <v>1474</v>
      </c>
      <c r="C2" s="1974" t="s">
        <v>1475</v>
      </c>
      <c r="D2" s="1974"/>
      <c r="E2" s="1974"/>
      <c r="F2" s="1974"/>
      <c r="G2" s="1974"/>
    </row>
    <row r="3" spans="2:19">
      <c r="B3" s="668" t="s">
        <v>1476</v>
      </c>
      <c r="C3" s="671">
        <v>2021</v>
      </c>
      <c r="D3" s="671">
        <v>2022</v>
      </c>
      <c r="E3" s="671" t="s">
        <v>11</v>
      </c>
      <c r="F3" s="671" t="s">
        <v>12</v>
      </c>
      <c r="G3" s="671" t="s">
        <v>13</v>
      </c>
      <c r="I3" s="668" t="s">
        <v>1477</v>
      </c>
      <c r="J3" s="671">
        <v>2021</v>
      </c>
      <c r="K3" s="671">
        <v>2022</v>
      </c>
      <c r="L3" s="671" t="s">
        <v>11</v>
      </c>
      <c r="M3" s="671" t="s">
        <v>12</v>
      </c>
      <c r="N3" s="671" t="s">
        <v>13</v>
      </c>
    </row>
    <row r="4" spans="2:19">
      <c r="B4" s="668" t="s">
        <v>1478</v>
      </c>
      <c r="C4" s="1210">
        <f>'Model 22A NIO '!E42/1000</f>
        <v>63641.315000000002</v>
      </c>
      <c r="D4" s="1210">
        <f>'Model 22A NIO '!F42/1000</f>
        <v>59149.752</v>
      </c>
      <c r="E4" s="1210">
        <f>'Model 22A NIO '!G42/1000</f>
        <v>-44305.088008294515</v>
      </c>
      <c r="F4" s="1210">
        <f>'Model 22A NIO '!H42/1000</f>
        <v>-141406.27392381671</v>
      </c>
      <c r="G4" s="1210">
        <f>'Model 22A NIO '!I42/1000</f>
        <v>-237151.77116608786</v>
      </c>
      <c r="I4" s="669" t="s">
        <v>1479</v>
      </c>
      <c r="J4" s="1210">
        <f>'Model 22A NIO '!E75/1000</f>
        <v>-4321.4449999999997</v>
      </c>
      <c r="K4" s="1210">
        <f>'Model 22A NIO '!F75/1000</f>
        <v>-15614.56</v>
      </c>
      <c r="L4" s="1210">
        <f>'Model 22A NIO '!G75/1000</f>
        <v>-18855.076453016925</v>
      </c>
      <c r="M4" s="1210">
        <f>'Model 22A NIO '!H75/1000</f>
        <v>-13970.13618187001</v>
      </c>
      <c r="N4" s="1210">
        <f>'Model 22A NIO '!I75/1000</f>
        <v>-6375.5412728152069</v>
      </c>
      <c r="P4" s="1945"/>
      <c r="Q4" s="1945"/>
      <c r="R4" s="1945"/>
      <c r="S4" s="1945"/>
    </row>
    <row r="5" spans="2:19">
      <c r="B5" s="669" t="s">
        <v>1480</v>
      </c>
      <c r="C5" s="1210">
        <f>'Model 22A NIO '!E38/1000</f>
        <v>55385.680999999997</v>
      </c>
      <c r="D5" s="1210">
        <f>'Model 22A NIO '!F38/1000</f>
        <v>42212.832000000002</v>
      </c>
      <c r="E5" s="1210">
        <f>'Model 22A NIO '!G38/1000</f>
        <v>-62342.276922952798</v>
      </c>
      <c r="F5" s="1210">
        <f>'Model 22A NIO '!H38/1000</f>
        <v>-165679.17457764415</v>
      </c>
      <c r="G5" s="1210">
        <f>'Model 22A NIO '!I38/1000</f>
        <v>-267829.25093167025</v>
      </c>
      <c r="I5" s="669" t="s">
        <v>1481</v>
      </c>
      <c r="J5" s="1210">
        <f>'Model 22A NIO '!E78/1000</f>
        <v>1708.019</v>
      </c>
      <c r="K5" s="1210">
        <f>'Model 22A NIO '!F78/1000</f>
        <v>2852.3150000000001</v>
      </c>
      <c r="L5" s="1210">
        <f>'Model 22A NIO '!G78/1000</f>
        <v>3599.8368852786166</v>
      </c>
      <c r="M5" s="1210">
        <f>'Model 22A NIO '!H78/1000</f>
        <v>4231.8318028766844</v>
      </c>
      <c r="N5" s="1210">
        <f>'Model 22A NIO '!I78/1000</f>
        <v>5378.4226507629664</v>
      </c>
    </row>
    <row r="6" spans="2:19">
      <c r="B6" s="669" t="s">
        <v>1482</v>
      </c>
      <c r="C6" s="1210">
        <f>'Model 22A NIO '!E39/1000</f>
        <v>2797.8049999999998</v>
      </c>
      <c r="D6" s="1210">
        <f>'Model 22A NIO '!F39/1000</f>
        <v>5118.17</v>
      </c>
      <c r="E6" s="1210">
        <f>'Model 22A NIO '!G39/1000</f>
        <v>5340.8143322176011</v>
      </c>
      <c r="F6" s="1210">
        <f>'Model 22A NIO '!H39/1000</f>
        <v>7924.8207654010021</v>
      </c>
      <c r="G6" s="1210">
        <f>'Model 22A NIO '!I39/1000</f>
        <v>10753.14527911388</v>
      </c>
      <c r="I6" s="669" t="s">
        <v>1483</v>
      </c>
      <c r="J6" s="1210">
        <f>'Model 22A NIO '!E79/1000</f>
        <v>-1717.7470000000001</v>
      </c>
      <c r="K6" s="1210">
        <f>'Model 22A NIO '!F79/1000</f>
        <v>-2303.364</v>
      </c>
      <c r="L6" s="1210">
        <f>'Model 22A NIO '!G79/1000</f>
        <v>-222.64433221760112</v>
      </c>
      <c r="M6" s="1210">
        <f>'Model 22A NIO '!H79/1000</f>
        <v>-2584.006433183401</v>
      </c>
      <c r="N6" s="1210">
        <f>'Model 22A NIO '!I79/1000</f>
        <v>-2828.3245137128774</v>
      </c>
    </row>
    <row r="7" spans="2:19">
      <c r="B7" s="669" t="s">
        <v>1484</v>
      </c>
      <c r="C7" s="1210">
        <f>'Model 22A NIO '!E40/1000</f>
        <v>2056.3519999999999</v>
      </c>
      <c r="D7" s="1210">
        <f>'Model 22A NIO '!F40/1000</f>
        <v>8191.3860000000004</v>
      </c>
      <c r="E7" s="1210">
        <f>'Model 22A NIO '!G40/1000</f>
        <v>8946.7381329312175</v>
      </c>
      <c r="F7" s="1210">
        <f>'Model 22A NIO '!H40/1000</f>
        <v>12031.884092437718</v>
      </c>
      <c r="G7" s="1210">
        <f>'Model 22A NIO '!I40/1000</f>
        <v>15239.036805036947</v>
      </c>
      <c r="I7" s="669" t="s">
        <v>1484</v>
      </c>
      <c r="J7" s="1210">
        <f>'Model 22A NIO '!E80/1000</f>
        <v>-989.44500000000005</v>
      </c>
      <c r="K7" s="1210">
        <f>'Model 22A NIO '!F80/1000</f>
        <v>-6108.7849999999999</v>
      </c>
      <c r="L7" s="1210">
        <f>'Model 22A NIO '!G80/1000</f>
        <v>-755.35213293121751</v>
      </c>
      <c r="M7" s="1210">
        <f>'Model 22A NIO '!H80/1000</f>
        <v>-3085.1459595065007</v>
      </c>
      <c r="N7" s="1210">
        <f>'Model 22A NIO '!I80/1000</f>
        <v>-3207.1527125992293</v>
      </c>
    </row>
    <row r="8" spans="2:19">
      <c r="B8" s="669" t="s">
        <v>1485</v>
      </c>
      <c r="C8" s="1210">
        <f>'Model 22A NIO '!E41/1000</f>
        <v>3401.4769999999999</v>
      </c>
      <c r="D8" s="1210">
        <f>'Model 22A NIO '!F41/1000</f>
        <v>3627.364</v>
      </c>
      <c r="E8" s="1210">
        <f>'Model 22A NIO '!G41/1000</f>
        <v>3749.6364495094663</v>
      </c>
      <c r="F8" s="1210">
        <f>'Model 22A NIO '!H41/1000</f>
        <v>4316.1957959887177</v>
      </c>
      <c r="G8" s="1210">
        <f>'Model 22A NIO '!I41/1000</f>
        <v>4685.2976814315352</v>
      </c>
      <c r="I8" s="669" t="s">
        <v>1485</v>
      </c>
      <c r="J8" s="1210">
        <f>'Model 22A NIO '!E81/1000</f>
        <v>-1483.03</v>
      </c>
      <c r="K8" s="1210">
        <f>'Model 22A NIO '!F81/1000</f>
        <v>-1072.229</v>
      </c>
      <c r="L8" s="1210">
        <f>'Model 22A NIO '!G81/1000</f>
        <v>-122.27244950946607</v>
      </c>
      <c r="M8" s="1210">
        <f>'Model 22A NIO '!H81/1000</f>
        <v>-566.55934647925199</v>
      </c>
      <c r="N8" s="1210">
        <f>'Model 22A NIO '!I81/1000</f>
        <v>-369.1018854428176</v>
      </c>
    </row>
    <row r="9" spans="2:19">
      <c r="B9" s="668" t="s">
        <v>1486</v>
      </c>
      <c r="C9" s="1210">
        <f>'Model 22A NIO '!E52/1000</f>
        <v>19242.286</v>
      </c>
      <c r="D9" s="1210">
        <f>'Model 22A NIO '!F52/1000</f>
        <v>37114.173000000003</v>
      </c>
      <c r="E9" s="1210">
        <f>'Model 22A NIO '!G52/1000</f>
        <v>123671.35811561125</v>
      </c>
      <c r="F9" s="1210">
        <f>'Model 22A NIO '!H52/1000</f>
        <v>218374.40591943677</v>
      </c>
      <c r="G9" s="1210">
        <f>'Model 22A NIO '!I52/1000</f>
        <v>317447.08980164584</v>
      </c>
      <c r="I9" s="669" t="s">
        <v>1487</v>
      </c>
      <c r="J9" s="1210">
        <f>'Model 22A NIO '!E82/1000</f>
        <v>6707.2950000000001</v>
      </c>
      <c r="K9" s="1210">
        <f>'Model 22A NIO '!F82/1000</f>
        <v>11309.258</v>
      </c>
      <c r="L9" s="1210">
        <f>'Model 22A NIO '!G82/1000</f>
        <v>859.89952964318547</v>
      </c>
      <c r="M9" s="1210">
        <f>'Model 22A NIO '!H82/1000</f>
        <v>3984.4144572792275</v>
      </c>
      <c r="N9" s="1210">
        <f>'Model 22A NIO '!I82/1000</f>
        <v>2595.7649409658834</v>
      </c>
    </row>
    <row r="10" spans="2:19">
      <c r="B10" s="669" t="s">
        <v>1488</v>
      </c>
      <c r="C10" s="1210">
        <f>'Model 22A NIO '!E44/1000</f>
        <v>7399.5159999999996</v>
      </c>
      <c r="D10" s="1210">
        <f>'Model 22A NIO '!F44/1000</f>
        <v>15658.665999999999</v>
      </c>
      <c r="E10" s="1210">
        <f>'Model 22A NIO '!G44/1000</f>
        <v>23900.663</v>
      </c>
      <c r="F10" s="1210">
        <f>'Model 22A NIO '!H44/1000</f>
        <v>36812.08259330647</v>
      </c>
      <c r="G10" s="1210">
        <f>'Model 22A NIO '!I44/1000</f>
        <v>53792.795867196415</v>
      </c>
      <c r="I10" s="669" t="s">
        <v>1489</v>
      </c>
      <c r="J10" s="1210">
        <f>'Model 22A NIO '!E83/1000</f>
        <v>-168.11799999999999</v>
      </c>
      <c r="K10" s="1210">
        <f>'Model 22A NIO '!F83/1000</f>
        <v>-552.62900000000002</v>
      </c>
      <c r="L10" s="1210">
        <f>'Model 22A NIO '!G83/1000</f>
        <v>-552.62900000000002</v>
      </c>
      <c r="M10" s="1210">
        <f>'Model 22A NIO '!H83/1000</f>
        <v>-552.62900000000002</v>
      </c>
      <c r="N10" s="1210">
        <f>'Model 22A NIO '!I83/1000</f>
        <v>-552.62900000000002</v>
      </c>
    </row>
    <row r="11" spans="2:19">
      <c r="B11" s="669" t="s">
        <v>1490</v>
      </c>
      <c r="C11" s="1210"/>
      <c r="D11" s="1210"/>
      <c r="E11" s="1210"/>
      <c r="F11" s="1210"/>
      <c r="G11" s="1210"/>
      <c r="I11" s="669" t="s">
        <v>1491</v>
      </c>
      <c r="J11" s="1210">
        <f>'Model 22A NIO '!E84/1000</f>
        <v>643.89499999999998</v>
      </c>
      <c r="K11" s="1210">
        <f>'Model 22A NIO '!F84/1000</f>
        <v>1141.74</v>
      </c>
      <c r="L11" s="1210">
        <f>'Model 22A NIO '!G84/1000</f>
        <v>761.62</v>
      </c>
      <c r="M11" s="1210">
        <f>'Model 22A NIO '!H84/1000</f>
        <v>849.08500000000004</v>
      </c>
      <c r="N11" s="1210">
        <f>'Model 22A NIO '!I84/1000</f>
        <v>917.48166666666668</v>
      </c>
    </row>
    <row r="12" spans="2:19">
      <c r="B12" s="669" t="s">
        <v>1492</v>
      </c>
      <c r="C12" s="1210">
        <f>'Model 22A NIO '!E47/1000</f>
        <v>2988.3739999999998</v>
      </c>
      <c r="D12" s="1210">
        <f>'Model 22A NIO '!F47/1000</f>
        <v>7374.4560000000001</v>
      </c>
      <c r="E12" s="1210">
        <f>'Model 22A NIO '!G47/1000</f>
        <v>6612.8360000000002</v>
      </c>
      <c r="F12" s="1210">
        <f>'Model 22A NIO '!H47/1000</f>
        <v>5763.7510000000002</v>
      </c>
      <c r="G12" s="1210">
        <f>'Model 22A NIO '!I47/1000</f>
        <v>4846.2693333333327</v>
      </c>
      <c r="I12" s="669" t="s">
        <v>1493</v>
      </c>
      <c r="J12" s="1210">
        <f>'Model 22A NIO '!E85/1000</f>
        <v>1010.14</v>
      </c>
      <c r="K12" s="1210">
        <f>'Model 22A NIO '!F85/1000</f>
        <v>2295.8960000000002</v>
      </c>
      <c r="L12" s="1210">
        <f>'Model 22A NIO '!G85/1000</f>
        <v>1164.3766666666668</v>
      </c>
      <c r="M12" s="1210">
        <f>'Model 22A NIO '!H85/1000</f>
        <v>1490.1375555555558</v>
      </c>
      <c r="N12" s="1210">
        <f>'Model 22A NIO '!I85/1000</f>
        <v>1650.1367407407408</v>
      </c>
    </row>
    <row r="13" spans="2:19">
      <c r="B13" s="669" t="s">
        <v>1494</v>
      </c>
      <c r="C13" s="1210">
        <f>'Model 22A NIO '!B48/1000</f>
        <v>148.303</v>
      </c>
      <c r="D13" s="1210">
        <f>'Model 22A NIO '!C48/1000</f>
        <v>115.325</v>
      </c>
      <c r="E13" s="1210">
        <f>'Model 22A NIO '!D48/1000</f>
        <v>300.12099999999998</v>
      </c>
      <c r="F13" s="1210">
        <f>'Model 22A NIO '!E48/1000</f>
        <v>3059.3829999999998</v>
      </c>
      <c r="G13" s="1210">
        <f>'Model 22A NIO '!F48/1000</f>
        <v>6356.4110000000001</v>
      </c>
      <c r="I13" s="669" t="s">
        <v>1495</v>
      </c>
      <c r="J13" s="1210">
        <f>'Model 22A NIO '!E87/1000</f>
        <v>2827.6979999999999</v>
      </c>
      <c r="K13" s="1210">
        <f>'Model 22A NIO '!F87/1000</f>
        <v>3820.0360000000001</v>
      </c>
      <c r="L13" s="1210">
        <f>'Model 22A NIO '!G87/1000</f>
        <v>507.81427995248885</v>
      </c>
      <c r="M13" s="1210">
        <f>'Model 22A NIO '!H87/1000</f>
        <v>2352.9987968421392</v>
      </c>
      <c r="N13" s="1210">
        <f>'Model 22A NIO '!I87/1000</f>
        <v>1532.9308355006053</v>
      </c>
    </row>
    <row r="14" spans="2:19">
      <c r="B14" s="669" t="s">
        <v>1496</v>
      </c>
      <c r="C14" s="1217">
        <f>'Model 22A NIO '!E49/1000</f>
        <v>0</v>
      </c>
      <c r="D14" s="1217">
        <f>'Model 22A NIO '!F49/1000</f>
        <v>0</v>
      </c>
      <c r="E14" s="1217">
        <f>'Model 22A NIO '!G49/1000</f>
        <v>0</v>
      </c>
      <c r="F14" s="1217">
        <f>'Model 22A NIO '!H49/1000</f>
        <v>0</v>
      </c>
      <c r="G14" s="1217">
        <f>'Model 22A NIO '!I49/1000</f>
        <v>0</v>
      </c>
      <c r="I14" s="669" t="s">
        <v>1497</v>
      </c>
      <c r="J14" s="1210">
        <f>'Model 22A NIO '!E88/1000</f>
        <v>-2586.4789999999998</v>
      </c>
      <c r="K14" s="1210">
        <f>'Model 22A NIO '!F88/1000</f>
        <v>-823.94899999999996</v>
      </c>
      <c r="L14" s="1210">
        <f>'Model 22A NIO '!G88/1000</f>
        <v>-404.073125</v>
      </c>
      <c r="M14" s="1210">
        <f>'Model 22A NIO '!H88/1000</f>
        <v>-381.30570754483483</v>
      </c>
      <c r="N14" s="1210">
        <f>'Model 22A NIO '!I88/1000</f>
        <v>-377.41856712760227</v>
      </c>
    </row>
    <row r="15" spans="2:19">
      <c r="B15" s="669" t="s">
        <v>1498</v>
      </c>
      <c r="C15" s="1210">
        <f>'Model 22A NIO '!E50/1000</f>
        <v>0</v>
      </c>
      <c r="D15" s="1210">
        <f>'Model 22A NIO '!F50/1000</f>
        <v>0</v>
      </c>
      <c r="E15" s="1210">
        <f>'Model 22A NIO '!G50/1000</f>
        <v>0</v>
      </c>
      <c r="F15" s="1210">
        <f>'Model 22A NIO '!H50/1000</f>
        <v>0</v>
      </c>
      <c r="G15" s="1210">
        <f>'Model 22A NIO '!I50/1000</f>
        <v>0</v>
      </c>
      <c r="I15" s="668" t="s">
        <v>1499</v>
      </c>
      <c r="J15" s="1210">
        <f>'Model 22A NIO '!E89/1000</f>
        <v>5983.335</v>
      </c>
      <c r="K15" s="1210">
        <f>'Model 22A NIO '!F89/1000</f>
        <v>10571.096</v>
      </c>
      <c r="L15" s="1210">
        <f>'Model 22A NIO '!G89/1000</f>
        <v>4836.5763218826723</v>
      </c>
      <c r="M15" s="1210">
        <f>'Model 22A NIO '!H89/1000</f>
        <v>5738.8211658396203</v>
      </c>
      <c r="N15" s="1210">
        <f>'Model 22A NIO '!I89/1000</f>
        <v>4740.110155754337</v>
      </c>
    </row>
    <row r="16" spans="2:19">
      <c r="B16" s="669" t="s">
        <v>1500</v>
      </c>
      <c r="C16" s="1210">
        <f>'Model 22A NIO '!E51/1000</f>
        <v>5795.0129999999999</v>
      </c>
      <c r="D16" s="1210">
        <f>'Model 22A NIO '!F51/1000</f>
        <v>7724.64</v>
      </c>
      <c r="E16" s="1210">
        <f>'Model 22A NIO '!G51/1000</f>
        <v>8060.6677822779193</v>
      </c>
      <c r="F16" s="1210">
        <f>'Model 22A NIO '!H51/1000</f>
        <v>11960.600659463678</v>
      </c>
      <c r="G16" s="1210">
        <f>'Model 22A NIO '!I51/1000</f>
        <v>16229.272601116074</v>
      </c>
      <c r="I16" s="669" t="s">
        <v>1501</v>
      </c>
      <c r="J16" s="1210">
        <f>'Model 22A NIO '!E91/1000</f>
        <v>-4078.7640000000001</v>
      </c>
      <c r="K16" s="1210">
        <f>'Model 22A NIO '!F91/1000</f>
        <v>-6972.8540000000003</v>
      </c>
      <c r="L16" s="1210">
        <f>'Model 22A NIO '!G91/1000</f>
        <v>-11841.833885278616</v>
      </c>
      <c r="M16" s="1210">
        <f>'Model 22A NIO '!H91/1000</f>
        <v>-17143.251396183146</v>
      </c>
      <c r="N16" s="1210">
        <f>'Model 22A NIO '!I91/1000</f>
        <v>-22359.135924652921</v>
      </c>
    </row>
    <row r="17" spans="2:14">
      <c r="B17" s="668" t="s">
        <v>1502</v>
      </c>
      <c r="C17" s="1210">
        <f>'Model 22A NIO '!E53/1000</f>
        <v>82883.600999999995</v>
      </c>
      <c r="D17" s="1210">
        <f>'Model 22A NIO '!F53/1000</f>
        <v>96263.925000000003</v>
      </c>
      <c r="E17" s="1210">
        <f>'Model 22A NIO '!G53/1000</f>
        <v>79366.270107316726</v>
      </c>
      <c r="F17" s="1210">
        <f>'Model 22A NIO '!H53/1000</f>
        <v>76968.131995620075</v>
      </c>
      <c r="G17" s="1210">
        <f>'Model 22A NIO '!I53/1000</f>
        <v>80295.318635557953</v>
      </c>
      <c r="I17" s="669" t="s">
        <v>1503</v>
      </c>
      <c r="J17" s="1210">
        <f>'Model 22A NIO '!E92/1000</f>
        <v>0</v>
      </c>
      <c r="K17" s="1210">
        <f>'Model 22A NIO '!F92/1000</f>
        <v>0</v>
      </c>
      <c r="L17" s="1210">
        <f>'Model 22A NIO '!G92/1000</f>
        <v>0</v>
      </c>
      <c r="M17" s="1210">
        <f>'Model 22A NIO '!H92/1000</f>
        <v>0</v>
      </c>
      <c r="N17" s="1210">
        <f>'Model 22A NIO '!I92/1000</f>
        <v>0</v>
      </c>
    </row>
    <row r="18" spans="2:14">
      <c r="B18" s="668" t="s">
        <v>1504</v>
      </c>
      <c r="C18" s="1210">
        <f>'Model 22A NIO '!E58/1000</f>
        <v>29198.151999999998</v>
      </c>
      <c r="D18" s="1210">
        <f>'Model 22A NIO '!F58/1000</f>
        <v>45852.053999999996</v>
      </c>
      <c r="E18" s="1210">
        <f>'Model 22A NIO '!G58/1000</f>
        <v>47397.651011389062</v>
      </c>
      <c r="F18" s="1210">
        <f>'Model 22A NIO '!H58/1000</f>
        <v>54559.300558821124</v>
      </c>
      <c r="G18" s="1210">
        <f>'Model 22A NIO '!I58/1000</f>
        <v>59224.969508181021</v>
      </c>
      <c r="I18" s="669" t="s">
        <v>1505</v>
      </c>
      <c r="J18" s="1210">
        <f>'Model 22A NIO '!E93/1000</f>
        <v>-136858.78899999999</v>
      </c>
      <c r="K18" s="1210">
        <f>'Model 22A NIO '!F93/1000</f>
        <v>-89860.729000000007</v>
      </c>
      <c r="L18" s="1210">
        <f>'Model 22A NIO '!G93/1000</f>
        <v>-78188.151333333328</v>
      </c>
      <c r="M18" s="1210">
        <f>'Model 22A NIO '!H93/1000</f>
        <v>-78188.151333333328</v>
      </c>
      <c r="N18" s="1210">
        <f>'Model 22A NIO '!I93/1000</f>
        <v>-78188.151333333328</v>
      </c>
    </row>
    <row r="19" spans="2:14">
      <c r="B19" s="669" t="s">
        <v>1487</v>
      </c>
      <c r="C19" s="1210">
        <f>'Model 22A NIO '!E55/1000</f>
        <v>13266.785</v>
      </c>
      <c r="D19" s="1210">
        <f>'Model 22A NIO '!F55/1000</f>
        <v>25509.987000000001</v>
      </c>
      <c r="E19" s="1210">
        <f>'Model 22A NIO '!G55/1000</f>
        <v>26369.886529643187</v>
      </c>
      <c r="F19" s="1210">
        <f>'Model 22A NIO '!H55/1000</f>
        <v>30354.300986922412</v>
      </c>
      <c r="G19" s="1210">
        <f>'Model 22A NIO '!I55/1000</f>
        <v>32950.065927888296</v>
      </c>
      <c r="I19" s="669" t="s">
        <v>1506</v>
      </c>
      <c r="J19" s="1210">
        <f>'Model 22A NIO '!E94/1000</f>
        <v>101172.849</v>
      </c>
      <c r="K19" s="1210">
        <f>'Model 22A NIO '!F94/1000</f>
        <v>107218.6</v>
      </c>
      <c r="L19" s="1210">
        <f>'Model 22A NIO '!G94/1000</f>
        <v>404.073125</v>
      </c>
      <c r="M19" s="1210">
        <f>'Model 22A NIO '!H94/1000</f>
        <v>381.30570754483483</v>
      </c>
      <c r="N19" s="1210">
        <f>'Model 22A NIO '!I94/1000</f>
        <v>377.41856712760227</v>
      </c>
    </row>
    <row r="20" spans="2:14">
      <c r="B20" s="669" t="s">
        <v>1507</v>
      </c>
      <c r="C20" s="1210">
        <f>'Model 22A NIO '!E56/1000</f>
        <v>7297.9620000000004</v>
      </c>
      <c r="D20" s="1210">
        <f>'Model 22A NIO '!F56/1000</f>
        <v>5277.1260000000002</v>
      </c>
      <c r="E20" s="1210">
        <f>'Model 22A NIO '!G56/1000</f>
        <v>5455.0092017933921</v>
      </c>
      <c r="F20" s="1210">
        <f>'Model 22A NIO '!H56/1000</f>
        <v>6279.24549510409</v>
      </c>
      <c r="G20" s="1210">
        <f>'Model 22A NIO '!I56/1000</f>
        <v>6816.2186679974966</v>
      </c>
      <c r="I20" s="668" t="s">
        <v>1508</v>
      </c>
      <c r="J20" s="1210">
        <f>'Model 22A NIO '!E95/1000</f>
        <v>-39764.703999999998</v>
      </c>
      <c r="K20" s="1210">
        <f>'Model 22A NIO '!F95/1000</f>
        <v>10385.017</v>
      </c>
      <c r="L20" s="1210">
        <f>'Model 22A NIO '!G95/1000</f>
        <v>-89625.912093611943</v>
      </c>
      <c r="M20" s="1210">
        <f>'Model 22A NIO '!H95/1000</f>
        <v>-94950.09702197164</v>
      </c>
      <c r="N20" s="1210">
        <f>'Model 22A NIO '!I95/1000</f>
        <v>-100169.86869085865</v>
      </c>
    </row>
    <row r="21" spans="2:14">
      <c r="B21" s="669" t="s">
        <v>1495</v>
      </c>
      <c r="C21" s="1210">
        <f>'Model 22A NIO '!E57/1000</f>
        <v>8633.4050000000007</v>
      </c>
      <c r="D21" s="1210">
        <f>'Model 22A NIO '!F57/1000</f>
        <v>15064.941000000001</v>
      </c>
      <c r="E21" s="1210">
        <f>'Model 22A NIO '!G57/1000</f>
        <v>15572.755279952489</v>
      </c>
      <c r="F21" s="1210">
        <f>'Model 22A NIO '!H57/1000</f>
        <v>17925.754076794627</v>
      </c>
      <c r="G21" s="1210">
        <f>'Model 22A NIO '!I57/1000</f>
        <v>19458.684912295234</v>
      </c>
      <c r="I21" s="669" t="s">
        <v>1509</v>
      </c>
      <c r="J21" s="1210">
        <f>'Model 22A NIO '!E97/1000</f>
        <v>3646.8719999999998</v>
      </c>
      <c r="K21" s="1210">
        <f>'Model 22A NIO '!F97/1000</f>
        <v>-1659.231</v>
      </c>
      <c r="L21" s="1210">
        <f>'Model 22A NIO '!G97/1000</f>
        <v>-910.69669820660727</v>
      </c>
      <c r="M21" s="1210">
        <f>'Model 22A NIO '!H97/1000</f>
        <v>-155.48561668930202</v>
      </c>
      <c r="N21" s="1210">
        <f>'Model 22A NIO '!I97/1000</f>
        <v>-344.77654610659368</v>
      </c>
    </row>
    <row r="22" spans="2:14">
      <c r="B22" s="668" t="s">
        <v>1510</v>
      </c>
      <c r="C22" s="1210">
        <f>('Model 22A NIO '!E60+'Model 22A NIO '!E61)/1000</f>
        <v>18975.525000000001</v>
      </c>
      <c r="D22" s="1210">
        <f>('Model 22A NIO '!F60+'Model 22A NIO '!F61)/1000</f>
        <v>26543.705999999998</v>
      </c>
      <c r="E22" s="1210">
        <f>('Model 22A NIO '!G60+'Model 22A NIO '!G61)/1000</f>
        <v>25791.153882277922</v>
      </c>
      <c r="F22" s="1210">
        <f>('Model 22A NIO '!H60+'Model 22A NIO '!H61)/1000</f>
        <v>28711.36484946368</v>
      </c>
      <c r="G22" s="1210">
        <f>('Model 22A NIO '!I60+'Model 22A NIO '!I61)/1000</f>
        <v>32098.287072116073</v>
      </c>
      <c r="I22" s="669" t="s">
        <v>1511</v>
      </c>
      <c r="J22" s="1210">
        <f>'Model 22A NIO '!E98/1000</f>
        <v>14481.870999999999</v>
      </c>
      <c r="K22" s="1210">
        <f>'Model 22A NIO '!F98/1000</f>
        <v>75.475999999999999</v>
      </c>
      <c r="L22" s="1210">
        <f>'Model 22A NIO '!G98/1000</f>
        <v>0</v>
      </c>
      <c r="M22" s="1210">
        <f>'Model 22A NIO '!H98/1000</f>
        <v>0</v>
      </c>
      <c r="N22" s="1210">
        <f>'Model 22A NIO '!I98/1000</f>
        <v>0</v>
      </c>
    </row>
    <row r="23" spans="2:14">
      <c r="B23" s="669" t="s">
        <v>1512</v>
      </c>
      <c r="C23" s="1210">
        <f>'Model 22A NIO '!E60/1000</f>
        <v>9739.1759999999995</v>
      </c>
      <c r="D23" s="1210">
        <f>'Model 22A NIO '!F60/1000</f>
        <v>10885.799000000001</v>
      </c>
      <c r="E23" s="1210">
        <f>'Model 22A NIO '!G60/1000</f>
        <v>9797.2191000000003</v>
      </c>
      <c r="F23" s="1210">
        <f>'Model 22A NIO '!H60/1000</f>
        <v>8817.49719</v>
      </c>
      <c r="G23" s="1210">
        <f>'Model 22A NIO '!I60/1000</f>
        <v>7935.7474709999997</v>
      </c>
      <c r="I23" s="669" t="s">
        <v>1513</v>
      </c>
      <c r="J23" s="1210">
        <f>'Model 22A NIO '!E101/1000</f>
        <v>0</v>
      </c>
      <c r="K23" s="1210">
        <f>'Model 22A NIO '!F101/1000</f>
        <v>0</v>
      </c>
      <c r="L23" s="1210">
        <f>'Model 22A NIO '!G101/1000</f>
        <v>0</v>
      </c>
      <c r="M23" s="1210">
        <f>'Model 22A NIO '!H101/1000</f>
        <v>0</v>
      </c>
      <c r="N23" s="1210">
        <f>'Model 22A NIO '!I101/1000</f>
        <v>0</v>
      </c>
    </row>
    <row r="24" spans="2:14">
      <c r="B24" s="669" t="s">
        <v>1514</v>
      </c>
      <c r="C24" s="1210">
        <f>'Model 22A NIO '!E61/1000</f>
        <v>9236.3490000000002</v>
      </c>
      <c r="D24" s="1210">
        <f>'Model 22A NIO '!F61/1000</f>
        <v>15657.906999999999</v>
      </c>
      <c r="E24" s="1210">
        <f>'Model 22A NIO '!G61/1000</f>
        <v>15993.93478227792</v>
      </c>
      <c r="F24" s="1210">
        <f>'Model 22A NIO '!H61/1000</f>
        <v>19893.867659463678</v>
      </c>
      <c r="G24" s="1210">
        <f>'Model 22A NIO '!I61/1000</f>
        <v>24162.539601116074</v>
      </c>
      <c r="I24" s="669" t="s">
        <v>1515</v>
      </c>
      <c r="J24" s="1210">
        <f>'Model 22A NIO '!E99/1000</f>
        <v>0</v>
      </c>
      <c r="K24" s="1210">
        <f>'Model 22A NIO '!F99/1000</f>
        <v>-32.628999999999998</v>
      </c>
      <c r="L24" s="1210">
        <f>'Model 22A NIO '!G99/1000</f>
        <v>0</v>
      </c>
      <c r="M24" s="1210">
        <f>'Model 22A NIO '!H99/1000</f>
        <v>0</v>
      </c>
      <c r="N24" s="1210">
        <f>'Model 22A NIO '!I99/1000</f>
        <v>0</v>
      </c>
    </row>
    <row r="25" spans="2:14">
      <c r="B25" s="668" t="s">
        <v>1516</v>
      </c>
      <c r="C25" s="1210">
        <f>'Model 22A NIO '!E62/1000</f>
        <v>48173.677000000003</v>
      </c>
      <c r="D25" s="1210">
        <f>'Model 22A NIO '!F62/1000</f>
        <v>72395.759999999995</v>
      </c>
      <c r="E25" s="1376">
        <f>'Model 22A NIO '!G62/1000</f>
        <v>73188.80489366698</v>
      </c>
      <c r="F25" s="1376">
        <f>'Model 22A NIO '!H62/1000</f>
        <v>83270.665408284811</v>
      </c>
      <c r="G25" s="1376">
        <f>'Model 22A NIO '!I62/1000</f>
        <v>91323.256580297093</v>
      </c>
      <c r="I25" s="668" t="s">
        <v>1517</v>
      </c>
      <c r="J25" s="1210">
        <f>'Model 22A NIO '!E102/1000</f>
        <v>18128.742999999999</v>
      </c>
      <c r="K25" s="1210">
        <f>'Model 22A NIO '!F102/1000</f>
        <v>-1616.384</v>
      </c>
      <c r="L25" s="1210">
        <f>'Model 22A NIO '!G102/1000</f>
        <v>-910.69669820660727</v>
      </c>
      <c r="M25" s="1210">
        <f>'Model 22A NIO '!H102/1000</f>
        <v>-155.48561668930202</v>
      </c>
      <c r="N25" s="1210">
        <f>'Model 22A NIO '!I102/1000</f>
        <v>-344.77654610659368</v>
      </c>
    </row>
    <row r="26" spans="2:14">
      <c r="B26" s="669" t="s">
        <v>1518</v>
      </c>
      <c r="C26" s="1210">
        <f>'Model 22A NIO '!E65/1000</f>
        <v>92469.964000000007</v>
      </c>
      <c r="D26" s="1210">
        <f>'Model 22A NIO '!F65/1000</f>
        <v>94595.983999999997</v>
      </c>
      <c r="E26" s="1210">
        <f>'Model 22A NIO '!G65/1000</f>
        <v>95760.360666666675</v>
      </c>
      <c r="F26" s="1210">
        <f>'Model 22A NIO '!H65/1000</f>
        <v>97250.498222222217</v>
      </c>
      <c r="G26" s="1210">
        <f>'Model 22A NIO '!I65/1000</f>
        <v>98900.634962962969</v>
      </c>
      <c r="I26" s="669" t="s">
        <v>1519</v>
      </c>
      <c r="J26" s="1210">
        <f>'Model 22A NIO '!E103/1000</f>
        <v>-500.959</v>
      </c>
      <c r="K26" s="1210">
        <f>'Model 22A NIO '!F103/1000</f>
        <v>-121.896</v>
      </c>
      <c r="L26" s="1210">
        <f>'Model 22A NIO '!G103/1000</f>
        <v>0</v>
      </c>
      <c r="M26" s="1210">
        <f>'Model 22A NIO '!H103/1000</f>
        <v>0</v>
      </c>
      <c r="N26" s="1210">
        <f>'Model 22A NIO '!I103/1000</f>
        <v>0</v>
      </c>
    </row>
    <row r="27" spans="2:14">
      <c r="B27" s="669" t="s">
        <v>1520</v>
      </c>
      <c r="C27" s="1210">
        <f>'Model 22A NIO '!E66/1000</f>
        <v>-1849.6</v>
      </c>
      <c r="D27" s="1210">
        <f>'Model 22A NIO '!F66/1000</f>
        <v>-1849.6</v>
      </c>
      <c r="E27" s="1210">
        <f>'Model 22A NIO '!G66/1000</f>
        <v>-1647.5634375</v>
      </c>
      <c r="F27" s="1210">
        <f>'Model 22A NIO '!H66/1000</f>
        <v>-1456.9105837275827</v>
      </c>
      <c r="G27" s="1210">
        <f>'Model 22A NIO '!I66/1000</f>
        <v>-1268.2013001637815</v>
      </c>
      <c r="I27" s="668" t="s">
        <v>1521</v>
      </c>
      <c r="J27" s="1210">
        <f>'Model 22A NIO '!E104/1000</f>
        <v>-20475.03</v>
      </c>
      <c r="K27" s="1210">
        <f>'Model 22A NIO '!F104/1000</f>
        <v>3603.2730000000001</v>
      </c>
      <c r="L27" s="1210">
        <f>'Model 22A NIO '!G104/1000</f>
        <v>-104555.1089229528</v>
      </c>
      <c r="M27" s="1210">
        <f>'Model 22A NIO '!H104/1000</f>
        <v>-103336.89765469133</v>
      </c>
      <c r="N27" s="1210">
        <f>'Model 22A NIO '!I104/1000</f>
        <v>-102150.07635402611</v>
      </c>
    </row>
    <row r="28" spans="2:14">
      <c r="B28" s="669" t="s">
        <v>1522</v>
      </c>
      <c r="C28" s="1210">
        <f>'Model 22A NIO '!E67/1000</f>
        <v>-55634.14</v>
      </c>
      <c r="D28" s="1210">
        <f>'Model 22A NIO '!F67/1000</f>
        <v>-69914.23</v>
      </c>
      <c r="E28" s="1376">
        <f>'Model 22A NIO '!G67/1000</f>
        <v>-89173.379578016917</v>
      </c>
      <c r="F28" s="1376">
        <f>'Model 22A NIO '!H67/1000</f>
        <v>-103524.82146743177</v>
      </c>
      <c r="G28" s="1376">
        <f>'Model 22A NIO '!I67/1000</f>
        <v>-110277.78130737458</v>
      </c>
      <c r="I28" s="668" t="s">
        <v>1523</v>
      </c>
      <c r="J28" s="1210">
        <f>'Model 22A NIO '!E106/1000</f>
        <v>38667.144</v>
      </c>
      <c r="K28" s="1210">
        <f>'Model 22A NIO '!F106/1000</f>
        <v>18192.114000000001</v>
      </c>
      <c r="L28" s="1210">
        <f>'Model 22A NIO '!G106/1000</f>
        <v>21795.386999999999</v>
      </c>
      <c r="M28" s="1210">
        <f>'Model 22A NIO '!H106/1000</f>
        <v>-82759.721922952798</v>
      </c>
      <c r="N28" s="1210">
        <f>'Model 22A NIO '!I106/1000</f>
        <v>-186096.61957764413</v>
      </c>
    </row>
    <row r="29" spans="2:14">
      <c r="B29" s="669" t="s">
        <v>1524</v>
      </c>
      <c r="C29" s="1210">
        <f>'Model 22A NIO '!E68</f>
        <v>0</v>
      </c>
      <c r="D29" s="1210">
        <f>'Model 22A NIO '!F68</f>
        <v>0</v>
      </c>
      <c r="E29" s="1210">
        <f>'Model 22A NIO '!G68</f>
        <v>0</v>
      </c>
      <c r="F29" s="1210">
        <f>'Model 22A NIO '!H68</f>
        <v>0</v>
      </c>
      <c r="G29" s="1210">
        <f>'Model 22A NIO '!I68</f>
        <v>0</v>
      </c>
      <c r="I29" s="668" t="s">
        <v>1525</v>
      </c>
      <c r="J29" s="1210">
        <f>'Model 22A NIO '!E107/1000</f>
        <v>18192.114000000001</v>
      </c>
      <c r="K29" s="1210">
        <f>'Model 22A NIO '!F107/1000</f>
        <v>21795.386999999999</v>
      </c>
      <c r="L29" s="1210">
        <f>'Model 22A NIO '!G107/1000</f>
        <v>-82759.721922952798</v>
      </c>
      <c r="M29" s="1210">
        <f>'Model 22A NIO '!H107/1000</f>
        <v>-186096.61957764413</v>
      </c>
      <c r="N29" s="1210">
        <f>'Model 22A NIO '!I107/1000</f>
        <v>-288246.69593167026</v>
      </c>
    </row>
    <row r="30" spans="2:14">
      <c r="B30" s="669" t="s">
        <v>1526</v>
      </c>
      <c r="C30" s="1210">
        <f>'Model 22A NIO '!E69/1000</f>
        <v>-276.3</v>
      </c>
      <c r="D30" s="1210">
        <f>'Model 22A NIO '!F69/1000</f>
        <v>1036.011</v>
      </c>
      <c r="E30" s="1210">
        <f>'Model 22A NIO '!G69/1000</f>
        <v>1238.0475624999999</v>
      </c>
      <c r="F30" s="1210">
        <f>'Model 22A NIO '!H69/1000</f>
        <v>1428.7004162724174</v>
      </c>
      <c r="G30" s="1210">
        <f>'Model 22A NIO '!I69/1000</f>
        <v>1617.4096998362186</v>
      </c>
      <c r="I30" s="833"/>
      <c r="J30" s="832"/>
      <c r="K30" s="832"/>
      <c r="L30" s="832"/>
      <c r="M30" s="832"/>
      <c r="N30" s="832"/>
    </row>
    <row r="31" spans="2:14">
      <c r="B31" s="668" t="s">
        <v>1527</v>
      </c>
      <c r="C31" s="1210">
        <f>'Model 22A NIO '!E71/1000</f>
        <v>34709.923999999999</v>
      </c>
      <c r="D31" s="1210">
        <f>'Model 22A NIO '!F71/1000</f>
        <v>23868.165000000001</v>
      </c>
      <c r="E31" s="1210">
        <f>'Model 22A NIO '!G71/1000</f>
        <v>6177.4652136497498</v>
      </c>
      <c r="F31" s="1210">
        <f>'Model 22A NIO '!H71/1000</f>
        <v>-6302.5334126647103</v>
      </c>
      <c r="G31" s="1210">
        <f>'Model 22A NIO '!I71/1000</f>
        <v>-11027.937944739169</v>
      </c>
      <c r="I31" s="834" t="s">
        <v>1528</v>
      </c>
      <c r="J31" s="830">
        <v>2021</v>
      </c>
      <c r="K31" s="830">
        <v>2022</v>
      </c>
      <c r="L31" s="830" t="s">
        <v>11</v>
      </c>
      <c r="M31" s="830" t="s">
        <v>12</v>
      </c>
      <c r="N31" s="830" t="s">
        <v>13</v>
      </c>
    </row>
    <row r="32" spans="2:14">
      <c r="B32" s="668" t="s">
        <v>1529</v>
      </c>
      <c r="C32" s="1210">
        <f>'Model 22A NIO '!E72/1000</f>
        <v>82883.600999999995</v>
      </c>
      <c r="D32" s="1210">
        <f>'Model 22A NIO '!F72/1000</f>
        <v>96263.925000000003</v>
      </c>
      <c r="E32" s="1210">
        <f>'Model 22A NIO '!G72/1000</f>
        <v>79366.270107316726</v>
      </c>
      <c r="F32" s="1210">
        <f>'Model 22A NIO '!H72/1000</f>
        <v>76968.131995620104</v>
      </c>
      <c r="G32" s="1210">
        <f>'Model 22A NIO '!I72/1000</f>
        <v>80295.318635557938</v>
      </c>
      <c r="I32" s="834" t="s">
        <v>1530</v>
      </c>
      <c r="J32" s="831"/>
      <c r="K32" s="831"/>
      <c r="L32" s="831"/>
      <c r="M32" s="831"/>
      <c r="N32" s="831"/>
    </row>
    <row r="33" spans="2:14">
      <c r="I33" s="833" t="s">
        <v>1531</v>
      </c>
      <c r="J33" s="1220">
        <f>'Earning Forecast'!G214</f>
        <v>1.1847318910520928</v>
      </c>
      <c r="K33" s="1220">
        <f>'Earning Forecast'!H214</f>
        <v>0.37193059095428538</v>
      </c>
      <c r="L33" s="1220">
        <f>'Earning Forecast'!I214</f>
        <v>4.5130961643544021E-2</v>
      </c>
      <c r="M33" s="1220">
        <f>'Earning Forecast'!J214</f>
        <v>0.47919377135917585</v>
      </c>
      <c r="N33" s="1220">
        <f>'Earning Forecast'!K214</f>
        <v>0.35901525124302291</v>
      </c>
    </row>
    <row r="34" spans="2:14">
      <c r="B34" s="668" t="s">
        <v>1532</v>
      </c>
      <c r="C34" s="671">
        <v>2021</v>
      </c>
      <c r="D34" s="671">
        <v>2022</v>
      </c>
      <c r="E34" s="671" t="s">
        <v>11</v>
      </c>
      <c r="F34" s="671" t="s">
        <v>12</v>
      </c>
      <c r="G34" s="671" t="s">
        <v>13</v>
      </c>
      <c r="I34" s="833" t="s">
        <v>1533</v>
      </c>
      <c r="J34" s="1220">
        <f>-('Model 22A NIO '!E22/'Model 22A NIO '!D22-1)</f>
        <v>-7.0269321889896874E-2</v>
      </c>
      <c r="K34" s="1220">
        <f>-('Model 22A NIO '!F22/'Model 22A NIO '!E22-1)</f>
        <v>-2.5031908230275834</v>
      </c>
      <c r="L34" s="1220">
        <f>-('Model 22A NIO '!G22/'Model 22A NIO '!F22-1)</f>
        <v>-0.15851622467745496</v>
      </c>
      <c r="M34" s="1220">
        <f>-('Model 22A NIO '!H22/'Model 22A NIO '!G22-1)</f>
        <v>0.24764566555539558</v>
      </c>
      <c r="N34" s="1220">
        <f>-('Model 22A NIO '!I22/'Model 22A NIO '!H22-1)</f>
        <v>0.52632156092944715</v>
      </c>
    </row>
    <row r="35" spans="2:14">
      <c r="B35" s="668" t="s">
        <v>1534</v>
      </c>
      <c r="C35" s="1210">
        <f>'Model 22A NIO '!E9/1000</f>
        <v>36136.423000000003</v>
      </c>
      <c r="D35" s="1210">
        <f>'Model 22A NIO '!F9/1000</f>
        <v>49268.561000000002</v>
      </c>
      <c r="E35" s="1210">
        <f>'Model 22A NIO '!G9/1000</f>
        <v>51411.781303969423</v>
      </c>
      <c r="F35" s="1210">
        <f>'Model 22A NIO '!H9/1000</f>
        <v>76285.960664500395</v>
      </c>
      <c r="G35" s="1210">
        <f>'Model 22A NIO '!I9/1000</f>
        <v>103511.99630451592</v>
      </c>
      <c r="I35" s="833" t="s">
        <v>1535</v>
      </c>
      <c r="J35" s="1220">
        <f>-('Model 22A NIO '!E33/'Model 22A NIO '!D33-1)</f>
        <v>-0.98165645910977073</v>
      </c>
      <c r="K35" s="1220">
        <f>-('Model 22A NIO '!F33/'Model 22A NIO '!E33-1)</f>
        <v>-0.44683121560053718</v>
      </c>
      <c r="L35" s="1220">
        <f>-('Model 22A NIO '!G33/'Model 22A NIO '!F33-1)</f>
        <v>-0.19086052565273759</v>
      </c>
      <c r="M35" s="1220">
        <f>-('Model 22A NIO '!H33/'Model 22A NIO '!G33-1)</f>
        <v>0.26035088645001692</v>
      </c>
      <c r="N35" s="1220">
        <f>-('Model 22A NIO '!I33/'Model 22A NIO '!H33-1)</f>
        <v>0.54371688055823342</v>
      </c>
    </row>
    <row r="36" spans="2:14">
      <c r="B36" s="669" t="s">
        <v>1536</v>
      </c>
      <c r="C36" s="1210">
        <f>'Model 22A NIO '!E7/1000</f>
        <v>33169.74</v>
      </c>
      <c r="D36" s="1210">
        <f>'Model 22A NIO '!F7/1000</f>
        <v>45506.580999999998</v>
      </c>
      <c r="E36" s="1210">
        <f>'Model 22A NIO '!G7/1000</f>
        <v>47560.336761639832</v>
      </c>
      <c r="F36" s="1210">
        <f>'Model 22A NIO '!H7/1000</f>
        <v>70350.953901562476</v>
      </c>
      <c r="G36" s="1210">
        <f>'Model 22A NIO '!I7/1000</f>
        <v>95608.019291718258</v>
      </c>
      <c r="I36" s="834" t="s">
        <v>1537</v>
      </c>
      <c r="J36" s="1219"/>
      <c r="K36" s="1219"/>
      <c r="L36" s="1219"/>
      <c r="M36" s="1219"/>
      <c r="N36" s="1219"/>
    </row>
    <row r="37" spans="2:14">
      <c r="B37" s="669" t="s">
        <v>1538</v>
      </c>
      <c r="C37" s="1210">
        <f>'Model 22A NIO '!E8/1000</f>
        <v>2966.683</v>
      </c>
      <c r="D37" s="1210">
        <f>'Model 22A NIO '!F8/1000</f>
        <v>3761.98</v>
      </c>
      <c r="E37" s="1210">
        <f>'Model 22A NIO '!G8/1000</f>
        <v>3851.4445423295874</v>
      </c>
      <c r="F37" s="1210">
        <f>'Model 22A NIO '!H8/1000</f>
        <v>5935.0067629379191</v>
      </c>
      <c r="G37" s="1210">
        <f>'Model 22A NIO '!I8/1000</f>
        <v>7903.9770127976708</v>
      </c>
      <c r="I37" s="833" t="s">
        <v>1539</v>
      </c>
      <c r="J37" s="1220">
        <f>'Earning Forecast'!G234</f>
        <v>0.18876890499095608</v>
      </c>
      <c r="K37" s="1220">
        <f>'Earning Forecast'!H234</f>
        <v>0.1044072101070701</v>
      </c>
      <c r="L37" s="1220">
        <f>'Earning Forecast'!I234</f>
        <v>6.2599567853663482E-2</v>
      </c>
      <c r="M37" s="1220">
        <f>'Earning Forecast'!J234</f>
        <v>0.150404712448304</v>
      </c>
      <c r="N37" s="1220">
        <f>'Earning Forecast'!K234</f>
        <v>0.20696946728848745</v>
      </c>
    </row>
    <row r="38" spans="2:14">
      <c r="B38" s="668" t="s">
        <v>1540</v>
      </c>
      <c r="C38" s="1210">
        <f>'Model 22A NIO '!E14/1000</f>
        <v>29314.99</v>
      </c>
      <c r="D38" s="1210">
        <f>'Model 22A NIO '!F14/1000</f>
        <v>44124.567999999999</v>
      </c>
      <c r="E38" s="1210">
        <f>'Model 22A NIO '!G14/1000</f>
        <v>48193.42601175388</v>
      </c>
      <c r="F38" s="1210">
        <f>'Model 22A NIO '!H14/1000</f>
        <v>64812.192686913586</v>
      </c>
      <c r="G38" s="1210">
        <f>'Model 22A NIO '!I14/1000</f>
        <v>82088.173571402382</v>
      </c>
      <c r="I38" s="833" t="s">
        <v>1541</v>
      </c>
      <c r="J38" s="1220">
        <f>'Earning Forecast'!G255/'Earning Forecast'!G213</f>
        <v>-0.13028275168873799</v>
      </c>
      <c r="K38" s="1220">
        <f>'Earning Forecast'!H255/'Earning Forecast'!H213</f>
        <v>-0.34312751379849871</v>
      </c>
      <c r="L38" s="1220">
        <f>'Earning Forecast'!I255/'Earning Forecast'!I213</f>
        <v>-0.39644539414247038</v>
      </c>
      <c r="M38" s="1220">
        <f>'Earning Forecast'!J255/'Earning Forecast'!J213</f>
        <v>-0.19857777907912255</v>
      </c>
      <c r="N38" s="1220">
        <f>'Earning Forecast'!K255/'Earning Forecast'!K213</f>
        <v>-6.6684168546178299E-2</v>
      </c>
    </row>
    <row r="39" spans="2:14">
      <c r="B39" s="669" t="s">
        <v>1536</v>
      </c>
      <c r="C39" s="1210">
        <f>'Model 22A NIO '!E12/1000</f>
        <v>26516.643</v>
      </c>
      <c r="D39" s="1210">
        <f>'Model 22A NIO '!F12/1000</f>
        <v>39271.800999999999</v>
      </c>
      <c r="E39" s="1210">
        <f>'Model 22A NIO '!G12/1000</f>
        <v>43978.917074891157</v>
      </c>
      <c r="F39" s="1210">
        <f>'Model 22A NIO '!H12/1000</f>
        <v>58445.282095036819</v>
      </c>
      <c r="G39" s="1210">
        <f>'Model 22A NIO '!I12/1000</f>
        <v>73582.190722301515</v>
      </c>
      <c r="I39" s="909" t="s">
        <v>1461</v>
      </c>
      <c r="J39" s="1220">
        <f>'Model 22A NIO '!E75/'Model 22A NIO '!E71</f>
        <v>-0.12450171311236521</v>
      </c>
      <c r="K39" s="1220">
        <f>'Model 22A NIO '!F75/'Model 22A NIO '!F71</f>
        <v>-0.65420027052770924</v>
      </c>
      <c r="L39" s="1220">
        <f>'Model 22A NIO '!G75/'Model 22A NIO '!G71</f>
        <v>-3.0522351483833012</v>
      </c>
      <c r="M39" s="1220">
        <f>'Model 22A NIO '!H75/'Model 22A NIO '!H71</f>
        <v>2.2165905782899196</v>
      </c>
      <c r="N39" s="1220">
        <f>'Model 22A NIO '!I75/'Model 22A NIO '!I71</f>
        <v>0.57812632830933119</v>
      </c>
    </row>
    <row r="40" spans="2:14">
      <c r="B40" s="669" t="s">
        <v>1538</v>
      </c>
      <c r="C40" s="1210">
        <f>'Model 22A NIO '!E13/1000</f>
        <v>2798.3470000000002</v>
      </c>
      <c r="D40" s="1210">
        <f>'Model 22A NIO '!F13/1000</f>
        <v>4852.7669999999998</v>
      </c>
      <c r="E40" s="1210">
        <f>'Model 22A NIO '!G13/1000</f>
        <v>4214.5089368627232</v>
      </c>
      <c r="F40" s="1210">
        <f>'Model 22A NIO '!H13/1000</f>
        <v>6366.91059187677</v>
      </c>
      <c r="G40" s="1210">
        <f>'Model 22A NIO '!I13/1000</f>
        <v>8505.9828491008702</v>
      </c>
      <c r="I40" s="909" t="s">
        <v>1542</v>
      </c>
      <c r="J40" s="1220">
        <f>'Model 22A NIO '!E75/'Model 22A NIO '!E53</f>
        <v>-5.2138721627213086E-2</v>
      </c>
      <c r="K40" s="1220">
        <f>'Model 22A NIO '!F75/'Model 22A NIO '!F53</f>
        <v>-0.16220572763888444</v>
      </c>
      <c r="L40" s="1220">
        <f>'Model 22A NIO '!G75/'Model 22A NIO '!G53</f>
        <v>-0.2375703989556476</v>
      </c>
      <c r="M40" s="1220">
        <f>'Model 22A NIO '!H75/'Model 22A NIO '!H53</f>
        <v>-0.18150545972279788</v>
      </c>
      <c r="N40" s="1220">
        <f>'Model 22A NIO '!I75/'Model 22A NIO '!I53</f>
        <v>-7.9401157890067381E-2</v>
      </c>
    </row>
    <row r="41" spans="2:14">
      <c r="B41" s="668" t="s">
        <v>1543</v>
      </c>
      <c r="C41" s="1210">
        <f>'Model 22A NIO '!E15/1000</f>
        <v>6821.433</v>
      </c>
      <c r="D41" s="1210">
        <f>'Model 22A NIO '!F15/1000</f>
        <v>5143.9930000000004</v>
      </c>
      <c r="E41" s="1210">
        <f>'Model 22A NIO '!G15/1000</f>
        <v>3218.3552922155409</v>
      </c>
      <c r="F41" s="1210">
        <f>'Model 22A NIO '!H15/1000</f>
        <v>11473.767977586813</v>
      </c>
      <c r="G41" s="1210">
        <f>'Model 22A NIO '!I15/1000</f>
        <v>21423.822733113542</v>
      </c>
      <c r="I41" s="834" t="s">
        <v>1544</v>
      </c>
      <c r="J41" s="1219"/>
      <c r="K41" s="1219"/>
      <c r="L41" s="1219"/>
      <c r="M41" s="1219"/>
      <c r="N41" s="1219"/>
    </row>
    <row r="42" spans="2:14">
      <c r="B42" s="669" t="s">
        <v>1545</v>
      </c>
      <c r="C42" s="1210">
        <f>'Model 22A NIO '!E21/1000</f>
        <v>11622.232</v>
      </c>
      <c r="D42" s="1210">
        <f>'Model 22A NIO '!F21/1000</f>
        <v>21962.108</v>
      </c>
      <c r="E42" s="1210">
        <f>'Model 22A NIO '!G21/1000</f>
        <v>22702.414388206817</v>
      </c>
      <c r="F42" s="1210">
        <f>'Model 22A NIO '!H21/1000</f>
        <v>26132.684291030673</v>
      </c>
      <c r="G42" s="1210">
        <f>'Model 22A NIO '!I21/1000</f>
        <v>28367.435330931494</v>
      </c>
      <c r="I42" s="833" t="s">
        <v>1546</v>
      </c>
      <c r="J42" s="1220">
        <f>C25/C17</f>
        <v>0.5812208497070489</v>
      </c>
      <c r="K42" s="1220">
        <f t="shared" ref="K42:N42" si="0">D25/D17</f>
        <v>0.752054936467633</v>
      </c>
      <c r="L42" s="1220">
        <f t="shared" si="0"/>
        <v>0.92216510609233926</v>
      </c>
      <c r="M42" s="1220">
        <f t="shared" si="0"/>
        <v>1.0818849730304405</v>
      </c>
      <c r="N42" s="1220">
        <f t="shared" si="0"/>
        <v>1.1373422278176941</v>
      </c>
    </row>
    <row r="43" spans="2:14">
      <c r="B43" s="669" t="s">
        <v>1547</v>
      </c>
      <c r="C43" s="1210">
        <f>'Model 22A NIO '!E22/1000</f>
        <v>-4800.799</v>
      </c>
      <c r="D43" s="1210">
        <f>'Model 22A NIO '!F22/1000</f>
        <v>-16818.115000000002</v>
      </c>
      <c r="E43" s="1210">
        <f>'Model 22A NIO '!G22/1000</f>
        <v>-19484.059095991277</v>
      </c>
      <c r="F43" s="1210">
        <f>'Model 22A NIO '!H22/1000</f>
        <v>-14658.916313443859</v>
      </c>
      <c r="G43" s="1210">
        <f>'Model 22A NIO '!I22/1000</f>
        <v>-6943.6125978179498</v>
      </c>
      <c r="I43" s="833" t="s">
        <v>1548</v>
      </c>
      <c r="J43" s="1220">
        <f>C25/C31</f>
        <v>1.3878934739240572</v>
      </c>
      <c r="K43" s="1220">
        <f t="shared" ref="K43:N43" si="1">D25/D31</f>
        <v>3.0331514802248094</v>
      </c>
      <c r="L43" s="1220">
        <f t="shared" si="1"/>
        <v>11.847708139569727</v>
      </c>
      <c r="M43" s="1931">
        <f>F25/F31</f>
        <v>-13.212252907847414</v>
      </c>
      <c r="N43" s="1220">
        <f t="shared" si="1"/>
        <v>-8.2810818339671979</v>
      </c>
    </row>
    <row r="44" spans="2:14">
      <c r="B44" s="669" t="s">
        <v>1549</v>
      </c>
      <c r="C44" s="1210">
        <f>'Model 22A NIO '!E19/1000</f>
        <v>4591.8519999999999</v>
      </c>
      <c r="D44" s="1210">
        <f>'Model 22A NIO '!F19/1000</f>
        <v>10836.261</v>
      </c>
      <c r="E44" s="1210">
        <f>'Model 22A NIO '!G19/1000</f>
        <v>11995.396813842144</v>
      </c>
      <c r="F44" s="1210">
        <f>'Model 22A NIO '!H19/1000</f>
        <v>13422.832956639588</v>
      </c>
      <c r="G44" s="1210">
        <f>'Model 22A NIO '!I19/1000</f>
        <v>14570.693986689261</v>
      </c>
      <c r="I44" s="833" t="s">
        <v>1550</v>
      </c>
      <c r="J44" s="1221">
        <f>'Model 22A NIO '!E42/'Model 22A NIO '!E58</f>
        <v>2.1796350330664764</v>
      </c>
      <c r="K44" s="1221">
        <f>'Model 22A NIO '!F42/'Model 22A NIO '!F58</f>
        <v>1.290013136597981</v>
      </c>
      <c r="L44" s="1221">
        <f>'Model 22A NIO '!G42/'Model 22A NIO '!G58</f>
        <v>-0.93475282135075766</v>
      </c>
      <c r="M44" s="1221">
        <f>'Model 22A NIO '!H42/'Model 22A NIO '!H58</f>
        <v>-2.5917904459087535</v>
      </c>
      <c r="N44" s="1221">
        <f>'Model 22A NIO '!I42/'Model 22A NIO '!I58</f>
        <v>-4.0042531576707523</v>
      </c>
    </row>
    <row r="45" spans="2:14">
      <c r="B45" s="1783" t="s">
        <v>1551</v>
      </c>
      <c r="C45" s="1210">
        <f>'Model 22A NIO '!E20/1000</f>
        <v>152.24799999999999</v>
      </c>
      <c r="D45" s="1210">
        <f>'Model 22A NIO '!F20/1000</f>
        <v>588.72799999999995</v>
      </c>
      <c r="E45" s="1210">
        <f>'Model 22A NIO '!G20/1000</f>
        <v>0</v>
      </c>
      <c r="F45" s="1210">
        <f>'Model 22A NIO '!H20/1000</f>
        <v>0</v>
      </c>
      <c r="G45" s="1210">
        <f>'Model 22A NIO '!I20/1000</f>
        <v>0</v>
      </c>
      <c r="I45" s="833" t="s">
        <v>1552</v>
      </c>
      <c r="J45" s="1221">
        <f>('Model 22A NIO '!E42-'Model 22A NIO '!E40)/'Model 22A NIO '!E58</f>
        <v>2.1092075621772226</v>
      </c>
      <c r="K45" s="1221">
        <f>('Model 22A NIO '!F42-'Model 22A NIO '!F40)/'Model 22A NIO '!F58</f>
        <v>1.1113649565186328</v>
      </c>
      <c r="L45" s="1221">
        <f>('Model 22A NIO '!G42-'Model 22A NIO '!G40)/'Model 22A NIO '!G58</f>
        <v>-1.1235119252730474</v>
      </c>
      <c r="M45" s="1221">
        <f>('Model 22A NIO '!H42-'Model 22A NIO '!H40)/'Model 22A NIO '!H58</f>
        <v>-2.8123190078441467</v>
      </c>
      <c r="N45" s="1221">
        <f>('Model 22A NIO '!I42-'Model 22A NIO '!I40)/'Model 22A NIO '!I58</f>
        <v>-4.2615607921294227</v>
      </c>
    </row>
    <row r="46" spans="2:14">
      <c r="B46" s="669" t="s">
        <v>1553</v>
      </c>
      <c r="C46" s="1210">
        <f>'Model 22A NIO '!E22/1000</f>
        <v>-4800.799</v>
      </c>
      <c r="D46" s="1210">
        <f>'Model 22A NIO '!F22/1000</f>
        <v>-16818.115000000002</v>
      </c>
      <c r="E46" s="1210">
        <f>'Model 22A NIO '!G22/1000</f>
        <v>-19484.059095991277</v>
      </c>
      <c r="F46" s="1210">
        <f>'Model 22A NIO '!H22/1000</f>
        <v>-14658.916313443859</v>
      </c>
      <c r="G46" s="1210">
        <f>'Model 22A NIO '!I22/1000</f>
        <v>-6943.6125978179498</v>
      </c>
      <c r="I46" s="834" t="s">
        <v>1554</v>
      </c>
      <c r="J46" s="1219"/>
      <c r="K46" s="1219"/>
      <c r="L46" s="1219"/>
      <c r="M46" s="1219"/>
      <c r="N46" s="1219"/>
    </row>
    <row r="47" spans="2:14">
      <c r="B47" s="669" t="s">
        <v>1555</v>
      </c>
      <c r="C47" s="1210">
        <f>'Model 22A NIO '!E24/1000</f>
        <v>-637.41</v>
      </c>
      <c r="D47" s="1210">
        <f>'Model 22A NIO '!F24/1000</f>
        <v>-333.21600000000001</v>
      </c>
      <c r="E47" s="1210">
        <f>'Model 22A NIO '!G24/1000</f>
        <v>-404.073125</v>
      </c>
      <c r="F47" s="1210">
        <f>'Model 22A NIO '!H24/1000</f>
        <v>-381.30570754483483</v>
      </c>
      <c r="G47" s="1210">
        <f>'Model 22A NIO '!I24/1000</f>
        <v>-377.41856712760227</v>
      </c>
      <c r="I47" s="833" t="s">
        <v>1556</v>
      </c>
      <c r="J47" s="1221">
        <f>'Model 22A NIO '!E9/('Model 22A NIO '!D53+'Model 22A NIO '!E53)*2</f>
        <v>0.52552312287034997</v>
      </c>
      <c r="K47" s="1221">
        <f>'Model 22A NIO '!F9/('Model 22A NIO '!E53+'Model 22A NIO '!F53)*2</f>
        <v>0.55003339538163643</v>
      </c>
      <c r="L47" s="1221">
        <f>'Model 22A NIO '!G9/('Model 22A NIO '!F53+'Model 22A NIO '!G53)*2</f>
        <v>0.58545492445140046</v>
      </c>
      <c r="M47" s="1221">
        <f>'Model 22A NIO '!H9/('Model 22A NIO '!G53+'Model 22A NIO '!H53)*2</f>
        <v>0.97593312333482019</v>
      </c>
      <c r="N47" s="1221">
        <f>'Model 22A NIO '!I9/('Model 22A NIO '!H53+'Model 22A NIO '!I53)*2</f>
        <v>1.316415173253159</v>
      </c>
    </row>
    <row r="48" spans="2:14">
      <c r="B48" s="669" t="s">
        <v>1557</v>
      </c>
      <c r="C48" s="1210">
        <f>'Model 22A NIO '!E25/1000</f>
        <v>1159.029</v>
      </c>
      <c r="D48" s="1210">
        <f>'Model 22A NIO '!F25/1000</f>
        <v>1591.874</v>
      </c>
      <c r="E48" s="1210">
        <f>'Model 22A NIO '!G25/1000</f>
        <v>1092.9616666666668</v>
      </c>
      <c r="F48" s="1210">
        <f>'Model 22A NIO '!H25/1000</f>
        <v>1114.4714222222224</v>
      </c>
      <c r="G48" s="1210">
        <f>'Model 22A NIO '!I25/1000</f>
        <v>965.74610962962981</v>
      </c>
      <c r="I48" s="833" t="s">
        <v>1558</v>
      </c>
      <c r="J48" s="1221">
        <f>'Model 22A Li'!D7/('Model 22A Li'!D42+'Model 22A Li'!C42)*2</f>
        <v>221.3432928120632</v>
      </c>
      <c r="K48" s="1221">
        <f>'Model 22A Li'!E7/('Model 22A Li'!E42+'Model 22A Li'!D42)*2</f>
        <v>522.21065343768134</v>
      </c>
      <c r="L48" s="1221">
        <f>'Model 22A Li'!F7/('Model 22A Li'!F42+'Model 22A Li'!E42)*2</f>
        <v>1316.8519370895272</v>
      </c>
      <c r="M48" s="1221">
        <f>'Model 22A Li'!G7/('Model 22A Li'!G42+'Model 22A Li'!F42)*2</f>
        <v>1102.4598427943176</v>
      </c>
      <c r="N48" s="1221">
        <f>'Model 22A Li'!H7/('Model 22A Li'!H42+'Model 22A Li'!G42)*2</f>
        <v>1025.4509827958686</v>
      </c>
    </row>
    <row r="49" spans="2:14">
      <c r="B49" s="668" t="s">
        <v>1559</v>
      </c>
      <c r="C49" s="1210">
        <f>'Model 22A NIO '!E27/1000</f>
        <v>-4279.18</v>
      </c>
      <c r="D49" s="1210">
        <f>'Model 22A NIO '!F27/1000</f>
        <v>-15559.457</v>
      </c>
      <c r="E49" s="1210">
        <f>'Model 22A NIO '!G27/1000</f>
        <v>-18795.17055432461</v>
      </c>
      <c r="F49" s="1210">
        <f>'Model 22A NIO '!H27/1000</f>
        <v>-13925.75059876647</v>
      </c>
      <c r="G49" s="1210">
        <f>'Model 22A NIO '!I27/1000</f>
        <v>-6355.2850553159224</v>
      </c>
      <c r="I49" s="833" t="s">
        <v>1560</v>
      </c>
      <c r="J49" s="1221">
        <f>'Model 22A Li'!D10/('Model 22A Li'!D43+'Model 22A Li'!C43)*2</f>
        <v>20.263205513797622</v>
      </c>
      <c r="K49" s="1221">
        <f>'Model 22A Li'!E10/('Model 22A Li'!E43+'Model 22A Li'!D43)*2</f>
        <v>10.753664523104135</v>
      </c>
      <c r="L49" s="1221">
        <f>'Model 22A Li'!F10/('Model 22A Li'!F43+'Model 22A Li'!E43)*2</f>
        <v>9.8461130157820218</v>
      </c>
      <c r="M49" s="1221">
        <f>'Model 22A Li'!G10/('Model 22A Li'!G43+'Model 22A Li'!F43)*2</f>
        <v>8.315921450396301</v>
      </c>
      <c r="N49" s="1221">
        <f>'Model 22A Li'!H10/('Model 22A Li'!H43+'Model 22A Li'!G43)*2</f>
        <v>7.7499607965601296</v>
      </c>
    </row>
    <row r="50" spans="2:14">
      <c r="B50" s="669" t="s">
        <v>1561</v>
      </c>
      <c r="C50" s="1210">
        <f>'Model 22A NIO '!E28/1000</f>
        <v>-42.265000000000001</v>
      </c>
      <c r="D50" s="1210">
        <f>'Model 22A NIO '!F28/1000</f>
        <v>-55.103000000000002</v>
      </c>
      <c r="E50" s="1210">
        <f>'Model 22A NIO '!G28/1000</f>
        <v>-59.905898692316455</v>
      </c>
      <c r="F50" s="1210">
        <f>'Model 22A NIO '!H28/1000</f>
        <v>-44.385583103539282</v>
      </c>
      <c r="G50" s="1210">
        <f>'Model 22A NIO '!I28/1000</f>
        <v>-20.256217499284581</v>
      </c>
      <c r="I50" s="834" t="s">
        <v>1562</v>
      </c>
      <c r="J50" s="1219"/>
      <c r="K50" s="1219"/>
      <c r="L50" s="1219"/>
      <c r="M50" s="1219"/>
      <c r="N50" s="1219"/>
    </row>
    <row r="51" spans="2:14">
      <c r="B51" s="668" t="s">
        <v>1563</v>
      </c>
      <c r="C51" s="1210">
        <f>'Model 22A NIO '!E33/1000</f>
        <v>-10876.805</v>
      </c>
      <c r="D51" s="1210">
        <f>'Model 22A NIO '!F33/1000</f>
        <v>-15736.901</v>
      </c>
      <c r="E51" s="1210">
        <f>'Model 22A NIO '!G33/1000</f>
        <v>-18740.454197005092</v>
      </c>
      <c r="F51" s="1210">
        <f>'Model 22A NIO '!H33/1000</f>
        <v>-13861.360334338877</v>
      </c>
      <c r="G51" s="1210">
        <f>'Model 22A NIO '!I33/1000</f>
        <v>-6324.704733058511</v>
      </c>
      <c r="I51" s="833" t="s">
        <v>1564</v>
      </c>
      <c r="J51" s="1221">
        <v>-6.72</v>
      </c>
      <c r="K51" s="1221">
        <v>-8.89</v>
      </c>
      <c r="L51" s="1221">
        <f>'Model 22A NIO '!G35</f>
        <v>-11.448052803667142</v>
      </c>
      <c r="M51" s="1221">
        <f>'Model 22A NIO '!H35</f>
        <v>-8.4675421081057998</v>
      </c>
      <c r="N51" s="1221">
        <f>'Model 22A NIO '!I35</f>
        <v>-3.8635965270910271</v>
      </c>
    </row>
    <row r="52" spans="2:14">
      <c r="I52" s="833" t="s">
        <v>1565</v>
      </c>
      <c r="J52" s="1784">
        <f>J15*1000/'Model 22A NIO '!E34</f>
        <v>3.8044935238187054E-3</v>
      </c>
      <c r="K52" s="1784">
        <f>K15*1000/'Model 22A NIO '!F34</f>
        <v>6.4576057724350377E-3</v>
      </c>
      <c r="L52" s="1784">
        <f>L15*1000/'Model 22A NIO '!G34</f>
        <v>2.9545378430970797E-3</v>
      </c>
      <c r="M52" s="1784">
        <f>M15*1000/'Model 22A NIO '!H34</f>
        <v>3.5056955955653324E-3</v>
      </c>
      <c r="N52" s="1784">
        <f>N15*1000/'Model 22A NIO '!I34</f>
        <v>2.8956091879003983E-3</v>
      </c>
    </row>
    <row r="53" spans="2:14">
      <c r="I53" s="833" t="s">
        <v>1566</v>
      </c>
      <c r="J53" s="1221">
        <f>'Model 22A NIO '!E71*1000/'Model 22A NIO '!D34</f>
        <v>29.349006626707354</v>
      </c>
      <c r="K53" s="1221">
        <f>'Model 22A NIO '!F71*1000/'Model 22A NIO '!E34</f>
        <v>15.176532680843758</v>
      </c>
      <c r="L53" s="1209">
        <f>'Model 22A NIO '!G71*1000/'Model 22A NIO '!F34</f>
        <v>3.773651759730615</v>
      </c>
      <c r="M53" s="1209">
        <f>'Model 22A NIO '!H71*1000/'Model 22A NIO '!G34</f>
        <v>-3.8500526479551724</v>
      </c>
      <c r="N53" s="1209">
        <f>'Model 22A NIO '!I71*1000/'Model 22A NIO '!H34</f>
        <v>-6.7366785553742989</v>
      </c>
    </row>
    <row r="54" spans="2:14">
      <c r="I54" s="834" t="s">
        <v>1567</v>
      </c>
      <c r="J54" s="1219"/>
      <c r="K54" s="1219"/>
      <c r="L54" s="1219"/>
      <c r="M54" s="1219"/>
      <c r="N54" s="1219"/>
    </row>
    <row r="55" spans="2:14">
      <c r="I55" s="909" t="s">
        <v>1462</v>
      </c>
      <c r="J55" s="1942">
        <v>0</v>
      </c>
      <c r="K55" s="1942">
        <v>0</v>
      </c>
      <c r="L55" s="1942">
        <v>0</v>
      </c>
      <c r="M55" s="1942">
        <v>0</v>
      </c>
      <c r="N55" s="1942">
        <v>0</v>
      </c>
    </row>
    <row r="56" spans="2:14">
      <c r="I56" s="909" t="s">
        <v>1568</v>
      </c>
      <c r="J56" s="1209"/>
      <c r="K56" s="1209"/>
      <c r="L56" s="1209"/>
      <c r="M56" s="1209"/>
      <c r="N56" s="1209"/>
    </row>
    <row r="57" spans="2:14">
      <c r="I57" s="909" t="s">
        <v>1569</v>
      </c>
      <c r="J57" s="1220">
        <f>'Model 22A NIO '!E27/'Model 22A NIO '!E9</f>
        <v>-0.11841736521625286</v>
      </c>
      <c r="K57" s="1220">
        <f>'Model 22A NIO '!F27/'Model 22A NIO '!F9</f>
        <v>-0.31580904098254464</v>
      </c>
      <c r="L57" s="1220">
        <f>'Model 22A NIO '!G27/'Model 22A NIO '!G9</f>
        <v>-0.36558100259547832</v>
      </c>
      <c r="M57" s="1220">
        <f>'Model 22A NIO '!H27/'Model 22A NIO '!H9</f>
        <v>-0.18254670292494338</v>
      </c>
      <c r="N57" s="1220">
        <f>'Model 22A NIO '!I27/'Model 22A NIO '!I9</f>
        <v>-6.1396604086541601E-2</v>
      </c>
    </row>
    <row r="58" spans="2:14">
      <c r="I58" s="909" t="s">
        <v>1570</v>
      </c>
      <c r="J58" s="1220">
        <f>('Model 22A NIO '!E27+'Model 22A NIO '!E24+'Model 22A NIO '!E78)/'Model 22A NIO '!E9</f>
        <v>-8.8790498163030696E-2</v>
      </c>
      <c r="K58" s="1220">
        <f>('Model 22A NIO '!F27+'Model 22A NIO '!F24+'Model 22A NIO '!F78)/'Model 22A NIO '!F9</f>
        <v>-0.26467909221054781</v>
      </c>
      <c r="L58" s="1220">
        <f>('Model 22A NIO '!G27+'Model 22A NIO '!G24+'Model 22A NIO '!G78)/'Model 22A NIO '!G9</f>
        <v>-0.30342085799002627</v>
      </c>
      <c r="M58" s="1220">
        <f>('Model 22A NIO '!H27+'Model 22A NIO '!H24+'Model 22A NIO '!H78)/'Model 22A NIO '!H9</f>
        <v>-0.13207180476817559</v>
      </c>
      <c r="N58" s="1220">
        <f>('Model 22A NIO '!I27+'Model 22A NIO '!I24+'Model 22A NIO '!I78)/'Model 22A NIO '!I9</f>
        <v>-1.3083323866119602E-2</v>
      </c>
    </row>
    <row r="60" spans="2:14">
      <c r="J60" s="1215"/>
      <c r="K60" s="1215"/>
      <c r="L60" s="1215"/>
      <c r="M60" s="1215"/>
      <c r="N60" s="1216"/>
    </row>
    <row r="62" spans="2:14">
      <c r="J62" s="966"/>
      <c r="K62" s="966"/>
      <c r="L62" s="966"/>
      <c r="M62" s="966"/>
      <c r="N62" s="966"/>
    </row>
    <row r="63" spans="2:14">
      <c r="J63" s="670"/>
      <c r="K63" s="670"/>
      <c r="L63" s="670"/>
      <c r="M63" s="670"/>
      <c r="N63" s="965"/>
    </row>
  </sheetData>
  <mergeCells count="1">
    <mergeCell ref="C2:G2"/>
  </mergeCells>
  <phoneticPr fontId="4" type="noConversion"/>
  <pageMargins left="0.25" right="0.25" top="0.75" bottom="0.75" header="0.3" footer="0.3"/>
  <pageSetup paperSize="8" scale="83"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98B23-3603-234D-B95B-194886AFDCD7}">
  <dimension ref="A2:T108"/>
  <sheetViews>
    <sheetView zoomScale="109" workbookViewId="0">
      <pane xSplit="1" ySplit="4" topLeftCell="B19" activePane="bottomRight" state="frozen"/>
      <selection pane="topRight" activeCell="B1" sqref="B1"/>
      <selection pane="bottomLeft" activeCell="A5" sqref="A5"/>
      <selection pane="bottomRight" activeCell="B34" sqref="B34"/>
    </sheetView>
  </sheetViews>
  <sheetFormatPr defaultColWidth="10.83203125" defaultRowHeight="14"/>
  <cols>
    <col min="1" max="1" width="51.75" style="1451" bestFit="1" customWidth="1"/>
    <col min="2" max="2" width="11.1640625" style="1451" bestFit="1" customWidth="1"/>
    <col min="3" max="6" width="13.25" style="1451" bestFit="1" customWidth="1"/>
    <col min="7" max="7" width="12.1640625" style="1451" bestFit="1" customWidth="1"/>
    <col min="8" max="8" width="12.75" style="1451" bestFit="1" customWidth="1"/>
    <col min="9" max="9" width="12.75" style="1703" bestFit="1" customWidth="1"/>
    <col min="10" max="10" width="12.75" style="1451" customWidth="1"/>
    <col min="11" max="11" width="34" style="1451" bestFit="1" customWidth="1"/>
    <col min="12" max="13" width="10.83203125" style="1451"/>
    <col min="14" max="14" width="12.75" style="1451" bestFit="1" customWidth="1"/>
    <col min="15" max="18" width="10.83203125" style="1451"/>
    <col min="19" max="19" width="10.83203125" style="1451" bestFit="1" customWidth="1"/>
    <col min="20" max="16384" width="10.83203125" style="1451"/>
  </cols>
  <sheetData>
    <row r="2" spans="1:19" ht="17.5">
      <c r="A2" s="1452" t="s">
        <v>1571</v>
      </c>
      <c r="B2" s="1975" t="s">
        <v>1572</v>
      </c>
      <c r="C2" s="1976"/>
      <c r="D2" s="1976"/>
      <c r="E2" s="1976"/>
      <c r="F2" s="1976"/>
      <c r="G2" s="1976"/>
      <c r="H2" s="1976"/>
      <c r="I2" s="1977"/>
      <c r="J2" s="1763"/>
      <c r="K2" s="1696"/>
      <c r="L2" s="1696"/>
    </row>
    <row r="3" spans="1:19">
      <c r="A3" s="1453" t="s">
        <v>1573</v>
      </c>
      <c r="B3" s="114">
        <v>2018</v>
      </c>
      <c r="C3" s="114">
        <v>2019</v>
      </c>
      <c r="D3" s="114">
        <v>2020</v>
      </c>
      <c r="E3" s="114">
        <v>2021</v>
      </c>
      <c r="F3" s="114">
        <v>2022</v>
      </c>
      <c r="G3" s="1331">
        <v>2023</v>
      </c>
      <c r="H3" s="1331">
        <v>2024</v>
      </c>
      <c r="I3" s="1331">
        <v>2025</v>
      </c>
      <c r="J3" s="1764"/>
      <c r="K3" s="1696"/>
      <c r="L3" s="114">
        <v>2019</v>
      </c>
      <c r="M3" s="114">
        <v>2020</v>
      </c>
      <c r="N3" s="114">
        <v>2021</v>
      </c>
      <c r="O3" s="114">
        <v>2022</v>
      </c>
      <c r="P3" s="117">
        <v>2023</v>
      </c>
      <c r="Q3" s="117">
        <v>2024</v>
      </c>
      <c r="R3" s="117">
        <v>2025</v>
      </c>
      <c r="S3" s="1785"/>
    </row>
    <row r="4" spans="1:19" s="1793" customFormat="1" ht="14.5" thickBot="1">
      <c r="A4" s="1787" t="s">
        <v>1574</v>
      </c>
      <c r="B4" s="1788" t="s">
        <v>1575</v>
      </c>
      <c r="C4" s="1788" t="s">
        <v>1575</v>
      </c>
      <c r="D4" s="1788" t="s">
        <v>1575</v>
      </c>
      <c r="E4" s="1788" t="s">
        <v>1575</v>
      </c>
      <c r="F4" s="1788" t="s">
        <v>1575</v>
      </c>
      <c r="G4" s="1789" t="s">
        <v>1576</v>
      </c>
      <c r="H4" s="1789" t="s">
        <v>1576</v>
      </c>
      <c r="I4" s="1789" t="s">
        <v>1576</v>
      </c>
      <c r="J4" s="1790"/>
      <c r="K4" s="1791"/>
      <c r="L4" s="1788" t="s">
        <v>1575</v>
      </c>
      <c r="M4" s="1788" t="s">
        <v>1575</v>
      </c>
      <c r="N4" s="1788" t="s">
        <v>1575</v>
      </c>
      <c r="O4" s="1788" t="s">
        <v>1575</v>
      </c>
      <c r="P4" s="1792" t="s">
        <v>1576</v>
      </c>
      <c r="Q4" s="1792" t="s">
        <v>1576</v>
      </c>
      <c r="R4" s="1792" t="s">
        <v>1576</v>
      </c>
      <c r="S4" s="1786"/>
    </row>
    <row r="5" spans="1:19" s="1461" customFormat="1" ht="20">
      <c r="A5" s="1460" t="s">
        <v>1577</v>
      </c>
      <c r="I5" s="1702"/>
      <c r="K5" s="1698"/>
      <c r="L5" s="1698"/>
    </row>
    <row r="6" spans="1:19">
      <c r="A6" s="1454" t="s">
        <v>508</v>
      </c>
      <c r="K6" s="1696"/>
      <c r="L6" s="1696"/>
    </row>
    <row r="7" spans="1:19">
      <c r="A7" s="1455" t="s">
        <v>1578</v>
      </c>
      <c r="B7" s="1622">
        <f>'Earning Forecast'!D213</f>
        <v>4852470</v>
      </c>
      <c r="C7" s="1622">
        <f>'Earning Forecast'!E213</f>
        <v>7367113</v>
      </c>
      <c r="D7" s="1622">
        <f>'Earning Forecast'!F213</f>
        <v>15182522</v>
      </c>
      <c r="E7" s="1622">
        <f>'Earning Forecast'!G213</f>
        <v>33169740</v>
      </c>
      <c r="F7" s="1622">
        <f>'Earning Forecast'!H213</f>
        <v>45506581</v>
      </c>
      <c r="G7" s="1622">
        <f>'Earning Forecast'!I213</f>
        <v>47560336.761639833</v>
      </c>
      <c r="H7" s="1622">
        <f>'Earning Forecast'!J213</f>
        <v>70350953.901562482</v>
      </c>
      <c r="I7" s="1704">
        <f>'Earning Forecast'!K213</f>
        <v>95608019.291718259</v>
      </c>
      <c r="J7" s="1622"/>
      <c r="K7" s="1696"/>
      <c r="L7" s="1696"/>
    </row>
    <row r="8" spans="1:19">
      <c r="A8" s="1455" t="s">
        <v>1579</v>
      </c>
      <c r="B8" s="1622">
        <f>'Earning Forecast'!D221</f>
        <v>98701</v>
      </c>
      <c r="C8" s="1622">
        <f>'Earning Forecast'!E221</f>
        <v>457791</v>
      </c>
      <c r="D8" s="1622">
        <f>'Earning Forecast'!F221</f>
        <v>1075411</v>
      </c>
      <c r="E8" s="1622">
        <f>'Earning Forecast'!G221</f>
        <v>2966683</v>
      </c>
      <c r="F8" s="1622">
        <f>'Earning Forecast'!H221</f>
        <v>3761980</v>
      </c>
      <c r="G8" s="1622">
        <f>'Earning Forecast'!I221</f>
        <v>3851444.5423295875</v>
      </c>
      <c r="H8" s="1622">
        <f>'Earning Forecast'!J221</f>
        <v>5935006.7629379192</v>
      </c>
      <c r="I8" s="1704">
        <f>'Earning Forecast'!K221</f>
        <v>7903977.0127976704</v>
      </c>
      <c r="J8" s="1622"/>
      <c r="K8" s="1696"/>
      <c r="L8" s="1696"/>
    </row>
    <row r="9" spans="1:19">
      <c r="A9" s="1454" t="s">
        <v>1023</v>
      </c>
      <c r="B9" s="1463">
        <f t="shared" ref="B9" si="0">B7+B8</f>
        <v>4951171</v>
      </c>
      <c r="C9" s="1463">
        <f t="shared" ref="C9:I9" si="1">C7+C8</f>
        <v>7824904</v>
      </c>
      <c r="D9" s="1463">
        <f t="shared" si="1"/>
        <v>16257933</v>
      </c>
      <c r="E9" s="1463">
        <f t="shared" si="1"/>
        <v>36136423</v>
      </c>
      <c r="F9" s="1463">
        <f t="shared" si="1"/>
        <v>49268561</v>
      </c>
      <c r="G9" s="1463">
        <f t="shared" si="1"/>
        <v>51411781.30396942</v>
      </c>
      <c r="H9" s="1463">
        <f t="shared" si="1"/>
        <v>76285960.6645004</v>
      </c>
      <c r="I9" s="1705">
        <f t="shared" si="1"/>
        <v>103511996.30451593</v>
      </c>
      <c r="J9" s="1765"/>
      <c r="K9" s="1696"/>
      <c r="L9" s="1696"/>
    </row>
    <row r="10" spans="1:19">
      <c r="A10" s="1454"/>
      <c r="B10" s="1621"/>
      <c r="C10" s="1621"/>
      <c r="D10" s="1621"/>
      <c r="E10" s="1621"/>
      <c r="F10" s="1621"/>
      <c r="K10" s="1696"/>
      <c r="L10" s="1696"/>
    </row>
    <row r="11" spans="1:19">
      <c r="A11" s="1454" t="s">
        <v>287</v>
      </c>
      <c r="B11" s="1621"/>
      <c r="C11" s="1621"/>
      <c r="D11" s="1621"/>
      <c r="E11" s="1621"/>
      <c r="F11" s="1621"/>
      <c r="K11" s="1696"/>
      <c r="L11" s="1696"/>
    </row>
    <row r="12" spans="1:19">
      <c r="A12" s="1455" t="str">
        <f>A7</f>
        <v>Vehical sales</v>
      </c>
      <c r="B12" s="1622">
        <f>'Earning Forecast'!D215</f>
        <v>4930135</v>
      </c>
      <c r="C12" s="1622">
        <f>'Earning Forecast'!E215</f>
        <v>8096035</v>
      </c>
      <c r="D12" s="1622">
        <f>'Earning Forecast'!F215</f>
        <v>13255770</v>
      </c>
      <c r="E12" s="1622">
        <f>'Earning Forecast'!G215</f>
        <v>26516643</v>
      </c>
      <c r="F12" s="1622">
        <f>'Earning Forecast'!H215</f>
        <v>39271801</v>
      </c>
      <c r="G12" s="1622">
        <f>'Earning Forecast'!I215</f>
        <v>43978917.074891157</v>
      </c>
      <c r="H12" s="1622">
        <f>'Earning Forecast'!J215</f>
        <v>58445282.09503682</v>
      </c>
      <c r="I12" s="1704">
        <f>'Earning Forecast'!K215</f>
        <v>73582190.722301513</v>
      </c>
      <c r="J12" s="1622"/>
      <c r="K12" s="1696"/>
      <c r="L12" s="1696"/>
    </row>
    <row r="13" spans="1:19">
      <c r="A13" s="1455" t="str">
        <f>A8</f>
        <v>Other sales</v>
      </c>
      <c r="B13" s="1623">
        <f>'Earning Forecast'!D223</f>
        <v>276912</v>
      </c>
      <c r="C13" s="1623">
        <f>'Earning Forecast'!E223</f>
        <v>927691</v>
      </c>
      <c r="D13" s="1623">
        <f>'Earning Forecast'!F223</f>
        <v>1128744</v>
      </c>
      <c r="E13" s="1623">
        <f>'Earning Forecast'!G223</f>
        <v>2798347</v>
      </c>
      <c r="F13" s="1623">
        <f>'Earning Forecast'!H223</f>
        <v>4852767</v>
      </c>
      <c r="G13" s="1623">
        <f>'Earning Forecast'!I223</f>
        <v>4214508.936862723</v>
      </c>
      <c r="H13" s="1623">
        <f>'Earning Forecast'!J223</f>
        <v>6366910.5918767704</v>
      </c>
      <c r="I13" s="1706">
        <f>'Earning Forecast'!K223</f>
        <v>8505982.849100871</v>
      </c>
      <c r="J13" s="1622"/>
      <c r="K13" s="1696"/>
      <c r="L13" s="1696"/>
    </row>
    <row r="14" spans="1:19">
      <c r="A14" s="1454" t="s">
        <v>1580</v>
      </c>
      <c r="B14" s="1464">
        <f t="shared" ref="B14:I14" si="2">B12+B13</f>
        <v>5207047</v>
      </c>
      <c r="C14" s="1464">
        <f t="shared" si="2"/>
        <v>9023726</v>
      </c>
      <c r="D14" s="1464">
        <f t="shared" si="2"/>
        <v>14384514</v>
      </c>
      <c r="E14" s="1464">
        <f t="shared" si="2"/>
        <v>29314990</v>
      </c>
      <c r="F14" s="1464">
        <f t="shared" si="2"/>
        <v>44124568</v>
      </c>
      <c r="G14" s="1464">
        <f t="shared" si="2"/>
        <v>48193426.011753879</v>
      </c>
      <c r="H14" s="1464">
        <f t="shared" si="2"/>
        <v>64812192.686913587</v>
      </c>
      <c r="I14" s="1707">
        <f t="shared" si="2"/>
        <v>82088173.571402386</v>
      </c>
      <c r="J14" s="1765"/>
      <c r="K14" s="1696"/>
      <c r="L14" s="1696"/>
    </row>
    <row r="15" spans="1:19">
      <c r="A15" s="1454" t="s">
        <v>511</v>
      </c>
      <c r="B15" s="1463">
        <f t="shared" ref="B15" si="3">B9-B14</f>
        <v>-255876</v>
      </c>
      <c r="C15" s="1463">
        <f t="shared" ref="C15:I15" si="4">C9-C14</f>
        <v>-1198822</v>
      </c>
      <c r="D15" s="1463">
        <f t="shared" si="4"/>
        <v>1873419</v>
      </c>
      <c r="E15" s="1463">
        <f t="shared" si="4"/>
        <v>6821433</v>
      </c>
      <c r="F15" s="1463">
        <f t="shared" si="4"/>
        <v>5143993</v>
      </c>
      <c r="G15" s="1463">
        <f t="shared" si="4"/>
        <v>3218355.292215541</v>
      </c>
      <c r="H15" s="1463">
        <f>H9-H14</f>
        <v>11473767.977586813</v>
      </c>
      <c r="I15" s="1705">
        <f t="shared" si="4"/>
        <v>21423822.733113542</v>
      </c>
      <c r="J15" s="1765"/>
      <c r="K15" s="1696"/>
      <c r="L15" s="1696"/>
    </row>
    <row r="16" spans="1:19" ht="14.5">
      <c r="A16" s="1457" t="s">
        <v>1581</v>
      </c>
      <c r="B16" s="1621"/>
      <c r="C16" s="1621"/>
      <c r="D16" s="1621"/>
      <c r="E16" s="1621"/>
      <c r="F16" s="1621"/>
      <c r="K16" s="1696"/>
      <c r="L16" s="1696"/>
    </row>
    <row r="17" spans="1:12">
      <c r="A17" s="1454" t="s">
        <v>1582</v>
      </c>
      <c r="B17" s="1621"/>
      <c r="C17" s="1621"/>
      <c r="D17" s="1621"/>
      <c r="E17" s="1621"/>
      <c r="F17" s="1621"/>
      <c r="K17" s="1696"/>
      <c r="L17" s="1696"/>
    </row>
    <row r="18" spans="1:12">
      <c r="A18" s="1456" t="s">
        <v>1583</v>
      </c>
      <c r="B18" s="1622">
        <f>'Earning Forecast'!D236</f>
        <v>5341790</v>
      </c>
      <c r="C18" s="1622">
        <f>'Earning Forecast'!E236</f>
        <v>5451787</v>
      </c>
      <c r="D18" s="1622">
        <f>'Earning Forecast'!F236</f>
        <v>3932271</v>
      </c>
      <c r="E18" s="1622">
        <f>'Earning Forecast'!G236</f>
        <v>6878132</v>
      </c>
      <c r="F18" s="1622">
        <f>'Earning Forecast'!H236</f>
        <v>10537119</v>
      </c>
      <c r="G18" s="1622">
        <f>'Earning Forecast'!I236</f>
        <v>10707017.574364671</v>
      </c>
      <c r="H18" s="1622">
        <f>'Earning Forecast'!J236</f>
        <v>12709851.334391084</v>
      </c>
      <c r="I18" s="1704">
        <f>'Earning Forecast'!K236</f>
        <v>13796741.344242232</v>
      </c>
      <c r="J18" s="1622"/>
      <c r="K18" s="1696"/>
      <c r="L18" s="1696"/>
    </row>
    <row r="19" spans="1:12">
      <c r="A19" s="1456" t="s">
        <v>530</v>
      </c>
      <c r="B19" s="1622">
        <f>'Earning Forecast'!D238</f>
        <v>3997942</v>
      </c>
      <c r="C19" s="1622">
        <f>'Earning Forecast'!E238</f>
        <v>4428580</v>
      </c>
      <c r="D19" s="1622">
        <f>'Earning Forecast'!F238</f>
        <v>2487770</v>
      </c>
      <c r="E19" s="1622">
        <f>'Earning Forecast'!G238</f>
        <v>4591852</v>
      </c>
      <c r="F19" s="1622">
        <f>'Earning Forecast'!H238</f>
        <v>10836261</v>
      </c>
      <c r="G19" s="1622">
        <f>'Earning Forecast'!I238</f>
        <v>11995396.813842144</v>
      </c>
      <c r="H19" s="1622">
        <f>'Earning Forecast'!J238</f>
        <v>13422832.956639588</v>
      </c>
      <c r="I19" s="1704">
        <f>'Earning Forecast'!K238</f>
        <v>14570693.98668926</v>
      </c>
      <c r="J19" s="1622"/>
      <c r="K19" s="1696"/>
      <c r="L19" s="1696"/>
    </row>
    <row r="20" spans="1:12">
      <c r="A20" s="1456" t="s">
        <v>1584</v>
      </c>
      <c r="B20" s="1623">
        <f>'Earning Forecast'!D240</f>
        <v>0</v>
      </c>
      <c r="C20" s="1623">
        <f>'Earning Forecast'!E240</f>
        <v>0</v>
      </c>
      <c r="D20" s="1623">
        <f>'Earning Forecast'!F240</f>
        <v>-61023</v>
      </c>
      <c r="E20" s="1623">
        <f>'Earning Forecast'!G240</f>
        <v>152248</v>
      </c>
      <c r="F20" s="1623">
        <f>'Earning Forecast'!H240</f>
        <v>588728</v>
      </c>
      <c r="G20" s="1623">
        <f>'Earning Forecast'!I240</f>
        <v>0</v>
      </c>
      <c r="H20" s="1623">
        <f>'Earning Forecast'!J240</f>
        <v>0</v>
      </c>
      <c r="I20" s="1706">
        <f>'Earning Forecast'!K240</f>
        <v>0</v>
      </c>
      <c r="J20" s="1622"/>
      <c r="K20" s="1696"/>
      <c r="L20" s="1696"/>
    </row>
    <row r="21" spans="1:12">
      <c r="A21" s="1454" t="s">
        <v>1585</v>
      </c>
      <c r="B21" s="1464">
        <f t="shared" ref="B21:I21" si="5">SUM(B18:B20)</f>
        <v>9339732</v>
      </c>
      <c r="C21" s="1464">
        <f t="shared" si="5"/>
        <v>9880367</v>
      </c>
      <c r="D21" s="1464">
        <f t="shared" si="5"/>
        <v>6359018</v>
      </c>
      <c r="E21" s="1464">
        <f t="shared" si="5"/>
        <v>11622232</v>
      </c>
      <c r="F21" s="1464">
        <f t="shared" si="5"/>
        <v>21962108</v>
      </c>
      <c r="G21" s="1464">
        <f t="shared" si="5"/>
        <v>22702414.388206817</v>
      </c>
      <c r="H21" s="1464">
        <f>SUM(H18:H20)</f>
        <v>26132684.291030671</v>
      </c>
      <c r="I21" s="1707">
        <f t="shared" si="5"/>
        <v>28367435.330931492</v>
      </c>
      <c r="J21" s="1765"/>
      <c r="K21" s="1696"/>
      <c r="L21" s="1696"/>
    </row>
    <row r="22" spans="1:12">
      <c r="A22" s="1454" t="s">
        <v>532</v>
      </c>
      <c r="B22" s="1463">
        <f t="shared" ref="B22:I22" si="6">B15-B21</f>
        <v>-9595608</v>
      </c>
      <c r="C22" s="1463">
        <f t="shared" si="6"/>
        <v>-11079189</v>
      </c>
      <c r="D22" s="1463">
        <f t="shared" si="6"/>
        <v>-4485599</v>
      </c>
      <c r="E22" s="1463">
        <f t="shared" si="6"/>
        <v>-4800799</v>
      </c>
      <c r="F22" s="1463">
        <f t="shared" si="6"/>
        <v>-16818115</v>
      </c>
      <c r="G22" s="1463">
        <f t="shared" si="6"/>
        <v>-19484059.095991276</v>
      </c>
      <c r="H22" s="1463">
        <f>H15-H21</f>
        <v>-14658916.313443858</v>
      </c>
      <c r="I22" s="1705">
        <f t="shared" si="6"/>
        <v>-6943612.59781795</v>
      </c>
      <c r="J22" s="1765"/>
      <c r="K22" s="1696"/>
      <c r="L22" s="1696"/>
    </row>
    <row r="23" spans="1:12">
      <c r="A23" s="1454"/>
      <c r="B23" s="1621"/>
      <c r="C23" s="1621"/>
      <c r="D23" s="1621"/>
      <c r="E23" s="1621"/>
      <c r="F23" s="1621"/>
      <c r="G23" s="1621"/>
      <c r="H23" s="1621"/>
      <c r="I23" s="1708"/>
      <c r="J23" s="1621"/>
      <c r="K23" s="1696"/>
      <c r="L23" s="1696"/>
    </row>
    <row r="24" spans="1:12">
      <c r="A24" s="1454" t="s">
        <v>1458</v>
      </c>
      <c r="B24" s="1622">
        <f>'Earning Forecast'!D244</f>
        <v>-123643</v>
      </c>
      <c r="C24" s="1622">
        <f>'Earning Forecast'!E244</f>
        <v>-370536</v>
      </c>
      <c r="D24" s="1622">
        <f>'Earning Forecast'!F244</f>
        <v>-426015</v>
      </c>
      <c r="E24" s="1622">
        <f>'Earning Forecast'!G244</f>
        <v>-637410</v>
      </c>
      <c r="F24" s="1622">
        <f>'Earning Forecast'!H244</f>
        <v>-333216</v>
      </c>
      <c r="G24" s="1622">
        <f>'Earning Forecast'!I244</f>
        <v>-404073.125</v>
      </c>
      <c r="H24" s="1622">
        <f>'Earning Forecast'!J244</f>
        <v>-381305.70754483482</v>
      </c>
      <c r="I24" s="1704">
        <f>'Earning Forecast'!K244</f>
        <v>-377418.56712760229</v>
      </c>
      <c r="J24" s="1622"/>
      <c r="K24" s="1696"/>
      <c r="L24" s="1696"/>
    </row>
    <row r="25" spans="1:12">
      <c r="A25" s="1454" t="s">
        <v>1030</v>
      </c>
      <c r="B25" s="1622">
        <f>'Earning Forecast'!D250</f>
        <v>102316</v>
      </c>
      <c r="C25" s="1622">
        <f>'Earning Forecast'!E250</f>
        <v>161961</v>
      </c>
      <c r="D25" s="1622">
        <f>'Earning Forecast'!F250</f>
        <v>-264054</v>
      </c>
      <c r="E25" s="1622">
        <f>'Earning Forecast'!G250</f>
        <v>1159029</v>
      </c>
      <c r="F25" s="1622">
        <f>'Earning Forecast'!H250</f>
        <v>1591874</v>
      </c>
      <c r="G25" s="1622">
        <f>'Earning Forecast'!I250</f>
        <v>1092961.6666666667</v>
      </c>
      <c r="H25" s="1622">
        <f>'Earning Forecast'!J250</f>
        <v>1114471.4222222224</v>
      </c>
      <c r="I25" s="1704">
        <f>'Earning Forecast'!K250</f>
        <v>965746.10962962976</v>
      </c>
      <c r="J25" s="1622"/>
      <c r="K25" s="1696"/>
      <c r="L25" s="1696"/>
    </row>
    <row r="26" spans="1:12" ht="14.5">
      <c r="A26" s="1457" t="s">
        <v>1586</v>
      </c>
      <c r="B26" s="1623">
        <f>'Earning Forecast'!D246</f>
        <v>133384</v>
      </c>
      <c r="C26" s="1623">
        <f>'Earning Forecast'!E246</f>
        <v>160279</v>
      </c>
      <c r="D26" s="1623">
        <f>'Earning Forecast'!F246</f>
        <v>166904</v>
      </c>
      <c r="E26" s="1623">
        <f>'Earning Forecast'!G246</f>
        <v>911833</v>
      </c>
      <c r="F26" s="1623">
        <f>'Earning Forecast'!H246</f>
        <v>1358719</v>
      </c>
      <c r="G26" s="1623">
        <f>'Earning Forecast'!I246</f>
        <v>1122608</v>
      </c>
      <c r="H26" s="1623">
        <f>'Earning Forecast'!J246</f>
        <v>1010347.2000000001</v>
      </c>
      <c r="I26" s="1706">
        <f>'Earning Forecast'!K246</f>
        <v>909312.4800000001</v>
      </c>
      <c r="J26" s="1622"/>
      <c r="K26" s="1696"/>
      <c r="L26" s="1696"/>
    </row>
    <row r="27" spans="1:12">
      <c r="A27" s="1492" t="s">
        <v>540</v>
      </c>
      <c r="B27" s="1463">
        <f t="shared" ref="B27:I27" si="7">B22+B24+B25</f>
        <v>-9616935</v>
      </c>
      <c r="C27" s="1463">
        <f t="shared" si="7"/>
        <v>-11287764</v>
      </c>
      <c r="D27" s="1463">
        <f t="shared" si="7"/>
        <v>-5175668</v>
      </c>
      <c r="E27" s="1463">
        <f t="shared" si="7"/>
        <v>-4279180</v>
      </c>
      <c r="F27" s="1463">
        <f t="shared" si="7"/>
        <v>-15559457</v>
      </c>
      <c r="G27" s="1463">
        <f>G22+G24+G25</f>
        <v>-18795170.554324608</v>
      </c>
      <c r="H27" s="1463">
        <f>H22+H24+H25</f>
        <v>-13925750.59876647</v>
      </c>
      <c r="I27" s="1705">
        <f t="shared" si="7"/>
        <v>-6355285.055315922</v>
      </c>
      <c r="J27" s="1765"/>
      <c r="K27" s="1696"/>
      <c r="L27" s="1696"/>
    </row>
    <row r="28" spans="1:12">
      <c r="A28" s="1458" t="s">
        <v>1587</v>
      </c>
      <c r="B28" s="1622">
        <f>-'Earning Forecast'!D253</f>
        <v>-22044</v>
      </c>
      <c r="C28" s="1622">
        <f>-'Earning Forecast'!E253</f>
        <v>-7888</v>
      </c>
      <c r="D28" s="1622">
        <f>-'Earning Forecast'!F253</f>
        <v>-6368</v>
      </c>
      <c r="E28" s="1622">
        <f>-'Earning Forecast'!G253</f>
        <v>-42265</v>
      </c>
      <c r="F28" s="1622">
        <f>-'Earning Forecast'!H253</f>
        <v>-55103</v>
      </c>
      <c r="G28" s="1622">
        <f>-'Earning Forecast'!I253</f>
        <v>-59905.898692316456</v>
      </c>
      <c r="H28" s="1622">
        <f>-'Earning Forecast'!J253</f>
        <v>-44385.583103539284</v>
      </c>
      <c r="I28" s="1704">
        <f>-'Earning Forecast'!K253</f>
        <v>-20256.217499284579</v>
      </c>
      <c r="J28" s="1622"/>
      <c r="K28" s="1696"/>
      <c r="L28" s="1696"/>
    </row>
    <row r="29" spans="1:12" ht="14.5" thickBot="1">
      <c r="A29" s="1458" t="s">
        <v>638</v>
      </c>
      <c r="B29" s="1508"/>
      <c r="C29" s="1508"/>
      <c r="D29" s="1508"/>
      <c r="E29" s="1508"/>
      <c r="F29" s="1508"/>
      <c r="G29" s="1508"/>
      <c r="H29" s="1508"/>
      <c r="I29" s="1709"/>
      <c r="J29" s="1621"/>
      <c r="K29" s="1696"/>
      <c r="L29" s="1696"/>
    </row>
    <row r="30" spans="1:12" ht="14.5">
      <c r="A30" s="1500" t="s">
        <v>639</v>
      </c>
      <c r="B30" s="1624">
        <f t="shared" ref="B30" si="8">B27+B28</f>
        <v>-9638979</v>
      </c>
      <c r="C30" s="1624">
        <f t="shared" ref="C30:I30" si="9">C27+C28</f>
        <v>-11295652</v>
      </c>
      <c r="D30" s="1624">
        <f t="shared" si="9"/>
        <v>-5182036</v>
      </c>
      <c r="E30" s="1624">
        <f>E27+E28</f>
        <v>-4321445</v>
      </c>
      <c r="F30" s="1624">
        <f t="shared" si="9"/>
        <v>-15614560</v>
      </c>
      <c r="G30" s="1624">
        <f>G27+G28</f>
        <v>-18855076.453016926</v>
      </c>
      <c r="H30" s="1624">
        <f>H27+H28</f>
        <v>-13970136.18187001</v>
      </c>
      <c r="I30" s="1710">
        <f t="shared" si="9"/>
        <v>-6375541.272815207</v>
      </c>
      <c r="J30" s="1765"/>
      <c r="K30" s="1696"/>
      <c r="L30" s="1696"/>
    </row>
    <row r="31" spans="1:12">
      <c r="A31" s="1459" t="s">
        <v>640</v>
      </c>
      <c r="B31" s="1622">
        <f>'Earning Forecast'!D258</f>
        <v>-13730588</v>
      </c>
      <c r="C31" s="1622">
        <f>'Earning Forecast'!E258</f>
        <v>-126590</v>
      </c>
      <c r="D31" s="1622">
        <f>'Earning Forecast'!F258</f>
        <v>-311670</v>
      </c>
      <c r="E31" s="1622">
        <f>'Earning Forecast'!G258</f>
        <v>-6586579</v>
      </c>
      <c r="F31" s="1622">
        <f>'Earning Forecast'!H258</f>
        <v>-279355</v>
      </c>
      <c r="G31" s="1622">
        <f>'Earning Forecast'!I258</f>
        <v>0</v>
      </c>
      <c r="H31" s="1622">
        <f>'Earning Forecast'!J258</f>
        <v>0</v>
      </c>
      <c r="I31" s="1704">
        <f>'Earning Forecast'!K258</f>
        <v>0</v>
      </c>
      <c r="J31" s="1622"/>
      <c r="K31" s="1696"/>
      <c r="L31" s="1696"/>
    </row>
    <row r="32" spans="1:12" ht="14.5">
      <c r="A32" s="1457" t="s">
        <v>641</v>
      </c>
      <c r="B32" s="1623">
        <f>'Earning Forecast'!D259</f>
        <v>-41705</v>
      </c>
      <c r="C32" s="1623">
        <f>'Earning Forecast'!E259</f>
        <v>-9141</v>
      </c>
      <c r="D32" s="1623">
        <f>'Earning Forecast'!F259</f>
        <v>-4962</v>
      </c>
      <c r="E32" s="1623">
        <f>'Earning Forecast'!G259</f>
        <v>-31219</v>
      </c>
      <c r="F32" s="1623">
        <f>'Earning Forecast'!H259</f>
        <v>-157014</v>
      </c>
      <c r="G32" s="1623">
        <f>'Earning Forecast'!I259</f>
        <v>-114622.25601183098</v>
      </c>
      <c r="H32" s="1623">
        <f>'Earning Forecast'!J259</f>
        <v>-108775.84753113209</v>
      </c>
      <c r="I32" s="1706">
        <f>'Earning Forecast'!K259</f>
        <v>-50836.539756695725</v>
      </c>
      <c r="J32" s="1622"/>
      <c r="K32" s="1696"/>
      <c r="L32" s="1696"/>
    </row>
    <row r="33" spans="1:12">
      <c r="A33" s="1492" t="s">
        <v>1588</v>
      </c>
      <c r="B33" s="1463">
        <f t="shared" ref="B33" si="10">B30+B31-B32</f>
        <v>-23327862</v>
      </c>
      <c r="C33" s="1463">
        <f t="shared" ref="C33:I33" si="11">C30+C31-C32</f>
        <v>-11413101</v>
      </c>
      <c r="D33" s="1463">
        <f t="shared" si="11"/>
        <v>-5488744</v>
      </c>
      <c r="E33" s="1463">
        <f t="shared" si="11"/>
        <v>-10876805</v>
      </c>
      <c r="F33" s="1463">
        <f t="shared" si="11"/>
        <v>-15736901</v>
      </c>
      <c r="G33" s="1463">
        <f t="shared" si="11"/>
        <v>-18740454.197005093</v>
      </c>
      <c r="H33" s="1463">
        <f t="shared" si="11"/>
        <v>-13861360.334338877</v>
      </c>
      <c r="I33" s="1705">
        <f t="shared" si="11"/>
        <v>-6324704.7330585113</v>
      </c>
      <c r="J33" s="1765"/>
      <c r="K33" s="1696"/>
      <c r="L33" s="1696"/>
    </row>
    <row r="34" spans="1:12" ht="14.5" thickBot="1">
      <c r="A34" s="1493" t="s">
        <v>1589</v>
      </c>
      <c r="B34" s="1625">
        <f>'Earning Forecast'!D262</f>
        <v>332153211</v>
      </c>
      <c r="C34" s="1625">
        <f>'Earning Forecast'!E262</f>
        <v>1029931705</v>
      </c>
      <c r="D34" s="1625">
        <f>'Earning Forecast'!F262</f>
        <v>1182660948</v>
      </c>
      <c r="E34" s="1625">
        <f>'Earning Forecast'!G262</f>
        <v>1572702112</v>
      </c>
      <c r="F34" s="1625">
        <f>'Earning Forecast'!H262</f>
        <v>1636999280</v>
      </c>
      <c r="G34" s="1625">
        <f>'Earning Forecast'!I262</f>
        <v>1636999280</v>
      </c>
      <c r="H34" s="1625">
        <f>'Earning Forecast'!J262</f>
        <v>1636999280</v>
      </c>
      <c r="I34" s="1711">
        <f>'Earning Forecast'!K262</f>
        <v>1636999280</v>
      </c>
      <c r="J34" s="1622"/>
      <c r="K34" s="1696"/>
      <c r="L34" s="1696"/>
    </row>
    <row r="35" spans="1:12">
      <c r="A35" s="889" t="s">
        <v>1449</v>
      </c>
      <c r="B35" s="1497">
        <f t="shared" ref="B35:I35" si="12">B33*1000/B34</f>
        <v>-70.232233883176278</v>
      </c>
      <c r="C35" s="1497">
        <f t="shared" si="12"/>
        <v>-11.081415344913573</v>
      </c>
      <c r="D35" s="1497">
        <f t="shared" si="12"/>
        <v>-4.6410122945904524</v>
      </c>
      <c r="E35" s="1497">
        <f t="shared" si="12"/>
        <v>-6.9159982154331843</v>
      </c>
      <c r="F35" s="1497">
        <f t="shared" si="12"/>
        <v>-9.6132607950811071</v>
      </c>
      <c r="G35" s="1497">
        <f t="shared" si="12"/>
        <v>-11.448052803667142</v>
      </c>
      <c r="H35" s="1497">
        <f t="shared" si="12"/>
        <v>-8.4675421081057998</v>
      </c>
      <c r="I35" s="1712">
        <f t="shared" si="12"/>
        <v>-3.8635965270910271</v>
      </c>
      <c r="J35" s="1766"/>
      <c r="K35" s="1696"/>
      <c r="L35" s="1696"/>
    </row>
    <row r="36" spans="1:12" s="1462" customFormat="1" ht="14.5" thickBot="1">
      <c r="I36" s="1713"/>
      <c r="K36" s="1697"/>
      <c r="L36" s="1697"/>
    </row>
    <row r="37" spans="1:12" s="1461" customFormat="1" ht="20">
      <c r="A37" s="1460" t="s">
        <v>1590</v>
      </c>
      <c r="I37" s="1702"/>
      <c r="K37" s="1698"/>
      <c r="L37" s="1698"/>
    </row>
    <row r="38" spans="1:12">
      <c r="A38" s="1493" t="s">
        <v>877</v>
      </c>
      <c r="B38" s="1494">
        <f>'Fin Sta as rep'!C899+'Fin Sta as rep'!C900+'Fin Sta as rep'!C907</f>
        <v>8345562</v>
      </c>
      <c r="C38" s="1494">
        <f>'Fin Sta as rep'!D899+'Fin Sta as rep'!D900+'Fin Sta as rep'!D907</f>
        <v>1056346</v>
      </c>
      <c r="D38" s="1494">
        <f>'Fin Sta as rep'!E899+'Fin Sta as rep'!E900+'Fin Sta as rep'!E907</f>
        <v>42454298</v>
      </c>
      <c r="E38" s="1494">
        <f>'Fin Sta as rep'!F899+'Fin Sta as rep'!F900+'Fin Sta as rep'!F907</f>
        <v>55385681</v>
      </c>
      <c r="F38" s="1494">
        <f>'Fin Sta as rep'!G899+'Fin Sta as rep'!G900+'Fin Sta as rep'!G907</f>
        <v>42212832</v>
      </c>
      <c r="G38" s="1935">
        <f>F38+G104</f>
        <v>-62342276.922952801</v>
      </c>
      <c r="H38" s="1935">
        <f>G38+H104</f>
        <v>-165679174.57764414</v>
      </c>
      <c r="I38" s="1936">
        <f>H38+I104</f>
        <v>-267829250.93167025</v>
      </c>
      <c r="J38" s="1620"/>
      <c r="K38" s="1754" t="s">
        <v>1591</v>
      </c>
      <c r="L38" s="1696"/>
    </row>
    <row r="39" spans="1:12">
      <c r="A39" s="1493" t="s">
        <v>1067</v>
      </c>
      <c r="B39" s="1494">
        <f>'Fin Sta as rep'!C901+'Fin Sta as rep'!C903+'Fin Sta as rep'!C902</f>
        <v>756508</v>
      </c>
      <c r="C39" s="1494">
        <f>'Fin Sta as rep'!D901+'Fin Sta as rep'!D903+'Fin Sta as rep'!D902</f>
        <v>1352093</v>
      </c>
      <c r="D39" s="1494">
        <f>'Fin Sta as rep'!E901+'Fin Sta as rep'!E903+'Fin Sta as rep'!E902</f>
        <v>1123920</v>
      </c>
      <c r="E39" s="1494">
        <f>'Fin Sta as rep'!F901+'Fin Sta as rep'!F903+'Fin Sta as rep'!F902</f>
        <v>2797805</v>
      </c>
      <c r="F39" s="1494">
        <f>'Fin Sta as rep'!G901+'Fin Sta as rep'!G903+'Fin Sta as rep'!G902</f>
        <v>5118170</v>
      </c>
      <c r="G39" s="1668">
        <f>F39*G9/F9</f>
        <v>5340814.3322176011</v>
      </c>
      <c r="H39" s="1668">
        <f>G39*H9/G9</f>
        <v>7924820.765401002</v>
      </c>
      <c r="I39" s="1715">
        <f>H39*I9/H9</f>
        <v>10753145.279113879</v>
      </c>
      <c r="J39" s="1668"/>
      <c r="K39" s="1754" t="s">
        <v>1592</v>
      </c>
      <c r="L39" s="1696"/>
    </row>
    <row r="40" spans="1:12">
      <c r="A40" s="1493" t="s">
        <v>696</v>
      </c>
      <c r="B40" s="1494">
        <f>'Fin Sta as rep'!C906</f>
        <v>1465239</v>
      </c>
      <c r="C40" s="1494">
        <f>'Fin Sta as rep'!D906</f>
        <v>889528</v>
      </c>
      <c r="D40" s="1494">
        <f>'Fin Sta as rep'!E906</f>
        <v>1081553</v>
      </c>
      <c r="E40" s="1494">
        <f>'Fin Sta as rep'!F906</f>
        <v>2056352</v>
      </c>
      <c r="F40" s="1494">
        <f>'Fin Sta as rep'!G906</f>
        <v>8191386</v>
      </c>
      <c r="G40" s="1668">
        <f>F40*G14/F14</f>
        <v>8946738.1329312176</v>
      </c>
      <c r="H40" s="1668">
        <f>G40*H14/G14</f>
        <v>12031884.092437718</v>
      </c>
      <c r="I40" s="1715">
        <f>H40*I14/H14</f>
        <v>15239036.805036947</v>
      </c>
      <c r="J40" s="1668"/>
      <c r="K40" s="1754" t="s">
        <v>1593</v>
      </c>
      <c r="L40" s="1696"/>
    </row>
    <row r="41" spans="1:12">
      <c r="A41" s="1750" t="s">
        <v>1069</v>
      </c>
      <c r="B41" s="1642">
        <f>SUM('Fin Sta as rep'!C904,'Fin Sta as rep'!C905,'Fin Sta as rep'!C910,'Fin Sta as rep'!C908,'Fin Sta as rep'!C909)</f>
        <v>1602323</v>
      </c>
      <c r="C41" s="1642">
        <f>SUM('Fin Sta as rep'!D904,'Fin Sta as rep'!D905,'Fin Sta as rep'!D910,'Fin Sta as rep'!D908,'Fin Sta as rep'!D909)</f>
        <v>1630041</v>
      </c>
      <c r="D41" s="1642">
        <f>SUM('Fin Sta as rep'!E904,'Fin Sta as rep'!E905,'Fin Sta as rep'!E910,'Fin Sta as rep'!E908,'Fin Sta as rep'!E909)</f>
        <v>1547046</v>
      </c>
      <c r="E41" s="1642">
        <f>SUM('Fin Sta as rep'!F904,'Fin Sta as rep'!F905,'Fin Sta as rep'!F910,'Fin Sta as rep'!F908,'Fin Sta as rep'!F909)</f>
        <v>3401477</v>
      </c>
      <c r="F41" s="1642">
        <f>SUM('Fin Sta as rep'!G904,'Fin Sta as rep'!G905,'Fin Sta as rep'!G910,'Fin Sta as rep'!G908,'Fin Sta as rep'!G909)</f>
        <v>3627364</v>
      </c>
      <c r="G41" s="1669">
        <f>F41*G21/F21</f>
        <v>3749636.4495094661</v>
      </c>
      <c r="H41" s="1669">
        <f t="shared" ref="H41:I41" si="13">G41*H21/G21</f>
        <v>4316195.795988718</v>
      </c>
      <c r="I41" s="1716">
        <f t="shared" si="13"/>
        <v>4685297.6814315356</v>
      </c>
      <c r="J41" s="1769"/>
      <c r="K41" s="1755" t="s">
        <v>1594</v>
      </c>
      <c r="L41" s="1696"/>
    </row>
    <row r="42" spans="1:12">
      <c r="A42" s="1751" t="s">
        <v>1071</v>
      </c>
      <c r="B42" s="1491">
        <f t="shared" ref="B42:I42" si="14">SUM(B38:B41)</f>
        <v>12169632</v>
      </c>
      <c r="C42" s="1491">
        <f t="shared" si="14"/>
        <v>4928008</v>
      </c>
      <c r="D42" s="1491">
        <f t="shared" si="14"/>
        <v>46206817</v>
      </c>
      <c r="E42" s="1491">
        <f t="shared" si="14"/>
        <v>63641315</v>
      </c>
      <c r="F42" s="1491">
        <f t="shared" si="14"/>
        <v>59149752</v>
      </c>
      <c r="G42" s="1939">
        <f t="shared" si="14"/>
        <v>-44305088.008294515</v>
      </c>
      <c r="H42" s="1939">
        <f>SUM(H38:H41)</f>
        <v>-141406273.92381671</v>
      </c>
      <c r="I42" s="1940">
        <f t="shared" si="14"/>
        <v>-237151771.16608787</v>
      </c>
      <c r="J42" s="1499"/>
      <c r="K42" s="1698"/>
      <c r="L42" s="1696"/>
    </row>
    <row r="43" spans="1:12" ht="14.5">
      <c r="A43" s="1457" t="s">
        <v>1581</v>
      </c>
      <c r="B43" s="1495"/>
      <c r="C43" s="1495"/>
      <c r="D43" s="1495"/>
      <c r="E43" s="1495"/>
      <c r="F43" s="1495"/>
      <c r="G43" s="1495"/>
      <c r="H43" s="1495"/>
      <c r="I43" s="1718"/>
      <c r="J43" s="1495"/>
      <c r="K43" s="1696"/>
      <c r="L43" s="1696"/>
    </row>
    <row r="44" spans="1:12">
      <c r="A44" s="1493" t="s">
        <v>1076</v>
      </c>
      <c r="B44" s="1494">
        <f>'Fin Sta as rep'!C914</f>
        <v>4853157</v>
      </c>
      <c r="C44" s="1494">
        <f>'Fin Sta as rep'!D914</f>
        <v>5533064</v>
      </c>
      <c r="D44" s="1494">
        <f>'Fin Sta as rep'!E914</f>
        <v>4996228</v>
      </c>
      <c r="E44" s="1494">
        <f>'Fin Sta as rep'!F914</f>
        <v>7399516</v>
      </c>
      <c r="F44" s="1494">
        <f>'Fin Sta as rep'!G914</f>
        <v>15658666</v>
      </c>
      <c r="G44" s="1668">
        <f>20740663+3160000</f>
        <v>23900663</v>
      </c>
      <c r="H44" s="1670">
        <f>G44-H76-H91</f>
        <v>36812082.593306467</v>
      </c>
      <c r="I44" s="1719">
        <f>H44-I76-I91</f>
        <v>53792795.867196418</v>
      </c>
      <c r="J44" s="1670"/>
      <c r="K44" s="1754" t="s">
        <v>1595</v>
      </c>
      <c r="L44" s="1696"/>
    </row>
    <row r="45" spans="1:12">
      <c r="A45" s="1455" t="s">
        <v>1596</v>
      </c>
      <c r="B45" s="1494">
        <f>CA!D119</f>
        <v>677829</v>
      </c>
      <c r="C45" s="1494">
        <f>CA!E119</f>
        <v>1548977</v>
      </c>
      <c r="D45" s="1494">
        <f>CA!F119</f>
        <v>2470028</v>
      </c>
      <c r="E45" s="1494">
        <f>CA!G119</f>
        <v>4178047</v>
      </c>
      <c r="F45" s="1494">
        <f>CA!H119</f>
        <v>7030362</v>
      </c>
      <c r="G45" s="1494">
        <f>CA!I119</f>
        <v>10630198.885278616</v>
      </c>
      <c r="H45" s="1494">
        <f>CA!J119</f>
        <v>14862030.688155301</v>
      </c>
      <c r="I45" s="1720">
        <f>CA!K119</f>
        <v>20240453.338918269</v>
      </c>
      <c r="J45" s="1494"/>
      <c r="K45" s="1754" t="s">
        <v>1597</v>
      </c>
      <c r="L45" s="1696"/>
    </row>
    <row r="46" spans="1:12">
      <c r="A46" s="1455" t="s">
        <v>1598</v>
      </c>
      <c r="B46" s="1494">
        <f>B44+B45</f>
        <v>5530986</v>
      </c>
      <c r="C46" s="1494">
        <f>C44+C45</f>
        <v>7082041</v>
      </c>
      <c r="D46" s="1494">
        <f>D44+D45</f>
        <v>7466256</v>
      </c>
      <c r="E46" s="1494">
        <f>E44+E45</f>
        <v>11577563</v>
      </c>
      <c r="F46" s="1494"/>
      <c r="G46" s="1670"/>
      <c r="H46" s="1670"/>
      <c r="I46" s="1719"/>
      <c r="J46" s="1670"/>
      <c r="K46" s="1696"/>
      <c r="L46" s="1696"/>
    </row>
    <row r="47" spans="1:12">
      <c r="A47" s="1455" t="s">
        <v>1078</v>
      </c>
      <c r="B47" s="1494">
        <f>'Fin Sta as rep'!C913</f>
        <v>0</v>
      </c>
      <c r="C47" s="1494">
        <f>'Fin Sta as rep'!D913</f>
        <v>1997672</v>
      </c>
      <c r="D47" s="1494">
        <f>'Fin Sta as rep'!E913</f>
        <v>1350294</v>
      </c>
      <c r="E47" s="1494">
        <f>'Fin Sta as rep'!F913</f>
        <v>2988374</v>
      </c>
      <c r="F47" s="1494">
        <f>'Fin Sta as rep'!G913</f>
        <v>7374456</v>
      </c>
      <c r="G47" s="1670">
        <f>F47-G84</f>
        <v>6612836</v>
      </c>
      <c r="H47" s="1670">
        <f>G47-H84</f>
        <v>5763751</v>
      </c>
      <c r="I47" s="1719">
        <f>H47-I84</f>
        <v>4846269.333333333</v>
      </c>
      <c r="J47" s="1670"/>
      <c r="K47" s="1696"/>
      <c r="L47" s="1696"/>
    </row>
    <row r="48" spans="1:12">
      <c r="A48" s="1455" t="s">
        <v>895</v>
      </c>
      <c r="B48" s="1494">
        <f>'Fin Sta as rep'!C915</f>
        <v>148303</v>
      </c>
      <c r="C48" s="1494">
        <f>'Fin Sta as rep'!D915</f>
        <v>115325</v>
      </c>
      <c r="D48" s="1494">
        <f>'Fin Sta as rep'!E915</f>
        <v>300121</v>
      </c>
      <c r="E48" s="1494">
        <f>'Fin Sta as rep'!F915</f>
        <v>3059383</v>
      </c>
      <c r="F48" s="1494">
        <f>'Fin Sta as rep'!G915</f>
        <v>6356411</v>
      </c>
      <c r="G48" s="1670">
        <f>F48-G83-G93</f>
        <v>85097191.333333328</v>
      </c>
      <c r="H48" s="1670">
        <f>G48-H83-H93</f>
        <v>163837971.66666666</v>
      </c>
      <c r="I48" s="1719">
        <f>H48-I83-I93</f>
        <v>242578752</v>
      </c>
      <c r="J48" s="1670"/>
      <c r="K48" s="1754" t="s">
        <v>1599</v>
      </c>
      <c r="L48" s="1696"/>
    </row>
    <row r="49" spans="1:19">
      <c r="A49" s="1455" t="s">
        <v>713</v>
      </c>
      <c r="B49" s="1494"/>
      <c r="C49" s="1494"/>
      <c r="D49" s="1494"/>
      <c r="E49" s="1494"/>
      <c r="F49" s="1494"/>
      <c r="G49" s="1495"/>
      <c r="H49" s="1495"/>
      <c r="I49" s="1718"/>
      <c r="J49" s="1495"/>
      <c r="K49" s="1754" t="s">
        <v>1600</v>
      </c>
      <c r="L49" s="1696"/>
    </row>
    <row r="50" spans="1:19">
      <c r="A50" s="1455" t="s">
        <v>902</v>
      </c>
      <c r="B50" s="1494">
        <f>'Fin Sta as rep'!C917</f>
        <v>3470</v>
      </c>
      <c r="C50" s="1494">
        <f>'Fin Sta as rep'!D917</f>
        <v>1522</v>
      </c>
      <c r="D50" s="1494">
        <f>'Fin Sta as rep'!E917</f>
        <v>613</v>
      </c>
      <c r="E50" s="1494">
        <f>'Fin Sta as rep'!F917</f>
        <v>0</v>
      </c>
      <c r="F50" s="1494">
        <f>'Fin Sta as rep'!G917</f>
        <v>0</v>
      </c>
      <c r="G50" s="1670">
        <f>F50-G77</f>
        <v>0</v>
      </c>
      <c r="H50" s="1670">
        <f t="shared" ref="H50:I50" si="15">G50-H77</f>
        <v>0</v>
      </c>
      <c r="I50" s="1719">
        <f t="shared" si="15"/>
        <v>0</v>
      </c>
      <c r="J50" s="1670"/>
      <c r="K50" s="1754" t="s">
        <v>1601</v>
      </c>
      <c r="L50" s="1696"/>
    </row>
    <row r="51" spans="1:19">
      <c r="A51" s="1493" t="s">
        <v>1081</v>
      </c>
      <c r="B51" s="1642">
        <f>SUM('Fin Sta as rep'!C918:'Fin Sta as rep'!C922,'Fin Sta as rep'!C916)</f>
        <v>1667990</v>
      </c>
      <c r="C51" s="1642">
        <f>SUM('Fin Sta as rep'!D918:'Fin Sta as rep'!D922,'Fin Sta as rep'!D916)</f>
        <v>2006438</v>
      </c>
      <c r="D51" s="1642">
        <f>SUM('Fin Sta as rep'!E918:'Fin Sta as rep'!E922,'Fin Sta as rep'!E916)</f>
        <v>1787856</v>
      </c>
      <c r="E51" s="1642">
        <f>SUM('Fin Sta as rep'!F918:'Fin Sta as rep'!F922,'Fin Sta as rep'!F916)</f>
        <v>5795013</v>
      </c>
      <c r="F51" s="1642">
        <f>SUM('Fin Sta as rep'!G918:'Fin Sta as rep'!G922,'Fin Sta as rep'!G916)</f>
        <v>7724640</v>
      </c>
      <c r="G51" s="1669">
        <f>F51*G9/F9</f>
        <v>8060667.7822779194</v>
      </c>
      <c r="H51" s="1669">
        <f>G51*H9/G9</f>
        <v>11960600.659463678</v>
      </c>
      <c r="I51" s="1716">
        <f>H51*I9/H9</f>
        <v>16229272.601116074</v>
      </c>
      <c r="J51" s="1769"/>
      <c r="K51" s="1755" t="s">
        <v>1592</v>
      </c>
      <c r="L51" s="1696"/>
    </row>
    <row r="52" spans="1:19">
      <c r="A52" s="1750" t="s">
        <v>1602</v>
      </c>
      <c r="B52" s="1640">
        <f t="shared" ref="B52:I52" si="16">SUM(B44,B47,B48,B49,B50,B51)</f>
        <v>6672920</v>
      </c>
      <c r="C52" s="1640">
        <f t="shared" si="16"/>
        <v>9654021</v>
      </c>
      <c r="D52" s="1640">
        <f t="shared" si="16"/>
        <v>8435112</v>
      </c>
      <c r="E52" s="1640">
        <f t="shared" si="16"/>
        <v>19242286</v>
      </c>
      <c r="F52" s="1640">
        <f t="shared" si="16"/>
        <v>37114173</v>
      </c>
      <c r="G52" s="1640">
        <f t="shared" si="16"/>
        <v>123671358.11561126</v>
      </c>
      <c r="H52" s="1640">
        <f t="shared" si="16"/>
        <v>218374405.91943678</v>
      </c>
      <c r="I52" s="1721">
        <f t="shared" si="16"/>
        <v>317447089.80164582</v>
      </c>
      <c r="J52" s="1770"/>
      <c r="K52" s="1698"/>
      <c r="L52" s="1696"/>
    </row>
    <row r="53" spans="1:19">
      <c r="A53" s="1752" t="s">
        <v>1085</v>
      </c>
      <c r="B53" s="1491">
        <f>SUM(B44,B47,B48,B49,B50,B51,B42)</f>
        <v>18842552</v>
      </c>
      <c r="C53" s="1491">
        <f>SUM(C44,C47,C48,C49,C50,C51,C42)</f>
        <v>14582029</v>
      </c>
      <c r="D53" s="1491">
        <f>SUM(D44,D47,D48,D49,D50,D51,D42)</f>
        <v>54641929</v>
      </c>
      <c r="E53" s="1491">
        <f>SUM(E44,E47,E48,E49,E50,E51,E42)</f>
        <v>82883601</v>
      </c>
      <c r="F53" s="1491">
        <f>SUM(F44,F47,F48,F49,F50,F51,F42)</f>
        <v>96263925</v>
      </c>
      <c r="G53" s="1491">
        <f t="shared" ref="G53" si="17">SUM(G44,G47,G48,G49,G50,G51,G42)</f>
        <v>79366270.107316732</v>
      </c>
      <c r="H53" s="1491">
        <f>SUM(H44,H47,H48,H49,H50,H51,H42)</f>
        <v>76968131.995620072</v>
      </c>
      <c r="I53" s="1717">
        <f>SUM(I44,I47,I48,I49,I50,I51,I42)</f>
        <v>80295318.63555795</v>
      </c>
      <c r="J53" s="1767"/>
      <c r="K53" s="1696"/>
      <c r="L53" s="1696"/>
    </row>
    <row r="54" spans="1:19" ht="14.5">
      <c r="A54" s="1457" t="s">
        <v>1581</v>
      </c>
      <c r="B54" s="1495"/>
      <c r="C54" s="1495"/>
      <c r="D54" s="1495"/>
      <c r="E54" s="1495"/>
      <c r="F54" s="1495"/>
      <c r="G54" s="1495"/>
      <c r="H54" s="1495"/>
      <c r="I54" s="1718"/>
      <c r="J54" s="1495"/>
      <c r="K54" s="1696"/>
      <c r="L54" s="1696"/>
    </row>
    <row r="55" spans="1:19">
      <c r="A55" s="1493" t="s">
        <v>791</v>
      </c>
      <c r="B55" s="1494">
        <f>'Fin Sta as rep'!C925+'Fin Sta as rep'!C926+'Fin Sta as rep'!C931</f>
        <v>2921270</v>
      </c>
      <c r="C55" s="1494">
        <f>'Fin Sta as rep'!D925+'Fin Sta as rep'!D926+'Fin Sta as rep'!D931</f>
        <v>3155685</v>
      </c>
      <c r="D55" s="1494">
        <f>'Fin Sta as rep'!E925+'Fin Sta as rep'!E926+'Fin Sta as rep'!E931</f>
        <v>6549911</v>
      </c>
      <c r="E55" s="1494">
        <f>'Fin Sta as rep'!F925+'Fin Sta as rep'!F926+'Fin Sta as rep'!F931</f>
        <v>13266785</v>
      </c>
      <c r="F55" s="1494">
        <f>'Fin Sta as rep'!G925+'Fin Sta as rep'!G926+'Fin Sta as rep'!G931</f>
        <v>25509987</v>
      </c>
      <c r="G55" s="1668">
        <f>F55*G21/F21</f>
        <v>26369886.529643185</v>
      </c>
      <c r="H55" s="1668">
        <f t="shared" ref="H55:I55" si="18">G55*H21/G21</f>
        <v>30354300.986922413</v>
      </c>
      <c r="I55" s="1715">
        <f t="shared" si="18"/>
        <v>32950065.927888297</v>
      </c>
      <c r="J55" s="1668"/>
      <c r="K55" s="758" t="s">
        <v>1594</v>
      </c>
      <c r="L55" s="1696"/>
    </row>
    <row r="56" spans="1:19">
      <c r="A56" s="1493" t="s">
        <v>729</v>
      </c>
      <c r="B56" s="1494">
        <f>'Fin Sta as rep'!C928+'Fin Sta as rep'!C929</f>
        <v>2068852</v>
      </c>
      <c r="C56" s="1494">
        <f>'Fin Sta as rep'!D928+'Fin Sta as rep'!D929</f>
        <v>1208056</v>
      </c>
      <c r="D56" s="1494">
        <f>'Fin Sta as rep'!E928+'Fin Sta as rep'!E929</f>
        <v>1930560</v>
      </c>
      <c r="E56" s="1494">
        <f>'Fin Sta as rep'!F928+'Fin Sta as rep'!F929</f>
        <v>7297962</v>
      </c>
      <c r="F56" s="1494">
        <f>'Fin Sta as rep'!G928+'Fin Sta as rep'!G929</f>
        <v>5277126</v>
      </c>
      <c r="G56" s="1668">
        <f>F56*G21/F21</f>
        <v>5455009.2017933922</v>
      </c>
      <c r="H56" s="1668">
        <f t="shared" ref="H56:I56" si="19">G56*H21/G21</f>
        <v>6279245.4951040903</v>
      </c>
      <c r="I56" s="1715">
        <f t="shared" si="19"/>
        <v>6816218.6679974962</v>
      </c>
      <c r="J56" s="1668"/>
      <c r="K56" s="758" t="s">
        <v>1594</v>
      </c>
      <c r="L56" s="1696"/>
    </row>
    <row r="57" spans="1:19">
      <c r="A57" s="1493" t="s">
        <v>1091</v>
      </c>
      <c r="B57" s="1642">
        <f>'Fin Sta as rep'!C927+'Fin Sta as rep'!C930+'Fin Sta as rep'!C932</f>
        <v>3603264</v>
      </c>
      <c r="C57" s="1642">
        <f>'Fin Sta as rep'!D927+'Fin Sta as rep'!D930+'Fin Sta as rep'!D932</f>
        <v>5135117</v>
      </c>
      <c r="D57" s="1642">
        <f>'Fin Sta as rep'!E927+'Fin Sta as rep'!E930+'Fin Sta as rep'!E932</f>
        <v>5495769</v>
      </c>
      <c r="E57" s="1642">
        <f>'Fin Sta as rep'!F927+'Fin Sta as rep'!F930+'Fin Sta as rep'!F932</f>
        <v>8633405</v>
      </c>
      <c r="F57" s="1642">
        <f>'Fin Sta as rep'!G927+'Fin Sta as rep'!G930+'Fin Sta as rep'!G932</f>
        <v>15064941</v>
      </c>
      <c r="G57" s="1669">
        <f>F57*G21/F21</f>
        <v>15572755.279952489</v>
      </c>
      <c r="H57" s="1669">
        <f t="shared" ref="H57:I57" si="20">G57*H21/G21</f>
        <v>17925754.076794628</v>
      </c>
      <c r="I57" s="1716">
        <f t="shared" si="20"/>
        <v>19458684.912295233</v>
      </c>
      <c r="J57" s="1769"/>
      <c r="K57" s="881" t="s">
        <v>1594</v>
      </c>
      <c r="L57" s="1696"/>
    </row>
    <row r="58" spans="1:19">
      <c r="A58" s="1492" t="s">
        <v>1099</v>
      </c>
      <c r="B58" s="1491">
        <f t="shared" ref="B58:H58" si="21">SUM(B55:B57)</f>
        <v>8593386</v>
      </c>
      <c r="C58" s="1491">
        <f t="shared" si="21"/>
        <v>9498858</v>
      </c>
      <c r="D58" s="1491">
        <f t="shared" si="21"/>
        <v>13976240</v>
      </c>
      <c r="E58" s="1491">
        <f t="shared" si="21"/>
        <v>29198152</v>
      </c>
      <c r="F58" s="1491">
        <f t="shared" si="21"/>
        <v>45852054</v>
      </c>
      <c r="G58" s="1491">
        <f t="shared" si="21"/>
        <v>47397651.011389062</v>
      </c>
      <c r="H58" s="1491">
        <f t="shared" si="21"/>
        <v>54559300.558821127</v>
      </c>
      <c r="I58" s="1717">
        <f>SUM(I55:I57)</f>
        <v>59224969.508181021</v>
      </c>
      <c r="J58" s="1499"/>
      <c r="K58" s="1696"/>
      <c r="L58" s="1696"/>
    </row>
    <row r="59" spans="1:19" ht="14.5">
      <c r="A59" s="1457" t="s">
        <v>1581</v>
      </c>
      <c r="B59" s="1495"/>
      <c r="C59" s="1495"/>
      <c r="D59" s="1495"/>
      <c r="E59" s="1495"/>
      <c r="F59" s="1495"/>
      <c r="G59" s="1495"/>
      <c r="H59" s="1495"/>
      <c r="I59" s="1718"/>
      <c r="J59" s="1495"/>
      <c r="K59" s="1696"/>
      <c r="L59" s="1696"/>
    </row>
    <row r="60" spans="1:19">
      <c r="A60" s="1493" t="s">
        <v>740</v>
      </c>
      <c r="B60" s="1494">
        <f>'Fin Sta as rep'!C935</f>
        <v>1168012</v>
      </c>
      <c r="C60" s="1494">
        <f>'Fin Sta as rep'!D935</f>
        <v>7154798</v>
      </c>
      <c r="D60" s="1494">
        <f>'Fin Sta as rep'!E935</f>
        <v>5938279</v>
      </c>
      <c r="E60" s="1494">
        <f>'Fin Sta as rep'!F935</f>
        <v>9739176</v>
      </c>
      <c r="F60" s="1494">
        <f>'Fin Sta as rep'!G935</f>
        <v>10885799</v>
      </c>
      <c r="G60" s="1670">
        <f>P60</f>
        <v>9797219.0999999996</v>
      </c>
      <c r="H60" s="1670">
        <f>Q60</f>
        <v>8817497.1899999995</v>
      </c>
      <c r="I60" s="1719">
        <f>R60</f>
        <v>7935747.4709999999</v>
      </c>
      <c r="J60" s="1670"/>
      <c r="K60" s="1756" t="s">
        <v>740</v>
      </c>
      <c r="L60" s="1743">
        <f>C60</f>
        <v>7154798</v>
      </c>
      <c r="M60" s="1494">
        <f>D60</f>
        <v>5938279</v>
      </c>
      <c r="N60" s="1494">
        <f>E60</f>
        <v>9739176</v>
      </c>
      <c r="O60" s="1494">
        <f>F60</f>
        <v>10885799</v>
      </c>
      <c r="P60" s="1670">
        <f>O60*0.9</f>
        <v>9797219.0999999996</v>
      </c>
      <c r="Q60" s="1670">
        <f t="shared" ref="Q60" si="22">P60*0.9</f>
        <v>8817497.1899999995</v>
      </c>
      <c r="R60" s="1670">
        <f>Q60*0.9</f>
        <v>7935747.4709999999</v>
      </c>
      <c r="S60" s="1691">
        <v>0.9</v>
      </c>
    </row>
    <row r="61" spans="1:19">
      <c r="A61" s="1493" t="s">
        <v>745</v>
      </c>
      <c r="B61" s="1642">
        <f>SUM('Fin Sta as rep'!C936:C940)</f>
        <v>2244113</v>
      </c>
      <c r="C61" s="1642">
        <f>SUM('Fin Sta as rep'!D936:D940)</f>
        <v>4228059</v>
      </c>
      <c r="D61" s="1642">
        <f>SUM('Fin Sta as rep'!E936:E940)</f>
        <v>7558579</v>
      </c>
      <c r="E61" s="1642">
        <f>SUM('Fin Sta as rep'!F936:F940)</f>
        <v>9236349</v>
      </c>
      <c r="F61" s="1642">
        <f>SUM('Fin Sta as rep'!G936:G940)</f>
        <v>15657907</v>
      </c>
      <c r="G61" s="1643">
        <f>F61+G51-F51</f>
        <v>15993934.782277919</v>
      </c>
      <c r="H61" s="1643">
        <f>G61+H51-G51</f>
        <v>19893867.659463678</v>
      </c>
      <c r="I61" s="1722">
        <f>H61+I51-H51</f>
        <v>24162539.601116072</v>
      </c>
      <c r="J61" s="1771"/>
      <c r="K61" s="1753" t="s">
        <v>1603</v>
      </c>
      <c r="L61" s="1696"/>
    </row>
    <row r="62" spans="1:19">
      <c r="A62" s="1492" t="s">
        <v>1108</v>
      </c>
      <c r="B62" s="1491">
        <f t="shared" ref="B62:H62" si="23">B60+B61+B58</f>
        <v>12005511</v>
      </c>
      <c r="C62" s="1491">
        <f t="shared" si="23"/>
        <v>20881715</v>
      </c>
      <c r="D62" s="1491">
        <f t="shared" si="23"/>
        <v>27473098</v>
      </c>
      <c r="E62" s="1491">
        <f t="shared" si="23"/>
        <v>48173677</v>
      </c>
      <c r="F62" s="1491">
        <f t="shared" si="23"/>
        <v>72395760</v>
      </c>
      <c r="G62" s="1491">
        <f t="shared" si="23"/>
        <v>73188804.893666983</v>
      </c>
      <c r="H62" s="1491">
        <f t="shared" si="23"/>
        <v>83270665.408284813</v>
      </c>
      <c r="I62" s="1717">
        <f>I60+I61+I58</f>
        <v>91323256.580297098</v>
      </c>
      <c r="J62" s="1499"/>
      <c r="K62" s="1698"/>
      <c r="L62" s="1696"/>
    </row>
    <row r="63" spans="1:19">
      <c r="A63" s="1492"/>
      <c r="B63" s="1496"/>
      <c r="C63" s="1496"/>
      <c r="D63" s="1496"/>
      <c r="E63" s="1496"/>
      <c r="F63" s="1496"/>
      <c r="G63" s="1496"/>
      <c r="H63" s="1496"/>
      <c r="I63" s="1723"/>
      <c r="J63" s="1495"/>
      <c r="K63" s="1696"/>
      <c r="L63" s="1696"/>
    </row>
    <row r="64" spans="1:19" ht="14.5">
      <c r="A64" s="1457" t="s">
        <v>1581</v>
      </c>
      <c r="B64" s="1495"/>
      <c r="C64" s="1495"/>
      <c r="D64" s="1495"/>
      <c r="E64" s="1495"/>
      <c r="F64" s="1495"/>
      <c r="G64" s="1495"/>
      <c r="H64" s="1495"/>
      <c r="I64" s="1718"/>
      <c r="J64" s="1495"/>
      <c r="K64" s="1696"/>
      <c r="L64" s="1696"/>
    </row>
    <row r="65" spans="1:20">
      <c r="A65" s="1493" t="s">
        <v>755</v>
      </c>
      <c r="B65" s="1494">
        <f>SUM('Fin Sta as rep'!C943:C946)</f>
        <v>41920745</v>
      </c>
      <c r="C65" s="1494">
        <f>SUM('Fin Sta as rep'!D943:D946)</f>
        <v>40229683</v>
      </c>
      <c r="D65" s="1494">
        <f>SUM('Fin Sta as rep'!E943:E946)</f>
        <v>78882693</v>
      </c>
      <c r="E65" s="1494">
        <f>SUM('Fin Sta as rep'!F943:F946)</f>
        <v>92469964</v>
      </c>
      <c r="F65" s="1494">
        <f>SUM('Fin Sta as rep'!G943:G946)</f>
        <v>94595984</v>
      </c>
      <c r="G65" s="1670">
        <f>F65+G85</f>
        <v>95760360.666666672</v>
      </c>
      <c r="H65" s="1670">
        <f>G65+H85</f>
        <v>97250498.222222224</v>
      </c>
      <c r="I65" s="1719">
        <f>H65+I85</f>
        <v>98900634.96296297</v>
      </c>
      <c r="J65" s="1670"/>
      <c r="K65" s="758" t="s">
        <v>1604</v>
      </c>
      <c r="L65" s="1696"/>
    </row>
    <row r="66" spans="1:20">
      <c r="A66" s="1493" t="s">
        <v>1125</v>
      </c>
      <c r="B66" s="1494">
        <f>'Fin Sta as rep'!C947</f>
        <v>-9186</v>
      </c>
      <c r="C66" s="1494">
        <f>'Fin Sta as rep'!D947</f>
        <v>0</v>
      </c>
      <c r="D66" s="1494">
        <f>'Fin Sta as rep'!E947</f>
        <v>0</v>
      </c>
      <c r="E66" s="1494">
        <f>'Fin Sta as rep'!F947</f>
        <v>-1849600</v>
      </c>
      <c r="F66" s="1494">
        <f>'Fin Sta as rep'!G947</f>
        <v>-1849600</v>
      </c>
      <c r="G66" s="1670">
        <f>F66+G94/2</f>
        <v>-1647563.4375</v>
      </c>
      <c r="H66" s="1670">
        <f t="shared" ref="H66:I66" si="24">G66+H94/2</f>
        <v>-1456910.5837275826</v>
      </c>
      <c r="I66" s="1670">
        <f t="shared" si="24"/>
        <v>-1268201.3001637815</v>
      </c>
      <c r="J66" s="1670"/>
      <c r="K66" s="758" t="s">
        <v>1605</v>
      </c>
      <c r="L66" s="1696"/>
    </row>
    <row r="67" spans="1:20">
      <c r="A67" s="1493" t="s">
        <v>758</v>
      </c>
      <c r="B67" s="1494">
        <f>'Fin Sta as rep'!C948</f>
        <v>-35039810</v>
      </c>
      <c r="C67" s="1494">
        <f>'Fin Sta as rep'!D948</f>
        <v>-46326321</v>
      </c>
      <c r="D67" s="1494">
        <f>'Fin Sta as rep'!E948</f>
        <v>-51648410</v>
      </c>
      <c r="E67" s="1494">
        <f>'Fin Sta as rep'!F948</f>
        <v>-55634140</v>
      </c>
      <c r="F67" s="1494">
        <f>'Fin Sta as rep'!G948</f>
        <v>-69914230</v>
      </c>
      <c r="G67" s="1943">
        <f>F67+G75+G88+G99</f>
        <v>-89173379.578016922</v>
      </c>
      <c r="H67" s="1943">
        <f>G67+H75+H88+H99</f>
        <v>-103524821.46743177</v>
      </c>
      <c r="I67" s="1944">
        <f>H67+I75+I88+I99</f>
        <v>-110277781.30737458</v>
      </c>
      <c r="J67" s="1670"/>
      <c r="K67" s="758" t="s">
        <v>1606</v>
      </c>
      <c r="L67" s="1696"/>
    </row>
    <row r="68" spans="1:20">
      <c r="A68" s="1493" t="s">
        <v>765</v>
      </c>
      <c r="B68" s="1494"/>
      <c r="C68" s="1494"/>
      <c r="D68" s="1494"/>
      <c r="E68" s="1494"/>
      <c r="F68" s="1494"/>
      <c r="G68" s="1670"/>
      <c r="H68" s="1670"/>
      <c r="I68" s="1719"/>
      <c r="J68" s="1670"/>
      <c r="K68" s="758" t="s">
        <v>1607</v>
      </c>
      <c r="L68" s="1696"/>
    </row>
    <row r="69" spans="1:20">
      <c r="A69" s="1493" t="s">
        <v>760</v>
      </c>
      <c r="B69" s="1494">
        <f>SUM('Fin Sta as rep'!C949:C950)</f>
        <v>-34708</v>
      </c>
      <c r="C69" s="1494">
        <f>SUM('Fin Sta as rep'!D949:D950)</f>
        <v>-203048</v>
      </c>
      <c r="D69" s="1494">
        <f>SUM('Fin Sta as rep'!E949:E950)</f>
        <v>-65452</v>
      </c>
      <c r="E69" s="1494">
        <f>SUM('Fin Sta as rep'!F949:F950)</f>
        <v>-276300</v>
      </c>
      <c r="F69" s="1494">
        <f>SUM('Fin Sta as rep'!G949:G950)</f>
        <v>1036011</v>
      </c>
      <c r="G69" s="1670">
        <f>F69+G94/2</f>
        <v>1238047.5625</v>
      </c>
      <c r="H69" s="1670">
        <f t="shared" ref="H69:I69" si="25">G69+H94/2</f>
        <v>1428700.4162724174</v>
      </c>
      <c r="I69" s="1670">
        <f t="shared" si="25"/>
        <v>1617409.6998362185</v>
      </c>
      <c r="J69" s="1670"/>
      <c r="K69" s="758" t="s">
        <v>1608</v>
      </c>
      <c r="L69" s="1696"/>
    </row>
    <row r="70" spans="1:20">
      <c r="A70" s="1493" t="s">
        <v>1609</v>
      </c>
      <c r="B70" s="1642"/>
      <c r="C70" s="1642"/>
      <c r="D70" s="1642"/>
      <c r="E70" s="1642"/>
      <c r="F70" s="1642"/>
      <c r="G70" s="1671"/>
      <c r="H70" s="1671"/>
      <c r="I70" s="1724"/>
      <c r="J70" s="1772"/>
      <c r="K70" s="1757"/>
      <c r="L70" s="1696"/>
    </row>
    <row r="71" spans="1:20">
      <c r="A71" s="1492" t="s">
        <v>1610</v>
      </c>
      <c r="B71" s="1645">
        <f t="shared" ref="B71:E71" si="26">SUM(B65:B70)</f>
        <v>6837041</v>
      </c>
      <c r="C71" s="1645">
        <f t="shared" si="26"/>
        <v>-6299686</v>
      </c>
      <c r="D71" s="1645">
        <f t="shared" si="26"/>
        <v>27168831</v>
      </c>
      <c r="E71" s="1645">
        <f t="shared" si="26"/>
        <v>34709924</v>
      </c>
      <c r="F71" s="1645">
        <f>SUM(F65:F70)</f>
        <v>23868165</v>
      </c>
      <c r="G71" s="1930">
        <f>SUM(G65:G70)</f>
        <v>6177465.2136497498</v>
      </c>
      <c r="H71" s="1930">
        <f>SUM(H65:H70)</f>
        <v>-6302533.4126647105</v>
      </c>
      <c r="I71" s="1930">
        <f t="shared" ref="I71" si="27">SUM(I65:I70)</f>
        <v>-11027937.944739169</v>
      </c>
      <c r="J71" s="1499"/>
      <c r="K71" s="1698"/>
      <c r="L71" s="1696"/>
    </row>
    <row r="72" spans="1:20" s="1644" customFormat="1">
      <c r="A72" s="1646" t="s">
        <v>1611</v>
      </c>
      <c r="B72" s="1645">
        <f t="shared" ref="B72:F72" si="28">B62+B71</f>
        <v>18842552</v>
      </c>
      <c r="C72" s="1645">
        <f t="shared" si="28"/>
        <v>14582029</v>
      </c>
      <c r="D72" s="1645">
        <f t="shared" si="28"/>
        <v>54641929</v>
      </c>
      <c r="E72" s="1645">
        <f t="shared" si="28"/>
        <v>82883601</v>
      </c>
      <c r="F72" s="1645">
        <f t="shared" si="28"/>
        <v>96263925</v>
      </c>
      <c r="G72" s="1645">
        <f>G62+G71</f>
        <v>79366270.107316732</v>
      </c>
      <c r="H72" s="1645">
        <f>H62+H71</f>
        <v>76968131.995620102</v>
      </c>
      <c r="I72" s="1725">
        <f>I62+I71</f>
        <v>80295318.635557935</v>
      </c>
      <c r="J72" s="1768"/>
      <c r="K72" s="1696"/>
      <c r="L72" s="1699"/>
    </row>
    <row r="73" spans="1:20" s="1462" customFormat="1" ht="14.5" thickBot="1">
      <c r="B73" s="1647">
        <f>ROUND(B72-B53,1)</f>
        <v>0</v>
      </c>
      <c r="C73" s="1647">
        <f t="shared" ref="C73:F73" si="29">ROUND(C72-C53,1)</f>
        <v>0</v>
      </c>
      <c r="D73" s="1647">
        <f t="shared" si="29"/>
        <v>0</v>
      </c>
      <c r="E73" s="1647">
        <f t="shared" si="29"/>
        <v>0</v>
      </c>
      <c r="F73" s="1647">
        <f t="shared" si="29"/>
        <v>0</v>
      </c>
      <c r="G73" s="1647">
        <f>ROUND(G72-G53,1)</f>
        <v>0</v>
      </c>
      <c r="H73" s="1647">
        <f>ROUND(H72-H53,1)</f>
        <v>0</v>
      </c>
      <c r="I73" s="1726">
        <f>ROUND(I72-I53,1)</f>
        <v>0</v>
      </c>
      <c r="J73" s="1647"/>
      <c r="K73" s="1697"/>
      <c r="L73" s="1697"/>
    </row>
    <row r="74" spans="1:20" s="1649" customFormat="1" ht="20">
      <c r="A74" s="1460" t="s">
        <v>1612</v>
      </c>
      <c r="B74" s="1672"/>
      <c r="C74" s="1672"/>
      <c r="D74" s="1946"/>
      <c r="E74" s="1673"/>
      <c r="F74" s="1673"/>
      <c r="G74" s="1673"/>
      <c r="H74" s="1673"/>
      <c r="I74" s="1727"/>
      <c r="J74" s="1674"/>
      <c r="K74" s="1758" t="s">
        <v>1613</v>
      </c>
      <c r="L74" s="1744"/>
      <c r="M74" s="1648"/>
      <c r="N74" s="1648"/>
      <c r="O74" s="1648"/>
      <c r="P74" s="1648"/>
      <c r="Q74" s="1648"/>
      <c r="R74" s="1648"/>
      <c r="S74" s="1648"/>
      <c r="T74" s="1650"/>
    </row>
    <row r="75" spans="1:20">
      <c r="A75" s="1493" t="s">
        <v>543</v>
      </c>
      <c r="B75" s="1651">
        <f>B30</f>
        <v>-9638979</v>
      </c>
      <c r="C75" s="1651">
        <f t="shared" ref="C75:F75" si="30">C30</f>
        <v>-11295652</v>
      </c>
      <c r="D75" s="1651">
        <f t="shared" si="30"/>
        <v>-5182036</v>
      </c>
      <c r="E75" s="1651">
        <f>E30</f>
        <v>-4321445</v>
      </c>
      <c r="F75" s="1651">
        <f t="shared" si="30"/>
        <v>-15614560</v>
      </c>
      <c r="G75" s="1675">
        <f>G30</f>
        <v>-18855076.453016926</v>
      </c>
      <c r="H75" s="1675">
        <f>H30</f>
        <v>-13970136.18187001</v>
      </c>
      <c r="I75" s="1728">
        <f t="shared" ref="I75" si="31">I30</f>
        <v>-6375541.272815207</v>
      </c>
      <c r="J75" s="1675"/>
      <c r="K75" s="1759"/>
      <c r="L75" s="1700"/>
    </row>
    <row r="76" spans="1:20" s="1654" customFormat="1">
      <c r="A76" s="1652" t="s">
        <v>1614</v>
      </c>
      <c r="B76" s="1653">
        <f>'Fin Sta as rep'!C961</f>
        <v>456401</v>
      </c>
      <c r="C76" s="1653">
        <f>'Fin Sta as rep'!D961</f>
        <v>871148</v>
      </c>
      <c r="D76" s="1653">
        <f>'Fin Sta as rep'!E961</f>
        <v>921051</v>
      </c>
      <c r="E76" s="1653">
        <f>'Fin Sta as rep'!F961</f>
        <v>1708019</v>
      </c>
      <c r="F76" s="1653">
        <f>'Fin Sta as rep'!G961</f>
        <v>2852315</v>
      </c>
      <c r="G76" s="1922">
        <f>G9*P76</f>
        <v>3599836.8852786166</v>
      </c>
      <c r="H76" s="1922">
        <f>H9*Q76</f>
        <v>4231831.8028766848</v>
      </c>
      <c r="I76" s="1923">
        <f>I9*R76</f>
        <v>5378422.6507629668</v>
      </c>
      <c r="J76" s="1676"/>
      <c r="K76" s="1760" t="s">
        <v>1615</v>
      </c>
      <c r="L76" s="1745">
        <f>C78/C9</f>
        <v>0.12766137450376389</v>
      </c>
      <c r="M76" s="1655">
        <f>D78/D9</f>
        <v>6.4368330217623601E-2</v>
      </c>
      <c r="N76" s="1655">
        <f>E78/E9</f>
        <v>4.7265856944390984E-2</v>
      </c>
      <c r="O76" s="1693">
        <f>F78/F9</f>
        <v>5.7893206988529664E-2</v>
      </c>
      <c r="P76" s="1924">
        <f>AVERAGE(N76:O76,10.49%)</f>
        <v>7.001968797764023E-2</v>
      </c>
      <c r="Q76" s="1924">
        <f>AVERAGE(N76:P76)*0.95</f>
        <v>5.5473271438344268E-2</v>
      </c>
      <c r="R76" s="1924">
        <f>AVERAGE(O76:Q76)*0.85</f>
        <v>5.1959413814612346E-2</v>
      </c>
      <c r="S76" s="1925" t="s">
        <v>1616</v>
      </c>
    </row>
    <row r="77" spans="1:20">
      <c r="A77" s="1456" t="s">
        <v>951</v>
      </c>
      <c r="B77" s="1494">
        <f>'Fin Sta as rep'!C962</f>
        <v>17822</v>
      </c>
      <c r="C77" s="1494">
        <f>'Fin Sta as rep'!D962</f>
        <v>127790</v>
      </c>
      <c r="D77" s="1494">
        <f>'Fin Sta as rep'!E962</f>
        <v>125445</v>
      </c>
      <c r="E77" s="1494">
        <f>'Fin Sta as rep'!F962</f>
        <v>0</v>
      </c>
      <c r="F77" s="1494">
        <f>'Fin Sta as rep'!G962</f>
        <v>0</v>
      </c>
      <c r="G77" s="1677">
        <f>G78-G76</f>
        <v>0</v>
      </c>
      <c r="H77" s="1677">
        <f>H78-H76</f>
        <v>0</v>
      </c>
      <c r="I77" s="1729">
        <f>I78-I76</f>
        <v>0</v>
      </c>
      <c r="J77" s="1778"/>
      <c r="K77" s="1779"/>
      <c r="L77" s="1746"/>
      <c r="M77" s="1502"/>
      <c r="N77" s="1502"/>
      <c r="O77" s="1502"/>
      <c r="P77" s="1502"/>
      <c r="Q77" s="1502"/>
      <c r="S77" s="1502"/>
    </row>
    <row r="78" spans="1:20">
      <c r="A78" s="1493" t="s">
        <v>1139</v>
      </c>
      <c r="B78" s="1656">
        <f>SUM(B76:B77)</f>
        <v>474223</v>
      </c>
      <c r="C78" s="1656">
        <f>SUM(C76:C77)</f>
        <v>998938</v>
      </c>
      <c r="D78" s="1656">
        <f>SUM(D76:D77)</f>
        <v>1046496</v>
      </c>
      <c r="E78" s="1656">
        <f>SUM(E76:E77)</f>
        <v>1708019</v>
      </c>
      <c r="F78" s="1656">
        <f>SUM(F76:F77)</f>
        <v>2852315</v>
      </c>
      <c r="G78" s="1656">
        <f>G9*P76</f>
        <v>3599836.8852786166</v>
      </c>
      <c r="H78" s="1656">
        <f>H9*Q76</f>
        <v>4231831.8028766848</v>
      </c>
      <c r="I78" s="1730">
        <f>I9*R76</f>
        <v>5378422.6507629668</v>
      </c>
      <c r="J78" s="1776"/>
      <c r="K78" s="1777"/>
      <c r="L78" s="1700"/>
      <c r="O78" s="1657"/>
      <c r="P78" s="1657"/>
      <c r="Q78" s="1657"/>
      <c r="R78" s="1657"/>
      <c r="S78" s="1657"/>
    </row>
    <row r="79" spans="1:20">
      <c r="A79" s="1493" t="s">
        <v>788</v>
      </c>
      <c r="B79" s="1494">
        <f>'Fin Sta as rep'!C984+'Fin Sta as rep'!C985</f>
        <v>-756508</v>
      </c>
      <c r="C79" s="1494">
        <f>'Fin Sta as rep'!D984+'Fin Sta as rep'!D985</f>
        <v>-681556</v>
      </c>
      <c r="D79" s="1494">
        <f>'Fin Sta as rep'!E984+'Fin Sta as rep'!E985</f>
        <v>237928</v>
      </c>
      <c r="E79" s="1494">
        <f>'Fin Sta as rep'!F984+'Fin Sta as rep'!F985</f>
        <v>-1717747</v>
      </c>
      <c r="F79" s="1494">
        <f>'Fin Sta as rep'!G984+'Fin Sta as rep'!G985</f>
        <v>-2303364</v>
      </c>
      <c r="G79" s="1678">
        <f t="shared" ref="G79:I81" si="32">-(G39-F39)</f>
        <v>-222644.33221760113</v>
      </c>
      <c r="H79" s="1678">
        <f t="shared" si="32"/>
        <v>-2584006.4331834009</v>
      </c>
      <c r="I79" s="1731">
        <f t="shared" si="32"/>
        <v>-2828324.5137128774</v>
      </c>
      <c r="J79" s="1678"/>
      <c r="K79" s="1761" t="s">
        <v>1617</v>
      </c>
      <c r="L79" s="1700"/>
    </row>
    <row r="80" spans="1:20">
      <c r="A80" s="1493" t="s">
        <v>696</v>
      </c>
      <c r="B80" s="1494">
        <f>SUM('Fin Sta as rep'!C987,'Fin Sta as rep'!C988,'Fin Sta as rep'!C986)</f>
        <v>-1375862</v>
      </c>
      <c r="C80" s="1494">
        <f>SUM('Fin Sta as rep'!D987,'Fin Sta as rep'!D988,'Fin Sta as rep'!D986)</f>
        <v>579590</v>
      </c>
      <c r="D80" s="1494">
        <f>SUM('Fin Sta as rep'!E987,'Fin Sta as rep'!E988,'Fin Sta as rep'!E986)</f>
        <v>-192025</v>
      </c>
      <c r="E80" s="1494">
        <f>SUM('Fin Sta as rep'!F987,'Fin Sta as rep'!F988,'Fin Sta as rep'!F986)</f>
        <v>-989445</v>
      </c>
      <c r="F80" s="1494">
        <f>SUM('Fin Sta as rep'!G987,'Fin Sta as rep'!G988,'Fin Sta as rep'!G986)</f>
        <v>-6108785</v>
      </c>
      <c r="G80" s="1678">
        <f t="shared" si="32"/>
        <v>-755352.13293121755</v>
      </c>
      <c r="H80" s="1678">
        <f t="shared" si="32"/>
        <v>-3085145.9595065005</v>
      </c>
      <c r="I80" s="1731">
        <f t="shared" si="32"/>
        <v>-3207152.7125992291</v>
      </c>
      <c r="J80" s="1678"/>
      <c r="K80" s="1761" t="s">
        <v>1617</v>
      </c>
      <c r="L80" s="1700"/>
    </row>
    <row r="81" spans="1:19">
      <c r="A81" s="1493" t="s">
        <v>1069</v>
      </c>
      <c r="B81" s="1494">
        <f>'Fin Sta as rep'!C991+'Fin Sta as rep'!C992</f>
        <v>-811138</v>
      </c>
      <c r="C81" s="1494">
        <f>'Fin Sta as rep'!D991+'Fin Sta as rep'!D992</f>
        <v>-58728</v>
      </c>
      <c r="D81" s="1494">
        <f>'Fin Sta as rep'!E991+'Fin Sta as rep'!E992</f>
        <v>16313</v>
      </c>
      <c r="E81" s="1494">
        <f>'Fin Sta as rep'!F991+'Fin Sta as rep'!F992</f>
        <v>-1483030</v>
      </c>
      <c r="F81" s="1494">
        <f>'Fin Sta as rep'!G991+'Fin Sta as rep'!G992</f>
        <v>-1072229</v>
      </c>
      <c r="G81" s="1678">
        <f t="shared" si="32"/>
        <v>-122272.44950946607</v>
      </c>
      <c r="H81" s="1678">
        <f t="shared" si="32"/>
        <v>-566559.34647925198</v>
      </c>
      <c r="I81" s="1731">
        <f t="shared" si="32"/>
        <v>-369101.88544281758</v>
      </c>
      <c r="J81" s="1678"/>
      <c r="K81" s="1761" t="s">
        <v>1617</v>
      </c>
      <c r="L81" s="1700"/>
    </row>
    <row r="82" spans="1:19">
      <c r="A82" s="1493" t="s">
        <v>791</v>
      </c>
      <c r="B82" s="1494">
        <f>'Fin Sta as rep'!C989+'Fin Sta as rep'!C990</f>
        <v>2657140</v>
      </c>
      <c r="C82" s="1494">
        <f>'Fin Sta as rep'!D989+'Fin Sta as rep'!D990</f>
        <v>233698</v>
      </c>
      <c r="D82" s="1494">
        <f>'Fin Sta as rep'!E989+'Fin Sta as rep'!E990</f>
        <v>3387094</v>
      </c>
      <c r="E82" s="1494">
        <f>'Fin Sta as rep'!F989+'Fin Sta as rep'!F990</f>
        <v>6707295</v>
      </c>
      <c r="F82" s="1494">
        <f>'Fin Sta as rep'!G989+'Fin Sta as rep'!G990</f>
        <v>11309258</v>
      </c>
      <c r="G82" s="1678">
        <f>G55-F55</f>
        <v>859899.52964318544</v>
      </c>
      <c r="H82" s="1678">
        <f>H55-G55</f>
        <v>3984414.4572792277</v>
      </c>
      <c r="I82" s="1731">
        <f>I55-H55</f>
        <v>2595764.9409658834</v>
      </c>
      <c r="J82" s="1678"/>
      <c r="K82" s="1761" t="s">
        <v>1617</v>
      </c>
      <c r="L82" s="1700"/>
    </row>
    <row r="83" spans="1:19">
      <c r="A83" s="1493" t="s">
        <v>775</v>
      </c>
      <c r="B83" s="1494">
        <f>SUM('Fin Sta as rep'!C967:C970)</f>
        <v>9722</v>
      </c>
      <c r="C83" s="1494">
        <f>SUM('Fin Sta as rep'!D967:D970)</f>
        <v>64478</v>
      </c>
      <c r="D83" s="1494">
        <f>SUM('Fin Sta as rep'!E967:E970)</f>
        <v>66030</v>
      </c>
      <c r="E83" s="1494">
        <f>SUM('Fin Sta as rep'!F967:F970)</f>
        <v>-168118</v>
      </c>
      <c r="F83" s="1494">
        <f>SUM('Fin Sta as rep'!G967:G970)</f>
        <v>-552629</v>
      </c>
      <c r="G83" s="1679">
        <f>F83</f>
        <v>-552629</v>
      </c>
      <c r="H83" s="1679">
        <f t="shared" ref="H83:I83" si="33">G83</f>
        <v>-552629</v>
      </c>
      <c r="I83" s="1732">
        <f t="shared" si="33"/>
        <v>-552629</v>
      </c>
      <c r="J83" s="1679"/>
      <c r="K83" s="1761"/>
      <c r="L83" s="1700"/>
    </row>
    <row r="84" spans="1:19">
      <c r="A84" s="1658" t="s">
        <v>1351</v>
      </c>
      <c r="B84" s="1494">
        <f>'Fin Sta as rep'!C964</f>
        <v>0</v>
      </c>
      <c r="C84" s="1494">
        <f>'Fin Sta as rep'!D964</f>
        <v>522035</v>
      </c>
      <c r="D84" s="1494">
        <f>'Fin Sta as rep'!E964</f>
        <v>499225</v>
      </c>
      <c r="E84" s="1494">
        <f>'Fin Sta as rep'!F964</f>
        <v>643895</v>
      </c>
      <c r="F84" s="1494">
        <f>'Fin Sta as rep'!G964</f>
        <v>1141740</v>
      </c>
      <c r="G84" s="1679">
        <f>P84</f>
        <v>761620</v>
      </c>
      <c r="H84" s="1679">
        <f t="shared" ref="H84:I84" si="34">Q84</f>
        <v>849085</v>
      </c>
      <c r="I84" s="1732">
        <f t="shared" si="34"/>
        <v>917481.66666666663</v>
      </c>
      <c r="J84" s="1679"/>
      <c r="K84" s="1761" t="s">
        <v>1618</v>
      </c>
      <c r="L84" s="1747">
        <f t="shared" ref="L84:O85" si="35">C84</f>
        <v>522035</v>
      </c>
      <c r="M84" s="1659">
        <f t="shared" si="35"/>
        <v>499225</v>
      </c>
      <c r="N84" s="1659">
        <f>E84</f>
        <v>643895</v>
      </c>
      <c r="O84" s="1659">
        <f t="shared" si="35"/>
        <v>1141740</v>
      </c>
      <c r="P84" s="1692">
        <f>AVERAGE(M84:O84)</f>
        <v>761620</v>
      </c>
      <c r="Q84" s="1503">
        <f t="shared" ref="Q84:R84" si="36">AVERAGE(N84:P84)</f>
        <v>849085</v>
      </c>
      <c r="R84" s="1503">
        <f t="shared" si="36"/>
        <v>917481.66666666663</v>
      </c>
      <c r="S84" s="1660" t="s">
        <v>229</v>
      </c>
    </row>
    <row r="85" spans="1:19">
      <c r="A85" s="1921" t="s">
        <v>778</v>
      </c>
      <c r="B85" s="1494">
        <f>'Fin Sta as rep'!C971</f>
        <v>679468</v>
      </c>
      <c r="C85" s="1494">
        <f>'Fin Sta as rep'!D971</f>
        <v>333495</v>
      </c>
      <c r="D85" s="1494">
        <f>'Fin Sta as rep'!E971</f>
        <v>187094</v>
      </c>
      <c r="E85" s="1494">
        <f>'Fin Sta as rep'!F971</f>
        <v>1010140</v>
      </c>
      <c r="F85" s="1494">
        <f>'Fin Sta as rep'!G971</f>
        <v>2295896</v>
      </c>
      <c r="G85" s="1620">
        <f>P85</f>
        <v>1164376.6666666667</v>
      </c>
      <c r="H85" s="1620">
        <f>Q85</f>
        <v>1490137.5555555557</v>
      </c>
      <c r="I85" s="1714">
        <f>R85</f>
        <v>1650136.7407407409</v>
      </c>
      <c r="J85" s="1620"/>
      <c r="K85" s="1762" t="s">
        <v>1619</v>
      </c>
      <c r="L85" s="1747">
        <f t="shared" si="35"/>
        <v>333495</v>
      </c>
      <c r="M85" s="1659">
        <f t="shared" si="35"/>
        <v>187094</v>
      </c>
      <c r="N85" s="1659">
        <f t="shared" si="35"/>
        <v>1010140</v>
      </c>
      <c r="O85" s="1659">
        <f t="shared" si="35"/>
        <v>2295896</v>
      </c>
      <c r="P85" s="1692">
        <f>AVERAGE(M85:O85)</f>
        <v>1164376.6666666667</v>
      </c>
      <c r="Q85" s="1503">
        <f>AVERAGE(N85:P85)</f>
        <v>1490137.5555555557</v>
      </c>
      <c r="R85" s="1503">
        <f>AVERAGE(O85:Q85)</f>
        <v>1650136.7407407409</v>
      </c>
      <c r="S85" s="1660" t="s">
        <v>229</v>
      </c>
    </row>
    <row r="86" spans="1:19">
      <c r="A86" s="1493" t="s">
        <v>773</v>
      </c>
      <c r="B86" s="1494">
        <f>SUM('Fin Sta as rep'!C965:C966)</f>
        <v>21547</v>
      </c>
      <c r="C86" s="1494">
        <f>SUM('Fin Sta as rep'!D965:D966)</f>
        <v>10123</v>
      </c>
      <c r="D86" s="1494">
        <f>SUM('Fin Sta as rep'!E965:E966)</f>
        <v>127662</v>
      </c>
      <c r="E86" s="1494">
        <f>SUM('Fin Sta as rep'!F965:F966)</f>
        <v>31107</v>
      </c>
      <c r="F86" s="1494">
        <f>SUM('Fin Sta as rep'!G965:G966)</f>
        <v>12807</v>
      </c>
      <c r="G86" s="1679">
        <v>0</v>
      </c>
      <c r="H86" s="1679">
        <v>0</v>
      </c>
      <c r="I86" s="1732">
        <v>0</v>
      </c>
      <c r="J86" s="1679"/>
      <c r="K86" s="1761" t="s">
        <v>1600</v>
      </c>
      <c r="L86" s="1748"/>
      <c r="M86" s="1661"/>
      <c r="N86" s="1661"/>
      <c r="O86" s="1662"/>
      <c r="P86" s="1662"/>
      <c r="Q86" s="1662"/>
      <c r="R86" s="1662"/>
      <c r="S86" s="1662"/>
    </row>
    <row r="87" spans="1:19">
      <c r="A87" s="1493" t="s">
        <v>1091</v>
      </c>
      <c r="B87" s="1494">
        <f>SUM('Fin Sta as rep'!C994:C995,'Fin Sta as rep'!C993)</f>
        <v>1733548</v>
      </c>
      <c r="C87" s="1494">
        <f>SUM('Fin Sta as rep'!D994:D995,'Fin Sta as rep'!D993)</f>
        <v>723242</v>
      </c>
      <c r="D87" s="1494">
        <f>SUM('Fin Sta as rep'!E994:E995,'Fin Sta as rep'!E993)</f>
        <v>897184</v>
      </c>
      <c r="E87" s="1494">
        <f>SUM('Fin Sta as rep'!F994:F995,'Fin Sta as rep'!F993)</f>
        <v>2827698</v>
      </c>
      <c r="F87" s="1494">
        <f>SUM('Fin Sta as rep'!G994:G995,'Fin Sta as rep'!G993)</f>
        <v>3820036</v>
      </c>
      <c r="G87" s="1680">
        <f>G57-F57</f>
        <v>507814.27995248884</v>
      </c>
      <c r="H87" s="1680">
        <f>H57-G57</f>
        <v>2352998.7968421392</v>
      </c>
      <c r="I87" s="1733">
        <f>I57-H57</f>
        <v>1532930.8355006054</v>
      </c>
      <c r="J87" s="1680"/>
      <c r="K87" s="1761" t="s">
        <v>1617</v>
      </c>
      <c r="L87" s="1748"/>
      <c r="M87" s="1661"/>
      <c r="N87" s="1661"/>
      <c r="O87" s="1662"/>
      <c r="P87" s="1662"/>
      <c r="Q87" s="1662"/>
      <c r="R87" s="1662"/>
      <c r="S87" s="1662"/>
    </row>
    <row r="88" spans="1:19">
      <c r="A88" s="1493" t="s">
        <v>780</v>
      </c>
      <c r="B88" s="1642">
        <f>SUM('Fin Sta as rep'!C972:C983)</f>
        <v>-904929</v>
      </c>
      <c r="C88" s="1642">
        <f>SUM('Fin Sta as rep'!D972:D983)</f>
        <v>-151369</v>
      </c>
      <c r="D88" s="1642">
        <f>SUM('Fin Sta as rep'!E972:E983)</f>
        <v>981975</v>
      </c>
      <c r="E88" s="1642">
        <f>SUM('Fin Sta as rep'!F972:F983)</f>
        <v>-2586479</v>
      </c>
      <c r="F88" s="1642">
        <f>SUM('Fin Sta as rep'!G972:G983)</f>
        <v>-823949</v>
      </c>
      <c r="G88" s="1681">
        <f>G24</f>
        <v>-404073.125</v>
      </c>
      <c r="H88" s="1681">
        <f>H24</f>
        <v>-381305.70754483482</v>
      </c>
      <c r="I88" s="1734">
        <f>I24</f>
        <v>-377418.56712760229</v>
      </c>
      <c r="J88" s="1775"/>
      <c r="K88" s="1774" t="s">
        <v>807</v>
      </c>
      <c r="L88" s="1748">
        <f>C88</f>
        <v>-151369</v>
      </c>
      <c r="M88" s="1661">
        <f>D88</f>
        <v>981975</v>
      </c>
      <c r="N88" s="1661">
        <f>E88</f>
        <v>-2586479</v>
      </c>
      <c r="O88" s="1662"/>
      <c r="P88" s="1662"/>
      <c r="Q88" s="1662"/>
      <c r="R88" s="1662"/>
      <c r="S88" s="1662"/>
    </row>
    <row r="89" spans="1:19">
      <c r="A89" s="1492" t="s">
        <v>1620</v>
      </c>
      <c r="B89" s="1491">
        <f>SUM(B78:B88)</f>
        <v>1727211</v>
      </c>
      <c r="C89" s="1491">
        <f t="shared" ref="C89:F89" si="37">SUM(C78:C88)</f>
        <v>2573946</v>
      </c>
      <c r="D89" s="1491">
        <f t="shared" si="37"/>
        <v>7254976</v>
      </c>
      <c r="E89" s="1491">
        <f t="shared" si="37"/>
        <v>5983335</v>
      </c>
      <c r="F89" s="1491">
        <f t="shared" si="37"/>
        <v>10571096</v>
      </c>
      <c r="G89" s="1491">
        <f>SUM(G78:G88)</f>
        <v>4836576.3218826726</v>
      </c>
      <c r="H89" s="1491">
        <f>SUM(H78:H88)</f>
        <v>5738821.1658396199</v>
      </c>
      <c r="I89" s="1717">
        <f>SUM(I78:I88)</f>
        <v>4740110.1557543371</v>
      </c>
      <c r="J89" s="1499"/>
      <c r="K89" s="1773"/>
      <c r="L89" s="1700"/>
    </row>
    <row r="90" spans="1:19" ht="14.5">
      <c r="A90" s="1457" t="s">
        <v>1581</v>
      </c>
      <c r="B90" s="1495"/>
      <c r="C90" s="1495"/>
      <c r="D90" s="1495"/>
      <c r="E90" s="1495"/>
      <c r="F90" s="1495"/>
      <c r="G90" s="1682"/>
      <c r="H90" s="1682"/>
      <c r="I90" s="1735"/>
      <c r="J90" s="1682"/>
      <c r="K90" s="1700"/>
      <c r="L90" s="1700"/>
    </row>
    <row r="91" spans="1:19">
      <c r="A91" s="1493" t="s">
        <v>797</v>
      </c>
      <c r="B91" s="1494">
        <f>SUM('Fin Sta as rep'!C999,'Fin Sta as rep'!C1000)</f>
        <v>-2643964</v>
      </c>
      <c r="C91" s="1494">
        <f>SUM('Fin Sta as rep'!D999,'Fin Sta as rep'!D1000)</f>
        <v>-1706787</v>
      </c>
      <c r="D91" s="1494">
        <f>SUM('Fin Sta as rep'!E999,'Fin Sta as rep'!E1000)</f>
        <v>-1127686</v>
      </c>
      <c r="E91" s="1494">
        <f>SUM('Fin Sta as rep'!F999,'Fin Sta as rep'!F1000)</f>
        <v>-4078764</v>
      </c>
      <c r="F91" s="1494">
        <f>SUM('Fin Sta as rep'!G999,'Fin Sta as rep'!G1000)</f>
        <v>-6972854</v>
      </c>
      <c r="G91" s="1695">
        <f>-(G44-F44)-G76</f>
        <v>-11841833.885278616</v>
      </c>
      <c r="H91" s="1677">
        <f>-H9*Q91</f>
        <v>-17143251.396183148</v>
      </c>
      <c r="I91" s="1729">
        <f>-I9*R91</f>
        <v>-22359135.924652919</v>
      </c>
      <c r="J91" s="1677"/>
      <c r="K91" s="1762" t="s">
        <v>1621</v>
      </c>
      <c r="L91" s="1746">
        <f>-C91/B9</f>
        <v>0.34472390470860326</v>
      </c>
      <c r="M91" s="1502">
        <f>-D91/C9</f>
        <v>0.14411499489322807</v>
      </c>
      <c r="N91" s="1502">
        <f>-E91/D9</f>
        <v>0.25087838656980566</v>
      </c>
      <c r="O91" s="1502">
        <f>-F91/E9</f>
        <v>0.19295916477400102</v>
      </c>
      <c r="P91" s="1664">
        <f>-G91/G9</f>
        <v>0.23033307901285122</v>
      </c>
      <c r="Q91" s="1663">
        <f>AVERAGE(N91:P91)</f>
        <v>0.22472354345221932</v>
      </c>
      <c r="R91" s="1663">
        <f>AVERAGE(O91:Q91)</f>
        <v>0.21600526241302387</v>
      </c>
      <c r="S91" s="1664"/>
    </row>
    <row r="92" spans="1:19">
      <c r="A92" s="1665" t="s">
        <v>1169</v>
      </c>
      <c r="B92" s="1494"/>
      <c r="C92" s="1494"/>
      <c r="D92" s="1494"/>
      <c r="E92" s="1494"/>
      <c r="F92" s="1494"/>
      <c r="G92" s="1683"/>
      <c r="H92" s="1682"/>
      <c r="I92" s="1735"/>
      <c r="J92" s="1682"/>
      <c r="K92" s="1762"/>
      <c r="L92" s="1746"/>
      <c r="M92" s="1502"/>
      <c r="N92" s="1502"/>
      <c r="O92" s="1502"/>
      <c r="P92" s="1502"/>
      <c r="Q92" s="1657"/>
      <c r="R92" s="1657"/>
      <c r="S92" s="1657"/>
    </row>
    <row r="93" spans="1:19">
      <c r="A93" s="1493" t="s">
        <v>804</v>
      </c>
      <c r="B93" s="1494">
        <f>SUM('Fin Sta as rep'!C1003:C1004,'Fin Sta as rep'!C1007:C1008,'Fin Sta as rep'!C1010)</f>
        <v>-8201603</v>
      </c>
      <c r="C93" s="1494">
        <f>SUM('Fin Sta as rep'!D1003:D1004,'Fin Sta as rep'!D1007:D1008,'Fin Sta as rep'!D1010)</f>
        <v>-2234262</v>
      </c>
      <c r="D93" s="1494">
        <f>SUM('Fin Sta as rep'!E1003:E1004,'Fin Sta as rep'!E1007:E1008,'Fin Sta as rep'!E1010)</f>
        <v>-7844936</v>
      </c>
      <c r="E93" s="1494">
        <f>SUM('Fin Sta as rep'!F1003:F1004,'Fin Sta as rep'!F1007:F1008,'Fin Sta as rep'!F1010)</f>
        <v>-136858789</v>
      </c>
      <c r="F93" s="1494">
        <f>SUM('Fin Sta as rep'!G1003:G1004,'Fin Sta as rep'!G1007:G1008,'Fin Sta as rep'!G1010)</f>
        <v>-89860729</v>
      </c>
      <c r="G93" s="1694">
        <f>P93</f>
        <v>-78188151.333333328</v>
      </c>
      <c r="H93" s="1694">
        <f t="shared" ref="H93" si="38">Q93</f>
        <v>-78188151.333333328</v>
      </c>
      <c r="I93" s="1736">
        <f>R93</f>
        <v>-78188151.333333328</v>
      </c>
      <c r="J93" s="1694"/>
      <c r="K93" s="1762" t="s">
        <v>804</v>
      </c>
      <c r="L93" s="1748">
        <f>C93</f>
        <v>-2234262</v>
      </c>
      <c r="M93" s="1661">
        <f>D93</f>
        <v>-7844936</v>
      </c>
      <c r="N93" s="1661">
        <f>E93</f>
        <v>-136858789</v>
      </c>
      <c r="O93" s="1661">
        <f>F93</f>
        <v>-89860729</v>
      </c>
      <c r="P93" s="1666">
        <f>AVERAGE(M93:O93)</f>
        <v>-78188151.333333328</v>
      </c>
      <c r="Q93" s="1666">
        <f>P93</f>
        <v>-78188151.333333328</v>
      </c>
      <c r="R93" s="1666">
        <f>Q93</f>
        <v>-78188151.333333328</v>
      </c>
      <c r="S93" s="1666" t="s">
        <v>229</v>
      </c>
    </row>
    <row r="94" spans="1:19">
      <c r="A94" s="1493" t="s">
        <v>807</v>
      </c>
      <c r="B94" s="1642">
        <f>SUM('Fin Sta as rep'!C1001,'Fin Sta as rep'!C1002,'Fin Sta as rep'!C1005,'Fin Sta as rep'!C1006,'Fin Sta as rep'!C1009,'Fin Sta as rep'!C1011,'Fin Sta as rep'!C1012)</f>
        <v>2904724</v>
      </c>
      <c r="C94" s="1642">
        <f>SUM('Fin Sta as rep'!D1001,'Fin Sta as rep'!D1002,'Fin Sta as rep'!D1005,'Fin Sta as rep'!D1006,'Fin Sta as rep'!D1009,'Fin Sta as rep'!D1011,'Fin Sta as rep'!D1012)</f>
        <v>7323118</v>
      </c>
      <c r="D94" s="1642">
        <f>SUM('Fin Sta as rep'!E1001,'Fin Sta as rep'!E1002,'Fin Sta as rep'!E1005,'Fin Sta as rep'!E1006,'Fin Sta as rep'!E1009,'Fin Sta as rep'!E1011,'Fin Sta as rep'!E1012)</f>
        <v>3901562</v>
      </c>
      <c r="E94" s="1642">
        <f>SUM('Fin Sta as rep'!F1001,'Fin Sta as rep'!F1002,'Fin Sta as rep'!F1005,'Fin Sta as rep'!F1006,'Fin Sta as rep'!F1009,'Fin Sta as rep'!F1011,'Fin Sta as rep'!F1012)</f>
        <v>101172849</v>
      </c>
      <c r="F94" s="1642">
        <f>SUM('Fin Sta as rep'!G1001,'Fin Sta as rep'!G1002,'Fin Sta as rep'!G1005,'Fin Sta as rep'!G1006,'Fin Sta as rep'!G1009,'Fin Sta as rep'!G1011,'Fin Sta as rep'!G1012)</f>
        <v>107218600</v>
      </c>
      <c r="G94" s="1941">
        <f>-G24</f>
        <v>404073.125</v>
      </c>
      <c r="H94" s="1941">
        <f t="shared" ref="H94:I94" si="39">-H24</f>
        <v>381305.70754483482</v>
      </c>
      <c r="I94" s="1941">
        <f t="shared" si="39"/>
        <v>377418.56712760229</v>
      </c>
      <c r="J94" s="1781"/>
      <c r="K94" s="1782"/>
      <c r="L94" s="1701"/>
      <c r="M94" s="1505"/>
      <c r="N94" s="1505"/>
      <c r="O94" s="1505"/>
      <c r="P94" s="1505"/>
      <c r="Q94" s="1505"/>
      <c r="R94" s="1504"/>
      <c r="S94" s="1504"/>
    </row>
    <row r="95" spans="1:19">
      <c r="A95" s="1492" t="s">
        <v>1172</v>
      </c>
      <c r="B95" s="1491">
        <f>SUM(B91:B94)</f>
        <v>-7940843</v>
      </c>
      <c r="C95" s="1491">
        <f t="shared" ref="C95:E95" si="40">SUM(C91:C94)</f>
        <v>3382069</v>
      </c>
      <c r="D95" s="1491">
        <f t="shared" si="40"/>
        <v>-5071060</v>
      </c>
      <c r="E95" s="1491">
        <f t="shared" si="40"/>
        <v>-39764704</v>
      </c>
      <c r="F95" s="1491">
        <f>SUM(F91:F94)</f>
        <v>10385017</v>
      </c>
      <c r="G95" s="1939">
        <f>SUM(G91:G94)</f>
        <v>-89625912.093611941</v>
      </c>
      <c r="H95" s="1939">
        <f>SUM(H91:H94)</f>
        <v>-94950097.021971643</v>
      </c>
      <c r="I95" s="1940">
        <f>SUM(I91:I94)</f>
        <v>-100169868.69085865</v>
      </c>
      <c r="J95" s="1499"/>
      <c r="K95" s="1780"/>
      <c r="L95" s="1701"/>
      <c r="M95" s="1505"/>
      <c r="N95" s="1505"/>
      <c r="O95" s="1505"/>
      <c r="P95" s="1505"/>
      <c r="Q95" s="1505"/>
    </row>
    <row r="96" spans="1:19" ht="14.5">
      <c r="A96" s="1457" t="s">
        <v>1581</v>
      </c>
      <c r="B96" s="1495"/>
      <c r="C96" s="1684"/>
      <c r="D96" s="1685"/>
      <c r="E96" s="1685"/>
      <c r="F96" s="1682"/>
      <c r="G96" s="1682"/>
      <c r="H96" s="1682"/>
      <c r="I96" s="1735"/>
      <c r="J96" s="1682"/>
      <c r="K96" s="1701"/>
      <c r="L96" s="1701"/>
      <c r="M96" s="1505"/>
      <c r="N96" s="1505"/>
      <c r="O96" s="1505"/>
      <c r="P96" s="1505"/>
      <c r="Q96" s="1505"/>
    </row>
    <row r="97" spans="1:20">
      <c r="A97" s="1493" t="s">
        <v>816</v>
      </c>
      <c r="B97" s="1494">
        <f>SUM('Fin Sta as rep'!C1016:C1022)</f>
        <v>2631119</v>
      </c>
      <c r="C97" s="1494">
        <f>SUM('Fin Sta as rep'!D1016:D1022)</f>
        <v>-1278294</v>
      </c>
      <c r="D97" s="1494">
        <f>SUM('Fin Sta as rep'!E1016:E1022)</f>
        <v>572323</v>
      </c>
      <c r="E97" s="1494">
        <f>SUM('Fin Sta as rep'!F1016:F1022)</f>
        <v>3646872</v>
      </c>
      <c r="F97" s="1494">
        <f>SUM('Fin Sta as rep'!G1016:G1022)</f>
        <v>-1659231</v>
      </c>
      <c r="G97" s="1690">
        <f>G56-F56+G60-F60</f>
        <v>-910696.69820660725</v>
      </c>
      <c r="H97" s="1690">
        <f>H56-G56+H60-G60</f>
        <v>-155485.61668930203</v>
      </c>
      <c r="I97" s="1737">
        <f>I56-H56+I60-H60</f>
        <v>-344776.54610659368</v>
      </c>
      <c r="J97" s="1690"/>
      <c r="K97" s="1696" t="s">
        <v>1622</v>
      </c>
      <c r="L97" s="1701"/>
      <c r="M97" s="1505"/>
      <c r="N97" s="1505"/>
      <c r="O97" s="1505"/>
      <c r="P97" s="1505"/>
      <c r="Q97" s="1505"/>
    </row>
    <row r="98" spans="1:20">
      <c r="A98" s="1493" t="s">
        <v>1003</v>
      </c>
      <c r="B98" s="1494">
        <f>SUM('Fin Sta as rep'!C1023:C1035)</f>
        <v>8971973</v>
      </c>
      <c r="C98" s="1494">
        <f>SUM('Fin Sta as rep'!D1023:D1035)</f>
        <v>4373247</v>
      </c>
      <c r="D98" s="1494">
        <f>SUM('Fin Sta as rep'!E1023:E1035)</f>
        <v>40785112</v>
      </c>
      <c r="E98" s="1494">
        <f>SUM('Fin Sta as rep'!F1023:F1035)</f>
        <v>14481871</v>
      </c>
      <c r="F98" s="1494">
        <f>SUM('Fin Sta as rep'!G1023:G1035)</f>
        <v>75476</v>
      </c>
      <c r="G98" s="1682"/>
      <c r="H98" s="1682"/>
      <c r="I98" s="1735"/>
      <c r="J98" s="1682"/>
      <c r="K98" s="1701"/>
      <c r="L98" s="1701"/>
      <c r="M98" s="1505"/>
      <c r="N98" s="1505"/>
      <c r="O98" s="1505"/>
      <c r="P98" s="1505"/>
      <c r="Q98" s="1505"/>
    </row>
    <row r="99" spans="1:20" ht="14.5">
      <c r="A99" s="1506" t="s">
        <v>825</v>
      </c>
      <c r="B99" s="1494">
        <f>'Fin Sta as rep'!C1036</f>
        <v>0</v>
      </c>
      <c r="C99" s="1494">
        <f>'Fin Sta as rep'!D1036</f>
        <v>0</v>
      </c>
      <c r="D99" s="1494">
        <f>'Fin Sta as rep'!E1036</f>
        <v>0</v>
      </c>
      <c r="E99" s="1494">
        <f>'Fin Sta as rep'!F1036</f>
        <v>0</v>
      </c>
      <c r="F99" s="1494">
        <f>'Fin Sta as rep'!G1036</f>
        <v>-32629</v>
      </c>
      <c r="G99" s="1683">
        <f>E99</f>
        <v>0</v>
      </c>
      <c r="H99" s="1683">
        <f>G99</f>
        <v>0</v>
      </c>
      <c r="I99" s="1738">
        <f>H99</f>
        <v>0</v>
      </c>
      <c r="J99" s="1683"/>
      <c r="K99" s="1696"/>
      <c r="L99" s="1749"/>
      <c r="M99" s="1667"/>
      <c r="N99" s="1667"/>
      <c r="O99" s="1667"/>
      <c r="P99" s="1667"/>
      <c r="Q99" s="1667"/>
      <c r="R99" s="1667"/>
      <c r="S99" s="1667"/>
      <c r="T99" s="1457"/>
    </row>
    <row r="100" spans="1:20">
      <c r="A100" s="1506" t="s">
        <v>834</v>
      </c>
      <c r="B100" s="1494"/>
      <c r="C100" s="1494"/>
      <c r="D100" s="1494"/>
      <c r="E100" s="1494"/>
      <c r="F100" s="1494"/>
      <c r="G100" s="1686"/>
      <c r="H100" s="1682"/>
      <c r="I100" s="1735"/>
      <c r="J100" s="1682"/>
      <c r="K100" s="1696"/>
      <c r="L100" s="1701"/>
      <c r="M100" s="1505"/>
      <c r="N100" s="1505"/>
      <c r="O100" s="1505" t="s">
        <v>1428</v>
      </c>
      <c r="P100" s="1505"/>
      <c r="Q100" s="1505"/>
      <c r="R100" s="1504"/>
      <c r="S100" s="1504"/>
    </row>
    <row r="101" spans="1:20">
      <c r="A101" s="1493" t="s">
        <v>837</v>
      </c>
      <c r="B101" s="1642"/>
      <c r="C101" s="1642"/>
      <c r="D101" s="1642"/>
      <c r="E101" s="1642"/>
      <c r="F101" s="1642"/>
      <c r="G101" s="1687"/>
      <c r="H101" s="1687"/>
      <c r="I101" s="1739"/>
      <c r="J101" s="1778"/>
      <c r="K101" s="1757"/>
      <c r="L101" s="1701"/>
      <c r="M101" s="1505"/>
      <c r="N101" s="1505"/>
      <c r="O101" s="1505"/>
      <c r="P101" s="1505"/>
      <c r="Q101" s="1505"/>
      <c r="R101" s="1504"/>
      <c r="S101" s="1504"/>
    </row>
    <row r="102" spans="1:20">
      <c r="A102" s="1492" t="s">
        <v>1623</v>
      </c>
      <c r="B102" s="1491">
        <f>SUM(B97:B101)</f>
        <v>11603092</v>
      </c>
      <c r="C102" s="1491">
        <f t="shared" ref="C102:F102" si="41">SUM(C97:C101)</f>
        <v>3094953</v>
      </c>
      <c r="D102" s="1491">
        <f t="shared" si="41"/>
        <v>41357435</v>
      </c>
      <c r="E102" s="1491">
        <f t="shared" si="41"/>
        <v>18128743</v>
      </c>
      <c r="F102" s="1491">
        <f t="shared" si="41"/>
        <v>-1616384</v>
      </c>
      <c r="G102" s="1491">
        <f t="shared" ref="G102" si="42">SUM(G97:G101)</f>
        <v>-910696.69820660725</v>
      </c>
      <c r="H102" s="1491">
        <f t="shared" ref="H102" si="43">SUM(H97:H101)</f>
        <v>-155485.61668930203</v>
      </c>
      <c r="I102" s="1717">
        <f t="shared" ref="I102" si="44">SUM(I97:I101)</f>
        <v>-344776.54610659368</v>
      </c>
      <c r="J102" s="1499"/>
      <c r="K102" s="1698"/>
      <c r="L102" s="1701"/>
      <c r="M102" s="1505"/>
      <c r="N102" s="1505"/>
      <c r="O102" s="1505"/>
      <c r="P102" s="1505"/>
      <c r="Q102" s="1505"/>
    </row>
    <row r="103" spans="1:20" ht="14.5" thickBot="1">
      <c r="A103" s="1493" t="s">
        <v>1624</v>
      </c>
      <c r="B103" s="1498">
        <f>'Fin Sta as rep'!C1040</f>
        <v>-56947</v>
      </c>
      <c r="C103" s="1498">
        <f>'Fin Sta as rep'!D1040</f>
        <v>10166</v>
      </c>
      <c r="D103" s="1498">
        <f>'Fin Sta as rep'!E1040</f>
        <v>-682040</v>
      </c>
      <c r="E103" s="1498">
        <f>'Fin Sta as rep'!F1040</f>
        <v>-500959</v>
      </c>
      <c r="F103" s="1498">
        <f>'Fin Sta as rep'!G1040</f>
        <v>-121896</v>
      </c>
      <c r="G103" s="1688"/>
      <c r="H103" s="1688"/>
      <c r="I103" s="1740"/>
      <c r="J103" s="1682"/>
      <c r="K103" s="1696"/>
      <c r="L103" s="1701"/>
      <c r="M103" s="1505"/>
      <c r="N103" s="1505"/>
      <c r="O103" s="1505"/>
      <c r="P103" s="1505"/>
      <c r="Q103" s="1505"/>
      <c r="R103" s="1504"/>
      <c r="S103" s="1504"/>
    </row>
    <row r="104" spans="1:20">
      <c r="A104" s="1492" t="s">
        <v>1625</v>
      </c>
      <c r="B104" s="1499">
        <f t="shared" ref="B104:I104" si="45">B75+B89+B95+B102+B103</f>
        <v>-4306466</v>
      </c>
      <c r="C104" s="1499">
        <f t="shared" si="45"/>
        <v>-2234518</v>
      </c>
      <c r="D104" s="1499">
        <f t="shared" si="45"/>
        <v>37677275</v>
      </c>
      <c r="E104" s="1499">
        <f t="shared" si="45"/>
        <v>-20475030</v>
      </c>
      <c r="F104" s="1499">
        <f t="shared" si="45"/>
        <v>3603273</v>
      </c>
      <c r="G104" s="1937">
        <f>G75+G89+G95+G102+G103</f>
        <v>-104555108.9229528</v>
      </c>
      <c r="H104" s="1937">
        <f>H75+H89+H95+H102+H103</f>
        <v>-103336897.65469134</v>
      </c>
      <c r="I104" s="1938">
        <f t="shared" si="45"/>
        <v>-102150076.35402611</v>
      </c>
      <c r="J104" s="1767"/>
      <c r="K104" s="1700"/>
      <c r="L104" s="1696"/>
    </row>
    <row r="105" spans="1:20" ht="14.5">
      <c r="A105" s="1457" t="s">
        <v>1581</v>
      </c>
      <c r="B105" s="1495"/>
      <c r="C105" s="1684"/>
      <c r="D105" s="1685"/>
      <c r="E105" s="1685"/>
      <c r="F105" s="1682"/>
      <c r="G105" s="1682"/>
      <c r="H105" s="1682"/>
      <c r="I105" s="1735"/>
      <c r="J105" s="1682"/>
      <c r="K105" s="1696"/>
      <c r="L105" s="1696"/>
    </row>
    <row r="106" spans="1:20" ht="14.5" thickBot="1">
      <c r="A106" s="1493" t="s">
        <v>1626</v>
      </c>
      <c r="B106" s="1501">
        <v>7530853</v>
      </c>
      <c r="C106" s="1498">
        <f>B107</f>
        <v>3224387</v>
      </c>
      <c r="D106" s="1498">
        <f>C107</f>
        <v>989869</v>
      </c>
      <c r="E106" s="1498">
        <f>D107</f>
        <v>38667144</v>
      </c>
      <c r="F106" s="1498">
        <f>E107</f>
        <v>18192114</v>
      </c>
      <c r="G106" s="1498">
        <f t="shared" ref="G106:I106" si="46">F107</f>
        <v>21795387</v>
      </c>
      <c r="H106" s="1498">
        <f t="shared" si="46"/>
        <v>-82759721.922952801</v>
      </c>
      <c r="I106" s="1741">
        <f t="shared" si="46"/>
        <v>-186096619.57764414</v>
      </c>
      <c r="J106" s="1494"/>
      <c r="K106" s="1696"/>
      <c r="L106" s="1696"/>
    </row>
    <row r="107" spans="1:20">
      <c r="A107" s="1493" t="s">
        <v>1627</v>
      </c>
      <c r="B107" s="1496">
        <f>B106+B104</f>
        <v>3224387</v>
      </c>
      <c r="C107" s="1689">
        <f>C106+C104</f>
        <v>989869</v>
      </c>
      <c r="D107" s="1689">
        <f t="shared" ref="D107:F107" si="47">D106+D104</f>
        <v>38667144</v>
      </c>
      <c r="E107" s="1689">
        <f t="shared" si="47"/>
        <v>18192114</v>
      </c>
      <c r="F107" s="1689">
        <f t="shared" si="47"/>
        <v>21795387</v>
      </c>
      <c r="G107" s="1689">
        <f t="shared" ref="G107" si="48">G106+G104</f>
        <v>-82759721.922952801</v>
      </c>
      <c r="H107" s="1689">
        <f t="shared" ref="H107" si="49">H106+H104</f>
        <v>-186096619.57764414</v>
      </c>
      <c r="I107" s="1742">
        <f t="shared" ref="I107" si="50">I106+I104</f>
        <v>-288246695.93167025</v>
      </c>
      <c r="J107" s="1683"/>
      <c r="K107" s="1696"/>
      <c r="L107" s="1696"/>
    </row>
    <row r="108" spans="1:20">
      <c r="K108" s="1696"/>
      <c r="L108" s="1696"/>
    </row>
  </sheetData>
  <mergeCells count="1">
    <mergeCell ref="B2:I2"/>
  </mergeCells>
  <phoneticPr fontId="4"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FF86A-50B5-4612-A52B-76A09C2D2BB7}">
  <dimension ref="A1:AA144"/>
  <sheetViews>
    <sheetView showGridLines="0" topLeftCell="A61" zoomScaleNormal="100" workbookViewId="0">
      <selection activeCell="E34" sqref="E34"/>
    </sheetView>
  </sheetViews>
  <sheetFormatPr defaultColWidth="8.83203125" defaultRowHeight="14"/>
  <cols>
    <col min="1" max="1" width="56.4140625" bestFit="1" customWidth="1"/>
    <col min="2" max="3" width="18.25" bestFit="1" customWidth="1"/>
    <col min="4" max="4" width="16.83203125" customWidth="1"/>
    <col min="5" max="5" width="17.1640625" customWidth="1"/>
    <col min="6" max="6" width="17.75" customWidth="1"/>
    <col min="7" max="7" width="17.4140625" customWidth="1"/>
    <col min="8" max="8" width="16.83203125" customWidth="1"/>
    <col min="9" max="9" width="11.75" bestFit="1" customWidth="1"/>
    <col min="10" max="10" width="53.25" bestFit="1" customWidth="1"/>
    <col min="11" max="11" width="16.75" customWidth="1"/>
    <col min="12" max="12" width="15.4140625" customWidth="1"/>
    <col min="13" max="13" width="16.75" customWidth="1"/>
    <col min="14" max="14" width="16.4140625" customWidth="1"/>
    <col min="15" max="15" width="18.25" customWidth="1"/>
    <col min="16" max="16" width="17.1640625" customWidth="1"/>
    <col min="17" max="17" width="18.4140625" customWidth="1"/>
    <col min="18" max="18" width="21.4140625" customWidth="1"/>
  </cols>
  <sheetData>
    <row r="1" spans="1:20">
      <c r="B1" s="106"/>
      <c r="C1" s="106"/>
      <c r="D1" s="106"/>
      <c r="E1" s="107"/>
      <c r="F1" s="1324"/>
      <c r="G1" s="107"/>
      <c r="H1" s="107"/>
      <c r="I1" s="103"/>
      <c r="J1" s="103"/>
      <c r="K1" s="103"/>
      <c r="L1" s="103"/>
      <c r="M1" s="103"/>
      <c r="N1" s="103"/>
      <c r="O1" s="103"/>
      <c r="P1" s="103"/>
      <c r="Q1" s="103"/>
      <c r="R1" s="103"/>
      <c r="S1" s="103"/>
      <c r="T1" s="103"/>
    </row>
    <row r="2" spans="1:20" ht="17.5">
      <c r="A2" s="1285" t="s">
        <v>1628</v>
      </c>
      <c r="B2" s="1978" t="s">
        <v>1572</v>
      </c>
      <c r="C2" s="1978"/>
      <c r="D2" s="1978"/>
      <c r="E2" s="1978"/>
      <c r="F2" s="1325"/>
      <c r="G2" s="112"/>
      <c r="H2" s="113"/>
      <c r="I2" s="108"/>
      <c r="J2" s="108"/>
      <c r="K2" s="108"/>
      <c r="L2" s="108"/>
      <c r="M2" s="108"/>
      <c r="N2" s="108"/>
      <c r="O2" s="108"/>
      <c r="P2" s="108"/>
      <c r="Q2" s="108"/>
      <c r="R2" s="108"/>
      <c r="S2" s="108"/>
      <c r="T2" s="108"/>
    </row>
    <row r="3" spans="1:20">
      <c r="A3" s="1286" t="s">
        <v>1573</v>
      </c>
      <c r="B3" s="114">
        <v>2019</v>
      </c>
      <c r="C3" s="114">
        <v>2020</v>
      </c>
      <c r="D3" s="114">
        <v>2021</v>
      </c>
      <c r="E3" s="114">
        <v>2022</v>
      </c>
      <c r="F3" s="1331">
        <v>2023</v>
      </c>
      <c r="G3" s="1331">
        <v>2024</v>
      </c>
      <c r="H3" s="1331">
        <v>2025</v>
      </c>
      <c r="I3" s="103"/>
      <c r="J3" s="116"/>
      <c r="K3" s="114">
        <f t="shared" ref="K3:O4" si="0">B3</f>
        <v>2019</v>
      </c>
      <c r="L3" s="114">
        <f t="shared" si="0"/>
        <v>2020</v>
      </c>
      <c r="M3" s="114">
        <f t="shared" si="0"/>
        <v>2021</v>
      </c>
      <c r="N3" s="1226">
        <f t="shared" si="0"/>
        <v>2022</v>
      </c>
      <c r="O3" s="117">
        <f t="shared" si="0"/>
        <v>2023</v>
      </c>
      <c r="P3" s="117">
        <v>2024</v>
      </c>
      <c r="Q3" s="117">
        <f>H3</f>
        <v>2025</v>
      </c>
      <c r="R3" s="117" t="e">
        <f>#REF!</f>
        <v>#REF!</v>
      </c>
      <c r="S3" s="103"/>
      <c r="T3" s="103"/>
    </row>
    <row r="4" spans="1:20">
      <c r="A4" s="1287" t="s">
        <v>1574</v>
      </c>
      <c r="B4" s="114" t="s">
        <v>1575</v>
      </c>
      <c r="C4" s="114" t="s">
        <v>1575</v>
      </c>
      <c r="D4" s="114" t="s">
        <v>1575</v>
      </c>
      <c r="E4" s="114" t="s">
        <v>1575</v>
      </c>
      <c r="F4" s="1331" t="s">
        <v>1576</v>
      </c>
      <c r="G4" s="1331" t="s">
        <v>1576</v>
      </c>
      <c r="H4" s="1331" t="s">
        <v>1576</v>
      </c>
      <c r="I4" s="103"/>
      <c r="J4" s="118"/>
      <c r="K4" s="114" t="str">
        <f t="shared" si="0"/>
        <v>Actual</v>
      </c>
      <c r="L4" s="114" t="str">
        <f t="shared" si="0"/>
        <v>Actual</v>
      </c>
      <c r="M4" s="114" t="str">
        <f t="shared" si="0"/>
        <v>Actual</v>
      </c>
      <c r="N4" s="1226" t="str">
        <f t="shared" si="0"/>
        <v>Actual</v>
      </c>
      <c r="O4" s="117" t="str">
        <f t="shared" si="0"/>
        <v>Forecast</v>
      </c>
      <c r="P4" s="117" t="str">
        <f>G4</f>
        <v>Forecast</v>
      </c>
      <c r="Q4" s="117" t="str">
        <f>H4</f>
        <v>Forecast</v>
      </c>
      <c r="R4" s="117" t="e">
        <f>#REF!</f>
        <v>#REF!</v>
      </c>
      <c r="S4" s="119"/>
      <c r="T4" s="103"/>
    </row>
    <row r="5" spans="1:20" s="491" customFormat="1" ht="20">
      <c r="A5" s="1288" t="s">
        <v>1577</v>
      </c>
      <c r="J5" s="490" t="s">
        <v>1613</v>
      </c>
    </row>
    <row r="6" spans="1:20">
      <c r="A6" s="64" t="s">
        <v>508</v>
      </c>
      <c r="K6" s="138" t="str">
        <f>IFERROR(B10/#REF!-1,"")</f>
        <v/>
      </c>
    </row>
    <row r="7" spans="1:20">
      <c r="A7" s="96" t="s">
        <v>1578</v>
      </c>
      <c r="B7" s="858">
        <f>'Earning Forecast'!E268</f>
        <v>280967</v>
      </c>
      <c r="C7" s="858">
        <f>'Earning Forecast'!F268</f>
        <v>9282703</v>
      </c>
      <c r="D7" s="858">
        <f>'Earning Forecast'!G268</f>
        <v>26128469</v>
      </c>
      <c r="E7" s="858">
        <f>'Earning Forecast'!H268</f>
        <v>44106434</v>
      </c>
      <c r="F7" s="858">
        <f>'Earning Forecast'!I268</f>
        <v>114582758.52870899</v>
      </c>
      <c r="G7" s="858">
        <f>'Earning Forecast'!J268</f>
        <v>175761951.0128364</v>
      </c>
      <c r="H7" s="858">
        <f>'Earning Forecast'!K268</f>
        <v>226562815.44869888</v>
      </c>
      <c r="J7" s="96" t="str">
        <f>A7</f>
        <v>Vehical sales</v>
      </c>
      <c r="K7" s="138" t="str">
        <f>IFERROR(B7/#REF!-1,"")</f>
        <v/>
      </c>
      <c r="L7" s="138">
        <f t="shared" ref="L7:P8" si="1">IFERROR(C7/B7-1,"")</f>
        <v>32.038410204757142</v>
      </c>
      <c r="M7" s="138">
        <f t="shared" si="1"/>
        <v>1.8147479241768267</v>
      </c>
      <c r="N7" s="138">
        <f t="shared" si="1"/>
        <v>0.68806040644784816</v>
      </c>
      <c r="O7" s="138">
        <f t="shared" si="1"/>
        <v>1.5978694747507585</v>
      </c>
      <c r="P7" s="138">
        <f t="shared" si="1"/>
        <v>0.53393017649159491</v>
      </c>
      <c r="Q7" s="139">
        <f>AVERAGE(N7:P7)</f>
        <v>0.93995335256340062</v>
      </c>
      <c r="R7" s="139">
        <f>AVERAGE(O7:Q7)</f>
        <v>1.0239176679352513</v>
      </c>
      <c r="T7" t="s">
        <v>229</v>
      </c>
    </row>
    <row r="8" spans="1:20">
      <c r="A8" s="96" t="s">
        <v>1579</v>
      </c>
      <c r="B8" s="858">
        <f>'Earning Forecast'!E276</f>
        <v>3400</v>
      </c>
      <c r="C8" s="858">
        <f>'Earning Forecast'!F276</f>
        <v>173906</v>
      </c>
      <c r="D8" s="858">
        <f>'Earning Forecast'!G276</f>
        <v>881310</v>
      </c>
      <c r="E8" s="858">
        <f>'Earning Forecast'!H276</f>
        <v>1180382</v>
      </c>
      <c r="F8" s="858">
        <f>'Earning Forecast'!I276</f>
        <v>3025993.7802314637</v>
      </c>
      <c r="G8" s="858">
        <f>'Earning Forecast'!J276</f>
        <v>5091285.1858269768</v>
      </c>
      <c r="H8" s="858">
        <f>'Earning Forecast'!K276</f>
        <v>6203128.9318505563</v>
      </c>
      <c r="J8" s="96" t="str">
        <f>A8</f>
        <v>Other sales</v>
      </c>
      <c r="K8" s="138" t="str">
        <f>IFERROR(B8/#REF!-1,"")</f>
        <v/>
      </c>
      <c r="L8" s="138">
        <f t="shared" si="1"/>
        <v>50.148823529411764</v>
      </c>
      <c r="M8" s="138">
        <f t="shared" si="1"/>
        <v>4.0677377433786068</v>
      </c>
      <c r="N8" s="138">
        <f t="shared" si="1"/>
        <v>0.33934937763102657</v>
      </c>
      <c r="O8" s="138">
        <f t="shared" si="1"/>
        <v>1.5635716066760286</v>
      </c>
      <c r="P8" s="138">
        <f t="shared" si="1"/>
        <v>0.68251673849690975</v>
      </c>
      <c r="Q8" s="139">
        <f>AVERAGE(N8:P8)</f>
        <v>0.8618125742679883</v>
      </c>
      <c r="R8" s="139">
        <f>AVERAGE(O8:Q8)</f>
        <v>1.0359669731469756</v>
      </c>
      <c r="T8" t="s">
        <v>229</v>
      </c>
    </row>
    <row r="9" spans="1:20">
      <c r="A9" s="904" t="s">
        <v>1629</v>
      </c>
      <c r="B9" s="938">
        <v>0</v>
      </c>
      <c r="C9" s="938">
        <v>0</v>
      </c>
      <c r="D9" s="938">
        <v>0</v>
      </c>
      <c r="E9" s="938">
        <v>0</v>
      </c>
      <c r="F9" s="938">
        <v>0</v>
      </c>
      <c r="G9" s="938">
        <v>0</v>
      </c>
      <c r="H9" s="938">
        <v>0</v>
      </c>
      <c r="J9" s="96" t="str">
        <f>A9</f>
        <v>Other/Manual Adjustments</v>
      </c>
      <c r="L9" s="143"/>
      <c r="M9" s="146" t="s">
        <v>1630</v>
      </c>
      <c r="N9" s="146" t="s">
        <v>1630</v>
      </c>
      <c r="O9" s="146" t="s">
        <v>1630</v>
      </c>
      <c r="P9" s="146" t="s">
        <v>1630</v>
      </c>
      <c r="Q9" s="147" t="str">
        <f>O9</f>
        <v>(￥)</v>
      </c>
      <c r="R9" s="147" t="str">
        <f>Q9</f>
        <v>(￥)</v>
      </c>
    </row>
    <row r="10" spans="1:20">
      <c r="A10" s="64" t="s">
        <v>1023</v>
      </c>
      <c r="B10" s="1223">
        <f t="shared" ref="B10:H10" si="2">B7+B8+B9</f>
        <v>284367</v>
      </c>
      <c r="C10" s="1223">
        <f t="shared" si="2"/>
        <v>9456609</v>
      </c>
      <c r="D10" s="1223">
        <f t="shared" si="2"/>
        <v>27009779</v>
      </c>
      <c r="E10" s="1223">
        <f t="shared" si="2"/>
        <v>45286816</v>
      </c>
      <c r="F10" s="1223">
        <f t="shared" si="2"/>
        <v>117608752.30894046</v>
      </c>
      <c r="G10" s="1223">
        <f t="shared" si="2"/>
        <v>180853236.19866338</v>
      </c>
      <c r="H10" s="1223">
        <f t="shared" si="2"/>
        <v>232765944.38054943</v>
      </c>
      <c r="J10" s="119" t="s">
        <v>1631</v>
      </c>
      <c r="L10" s="138">
        <f t="shared" ref="L10:Q10" si="3">IFERROR(C10/B10-1,"")</f>
        <v>32.2549451940626</v>
      </c>
      <c r="M10" s="138">
        <f t="shared" si="3"/>
        <v>1.8561801592938862</v>
      </c>
      <c r="N10" s="138">
        <f t="shared" si="3"/>
        <v>0.67668221202402279</v>
      </c>
      <c r="O10" s="138">
        <f t="shared" si="3"/>
        <v>1.5969755151022422</v>
      </c>
      <c r="P10" s="138">
        <f t="shared" si="3"/>
        <v>0.5377532083971881</v>
      </c>
      <c r="Q10" s="138">
        <f t="shared" si="3"/>
        <v>0.28704329141703089</v>
      </c>
      <c r="R10" s="138" t="str">
        <f>IFERROR(#REF!/H10-1,"")</f>
        <v/>
      </c>
    </row>
    <row r="11" spans="1:20">
      <c r="A11" s="64"/>
      <c r="B11" s="492"/>
      <c r="C11" s="492"/>
      <c r="D11" s="492"/>
      <c r="E11" s="492"/>
      <c r="F11" s="492"/>
      <c r="G11" s="492"/>
      <c r="H11" s="492"/>
      <c r="J11" s="119"/>
      <c r="L11" s="138"/>
      <c r="M11" s="138"/>
      <c r="N11" s="138"/>
      <c r="O11" s="138"/>
      <c r="P11" s="138"/>
      <c r="Q11" s="138"/>
      <c r="R11" s="138"/>
    </row>
    <row r="12" spans="1:20">
      <c r="A12" s="64" t="s">
        <v>287</v>
      </c>
    </row>
    <row r="13" spans="1:20">
      <c r="A13" s="96" t="str">
        <f>A7</f>
        <v>Vehical sales</v>
      </c>
      <c r="B13" s="493">
        <f>'Earning Forecast'!E270</f>
        <v>279555</v>
      </c>
      <c r="C13" s="493">
        <f>'Earning Forecast'!F270</f>
        <v>7763628</v>
      </c>
      <c r="D13" s="493">
        <f>'Earning Forecast'!G270</f>
        <v>20755578</v>
      </c>
      <c r="E13" s="493">
        <f>'Earning Forecast'!H270</f>
        <v>35688343</v>
      </c>
      <c r="F13" s="493">
        <f>'Earning Forecast'!I270</f>
        <v>89544614.760840952</v>
      </c>
      <c r="G13" s="493">
        <f>'Earning Forecast'!J270</f>
        <v>138140543.14314756</v>
      </c>
      <c r="H13" s="493">
        <f>'Earning Forecast'!K270</f>
        <v>176242076.31886134</v>
      </c>
      <c r="J13" s="155" t="str">
        <f>A13</f>
        <v>Vehical sales</v>
      </c>
      <c r="K13" s="138">
        <f>B13/B$10</f>
        <v>0.98307820527698364</v>
      </c>
      <c r="L13" s="138">
        <f t="shared" ref="K13:P14" si="4">C13/C$10</f>
        <v>0.82097377611784517</v>
      </c>
      <c r="M13" s="138">
        <f t="shared" si="4"/>
        <v>0.76844679106778324</v>
      </c>
      <c r="N13" s="138">
        <f t="shared" si="4"/>
        <v>0.78805149383873663</v>
      </c>
      <c r="O13" s="138">
        <f t="shared" si="4"/>
        <v>0.76137713395360873</v>
      </c>
      <c r="P13" s="138">
        <f t="shared" si="4"/>
        <v>0.76382676941098882</v>
      </c>
      <c r="Q13" s="139">
        <f>AVERAGE(N13:P13)</f>
        <v>0.77108513240111132</v>
      </c>
      <c r="R13" s="139">
        <f>AVERAGE(O13:Q13)</f>
        <v>0.76542967858856958</v>
      </c>
      <c r="T13" t="s">
        <v>229</v>
      </c>
    </row>
    <row r="14" spans="1:20">
      <c r="A14" s="96" t="str">
        <f>A8</f>
        <v>Other sales</v>
      </c>
      <c r="B14" s="493">
        <f>'Earning Forecast'!E278</f>
        <v>4907</v>
      </c>
      <c r="C14" s="493">
        <f>'Earning Forecast'!F278</f>
        <v>143642</v>
      </c>
      <c r="D14" s="493">
        <f>'Earning Forecast'!G278</f>
        <v>492747</v>
      </c>
      <c r="E14" s="493">
        <f>'Earning Forecast'!H278</f>
        <v>808017</v>
      </c>
      <c r="F14" s="493">
        <f>'Earning Forecast'!I278</f>
        <v>2087553.4059631289</v>
      </c>
      <c r="G14" s="493">
        <f>'Earning Forecast'!J278</f>
        <v>3512343.5480391989</v>
      </c>
      <c r="H14" s="493">
        <f>'Earning Forecast'!K278</f>
        <v>4279375.2630656548</v>
      </c>
      <c r="J14" s="120" t="str">
        <f>A14</f>
        <v>Other sales</v>
      </c>
      <c r="K14" s="138">
        <f t="shared" si="4"/>
        <v>1.7255870055245509E-2</v>
      </c>
      <c r="L14" s="138">
        <f t="shared" si="4"/>
        <v>1.5189588572394185E-2</v>
      </c>
      <c r="M14" s="138">
        <f t="shared" si="4"/>
        <v>1.8243281442621207E-2</v>
      </c>
      <c r="N14" s="138">
        <f t="shared" si="4"/>
        <v>1.7842212620997687E-2</v>
      </c>
      <c r="O14" s="138">
        <f t="shared" si="4"/>
        <v>1.7749983440683403E-2</v>
      </c>
      <c r="P14" s="138">
        <f t="shared" si="4"/>
        <v>1.942096045315421E-2</v>
      </c>
      <c r="Q14" s="139">
        <f>AVERAGE(O14:P14)</f>
        <v>1.8585471946918806E-2</v>
      </c>
      <c r="R14" s="139">
        <f>AVERAGE(P14:Q14)</f>
        <v>1.9003216200036508E-2</v>
      </c>
      <c r="T14" t="s">
        <v>285</v>
      </c>
    </row>
    <row r="15" spans="1:20">
      <c r="A15" s="64" t="s">
        <v>1580</v>
      </c>
      <c r="B15" s="1223">
        <f t="shared" ref="B15:H15" si="5">SUM(B13:B14)</f>
        <v>284462</v>
      </c>
      <c r="C15" s="1223">
        <f t="shared" si="5"/>
        <v>7907270</v>
      </c>
      <c r="D15" s="1223">
        <f t="shared" si="5"/>
        <v>21248325</v>
      </c>
      <c r="E15" s="1223">
        <f t="shared" si="5"/>
        <v>36496360</v>
      </c>
      <c r="F15" s="1223">
        <f t="shared" si="5"/>
        <v>91632168.166804075</v>
      </c>
      <c r="G15" s="1223">
        <f t="shared" si="5"/>
        <v>141652886.69118676</v>
      </c>
      <c r="H15" s="1223">
        <f t="shared" si="5"/>
        <v>180521451.581927</v>
      </c>
      <c r="J15" s="119" t="s">
        <v>1632</v>
      </c>
      <c r="K15" s="138">
        <f t="shared" ref="K15:Q15" si="6">B15/B$10</f>
        <v>1.0003340753322292</v>
      </c>
      <c r="L15" s="138">
        <f t="shared" si="6"/>
        <v>0.83616336469023944</v>
      </c>
      <c r="M15" s="138">
        <f t="shared" si="6"/>
        <v>0.78669007251040446</v>
      </c>
      <c r="N15" s="138">
        <f t="shared" si="6"/>
        <v>0.80589370645973435</v>
      </c>
      <c r="O15" s="138">
        <f t="shared" si="6"/>
        <v>0.77912711739429208</v>
      </c>
      <c r="P15" s="138">
        <f t="shared" si="6"/>
        <v>0.78324772986414304</v>
      </c>
      <c r="Q15" s="138">
        <f t="shared" si="6"/>
        <v>0.77554924137352399</v>
      </c>
      <c r="R15" s="138"/>
    </row>
    <row r="16" spans="1:20">
      <c r="A16" s="64" t="s">
        <v>511</v>
      </c>
      <c r="B16" s="1223">
        <f t="shared" ref="B16:H16" si="7">B10-B15</f>
        <v>-95</v>
      </c>
      <c r="C16" s="1223">
        <f t="shared" si="7"/>
        <v>1549339</v>
      </c>
      <c r="D16" s="1223">
        <f t="shared" si="7"/>
        <v>5761454</v>
      </c>
      <c r="E16" s="1223">
        <f t="shared" si="7"/>
        <v>8790456</v>
      </c>
      <c r="F16" s="1223">
        <f t="shared" si="7"/>
        <v>25976584.14213638</v>
      </c>
      <c r="G16" s="1223">
        <f t="shared" si="7"/>
        <v>39200349.507476628</v>
      </c>
      <c r="H16" s="1223">
        <f t="shared" si="7"/>
        <v>52244492.798622429</v>
      </c>
      <c r="J16" s="119" t="s">
        <v>1633</v>
      </c>
      <c r="K16" s="132">
        <f t="shared" ref="K16:Q16" si="8">IFERROR(B16/B10,"")</f>
        <v>-3.3407533222912645E-4</v>
      </c>
      <c r="L16" s="132">
        <f t="shared" si="8"/>
        <v>0.16383663530976061</v>
      </c>
      <c r="M16" s="132">
        <f t="shared" si="8"/>
        <v>0.21330992748959554</v>
      </c>
      <c r="N16" s="132">
        <f t="shared" si="8"/>
        <v>0.19410629354026568</v>
      </c>
      <c r="O16" s="132">
        <f t="shared" si="8"/>
        <v>0.22087288260570787</v>
      </c>
      <c r="P16" s="132">
        <f t="shared" si="8"/>
        <v>0.21675227013585693</v>
      </c>
      <c r="Q16" s="132">
        <f t="shared" si="8"/>
        <v>0.22445075862647595</v>
      </c>
      <c r="R16" s="132" t="str">
        <f>IFERROR(#REF!/#REF!,"")</f>
        <v/>
      </c>
    </row>
    <row r="17" spans="1:20" ht="14.5">
      <c r="A17" s="869" t="s">
        <v>1581</v>
      </c>
    </row>
    <row r="18" spans="1:20">
      <c r="A18" s="64" t="s">
        <v>1582</v>
      </c>
      <c r="J18" s="119" t="s">
        <v>1634</v>
      </c>
    </row>
    <row r="19" spans="1:20">
      <c r="A19" s="904" t="s">
        <v>1583</v>
      </c>
      <c r="B19" s="493">
        <f>'Earning Forecast'!E290</f>
        <v>689379</v>
      </c>
      <c r="C19" s="493">
        <f>'Earning Forecast'!F290</f>
        <v>1118819</v>
      </c>
      <c r="D19" s="493">
        <f>'Earning Forecast'!G290</f>
        <v>3492385</v>
      </c>
      <c r="E19" s="493">
        <f>'Earning Forecast'!H290</f>
        <v>5665301</v>
      </c>
      <c r="F19" s="493">
        <f>'Earning Forecast'!I290</f>
        <v>9408700.1847152375</v>
      </c>
      <c r="G19" s="493">
        <f>'Earning Forecast'!J290</f>
        <v>12298020.061509112</v>
      </c>
      <c r="H19" s="493">
        <f>'Earning Forecast'!K290</f>
        <v>12662467.37430189</v>
      </c>
      <c r="J19" s="155" t="str">
        <f>A19</f>
        <v>Selling General &amp; Admin Exp.</v>
      </c>
      <c r="K19" s="138">
        <f t="shared" ref="K19:P20" si="9">IFERROR(B19/B$10,"")</f>
        <v>2.4242580890187679</v>
      </c>
      <c r="L19" s="138">
        <f t="shared" si="9"/>
        <v>0.11831080252974402</v>
      </c>
      <c r="M19" s="138">
        <f t="shared" si="9"/>
        <v>0.12930076177224553</v>
      </c>
      <c r="N19" s="138">
        <f t="shared" si="9"/>
        <v>0.12509824051220558</v>
      </c>
      <c r="O19" s="138">
        <f t="shared" si="9"/>
        <v>8.0000000000000016E-2</v>
      </c>
      <c r="P19" s="138">
        <f t="shared" si="9"/>
        <v>6.8000000000000005E-2</v>
      </c>
      <c r="Q19" s="139">
        <f>P19</f>
        <v>6.8000000000000005E-2</v>
      </c>
      <c r="R19" s="139">
        <f>Q19</f>
        <v>6.8000000000000005E-2</v>
      </c>
    </row>
    <row r="20" spans="1:20">
      <c r="A20" s="904" t="s">
        <v>770</v>
      </c>
      <c r="B20" s="1207">
        <v>0</v>
      </c>
      <c r="C20" s="1207">
        <v>0</v>
      </c>
      <c r="D20" s="1207">
        <v>0</v>
      </c>
      <c r="E20" s="1207">
        <v>0</v>
      </c>
      <c r="F20" s="1207">
        <v>0</v>
      </c>
      <c r="G20" s="1207">
        <v>0</v>
      </c>
      <c r="H20" s="1207">
        <v>0</v>
      </c>
      <c r="J20" s="155" t="str">
        <f>A20</f>
        <v>Depreciation &amp; Amort.</v>
      </c>
      <c r="K20" s="138">
        <f>IFERROR(B20/B$10,"")</f>
        <v>0</v>
      </c>
      <c r="L20" s="138">
        <f t="shared" si="9"/>
        <v>0</v>
      </c>
      <c r="M20" s="138">
        <f t="shared" si="9"/>
        <v>0</v>
      </c>
      <c r="N20" s="138">
        <f t="shared" si="9"/>
        <v>0</v>
      </c>
      <c r="O20" s="138">
        <f t="shared" si="9"/>
        <v>0</v>
      </c>
      <c r="P20" s="138">
        <f t="shared" si="9"/>
        <v>0</v>
      </c>
      <c r="Q20" s="139">
        <v>0</v>
      </c>
      <c r="R20" s="139">
        <v>0</v>
      </c>
    </row>
    <row r="21" spans="1:20">
      <c r="A21" s="904" t="s">
        <v>530</v>
      </c>
      <c r="B21" s="858">
        <f>'Earning Forecast'!E292</f>
        <v>1169140</v>
      </c>
      <c r="C21" s="858">
        <f>'Earning Forecast'!F292</f>
        <v>1099857</v>
      </c>
      <c r="D21" s="858">
        <f>'Earning Forecast'!G292</f>
        <v>3286389</v>
      </c>
      <c r="E21" s="858">
        <f>'Earning Forecast'!H292</f>
        <v>6780032</v>
      </c>
      <c r="F21" s="858">
        <f>'Earning Forecast'!I292</f>
        <v>9996743.94625994</v>
      </c>
      <c r="G21" s="858">
        <f>'Earning Forecast'!J292</f>
        <v>14603898.823042069</v>
      </c>
      <c r="H21" s="858">
        <f>'Earning Forecast'!K292</f>
        <v>15036680.006983494</v>
      </c>
      <c r="J21" s="120" t="str">
        <f>A21</f>
        <v>R&amp;D cost</v>
      </c>
      <c r="K21" s="138">
        <f>IFERROR(B21/B$10,"")</f>
        <v>4.1113771991827459</v>
      </c>
      <c r="L21" s="138">
        <f t="shared" ref="L21:P21" si="10">IFERROR(C21/C$10,"")</f>
        <v>0.11630564402102275</v>
      </c>
      <c r="M21" s="138">
        <f t="shared" si="10"/>
        <v>0.12167404257546868</v>
      </c>
      <c r="N21" s="138">
        <f t="shared" si="10"/>
        <v>0.14971315271976726</v>
      </c>
      <c r="O21" s="138">
        <f t="shared" si="10"/>
        <v>8.5000000000000006E-2</v>
      </c>
      <c r="P21" s="138">
        <f t="shared" si="10"/>
        <v>8.0750000000000002E-2</v>
      </c>
      <c r="Q21" s="139">
        <f>P21*0.95</f>
        <v>7.6712500000000003E-2</v>
      </c>
      <c r="R21" s="139">
        <f>Q21*0.95</f>
        <v>7.2876874999999994E-2</v>
      </c>
    </row>
    <row r="22" spans="1:20">
      <c r="A22" s="904" t="s">
        <v>1584</v>
      </c>
      <c r="B22" s="493"/>
      <c r="C22" s="493"/>
      <c r="D22" s="493"/>
      <c r="E22" s="493"/>
      <c r="F22" s="493"/>
      <c r="G22" s="493"/>
      <c r="H22" s="493"/>
      <c r="J22" s="120" t="str">
        <f>A22</f>
        <v>Manual Adjustments</v>
      </c>
      <c r="K22" s="138"/>
      <c r="M22" s="144" t="s">
        <v>1630</v>
      </c>
      <c r="N22" s="144" t="s">
        <v>1630</v>
      </c>
      <c r="O22" s="144" t="s">
        <v>1630</v>
      </c>
      <c r="P22" s="144" t="s">
        <v>1630</v>
      </c>
      <c r="Q22" s="147" t="str">
        <f>P22</f>
        <v>(￥)</v>
      </c>
      <c r="R22" s="147" t="str">
        <f>Q22</f>
        <v>(￥)</v>
      </c>
    </row>
    <row r="23" spans="1:20">
      <c r="A23" s="64" t="s">
        <v>1585</v>
      </c>
      <c r="B23" s="1223">
        <f t="shared" ref="B23:H23" si="11">SUM(B19:B22)</f>
        <v>1858519</v>
      </c>
      <c r="C23" s="1223">
        <f t="shared" si="11"/>
        <v>2218676</v>
      </c>
      <c r="D23" s="1223">
        <f t="shared" si="11"/>
        <v>6778774</v>
      </c>
      <c r="E23" s="1223">
        <f t="shared" si="11"/>
        <v>12445333</v>
      </c>
      <c r="F23" s="1223">
        <f t="shared" si="11"/>
        <v>19405444.130975179</v>
      </c>
      <c r="G23" s="1223">
        <f t="shared" si="11"/>
        <v>26901918.884551182</v>
      </c>
      <c r="H23" s="1223">
        <f t="shared" si="11"/>
        <v>27699147.381285384</v>
      </c>
      <c r="J23" s="120"/>
      <c r="K23" s="138"/>
      <c r="M23" s="144"/>
      <c r="N23" s="144"/>
      <c r="O23" s="144"/>
      <c r="P23" s="144"/>
      <c r="Q23" s="1227"/>
      <c r="R23" s="1227"/>
    </row>
    <row r="24" spans="1:20">
      <c r="A24" s="64" t="s">
        <v>532</v>
      </c>
      <c r="B24" s="1223">
        <f t="shared" ref="B24:H24" si="12">B16-B23</f>
        <v>-1858614</v>
      </c>
      <c r="C24" s="1223">
        <f t="shared" si="12"/>
        <v>-669337</v>
      </c>
      <c r="D24" s="1223">
        <f t="shared" si="12"/>
        <v>-1017320</v>
      </c>
      <c r="E24" s="1223">
        <f t="shared" si="12"/>
        <v>-3654877</v>
      </c>
      <c r="F24" s="1223">
        <f t="shared" si="12"/>
        <v>6571140.0111612007</v>
      </c>
      <c r="G24" s="1223">
        <f t="shared" si="12"/>
        <v>12298430.622925445</v>
      </c>
      <c r="H24" s="1223">
        <f t="shared" si="12"/>
        <v>24545345.417337045</v>
      </c>
      <c r="J24" s="119" t="s">
        <v>1635</v>
      </c>
      <c r="K24" s="154">
        <f t="shared" ref="K24:Q24" si="13">IFERROR(B24/B10,"")</f>
        <v>-6.5359693635337432</v>
      </c>
      <c r="L24" s="154">
        <f t="shared" si="13"/>
        <v>-7.0779811241006158E-2</v>
      </c>
      <c r="M24" s="154">
        <f t="shared" si="13"/>
        <v>-3.766487685811868E-2</v>
      </c>
      <c r="N24" s="154">
        <f t="shared" si="13"/>
        <v>-8.070509969170718E-2</v>
      </c>
      <c r="O24" s="154">
        <f t="shared" si="13"/>
        <v>5.5872882605707837E-2</v>
      </c>
      <c r="P24" s="154">
        <f t="shared" si="13"/>
        <v>6.8002270135856926E-2</v>
      </c>
      <c r="Q24" s="154">
        <f t="shared" si="13"/>
        <v>0.10545075862647596</v>
      </c>
      <c r="R24" s="154" t="str">
        <f>IFERROR(#REF!/#REF!,"")</f>
        <v/>
      </c>
    </row>
    <row r="25" spans="1:20">
      <c r="A25" s="64"/>
      <c r="B25" s="1242"/>
      <c r="C25" s="1242"/>
      <c r="D25" s="1242"/>
      <c r="E25" s="1242"/>
      <c r="F25" s="1242"/>
      <c r="G25" s="1242"/>
      <c r="H25" s="1242"/>
      <c r="J25" s="119"/>
      <c r="K25" s="154"/>
      <c r="L25" s="154"/>
      <c r="M25" s="154"/>
      <c r="N25" s="154"/>
      <c r="O25" s="154"/>
      <c r="P25" s="154"/>
      <c r="Q25" s="154"/>
      <c r="R25" s="154"/>
    </row>
    <row r="26" spans="1:20">
      <c r="A26" s="64" t="s">
        <v>1458</v>
      </c>
      <c r="B26" s="1225">
        <f>'Earning Forecast'!E299</f>
        <v>-83667</v>
      </c>
      <c r="C26" s="1225">
        <f>'Earning Forecast'!F299</f>
        <v>-66916</v>
      </c>
      <c r="D26" s="1225">
        <f>'Earning Forecast'!G299</f>
        <v>-63244</v>
      </c>
      <c r="E26" s="1225">
        <f>'Earning Forecast'!H299</f>
        <v>-106340</v>
      </c>
      <c r="F26" s="1225">
        <f>'Earning Forecast'!I299</f>
        <v>-240538.92500000002</v>
      </c>
      <c r="G26" s="1225">
        <f>'Earning Forecast'!J299</f>
        <v>-222925.12697437755</v>
      </c>
      <c r="H26" s="1225">
        <f>'Earning Forecast'!K299</f>
        <v>-208040.04009547291</v>
      </c>
      <c r="J26" s="631"/>
      <c r="K26" s="154"/>
      <c r="L26" s="154"/>
      <c r="M26" s="154"/>
      <c r="N26" s="154"/>
      <c r="O26" s="154"/>
      <c r="P26" s="154"/>
      <c r="Q26" s="154"/>
      <c r="R26" s="154"/>
    </row>
    <row r="27" spans="1:20">
      <c r="A27" s="64" t="s">
        <v>1030</v>
      </c>
      <c r="B27" s="492">
        <f>SUM('Earning Forecast'!E298,'Earning Forecast'!E300:E303)</f>
        <v>-475593</v>
      </c>
      <c r="C27" s="492">
        <f>SUM('Earning Forecast'!F298,'Earning Forecast'!F300:F303)</f>
        <v>547376</v>
      </c>
      <c r="D27" s="492">
        <f>SUM('Earning Forecast'!G298,'Earning Forecast'!G300:G303)</f>
        <v>927752</v>
      </c>
      <c r="E27" s="492">
        <f>SUM('Earning Forecast'!H298,'Earning Forecast'!H300:H303)</f>
        <v>1601862</v>
      </c>
      <c r="F27" s="492">
        <f>SUM('Earning Forecast'!I298,'Earning Forecast'!I300:I303)</f>
        <v>1654339.4955</v>
      </c>
      <c r="G27" s="492">
        <f>SUM('Earning Forecast'!J298,'Earning Forecast'!J300:J303)</f>
        <v>1809982.975477153</v>
      </c>
      <c r="H27" s="492">
        <f>SUM('Earning Forecast'!K298,'Earning Forecast'!K300:K303)</f>
        <v>2095508.9393615518</v>
      </c>
      <c r="J27" s="119"/>
      <c r="K27" s="154"/>
      <c r="L27" s="154"/>
      <c r="M27" s="154"/>
      <c r="N27" s="154"/>
      <c r="O27" s="154"/>
      <c r="P27" s="154"/>
      <c r="Q27" s="154"/>
      <c r="R27" s="154"/>
    </row>
    <row r="28" spans="1:20" ht="14.5">
      <c r="A28" s="869" t="s">
        <v>1586</v>
      </c>
      <c r="B28" s="1222">
        <f>'Earning Forecast'!E298</f>
        <v>79631</v>
      </c>
      <c r="C28" s="85">
        <f>'Earning Forecast'!F298</f>
        <v>254916</v>
      </c>
      <c r="D28" s="85">
        <f>'Earning Forecast'!G298</f>
        <v>740432</v>
      </c>
      <c r="E28" s="85">
        <f>'Earning Forecast'!H298</f>
        <v>976229</v>
      </c>
      <c r="F28" s="85">
        <f>'Earning Forecast'!I298</f>
        <v>1373564.4955</v>
      </c>
      <c r="G28" s="85">
        <f>'Earning Forecast'!J298</f>
        <v>1445406.975477153</v>
      </c>
      <c r="H28" s="85">
        <f>'Earning Forecast'!K298</f>
        <v>1671847.6060282185</v>
      </c>
      <c r="J28" t="s">
        <v>1033</v>
      </c>
      <c r="K28" s="138">
        <f t="shared" ref="K28" si="14">IFERROR(B28/B$10,"")</f>
        <v>0.28002897663934284</v>
      </c>
      <c r="L28" s="138">
        <f t="shared" ref="L28" si="15">IFERROR(C28/C$10,"")</f>
        <v>2.6956385740385374E-2</v>
      </c>
      <c r="M28" s="138">
        <f t="shared" ref="M28" si="16">IFERROR(D28/D$10,"")</f>
        <v>2.7413478651565421E-2</v>
      </c>
      <c r="N28" s="138">
        <f t="shared" ref="N28" si="17">IFERROR(E28/E$10,"")</f>
        <v>2.1556582825341487E-2</v>
      </c>
      <c r="O28" s="138">
        <f t="shared" ref="O28" si="18">IFERROR(F28/F$10,"")</f>
        <v>1.1679100989795837E-2</v>
      </c>
      <c r="P28" s="138">
        <f t="shared" ref="P28" si="19">IFERROR(G28/G$10,"")</f>
        <v>7.992154333856678E-3</v>
      </c>
      <c r="Q28" s="1228">
        <f t="shared" ref="Q28" si="20">IFERROR(H28/H$10,"")</f>
        <v>7.1825266813727359E-3</v>
      </c>
      <c r="R28" s="1228">
        <f>Q28</f>
        <v>7.1825266813727359E-3</v>
      </c>
    </row>
    <row r="29" spans="1:20">
      <c r="A29" s="889" t="s">
        <v>540</v>
      </c>
      <c r="B29" s="1223">
        <f>B24+B26+B27</f>
        <v>-2417874</v>
      </c>
      <c r="C29" s="1223">
        <f t="shared" ref="C29:H29" si="21">C24+C26+C27</f>
        <v>-188877</v>
      </c>
      <c r="D29" s="1223">
        <f t="shared" si="21"/>
        <v>-152812</v>
      </c>
      <c r="E29" s="1223">
        <f t="shared" si="21"/>
        <v>-2159355</v>
      </c>
      <c r="F29" s="1223">
        <f t="shared" si="21"/>
        <v>7984940.5816612011</v>
      </c>
      <c r="G29" s="1223">
        <f t="shared" si="21"/>
        <v>13885488.471428221</v>
      </c>
      <c r="H29" s="1223">
        <f t="shared" si="21"/>
        <v>26432814.316603124</v>
      </c>
      <c r="J29" s="120" t="s">
        <v>1636</v>
      </c>
      <c r="K29" s="138">
        <f t="shared" ref="K29:Q29" si="22">B29/B$10</f>
        <v>-8.5026532614543875</v>
      </c>
      <c r="L29" s="138">
        <f t="shared" si="22"/>
        <v>-1.9973015697275841E-2</v>
      </c>
      <c r="M29" s="138">
        <f t="shared" si="22"/>
        <v>-5.657654585030111E-3</v>
      </c>
      <c r="N29" s="138">
        <f t="shared" si="22"/>
        <v>-4.7681757975654548E-2</v>
      </c>
      <c r="O29" s="138">
        <f t="shared" si="22"/>
        <v>6.7894101628473758E-2</v>
      </c>
      <c r="P29" s="138">
        <f t="shared" si="22"/>
        <v>7.6777661065325423E-2</v>
      </c>
      <c r="Q29" s="1228">
        <f t="shared" si="22"/>
        <v>0.11355962912421617</v>
      </c>
      <c r="R29" s="1228">
        <f>Q29</f>
        <v>0.11355962912421617</v>
      </c>
    </row>
    <row r="30" spans="1:20">
      <c r="A30" s="905" t="s">
        <v>1587</v>
      </c>
      <c r="B30" s="85">
        <f>'Earning Forecast'!E305</f>
        <v>0</v>
      </c>
      <c r="C30" s="85">
        <f>'Earning Forecast'!F305</f>
        <v>22847</v>
      </c>
      <c r="D30" s="1225">
        <f>'Earning Forecast'!G305</f>
        <v>-168643</v>
      </c>
      <c r="E30" s="85">
        <f>'Earning Forecast'!H305</f>
        <v>127007</v>
      </c>
      <c r="F30" s="1225">
        <f>'Earning Forecast'!I305</f>
        <v>-1197741.0872491796</v>
      </c>
      <c r="G30" s="1225">
        <f>'Earning Forecast'!J305</f>
        <v>-2082823.270714232</v>
      </c>
      <c r="H30" s="1225">
        <f>'Earning Forecast'!K305</f>
        <v>-3964922.1474904702</v>
      </c>
      <c r="J30" s="120" t="s">
        <v>1637</v>
      </c>
      <c r="K30" s="138">
        <f>ABS(IFERROR(B30/B29,""))</f>
        <v>0</v>
      </c>
      <c r="L30" s="138">
        <f>ABS(IFERROR(C30/C29,""))</f>
        <v>0.12096231939304415</v>
      </c>
      <c r="M30" s="138">
        <f>ABS(IFERROR(D30/D29,""))</f>
        <v>1.1035978849828547</v>
      </c>
      <c r="N30" s="138">
        <f>ABS(IFERROR(E30/E29,""))</f>
        <v>5.8817100476762738E-2</v>
      </c>
      <c r="O30" s="1230">
        <v>0.15</v>
      </c>
      <c r="P30" s="1230">
        <v>0.15</v>
      </c>
      <c r="Q30" s="1228">
        <v>0.15</v>
      </c>
      <c r="R30" s="139">
        <f>AVERAGE(O30:Q30)</f>
        <v>0.15</v>
      </c>
      <c r="T30" t="s">
        <v>229</v>
      </c>
    </row>
    <row r="31" spans="1:20">
      <c r="A31" s="905" t="s">
        <v>638</v>
      </c>
      <c r="B31" s="1225">
        <f>'Earning Forecast'!E308</f>
        <v>-20662</v>
      </c>
      <c r="C31" s="85">
        <f>'Earning Forecast'!F308</f>
        <v>14373</v>
      </c>
      <c r="D31" s="85">
        <f>'Earning Forecast'!G308</f>
        <v>0</v>
      </c>
      <c r="E31" s="85">
        <f>'Earning Forecast'!H308</f>
        <v>0</v>
      </c>
      <c r="F31" s="85">
        <f>'Earning Forecast'!I308</f>
        <v>0</v>
      </c>
      <c r="G31" s="85">
        <f>'Earning Forecast'!J308</f>
        <v>0</v>
      </c>
      <c r="H31" s="85">
        <f>'Earning Forecast'!K308</f>
        <v>0</v>
      </c>
      <c r="J31" s="120"/>
      <c r="K31" s="138"/>
      <c r="L31" s="138"/>
      <c r="M31" s="138"/>
      <c r="N31" s="138"/>
      <c r="O31" s="1230"/>
      <c r="P31" s="1230"/>
      <c r="Q31" s="1237"/>
      <c r="R31" s="1238"/>
    </row>
    <row r="32" spans="1:20" ht="14.5">
      <c r="A32" s="1289" t="s">
        <v>639</v>
      </c>
      <c r="B32" s="1223">
        <f>B29+B30+B31</f>
        <v>-2438536</v>
      </c>
      <c r="C32" s="1223">
        <f t="shared" ref="C32:H32" si="23">C29+C30+C31</f>
        <v>-151657</v>
      </c>
      <c r="D32" s="1223">
        <f t="shared" si="23"/>
        <v>-321455</v>
      </c>
      <c r="E32" s="1223">
        <f t="shared" si="23"/>
        <v>-2032348</v>
      </c>
      <c r="F32" s="1223">
        <f t="shared" si="23"/>
        <v>6787199.4944120217</v>
      </c>
      <c r="G32" s="1223">
        <f t="shared" si="23"/>
        <v>11802665.200713988</v>
      </c>
      <c r="H32" s="1223">
        <f t="shared" si="23"/>
        <v>22467892.169112653</v>
      </c>
    </row>
    <row r="33" spans="1:18" ht="14.5">
      <c r="A33" s="1289"/>
      <c r="B33" s="1242"/>
      <c r="C33" s="1242"/>
      <c r="D33" s="1242"/>
      <c r="E33" s="1242">
        <f>E32/D32-1</f>
        <v>5.3223406075500455</v>
      </c>
      <c r="F33" s="1242"/>
      <c r="G33" s="1242"/>
      <c r="H33" s="1242"/>
    </row>
    <row r="34" spans="1:18">
      <c r="A34" s="1330" t="s">
        <v>640</v>
      </c>
      <c r="B34" s="1225">
        <f>'Earning Forecast'!E310</f>
        <v>-843071</v>
      </c>
      <c r="C34" s="493">
        <f>'Earning Forecast'!F310</f>
        <v>-640328</v>
      </c>
      <c r="D34" s="1225">
        <f>'Earning Forecast'!G310</f>
        <v>0</v>
      </c>
      <c r="E34" s="1225">
        <f>'Earning Forecast'!H310</f>
        <v>0</v>
      </c>
      <c r="F34" s="1225">
        <f>'Earning Forecast'!I310</f>
        <v>0</v>
      </c>
      <c r="G34" s="1225">
        <f>'Earning Forecast'!J310</f>
        <v>0</v>
      </c>
      <c r="H34" s="1225">
        <f>'Earning Forecast'!K310</f>
        <v>0</v>
      </c>
    </row>
    <row r="35" spans="1:18" ht="14.5">
      <c r="A35" s="869" t="s">
        <v>641</v>
      </c>
      <c r="B35" s="1225">
        <f>'Earning Forecast'!E311</f>
        <v>0</v>
      </c>
      <c r="C35" s="1225">
        <f>'Earning Forecast'!F311</f>
        <v>0</v>
      </c>
      <c r="D35" s="1225">
        <f>'Earning Forecast'!G311</f>
        <v>0</v>
      </c>
      <c r="E35" s="1225">
        <f>'Earning Forecast'!H311</f>
        <v>-20133</v>
      </c>
      <c r="F35" s="1225">
        <f>'Earning Forecast'!I311</f>
        <v>0</v>
      </c>
      <c r="G35" s="1225">
        <f>'Earning Forecast'!J311</f>
        <v>0</v>
      </c>
      <c r="H35" s="1225">
        <f>'Earning Forecast'!K311</f>
        <v>0</v>
      </c>
    </row>
    <row r="36" spans="1:18" ht="14.5" thickBot="1">
      <c r="A36" s="889" t="s">
        <v>1588</v>
      </c>
      <c r="B36" s="1236">
        <f>B32+B34-B35</f>
        <v>-3281607</v>
      </c>
      <c r="C36" s="1236">
        <f t="shared" ref="C36:H36" si="24">C32+C34-C35</f>
        <v>-791985</v>
      </c>
      <c r="D36" s="1236">
        <f t="shared" si="24"/>
        <v>-321455</v>
      </c>
      <c r="E36" s="1236">
        <f t="shared" si="24"/>
        <v>-2012215</v>
      </c>
      <c r="F36" s="1236">
        <f t="shared" si="24"/>
        <v>6787199.4944120217</v>
      </c>
      <c r="G36" s="1236">
        <f t="shared" si="24"/>
        <v>11802665.200713988</v>
      </c>
      <c r="H36" s="1236">
        <f t="shared" si="24"/>
        <v>22467892.169112653</v>
      </c>
      <c r="J36" s="120" t="s">
        <v>1638</v>
      </c>
      <c r="K36" s="138">
        <f t="shared" ref="K36:Q36" si="25">B36/B$10</f>
        <v>-11.540041566004493</v>
      </c>
      <c r="L36" s="138">
        <f t="shared" si="25"/>
        <v>-8.3749365126548E-2</v>
      </c>
      <c r="M36" s="138">
        <f t="shared" si="25"/>
        <v>-1.1901430219032892E-2</v>
      </c>
      <c r="N36" s="138">
        <f t="shared" si="25"/>
        <v>-4.4432688754272323E-2</v>
      </c>
      <c r="O36" s="138">
        <f t="shared" si="25"/>
        <v>5.7709986384202702E-2</v>
      </c>
      <c r="P36" s="138">
        <f t="shared" si="25"/>
        <v>6.526101190552662E-2</v>
      </c>
      <c r="Q36" s="138">
        <f t="shared" si="25"/>
        <v>9.6525684755583735E-2</v>
      </c>
      <c r="R36" s="138" t="e">
        <f>#REF!/#REF!</f>
        <v>#REF!</v>
      </c>
    </row>
    <row r="37" spans="1:18" ht="14.5" thickTop="1">
      <c r="A37" s="665" t="s">
        <v>1589</v>
      </c>
      <c r="B37" s="1266">
        <f>'Earning Forecast'!E313</f>
        <v>255000</v>
      </c>
      <c r="C37" s="1266">
        <f>'Earning Forecast'!F313</f>
        <v>870003.27800000005</v>
      </c>
      <c r="D37" s="1266">
        <f>'Earning Forecast'!G313</f>
        <v>1853320.4480000001</v>
      </c>
      <c r="E37" s="1266">
        <f>'Earning Forecast'!H313</f>
        <v>1941230.9979999999</v>
      </c>
      <c r="F37" s="1266">
        <f>'Earning Forecast'!I313</f>
        <v>1941230.9979999999</v>
      </c>
      <c r="G37" s="1266">
        <f>'Earning Forecast'!J313</f>
        <v>1941230.9979999999</v>
      </c>
      <c r="H37" s="1266">
        <f>'Earning Forecast'!K313</f>
        <v>1941230.9979999999</v>
      </c>
      <c r="J37" s="120"/>
      <c r="K37" s="138"/>
      <c r="L37" s="138"/>
      <c r="M37" s="138"/>
      <c r="N37" s="138"/>
      <c r="O37" s="138"/>
      <c r="P37" s="138"/>
      <c r="Q37" s="138"/>
      <c r="R37" s="138"/>
    </row>
    <row r="38" spans="1:18">
      <c r="A38" s="889" t="s">
        <v>1449</v>
      </c>
      <c r="B38" s="1332">
        <f>'Earning Forecast'!E314</f>
        <v>-12.869047058823529</v>
      </c>
      <c r="C38" s="1332">
        <f>'Earning Forecast'!F314</f>
        <v>-0.91032415627289165</v>
      </c>
      <c r="D38" s="1332">
        <f>'Earning Forecast'!G314</f>
        <v>-0.17344814834741412</v>
      </c>
      <c r="E38" s="1332">
        <f>'Earning Forecast'!H314</f>
        <v>-1.0365664890335735</v>
      </c>
      <c r="F38" s="1332">
        <f>'Earning Forecast'!I314</f>
        <v>3.4963378914743757</v>
      </c>
      <c r="G38" s="1332">
        <f>'Earning Forecast'!J314</f>
        <v>6.0799900747896372</v>
      </c>
      <c r="H38" s="1332">
        <f>'Earning Forecast'!K314</f>
        <v>11.574043579698012</v>
      </c>
      <c r="J38" s="120"/>
      <c r="K38" s="138"/>
      <c r="L38" s="138"/>
      <c r="M38" s="138"/>
      <c r="N38" s="138"/>
      <c r="O38" s="138"/>
      <c r="P38" s="138"/>
      <c r="Q38" s="138"/>
      <c r="R38" s="138"/>
    </row>
    <row r="39" spans="1:18" s="497" customFormat="1" ht="15" thickBot="1">
      <c r="A39" s="1290" t="s">
        <v>1581</v>
      </c>
      <c r="D39" s="857"/>
    </row>
    <row r="40" spans="1:18" ht="20">
      <c r="A40" s="890" t="s">
        <v>1590</v>
      </c>
      <c r="F40" s="19"/>
      <c r="J40" s="1334" t="s">
        <v>1613</v>
      </c>
    </row>
    <row r="41" spans="1:18">
      <c r="A41" s="665" t="s">
        <v>877</v>
      </c>
      <c r="B41" s="85">
        <f>SUM('Fin Sta as rep'!D494:D496)</f>
        <v>3708895</v>
      </c>
      <c r="C41" s="85">
        <f>SUM('Fin Sta as rep'!E494:E496)</f>
        <v>29873901</v>
      </c>
      <c r="D41" s="85">
        <f>SUM('Fin Sta as rep'!F494:F496)</f>
        <v>50161303</v>
      </c>
      <c r="E41" s="85">
        <f>SUM('Fin Sta as rep'!G494:G496)</f>
        <v>58449553</v>
      </c>
      <c r="F41" s="1261">
        <f>E41+F111</f>
        <v>61506679.80753842</v>
      </c>
      <c r="G41" s="1261">
        <f>F41+G111</f>
        <v>71142451.320349723</v>
      </c>
      <c r="H41" s="1261">
        <f>G41+H111</f>
        <v>79119230.642096385</v>
      </c>
      <c r="J41" s="758" t="s">
        <v>1591</v>
      </c>
    </row>
    <row r="42" spans="1:18">
      <c r="A42" s="665" t="s">
        <v>1067</v>
      </c>
      <c r="B42" s="85">
        <f>'Fin Sta as rep'!D497</f>
        <v>8303</v>
      </c>
      <c r="C42" s="85">
        <f>'Fin Sta as rep'!E497</f>
        <v>115549</v>
      </c>
      <c r="D42" s="85">
        <f>'Fin Sta as rep'!F497</f>
        <v>120541</v>
      </c>
      <c r="E42" s="85">
        <f>'Fin Sta as rep'!G497</f>
        <v>48381</v>
      </c>
      <c r="F42" s="1213">
        <f>E42*(F10/E10)</f>
        <v>125644.27239616158</v>
      </c>
      <c r="G42" s="1213">
        <f>F42*(G10/F10)</f>
        <v>193209.88299392772</v>
      </c>
      <c r="H42" s="1213">
        <f>G42*(H10/G10)</f>
        <v>248669.48374280415</v>
      </c>
      <c r="J42" s="758" t="s">
        <v>1592</v>
      </c>
    </row>
    <row r="43" spans="1:18">
      <c r="A43" s="665" t="s">
        <v>696</v>
      </c>
      <c r="B43" s="85">
        <f>'Fin Sta as rep'!D498</f>
        <v>518086</v>
      </c>
      <c r="C43" s="85">
        <f>'Fin Sta as rep'!E498</f>
        <v>1048004</v>
      </c>
      <c r="D43" s="85">
        <f>'Fin Sta as rep'!F498</f>
        <v>1617890</v>
      </c>
      <c r="E43" s="85">
        <f>'Fin Sta as rep'!G498</f>
        <v>6804693</v>
      </c>
      <c r="F43" s="1213">
        <f>E43*(F15/E15)</f>
        <v>17084683.878049057</v>
      </c>
      <c r="G43" s="1213">
        <f>F43*(G15/F15)</f>
        <v>26410973.765529267</v>
      </c>
      <c r="H43" s="1213">
        <f>G43*(H15/G15)</f>
        <v>33657960.901563272</v>
      </c>
      <c r="J43" s="758" t="s">
        <v>1593</v>
      </c>
    </row>
    <row r="44" spans="1:18" s="233" customFormat="1">
      <c r="A44" s="888" t="s">
        <v>1069</v>
      </c>
      <c r="B44" s="305">
        <f>SUM('Fin Sta as rep'!D499:D500)</f>
        <v>830555</v>
      </c>
      <c r="C44" s="305">
        <f>SUM('Fin Sta as rep'!E499:E500)</f>
        <v>353655</v>
      </c>
      <c r="D44" s="305">
        <f>SUM('Fin Sta as rep'!F499:F500)</f>
        <v>480680</v>
      </c>
      <c r="E44" s="305">
        <f>SUM('Fin Sta as rep'!G499:G500)</f>
        <v>1689860</v>
      </c>
      <c r="F44" s="1214">
        <f>E44*(F23/E23)</f>
        <v>2634922.1687494996</v>
      </c>
      <c r="G44" s="1214">
        <f>F44*(G23/F23)</f>
        <v>3652813.198831053</v>
      </c>
      <c r="H44" s="1214">
        <f>G44*(H23/G23)</f>
        <v>3761062.9778840728</v>
      </c>
      <c r="J44" s="881" t="s">
        <v>1594</v>
      </c>
    </row>
    <row r="45" spans="1:18">
      <c r="A45" s="889" t="s">
        <v>1071</v>
      </c>
      <c r="B45" s="875">
        <f>SUM(B41:B44)</f>
        <v>5065839</v>
      </c>
      <c r="C45" s="875">
        <f t="shared" ref="C45:D45" si="26">SUM(C41:C44)</f>
        <v>31391109</v>
      </c>
      <c r="D45" s="875">
        <f t="shared" si="26"/>
        <v>52380414</v>
      </c>
      <c r="E45" s="875">
        <f>SUM(E41:E44)</f>
        <v>66992487</v>
      </c>
      <c r="F45" s="875">
        <f>SUM(F41:F44)</f>
        <v>81351930.126733139</v>
      </c>
      <c r="G45" s="875">
        <f t="shared" ref="G45" si="27">SUM(G41:G44)</f>
        <v>101399448.16770396</v>
      </c>
      <c r="H45" s="875">
        <f t="shared" ref="H45" si="28">SUM(H41:H44)</f>
        <v>116786924.00528653</v>
      </c>
      <c r="J45" s="673"/>
    </row>
    <row r="46" spans="1:18" ht="14.5">
      <c r="A46" s="869" t="s">
        <v>1581</v>
      </c>
      <c r="J46" s="673"/>
    </row>
    <row r="47" spans="1:18">
      <c r="A47" s="665" t="s">
        <v>1076</v>
      </c>
      <c r="B47" s="85">
        <f>'Fin Sta as rep'!D505</f>
        <v>2795122</v>
      </c>
      <c r="C47" s="85">
        <f>'Fin Sta as rep'!E505</f>
        <v>2478687</v>
      </c>
      <c r="D47" s="85">
        <f>'Fin Sta as rep'!F505</f>
        <v>4498269</v>
      </c>
      <c r="E47" s="85">
        <f>'Fin Sta as rep'!G505</f>
        <v>11187898</v>
      </c>
      <c r="F47" s="492">
        <f>E47-F78-F96</f>
        <v>12923613.905701917</v>
      </c>
      <c r="G47" s="492">
        <f>F47-G78-G96</f>
        <v>15585467.073938411</v>
      </c>
      <c r="H47" s="492">
        <f>G47-H78-H96</f>
        <v>19010690.372057311</v>
      </c>
      <c r="J47" s="758" t="s">
        <v>1595</v>
      </c>
    </row>
    <row r="48" spans="1:18">
      <c r="A48" s="96" t="s">
        <v>1596</v>
      </c>
      <c r="B48" s="85"/>
      <c r="C48" s="85"/>
      <c r="D48" s="85"/>
      <c r="E48" s="625"/>
      <c r="J48" s="758" t="s">
        <v>1597</v>
      </c>
    </row>
    <row r="49" spans="1:18">
      <c r="A49" s="96" t="s">
        <v>1078</v>
      </c>
      <c r="B49" s="85">
        <f>'Fin Sta as rep'!D506</f>
        <v>510227</v>
      </c>
      <c r="C49" s="85">
        <f>'Fin Sta as rep'!E506</f>
        <v>1277006</v>
      </c>
      <c r="D49" s="85">
        <f>'Fin Sta as rep'!F506</f>
        <v>2061492</v>
      </c>
      <c r="E49" s="85">
        <f>'Fin Sta as rep'!G506</f>
        <v>3538911</v>
      </c>
      <c r="F49" s="492">
        <f>E49-F87</f>
        <v>4275171.666666667</v>
      </c>
      <c r="G49" s="492">
        <f>F49-G87</f>
        <v>5001259.555555556</v>
      </c>
      <c r="H49" s="492">
        <f>G49-H87</f>
        <v>5744269.4074074076</v>
      </c>
    </row>
    <row r="50" spans="1:18">
      <c r="A50" s="96" t="s">
        <v>895</v>
      </c>
      <c r="B50" s="85">
        <f>'Fin Sta as rep'!D504</f>
        <v>126181</v>
      </c>
      <c r="C50" s="85">
        <f>'Fin Sta as rep'!E504</f>
        <v>162853</v>
      </c>
      <c r="D50" s="85">
        <f>'Fin Sta as rep'!F504</f>
        <v>156306</v>
      </c>
      <c r="E50" s="85">
        <f>'Fin Sta as rep'!G504</f>
        <v>1484491</v>
      </c>
      <c r="F50" s="492">
        <f>E50-F98-F86</f>
        <v>7207240.333333333</v>
      </c>
      <c r="G50" s="492">
        <f>F50-G98-G86</f>
        <v>12929989.666666666</v>
      </c>
      <c r="H50" s="492">
        <f>G50-H98-H86</f>
        <v>18652739</v>
      </c>
      <c r="J50" s="758" t="s">
        <v>1599</v>
      </c>
    </row>
    <row r="51" spans="1:18">
      <c r="A51" s="96" t="s">
        <v>713</v>
      </c>
      <c r="B51" s="85">
        <f>'Fin Sta as rep'!D508</f>
        <v>0</v>
      </c>
      <c r="C51" s="85">
        <f>'Fin Sta as rep'!E508</f>
        <v>0</v>
      </c>
      <c r="D51" s="85">
        <f>'Fin Sta as rep'!F508</f>
        <v>0</v>
      </c>
      <c r="E51" s="85">
        <f>'Fin Sta as rep'!G508</f>
        <v>5484</v>
      </c>
      <c r="F51" s="1213">
        <f>E51</f>
        <v>5484</v>
      </c>
      <c r="G51" s="1213">
        <f t="shared" ref="G51:H51" si="29">F51</f>
        <v>5484</v>
      </c>
      <c r="H51" s="1213">
        <f t="shared" si="29"/>
        <v>5484</v>
      </c>
      <c r="J51" s="758" t="s">
        <v>1600</v>
      </c>
    </row>
    <row r="52" spans="1:18">
      <c r="A52" s="96" t="s">
        <v>902</v>
      </c>
      <c r="B52" s="85">
        <f>'Fin Sta as rep'!D507</f>
        <v>673867</v>
      </c>
      <c r="C52" s="85">
        <f>'Fin Sta as rep'!E507</f>
        <v>683281</v>
      </c>
      <c r="D52" s="85">
        <f>'Fin Sta as rep'!F507</f>
        <v>751460</v>
      </c>
      <c r="E52" s="85">
        <f>'Fin Sta as rep'!G507</f>
        <v>832620</v>
      </c>
      <c r="F52" s="492">
        <f>E52-F79</f>
        <v>790470.12754682451</v>
      </c>
      <c r="G52" s="492">
        <f>F52-G79</f>
        <v>732903.56057108403</v>
      </c>
      <c r="H52" s="492">
        <f>G52-H79</f>
        <v>659509.86153209663</v>
      </c>
      <c r="J52" s="758" t="s">
        <v>1601</v>
      </c>
    </row>
    <row r="53" spans="1:18" s="233" customFormat="1">
      <c r="A53" s="888" t="s">
        <v>1081</v>
      </c>
      <c r="B53" s="305">
        <f>SUM('Fin Sta as rep'!D509:D511)</f>
        <v>342186</v>
      </c>
      <c r="C53" s="305">
        <f>SUM('Fin Sta as rep'!E509:E511)</f>
        <v>380340</v>
      </c>
      <c r="D53" s="305">
        <f>SUM('Fin Sta as rep'!F509:F511)</f>
        <v>2000972</v>
      </c>
      <c r="E53" s="305">
        <f>SUM('Fin Sta as rep'!G509:G511)</f>
        <v>2496060</v>
      </c>
      <c r="F53" s="1323">
        <f>E53*(F10/E10)</f>
        <v>6482206.7042261027</v>
      </c>
      <c r="G53" s="1323">
        <f t="shared" ref="G53:H53" si="30">F53*(G10/F10)</f>
        <v>9968034.1569174528</v>
      </c>
      <c r="H53" s="1323">
        <f t="shared" si="30"/>
        <v>12829291.490276428</v>
      </c>
      <c r="J53" s="881" t="s">
        <v>1592</v>
      </c>
    </row>
    <row r="54" spans="1:18">
      <c r="A54" s="906" t="s">
        <v>1085</v>
      </c>
      <c r="B54" s="492">
        <f>B45+SUM(B47:B53)</f>
        <v>9513422</v>
      </c>
      <c r="C54" s="492">
        <f t="shared" ref="C54:D54" si="31">C45+SUM(C47:C53)</f>
        <v>36373276</v>
      </c>
      <c r="D54" s="492">
        <f t="shared" si="31"/>
        <v>61848913</v>
      </c>
      <c r="E54" s="492">
        <f>E45+SUM(E47:E53)</f>
        <v>86537951</v>
      </c>
      <c r="F54" s="492">
        <f>F45+SUM(F47:F53)</f>
        <v>113036116.86420798</v>
      </c>
      <c r="G54" s="492">
        <f>G45+SUM(G47:G53)</f>
        <v>145622586.18135312</v>
      </c>
      <c r="H54" s="492">
        <f>H45+SUM(H47:H53)</f>
        <v>173688908.13655978</v>
      </c>
      <c r="J54" s="758"/>
    </row>
    <row r="55" spans="1:18" ht="14.5">
      <c r="A55" s="869" t="s">
        <v>1581</v>
      </c>
      <c r="F55" s="625"/>
      <c r="J55" s="758"/>
    </row>
    <row r="56" spans="1:18">
      <c r="A56" s="665" t="s">
        <v>791</v>
      </c>
      <c r="B56" s="85">
        <f>'Fin Sta as rep'!D518</f>
        <v>624666</v>
      </c>
      <c r="C56" s="85">
        <f>'Fin Sta as rep'!E518</f>
        <v>3160515</v>
      </c>
      <c r="D56" s="85">
        <f>'Fin Sta as rep'!F518</f>
        <v>9376050</v>
      </c>
      <c r="E56" s="85">
        <f>'Fin Sta as rep'!G518</f>
        <v>20024329</v>
      </c>
      <c r="F56" s="1213">
        <f>E56*(F23/E23)</f>
        <v>31223029.361268684</v>
      </c>
      <c r="G56" s="1213">
        <f>F56*(G23/F23)</f>
        <v>43284729.663365848</v>
      </c>
      <c r="H56" s="1213">
        <f>G56*(H23/G23)</f>
        <v>44567456.74722781</v>
      </c>
      <c r="J56" s="758" t="s">
        <v>1594</v>
      </c>
    </row>
    <row r="57" spans="1:18">
      <c r="A57" s="665" t="s">
        <v>729</v>
      </c>
      <c r="B57" s="85">
        <f>'Fin Sta as rep'!D517</f>
        <v>238957</v>
      </c>
      <c r="C57" s="85">
        <f>'Fin Sta as rep'!E517</f>
        <v>0</v>
      </c>
      <c r="D57" s="85">
        <f>'Fin Sta as rep'!F517</f>
        <v>37042</v>
      </c>
      <c r="E57" s="85">
        <f>'Fin Sta as rep'!G517</f>
        <v>390750</v>
      </c>
      <c r="F57" s="1213">
        <f>E57*(F23/E23)</f>
        <v>609278.7789751027</v>
      </c>
      <c r="G57" s="1213">
        <f>F57*(G23/F23)</f>
        <v>844647.93381891632</v>
      </c>
      <c r="H57" s="1213">
        <f>G57*(H23/G23)</f>
        <v>869678.76546471391</v>
      </c>
      <c r="J57" s="758" t="s">
        <v>1594</v>
      </c>
    </row>
    <row r="58" spans="1:18" s="233" customFormat="1">
      <c r="A58" s="888" t="s">
        <v>1091</v>
      </c>
      <c r="B58" s="305">
        <f>SUM('Fin Sta as rep'!D519:D526)</f>
        <v>3816097</v>
      </c>
      <c r="C58" s="305">
        <f>SUM('Fin Sta as rep'!E519:E526)</f>
        <v>1148706</v>
      </c>
      <c r="D58" s="305">
        <f>SUM('Fin Sta as rep'!F519:F526)</f>
        <v>2695160</v>
      </c>
      <c r="E58" s="305">
        <f>SUM('Fin Sta as rep'!G519:G526)</f>
        <v>6957522</v>
      </c>
      <c r="F58" s="1322">
        <f>E58*(F23/E23)</f>
        <v>10848548.966992743</v>
      </c>
      <c r="G58" s="1322">
        <f t="shared" ref="G58:H58" si="32">F58*(G23/F23)</f>
        <v>15039428.232372757</v>
      </c>
      <c r="H58" s="1322">
        <f t="shared" si="32"/>
        <v>15485116.170578599</v>
      </c>
      <c r="J58" s="881" t="s">
        <v>1594</v>
      </c>
    </row>
    <row r="59" spans="1:18">
      <c r="A59" s="889" t="s">
        <v>1099</v>
      </c>
      <c r="B59" s="492">
        <f>SUM(B56:B58)</f>
        <v>4679720</v>
      </c>
      <c r="C59" s="492">
        <f t="shared" ref="C59:E59" si="33">SUM(C56:C58)</f>
        <v>4309221</v>
      </c>
      <c r="D59" s="492">
        <f t="shared" si="33"/>
        <v>12108252</v>
      </c>
      <c r="E59" s="492">
        <f t="shared" si="33"/>
        <v>27372601</v>
      </c>
      <c r="F59" s="492">
        <f>SUM(F56:F58)</f>
        <v>42680857.107236534</v>
      </c>
      <c r="G59" s="492">
        <f>SUM(G56:G58)</f>
        <v>59168805.829557523</v>
      </c>
      <c r="H59" s="492">
        <f>SUM(H56:H58)</f>
        <v>60922251.683271125</v>
      </c>
      <c r="J59" s="758"/>
    </row>
    <row r="60" spans="1:18" ht="14.5">
      <c r="A60" s="869" t="s">
        <v>1581</v>
      </c>
      <c r="J60" s="770"/>
    </row>
    <row r="61" spans="1:18">
      <c r="A61" s="665" t="s">
        <v>740</v>
      </c>
      <c r="B61" s="85">
        <f>'Fin Sta as rep'!D530</f>
        <v>0</v>
      </c>
      <c r="C61" s="85">
        <f>'Fin Sta as rep'!E530</f>
        <v>511638</v>
      </c>
      <c r="D61" s="85">
        <f>'Fin Sta as rep'!F530</f>
        <v>5960899</v>
      </c>
      <c r="E61" s="85">
        <f>'Fin Sta as rep'!G530</f>
        <v>9230807</v>
      </c>
      <c r="F61" s="1213">
        <f>O61</f>
        <v>8307726.2999999998</v>
      </c>
      <c r="G61" s="1213">
        <f>P61</f>
        <v>7476953.6699999999</v>
      </c>
      <c r="H61" s="1213">
        <f>Q61</f>
        <v>6729258.3030000003</v>
      </c>
      <c r="J61" s="771" t="s">
        <v>740</v>
      </c>
      <c r="K61" s="85">
        <f>B61</f>
        <v>0</v>
      </c>
      <c r="L61" s="85">
        <f>C61</f>
        <v>511638</v>
      </c>
      <c r="M61" s="85">
        <f>D61</f>
        <v>5960899</v>
      </c>
      <c r="N61" s="1212">
        <f>'Fin Sta as rep'!G530</f>
        <v>9230807</v>
      </c>
      <c r="O61" s="877">
        <f>N61*0.9</f>
        <v>8307726.2999999998</v>
      </c>
      <c r="P61" s="877">
        <f>O61*0.9</f>
        <v>7476953.6699999999</v>
      </c>
      <c r="Q61" s="877">
        <f>P61*0.9</f>
        <v>6729258.3030000003</v>
      </c>
      <c r="R61" s="877">
        <f>Q61*0.9</f>
        <v>6056332.4727000007</v>
      </c>
    </row>
    <row r="62" spans="1:18">
      <c r="A62" s="665" t="s">
        <v>745</v>
      </c>
      <c r="B62" s="85">
        <f>SUM('Fin Sta as rep'!D531:D535)</f>
        <v>252571</v>
      </c>
      <c r="C62" s="85">
        <f>SUM('Fin Sta as rep'!E531:E535)</f>
        <v>1748820</v>
      </c>
      <c r="D62" s="85">
        <f>SUM('Fin Sta as rep'!F531:F535)</f>
        <v>2715460</v>
      </c>
      <c r="E62" s="85">
        <f>SUM('Fin Sta as rep'!G531:G535)</f>
        <v>4748236</v>
      </c>
      <c r="F62" s="1262">
        <f>E62+F53-E53</f>
        <v>8734382.7042261027</v>
      </c>
      <c r="G62" s="1262">
        <f t="shared" ref="G62:H62" si="34">F62+G53-F53</f>
        <v>12220210.156917453</v>
      </c>
      <c r="H62" s="1262">
        <f t="shared" si="34"/>
        <v>15081467.490276426</v>
      </c>
      <c r="J62" s="758" t="s">
        <v>1639</v>
      </c>
    </row>
    <row r="63" spans="1:18">
      <c r="A63" s="889" t="s">
        <v>1108</v>
      </c>
      <c r="B63" s="492">
        <f t="shared" ref="B63:H63" si="35">B59+SUM(B61:B62)</f>
        <v>4932291</v>
      </c>
      <c r="C63" s="492">
        <f t="shared" si="35"/>
        <v>6569679</v>
      </c>
      <c r="D63" s="492">
        <f t="shared" si="35"/>
        <v>20784611</v>
      </c>
      <c r="E63" s="492">
        <f t="shared" si="35"/>
        <v>41351644</v>
      </c>
      <c r="F63" s="492">
        <f t="shared" si="35"/>
        <v>59722966.111462638</v>
      </c>
      <c r="G63" s="492">
        <f t="shared" si="35"/>
        <v>78865969.656474978</v>
      </c>
      <c r="H63" s="492">
        <f t="shared" si="35"/>
        <v>82732977.476547554</v>
      </c>
      <c r="J63" s="758"/>
    </row>
    <row r="64" spans="1:18" ht="14.5">
      <c r="A64" s="869" t="s">
        <v>1581</v>
      </c>
      <c r="J64" s="758"/>
    </row>
    <row r="65" spans="1:27">
      <c r="A65" s="665" t="s">
        <v>755</v>
      </c>
      <c r="B65" s="85">
        <f>SUM('Fin Sta as rep'!D551,'Fin Sta as rep'!D552,'Fin Sta as rep'!D554)</f>
        <v>165</v>
      </c>
      <c r="C65" s="85">
        <f>SUM('Fin Sta as rep'!E551,'Fin Sta as rep'!E552,'Fin Sta as rep'!E554)</f>
        <v>37291006</v>
      </c>
      <c r="D65" s="85">
        <f>SUM('Fin Sta as rep'!F551,'Fin Sta as rep'!F552,'Fin Sta as rep'!F554)</f>
        <v>49391897</v>
      </c>
      <c r="E65" s="85">
        <f>SUM('Fin Sta as rep'!G551,'Fin Sta as rep'!G552,'Fin Sta as rep'!G554)</f>
        <v>53870745</v>
      </c>
      <c r="F65" s="492">
        <f>E65+F88</f>
        <v>54969850.333333336</v>
      </c>
      <c r="G65" s="492">
        <f>F65+G88</f>
        <v>56387725.777777784</v>
      </c>
      <c r="H65" s="492">
        <f>G65+H88</f>
        <v>57911107.703703709</v>
      </c>
      <c r="J65" s="758" t="s">
        <v>1604</v>
      </c>
    </row>
    <row r="66" spans="1:27">
      <c r="A66" s="665" t="s">
        <v>1125</v>
      </c>
      <c r="B66" s="1225">
        <f>'Fin Sta as rep'!D553</f>
        <v>0</v>
      </c>
      <c r="C66" s="1225">
        <f>'Fin Sta as rep'!E553</f>
        <v>0</v>
      </c>
      <c r="D66" s="1225">
        <f>'Fin Sta as rep'!F553</f>
        <v>-89</v>
      </c>
      <c r="E66" s="1225">
        <f>'Fin Sta as rep'!G553</f>
        <v>-84</v>
      </c>
      <c r="F66" s="492">
        <f>E66+F108/2</f>
        <v>-84</v>
      </c>
      <c r="G66" s="492">
        <f>F66+G108/2</f>
        <v>-84</v>
      </c>
      <c r="H66" s="492">
        <f>G66+H108/2</f>
        <v>-84</v>
      </c>
      <c r="J66" s="758" t="s">
        <v>1605</v>
      </c>
    </row>
    <row r="67" spans="1:27">
      <c r="A67" s="665" t="s">
        <v>758</v>
      </c>
      <c r="B67" s="1225">
        <f>'Fin Sta as rep'!D556</f>
        <v>-5690240</v>
      </c>
      <c r="C67" s="1225">
        <f>'Fin Sta as rep'!E556</f>
        <v>-6482225</v>
      </c>
      <c r="D67" s="1225">
        <f>'Fin Sta as rep'!F556</f>
        <v>-6805635</v>
      </c>
      <c r="E67" s="1225">
        <f>'Fin Sta as rep'!G556</f>
        <v>-8817850</v>
      </c>
      <c r="F67" s="492">
        <f>E67+F76+F91+F106</f>
        <v>-1790111.5805879782</v>
      </c>
      <c r="G67" s="492">
        <f>F67+G76+G91+G106</f>
        <v>10235478.747100389</v>
      </c>
      <c r="H67" s="492">
        <f>G67+H76+H91+H106</f>
        <v>32911410.956308518</v>
      </c>
      <c r="J67" s="1303" t="s">
        <v>1606</v>
      </c>
    </row>
    <row r="68" spans="1:27">
      <c r="A68" s="665" t="s">
        <v>765</v>
      </c>
      <c r="B68" s="85">
        <f>'Fin Sta as rep'!D558</f>
        <v>0</v>
      </c>
      <c r="C68" s="85">
        <f>'Fin Sta as rep'!E558</f>
        <v>0</v>
      </c>
      <c r="D68" s="85">
        <f>'Fin Sta as rep'!F558</f>
        <v>0</v>
      </c>
      <c r="E68" s="85">
        <f>'Fin Sta as rep'!G558</f>
        <v>327606</v>
      </c>
      <c r="F68" s="1261">
        <f>E68</f>
        <v>327606</v>
      </c>
      <c r="G68" s="1261">
        <f t="shared" ref="G68:H68" si="36">F68</f>
        <v>327606</v>
      </c>
      <c r="H68" s="1261">
        <f t="shared" si="36"/>
        <v>327606</v>
      </c>
      <c r="J68" s="758" t="s">
        <v>1607</v>
      </c>
    </row>
    <row r="69" spans="1:27">
      <c r="A69" s="665" t="s">
        <v>760</v>
      </c>
      <c r="B69" s="1225">
        <f>SUM('Fin Sta as rep'!D555)</f>
        <v>15544</v>
      </c>
      <c r="C69" s="1225">
        <f>SUM('Fin Sta as rep'!E555)</f>
        <v>-1005184</v>
      </c>
      <c r="D69" s="1225">
        <f>SUM('Fin Sta as rep'!F555)</f>
        <v>-1521871</v>
      </c>
      <c r="E69" s="1225">
        <f>SUM('Fin Sta as rep'!G555)</f>
        <v>-194110</v>
      </c>
      <c r="F69" s="492">
        <f>E69+F108/2</f>
        <v>-194110</v>
      </c>
      <c r="G69" s="492">
        <f>F69+G108/2</f>
        <v>-194110</v>
      </c>
      <c r="H69" s="492">
        <f>G69+H108/2</f>
        <v>-194110</v>
      </c>
      <c r="J69" s="758" t="s">
        <v>1608</v>
      </c>
    </row>
    <row r="70" spans="1:27" s="233" customFormat="1">
      <c r="A70" s="888" t="s">
        <v>1609</v>
      </c>
      <c r="B70" s="305">
        <f>'Fin Sta as rep'!D549</f>
        <v>10255662</v>
      </c>
      <c r="C70" s="305">
        <f>'Fin Sta as rep'!E549</f>
        <v>0</v>
      </c>
      <c r="D70" s="305">
        <f>'Fin Sta as rep'!F549</f>
        <v>0</v>
      </c>
      <c r="E70" s="305">
        <f>'Fin Sta as rep'!G549</f>
        <v>0</v>
      </c>
      <c r="F70" s="305">
        <f>'Fin Sta as rep'!I549</f>
        <v>0</v>
      </c>
      <c r="G70" s="305">
        <f>'Fin Sta as rep'!J549</f>
        <v>0</v>
      </c>
      <c r="H70" s="305">
        <f>'Fin Sta as rep'!K549</f>
        <v>0</v>
      </c>
      <c r="J70" s="808"/>
    </row>
    <row r="71" spans="1:27">
      <c r="A71" s="889" t="s">
        <v>1610</v>
      </c>
      <c r="B71" s="492">
        <f t="shared" ref="B71:H71" si="37">SUM(B65:B70)</f>
        <v>4581131</v>
      </c>
      <c r="C71" s="492">
        <f t="shared" si="37"/>
        <v>29803597</v>
      </c>
      <c r="D71" s="492">
        <f t="shared" si="37"/>
        <v>41064302</v>
      </c>
      <c r="E71" s="492">
        <f t="shared" si="37"/>
        <v>45186307</v>
      </c>
      <c r="F71" s="492">
        <f t="shared" si="37"/>
        <v>53313150.75274536</v>
      </c>
      <c r="G71" s="492">
        <f t="shared" si="37"/>
        <v>66756616.524878174</v>
      </c>
      <c r="H71" s="492">
        <f t="shared" si="37"/>
        <v>90955930.66001223</v>
      </c>
    </row>
    <row r="72" spans="1:27">
      <c r="A72" s="889" t="s">
        <v>1611</v>
      </c>
      <c r="B72" s="492">
        <f t="shared" ref="B72:H72" si="38">B63+B71</f>
        <v>9513422</v>
      </c>
      <c r="C72" s="492">
        <f t="shared" si="38"/>
        <v>36373276</v>
      </c>
      <c r="D72" s="492">
        <f t="shared" si="38"/>
        <v>61848913</v>
      </c>
      <c r="E72" s="492">
        <f t="shared" si="38"/>
        <v>86537951</v>
      </c>
      <c r="F72" s="492">
        <f t="shared" si="38"/>
        <v>113036116.864208</v>
      </c>
      <c r="G72" s="492">
        <f t="shared" si="38"/>
        <v>145622586.18135315</v>
      </c>
      <c r="H72" s="492">
        <f t="shared" si="38"/>
        <v>173688908.13655978</v>
      </c>
      <c r="I72" s="625">
        <f>E72-E54</f>
        <v>0</v>
      </c>
      <c r="J72" s="625"/>
    </row>
    <row r="73" spans="1:27" ht="14.5">
      <c r="A73" s="869" t="s">
        <v>1581</v>
      </c>
      <c r="B73" s="625">
        <f t="shared" ref="B73:H73" si="39">ROUND(B72-B54,1)</f>
        <v>0</v>
      </c>
      <c r="C73" s="625">
        <f t="shared" si="39"/>
        <v>0</v>
      </c>
      <c r="D73" s="625">
        <f t="shared" si="39"/>
        <v>0</v>
      </c>
      <c r="E73" s="625">
        <f t="shared" si="39"/>
        <v>0</v>
      </c>
      <c r="F73" s="625">
        <f t="shared" si="39"/>
        <v>0</v>
      </c>
      <c r="G73" s="625">
        <f t="shared" si="39"/>
        <v>0</v>
      </c>
      <c r="H73" s="625">
        <f t="shared" si="39"/>
        <v>0</v>
      </c>
    </row>
    <row r="74" spans="1:27" ht="14.5" thickBot="1">
      <c r="A74" s="1291"/>
      <c r="K74">
        <v>2019</v>
      </c>
      <c r="L74">
        <v>2020</v>
      </c>
      <c r="M74">
        <v>2021</v>
      </c>
      <c r="N74">
        <v>2022</v>
      </c>
      <c r="O74" s="246" t="s">
        <v>11</v>
      </c>
      <c r="P74" s="246" t="s">
        <v>12</v>
      </c>
      <c r="Q74" s="246" t="s">
        <v>13</v>
      </c>
    </row>
    <row r="75" spans="1:27" s="679" customFormat="1" ht="20">
      <c r="A75" s="890" t="s">
        <v>1612</v>
      </c>
      <c r="B75" s="853"/>
      <c r="C75" s="1335"/>
      <c r="D75" s="853"/>
      <c r="E75" s="854"/>
      <c r="F75" s="854"/>
      <c r="G75" s="854"/>
      <c r="H75" s="854"/>
      <c r="I75" s="855"/>
      <c r="J75" s="1334" t="s">
        <v>1613</v>
      </c>
      <c r="K75" s="691"/>
      <c r="L75" s="855"/>
      <c r="M75" s="855"/>
      <c r="N75" s="855"/>
      <c r="O75" s="855"/>
      <c r="P75" s="855"/>
      <c r="Q75" s="855"/>
      <c r="R75" s="855"/>
      <c r="S75" s="855"/>
      <c r="T75" s="856"/>
      <c r="AA75" s="673"/>
    </row>
    <row r="76" spans="1:27">
      <c r="A76" s="665" t="s">
        <v>543</v>
      </c>
      <c r="B76" s="858">
        <f t="shared" ref="B76:H76" si="40">B32</f>
        <v>-2438536</v>
      </c>
      <c r="C76" s="858">
        <f t="shared" si="40"/>
        <v>-151657</v>
      </c>
      <c r="D76" s="858">
        <f t="shared" si="40"/>
        <v>-321455</v>
      </c>
      <c r="E76" s="858">
        <f t="shared" si="40"/>
        <v>-2032348</v>
      </c>
      <c r="F76" s="858">
        <f t="shared" si="40"/>
        <v>6787199.4944120217</v>
      </c>
      <c r="G76" s="858">
        <f t="shared" si="40"/>
        <v>11802665.200713988</v>
      </c>
      <c r="H76" s="858">
        <f t="shared" si="40"/>
        <v>22467892.169112653</v>
      </c>
      <c r="J76" s="770"/>
      <c r="K76" s="673"/>
      <c r="AA76" s="103"/>
    </row>
    <row r="77" spans="1:27">
      <c r="A77" s="665" t="s">
        <v>1136</v>
      </c>
      <c r="B77" s="858">
        <f>'Fin Sta as rep'!D570</f>
        <v>20662</v>
      </c>
      <c r="C77" s="858">
        <f>'Fin Sta as rep'!E570</f>
        <v>-14373</v>
      </c>
      <c r="D77" s="858">
        <f>'Fin Sta as rep'!F570</f>
        <v>0</v>
      </c>
      <c r="E77" s="858">
        <f>'Fin Sta as rep'!G570</f>
        <v>0</v>
      </c>
      <c r="F77" s="858"/>
      <c r="G77" s="858"/>
      <c r="H77" s="858"/>
      <c r="J77" s="770"/>
      <c r="K77" s="673"/>
      <c r="AA77" s="103"/>
    </row>
    <row r="78" spans="1:27" s="39" customFormat="1">
      <c r="A78" s="1294" t="s">
        <v>1614</v>
      </c>
      <c r="B78" s="1293">
        <f>B81-B79</f>
        <v>116391</v>
      </c>
      <c r="C78" s="1293">
        <f t="shared" ref="C78:E78" si="41">C81-C79</f>
        <v>312011</v>
      </c>
      <c r="D78" s="1293">
        <f>D81-D79</f>
        <v>579097</v>
      </c>
      <c r="E78" s="1293">
        <f t="shared" si="41"/>
        <v>1194743</v>
      </c>
      <c r="F78" s="1295">
        <f>F81-F79</f>
        <v>1968959.7920297063</v>
      </c>
      <c r="G78" s="1295">
        <f t="shared" ref="G78:H78" si="42">G81-G79</f>
        <v>3035023.7720214031</v>
      </c>
      <c r="H78" s="1295">
        <f t="shared" si="42"/>
        <v>3906903.949868408</v>
      </c>
      <c r="J78" s="1299" t="s">
        <v>1615</v>
      </c>
      <c r="K78" s="1298">
        <f>B81/B10</f>
        <v>0.40929854729979215</v>
      </c>
      <c r="L78" s="1298">
        <f>C81/C10</f>
        <v>3.3944091375671767E-2</v>
      </c>
      <c r="M78" s="1298">
        <f>D81/D10</f>
        <v>2.1858638680457176E-2</v>
      </c>
      <c r="N78" s="1298">
        <f>E81/E10</f>
        <v>2.6803717002316967E-2</v>
      </c>
      <c r="O78" s="1296">
        <v>1.7100000000000001E-2</v>
      </c>
      <c r="P78" s="1297">
        <f>O78</f>
        <v>1.7100000000000001E-2</v>
      </c>
      <c r="Q78" s="1297">
        <f>P78</f>
        <v>1.7100000000000001E-2</v>
      </c>
      <c r="R78" s="1298"/>
      <c r="AA78" s="1300"/>
    </row>
    <row r="79" spans="1:27">
      <c r="A79" s="904" t="s">
        <v>951</v>
      </c>
      <c r="B79" s="858"/>
      <c r="C79" s="858">
        <v>8985</v>
      </c>
      <c r="D79" s="1225">
        <v>11300</v>
      </c>
      <c r="E79" s="1284">
        <v>19112</v>
      </c>
      <c r="F79" s="1243">
        <f>F81*O79</f>
        <v>42149.8724531755</v>
      </c>
      <c r="G79" s="1243">
        <f t="shared" ref="G79:H79" si="43">G81*P79</f>
        <v>57566.566975740512</v>
      </c>
      <c r="H79" s="1243">
        <f t="shared" si="43"/>
        <v>73393.699038987368</v>
      </c>
      <c r="J79" s="673" t="s">
        <v>951</v>
      </c>
      <c r="K79" s="1272">
        <f>B79/B81</f>
        <v>0</v>
      </c>
      <c r="L79" s="1272">
        <f t="shared" ref="L79:N79" si="44">C79/C81</f>
        <v>2.7991003003152687E-2</v>
      </c>
      <c r="M79" s="1272">
        <f t="shared" si="44"/>
        <v>1.9139663650052423E-2</v>
      </c>
      <c r="N79" s="1272">
        <f t="shared" si="44"/>
        <v>1.5744878918816499E-2</v>
      </c>
      <c r="O79" s="1272">
        <f>AVERAGE(L79:N79)</f>
        <v>2.0958515190673866E-2</v>
      </c>
      <c r="P79" s="1272">
        <f t="shared" ref="P79:Q79" si="45">AVERAGE(M79:O79)</f>
        <v>1.8614352586514265E-2</v>
      </c>
      <c r="Q79" s="1272">
        <f t="shared" si="45"/>
        <v>1.8439248898668211E-2</v>
      </c>
      <c r="R79" s="1272"/>
      <c r="AA79" s="103"/>
    </row>
    <row r="80" spans="1:27">
      <c r="A80" s="904" t="s">
        <v>771</v>
      </c>
      <c r="B80" s="858"/>
      <c r="C80" s="858"/>
      <c r="D80" s="858"/>
      <c r="E80" s="858"/>
      <c r="F80" s="858"/>
      <c r="G80" s="861"/>
      <c r="H80" s="861"/>
      <c r="J80" s="673"/>
      <c r="K80" s="673"/>
      <c r="N80" s="1273"/>
      <c r="O80" s="1273"/>
      <c r="P80" s="1273"/>
      <c r="Q80" s="1273"/>
      <c r="R80" s="1273"/>
      <c r="AA80" s="103"/>
    </row>
    <row r="81" spans="1:27">
      <c r="A81" s="665" t="s">
        <v>1139</v>
      </c>
      <c r="B81" s="858">
        <f>'Fin Sta as rep'!D572</f>
        <v>116391</v>
      </c>
      <c r="C81" s="858">
        <f>'Fin Sta as rep'!E572</f>
        <v>320996</v>
      </c>
      <c r="D81" s="858">
        <f>'Fin Sta as rep'!F572</f>
        <v>590397</v>
      </c>
      <c r="E81" s="858">
        <f>'Fin Sta as rep'!G572</f>
        <v>1213855</v>
      </c>
      <c r="F81" s="1243">
        <f>F10*O78</f>
        <v>2011109.6644828818</v>
      </c>
      <c r="G81" s="1243">
        <f>G10*P78</f>
        <v>3092590.3389971438</v>
      </c>
      <c r="H81" s="1243">
        <f>H10*Q78</f>
        <v>3980297.6489073955</v>
      </c>
      <c r="J81" s="673"/>
      <c r="K81" s="673"/>
      <c r="N81" s="1273"/>
      <c r="O81" s="1273"/>
      <c r="P81" s="1273"/>
      <c r="Q81" s="1273"/>
      <c r="R81" s="1273"/>
      <c r="AA81" s="103"/>
    </row>
    <row r="82" spans="1:27">
      <c r="A82" s="665" t="s">
        <v>788</v>
      </c>
      <c r="B82" s="858">
        <f>'Fin Sta as rep'!D590</f>
        <v>-8303</v>
      </c>
      <c r="C82" s="858">
        <f>'Fin Sta as rep'!E590</f>
        <v>-107246</v>
      </c>
      <c r="D82" s="858">
        <f>'Fin Sta as rep'!F590</f>
        <v>-5459</v>
      </c>
      <c r="E82" s="858">
        <f>'Fin Sta as rep'!G590</f>
        <v>72211</v>
      </c>
      <c r="F82" s="863">
        <f t="shared" ref="F82:H84" si="46">-(F42-E42)</f>
        <v>-77263.272396161585</v>
      </c>
      <c r="G82" s="863">
        <f t="shared" si="46"/>
        <v>-67565.610597766135</v>
      </c>
      <c r="H82" s="863">
        <f t="shared" si="46"/>
        <v>-55459.60074887643</v>
      </c>
      <c r="J82" s="758" t="s">
        <v>1617</v>
      </c>
      <c r="K82" s="673"/>
      <c r="AA82" s="103"/>
    </row>
    <row r="83" spans="1:27">
      <c r="A83" s="665" t="s">
        <v>696</v>
      </c>
      <c r="B83" s="858">
        <f>'Fin Sta as rep'!D586</f>
        <v>-510546</v>
      </c>
      <c r="C83" s="858">
        <f>'Fin Sta as rep'!E586</f>
        <v>-516867</v>
      </c>
      <c r="D83" s="858">
        <f>'Fin Sta as rep'!F586</f>
        <v>-611557</v>
      </c>
      <c r="E83" s="858">
        <f>'Fin Sta as rep'!G586</f>
        <v>-5920182</v>
      </c>
      <c r="F83" s="863">
        <f t="shared" si="46"/>
        <v>-10279990.878049057</v>
      </c>
      <c r="G83" s="863">
        <f t="shared" si="46"/>
        <v>-9326289.8874802105</v>
      </c>
      <c r="H83" s="863">
        <f t="shared" si="46"/>
        <v>-7246987.1360340044</v>
      </c>
      <c r="J83" s="758" t="s">
        <v>1617</v>
      </c>
      <c r="K83" s="673"/>
      <c r="AA83" s="103"/>
    </row>
    <row r="84" spans="1:27">
      <c r="A84" s="665" t="s">
        <v>1069</v>
      </c>
      <c r="B84" s="858">
        <f>'Fin Sta as rep'!D585</f>
        <v>-442745</v>
      </c>
      <c r="C84" s="858">
        <f>'Fin Sta as rep'!E585</f>
        <v>459301</v>
      </c>
      <c r="D84" s="858">
        <f>'Fin Sta as rep'!F585</f>
        <v>-99421</v>
      </c>
      <c r="E84" s="858">
        <f>'Fin Sta as rep'!G585</f>
        <v>-1172064</v>
      </c>
      <c r="F84" s="863">
        <f t="shared" si="46"/>
        <v>-945062.1687494996</v>
      </c>
      <c r="G84" s="863">
        <f t="shared" si="46"/>
        <v>-1017891.0300815534</v>
      </c>
      <c r="H84" s="863">
        <f t="shared" si="46"/>
        <v>-108249.77905301983</v>
      </c>
      <c r="J84" s="758" t="s">
        <v>1617</v>
      </c>
      <c r="K84" s="673"/>
      <c r="AA84" s="103"/>
    </row>
    <row r="85" spans="1:27">
      <c r="A85" s="665" t="s">
        <v>791</v>
      </c>
      <c r="B85" s="858">
        <f>'Fin Sta as rep'!D592</f>
        <v>602276</v>
      </c>
      <c r="C85" s="858">
        <f>'Fin Sta as rep'!E592</f>
        <v>2530350</v>
      </c>
      <c r="D85" s="858">
        <f>'Fin Sta as rep'!F592</f>
        <v>6162009</v>
      </c>
      <c r="E85" s="858">
        <f>'Fin Sta as rep'!G592</f>
        <v>10593584</v>
      </c>
      <c r="F85" s="863">
        <f>F56-E56</f>
        <v>11198700.361268684</v>
      </c>
      <c r="G85" s="863">
        <f>G56-F56</f>
        <v>12061700.302097164</v>
      </c>
      <c r="H85" s="863">
        <f>H56-G56</f>
        <v>1282727.083861962</v>
      </c>
      <c r="J85" s="758" t="s">
        <v>1617</v>
      </c>
      <c r="K85" s="673"/>
      <c r="AA85" s="103"/>
    </row>
    <row r="86" spans="1:27">
      <c r="A86" s="665" t="s">
        <v>775</v>
      </c>
      <c r="B86" s="858">
        <f>'Fin Sta as rep'!D575+'Fin Sta as rep'!D577</f>
        <v>175946</v>
      </c>
      <c r="C86" s="858">
        <f>'Fin Sta as rep'!E575+'Fin Sta as rep'!E577</f>
        <v>-30488</v>
      </c>
      <c r="D86" s="858">
        <f>'Fin Sta as rep'!F575+'Fin Sta as rep'!F577</f>
        <v>13880</v>
      </c>
      <c r="E86" s="858">
        <f>'Fin Sta as rep'!G575+'Fin Sta as rep'!G577</f>
        <v>19887</v>
      </c>
      <c r="F86" s="863">
        <f>E86</f>
        <v>19887</v>
      </c>
      <c r="G86" s="863">
        <f>F86</f>
        <v>19887</v>
      </c>
      <c r="H86" s="863">
        <f>G86</f>
        <v>19887</v>
      </c>
      <c r="J86" s="758" t="s">
        <v>1617</v>
      </c>
      <c r="K86" s="673"/>
      <c r="AA86" s="103"/>
    </row>
    <row r="87" spans="1:27">
      <c r="A87" s="361" t="s">
        <v>1351</v>
      </c>
      <c r="B87" s="858">
        <f>'Fin Sta as rep'!D587</f>
        <v>-144693</v>
      </c>
      <c r="C87" s="858">
        <f>'Fin Sta as rep'!E587</f>
        <v>-766779</v>
      </c>
      <c r="D87" s="858">
        <f>'Fin Sta as rep'!F587</f>
        <v>-675322</v>
      </c>
      <c r="E87" s="858">
        <f>'Fin Sta as rep'!G587</f>
        <v>-766681</v>
      </c>
      <c r="F87" s="863">
        <f>O87</f>
        <v>-736260.66666666663</v>
      </c>
      <c r="G87" s="863">
        <f t="shared" ref="G87:H87" si="47">P87</f>
        <v>-726087.88888888888</v>
      </c>
      <c r="H87" s="863">
        <f t="shared" si="47"/>
        <v>-743009.8518518518</v>
      </c>
      <c r="J87" s="758"/>
      <c r="K87" s="1282">
        <f>B87</f>
        <v>-144693</v>
      </c>
      <c r="L87" s="1282">
        <f t="shared" ref="L87:N87" si="48">C87</f>
        <v>-766779</v>
      </c>
      <c r="M87" s="1282">
        <f t="shared" si="48"/>
        <v>-675322</v>
      </c>
      <c r="N87" s="1282">
        <f t="shared" si="48"/>
        <v>-766681</v>
      </c>
      <c r="O87" s="1283">
        <f>AVERAGE(L87:N87)</f>
        <v>-736260.66666666663</v>
      </c>
      <c r="P87" s="1277">
        <f t="shared" ref="P87:Q87" si="49">AVERAGE(M87:O87)</f>
        <v>-726087.88888888888</v>
      </c>
      <c r="Q87" s="1277">
        <f t="shared" si="49"/>
        <v>-743009.8518518518</v>
      </c>
      <c r="R87" s="1227"/>
      <c r="AA87" s="103"/>
    </row>
    <row r="88" spans="1:27">
      <c r="A88" t="s">
        <v>778</v>
      </c>
      <c r="B88" s="858">
        <f>'Fin Sta as rep'!D573</f>
        <v>0</v>
      </c>
      <c r="C88" s="858">
        <f>'Fin Sta as rep'!E573</f>
        <v>142795</v>
      </c>
      <c r="D88" s="858">
        <f>'Fin Sta as rep'!F573</f>
        <v>1101356</v>
      </c>
      <c r="E88" s="858">
        <f>'Fin Sta as rep'!G573</f>
        <v>2053165</v>
      </c>
      <c r="F88" s="1278">
        <f>O88</f>
        <v>1099105.3333333333</v>
      </c>
      <c r="G88" s="1278">
        <f t="shared" ref="G88:H88" si="50">P88</f>
        <v>1417875.4444444443</v>
      </c>
      <c r="H88" s="1278">
        <f t="shared" si="50"/>
        <v>1523381.9259259256</v>
      </c>
      <c r="J88" s="896" t="s">
        <v>1619</v>
      </c>
      <c r="K88" s="1275">
        <f>B88</f>
        <v>0</v>
      </c>
      <c r="L88" s="1275">
        <f t="shared" ref="L88:N88" si="51">C88</f>
        <v>142795</v>
      </c>
      <c r="M88" s="1275">
        <f t="shared" si="51"/>
        <v>1101356</v>
      </c>
      <c r="N88" s="1275">
        <f t="shared" si="51"/>
        <v>2053165</v>
      </c>
      <c r="O88" s="865">
        <f>AVERAGE(L88:N88)</f>
        <v>1099105.3333333333</v>
      </c>
      <c r="P88" s="1277">
        <f t="shared" ref="P88:Q88" si="52">AVERAGE(M88:O88)</f>
        <v>1417875.4444444443</v>
      </c>
      <c r="Q88" s="1277">
        <f t="shared" si="52"/>
        <v>1523381.9259259256</v>
      </c>
      <c r="R88" s="1276" t="s">
        <v>229</v>
      </c>
    </row>
    <row r="89" spans="1:27">
      <c r="A89" s="665" t="s">
        <v>773</v>
      </c>
      <c r="B89" s="858">
        <f>'Fin Sta as rep'!D583</f>
        <v>602</v>
      </c>
      <c r="C89" s="858">
        <f>'Fin Sta as rep'!E583</f>
        <v>379</v>
      </c>
      <c r="D89" s="858">
        <f>'Fin Sta as rep'!F583</f>
        <v>19843</v>
      </c>
      <c r="E89" s="858">
        <f>'Fin Sta as rep'!G583</f>
        <v>55880</v>
      </c>
      <c r="F89" s="863"/>
      <c r="G89" s="863"/>
      <c r="H89" s="863"/>
      <c r="J89" s="758" t="s">
        <v>1600</v>
      </c>
      <c r="K89" s="136"/>
      <c r="L89" s="136"/>
      <c r="M89" s="136"/>
      <c r="N89" s="137"/>
      <c r="O89" s="137"/>
      <c r="P89" s="137"/>
      <c r="Q89" s="137"/>
      <c r="R89" s="137"/>
      <c r="AA89" s="103"/>
    </row>
    <row r="90" spans="1:27">
      <c r="A90" s="665" t="s">
        <v>1091</v>
      </c>
      <c r="B90" s="858">
        <f>SUM('Fin Sta as rep'!D581,'Fin Sta as rep'!D591,'Fin Sta as rep'!D593:D594)</f>
        <v>609429</v>
      </c>
      <c r="C90" s="858">
        <f>SUM('Fin Sta as rep'!E581,'Fin Sta as rep'!E591,'Fin Sta as rep'!E593:E594)</f>
        <v>212756</v>
      </c>
      <c r="D90" s="858">
        <f>SUM('Fin Sta as rep'!F581,'Fin Sta as rep'!F591,'Fin Sta as rep'!F593:F594)</f>
        <v>1207945</v>
      </c>
      <c r="E90" s="858">
        <f>SUM('Fin Sta as rep'!G581,'Fin Sta as rep'!G591,'Fin Sta as rep'!G593:G594)</f>
        <v>1141701</v>
      </c>
      <c r="F90" s="863">
        <f>F58-E58</f>
        <v>3891026.9669927433</v>
      </c>
      <c r="G90" s="863">
        <f>G58-F58</f>
        <v>4190879.2653800137</v>
      </c>
      <c r="H90" s="863">
        <f>H58-G58</f>
        <v>445687.93820584193</v>
      </c>
      <c r="J90" s="758"/>
      <c r="K90" s="136"/>
      <c r="L90" s="136"/>
      <c r="M90" s="136"/>
      <c r="N90" s="137"/>
      <c r="O90" s="137"/>
      <c r="P90" s="137"/>
      <c r="Q90" s="137"/>
      <c r="R90" s="137"/>
      <c r="AA90" s="103"/>
    </row>
    <row r="91" spans="1:27" s="233" customFormat="1">
      <c r="A91" s="888" t="s">
        <v>780</v>
      </c>
      <c r="B91" s="1244">
        <f>'Fin Sta as rep'!D574+'Fin Sta as rep'!D576+SUM('Fin Sta as rep'!D578:D580)+'Fin Sta as rep'!D588+'Fin Sta as rep'!D589+'Fin Sta as rep'!D595+'Fin Sta as rep'!D582</f>
        <v>237202</v>
      </c>
      <c r="C91" s="1244">
        <f>'Fin Sta as rep'!E574+'Fin Sta as rep'!E576+SUM('Fin Sta as rep'!E578:E580)+'Fin Sta as rep'!E588+'Fin Sta as rep'!E589+'Fin Sta as rep'!E595+'Fin Sta as rep'!E582</f>
        <v>1060489</v>
      </c>
      <c r="D91" s="1244">
        <f>'Fin Sta as rep'!F574+'Fin Sta as rep'!F576+SUM('Fin Sta as rep'!F578:F580)+'Fin Sta as rep'!F588+'Fin Sta as rep'!F589+'Fin Sta as rep'!F595+'Fin Sta as rep'!F582</f>
        <v>958169</v>
      </c>
      <c r="E91" s="1244">
        <f>'Fin Sta as rep'!G574+'Fin Sta as rep'!G576+SUM('Fin Sta as rep'!G578:G580)+'Fin Sta as rep'!G588+'Fin Sta as rep'!G589+'Fin Sta as rep'!G595+'Fin Sta as rep'!G582</f>
        <v>2121258</v>
      </c>
      <c r="F91" s="898">
        <f>-F26</f>
        <v>240538.92500000002</v>
      </c>
      <c r="G91" s="898">
        <f>-G26</f>
        <v>222925.12697437755</v>
      </c>
      <c r="H91" s="898">
        <f>-H26</f>
        <v>208040.04009547291</v>
      </c>
      <c r="J91" s="878" t="s">
        <v>807</v>
      </c>
      <c r="K91" s="879">
        <f>B91</f>
        <v>237202</v>
      </c>
      <c r="L91" s="879">
        <f>C91</f>
        <v>1060489</v>
      </c>
      <c r="M91" s="879">
        <f>D91</f>
        <v>958169</v>
      </c>
      <c r="N91" s="866"/>
      <c r="O91" s="866"/>
      <c r="P91" s="866"/>
      <c r="Q91" s="866"/>
      <c r="R91" s="866"/>
      <c r="AA91" s="228"/>
    </row>
    <row r="92" spans="1:27">
      <c r="A92" s="889" t="s">
        <v>1620</v>
      </c>
      <c r="B92" s="863">
        <f>SUM(B76:B77)+B81+SUM(B82:B91)</f>
        <v>-1782315</v>
      </c>
      <c r="C92" s="863">
        <f>SUM(C76:C77)+C81+SUM(C82:C91)</f>
        <v>3139656</v>
      </c>
      <c r="D92" s="863">
        <f>SUM(D76:D77)+D81+SUM(D82:D91)</f>
        <v>8340385</v>
      </c>
      <c r="E92" s="863">
        <f>SUM(E76:E77)+E81+SUM(E82:E91)</f>
        <v>7380266</v>
      </c>
      <c r="F92" s="863">
        <f>SUM(F76:F77)+SUM(F78:F79)+SUM(F82:F91)</f>
        <v>13208990.759628279</v>
      </c>
      <c r="G92" s="863">
        <f>SUM(G76:G77)+G81+SUM(G82:G91)</f>
        <v>21670688.261558712</v>
      </c>
      <c r="H92" s="863">
        <f>SUM(H76:H77)+H81+SUM(H82:H91)</f>
        <v>21774207.438421499</v>
      </c>
      <c r="J92" s="770"/>
      <c r="K92" s="673"/>
      <c r="AA92" s="103"/>
    </row>
    <row r="93" spans="1:27">
      <c r="A93" s="889" t="s">
        <v>1640</v>
      </c>
      <c r="B93" s="1266">
        <f>'Fin Sta as rep'!D597</f>
        <v>-11395</v>
      </c>
      <c r="C93" s="1266">
        <f>'Fin Sta as rep'!E597</f>
        <v>148</v>
      </c>
      <c r="D93" s="1266">
        <f>'Fin Sta as rep'!F597</f>
        <v>0</v>
      </c>
      <c r="E93" s="1266">
        <f>'Fin Sta as rep'!G597</f>
        <v>0</v>
      </c>
      <c r="F93" s="1279"/>
      <c r="G93" s="1279"/>
      <c r="H93" s="1279"/>
      <c r="J93" s="770"/>
      <c r="K93" s="673"/>
      <c r="AA93" s="103"/>
    </row>
    <row r="94" spans="1:27">
      <c r="A94" s="1292" t="s">
        <v>1641</v>
      </c>
      <c r="B94" s="1270">
        <f>B92+B93</f>
        <v>-1793710</v>
      </c>
      <c r="C94" s="1270">
        <f t="shared" ref="C94:E94" si="53">C92+C93</f>
        <v>3139804</v>
      </c>
      <c r="D94" s="1270">
        <f t="shared" si="53"/>
        <v>8340385</v>
      </c>
      <c r="E94" s="1270">
        <f t="shared" si="53"/>
        <v>7380266</v>
      </c>
      <c r="F94" s="1270">
        <f>F92+F93</f>
        <v>13208990.759628279</v>
      </c>
      <c r="G94" s="1270">
        <f t="shared" ref="G94" si="54">G92+G93</f>
        <v>21670688.261558712</v>
      </c>
      <c r="H94" s="1270">
        <f t="shared" ref="H94" si="55">H92+H93</f>
        <v>21774207.438421499</v>
      </c>
      <c r="J94" s="770"/>
      <c r="K94" s="673"/>
      <c r="AA94" s="103"/>
    </row>
    <row r="95" spans="1:27" ht="14.5">
      <c r="A95" s="869" t="s">
        <v>1581</v>
      </c>
      <c r="B95" s="870"/>
      <c r="C95" s="870"/>
      <c r="D95" s="871"/>
      <c r="E95" s="861"/>
      <c r="F95" s="861"/>
      <c r="G95" s="861"/>
      <c r="H95" s="861"/>
      <c r="J95" s="673"/>
      <c r="K95" s="673"/>
      <c r="AA95" s="103"/>
    </row>
    <row r="96" spans="1:27">
      <c r="A96" s="665" t="s">
        <v>797</v>
      </c>
      <c r="B96" s="858">
        <f>'Fin Sta as rep'!D600</f>
        <v>-952901</v>
      </c>
      <c r="C96" s="858">
        <f>'Fin Sta as rep'!E600</f>
        <v>-675187</v>
      </c>
      <c r="D96" s="858">
        <f>'Fin Sta as rep'!F600</f>
        <v>-3444573</v>
      </c>
      <c r="E96" s="858">
        <f>'Fin Sta as rep'!G600</f>
        <v>-5127899</v>
      </c>
      <c r="F96" s="1243">
        <f>-F10*O96</f>
        <v>-3704675.6977316244</v>
      </c>
      <c r="G96" s="1243">
        <f>-G10*P96</f>
        <v>-5696876.9402578967</v>
      </c>
      <c r="H96" s="1243">
        <f>-H10*Q96</f>
        <v>-7332127.2479873067</v>
      </c>
      <c r="J96" s="695" t="s">
        <v>1621</v>
      </c>
      <c r="K96" s="777">
        <f>-B96/B10</f>
        <v>3.3509549279628086</v>
      </c>
      <c r="L96" s="777">
        <f>-C96/C10</f>
        <v>7.139842622233826E-2</v>
      </c>
      <c r="M96" s="777">
        <f>-D96/D10</f>
        <v>0.12753058808811432</v>
      </c>
      <c r="N96" s="777">
        <f>-E96/E10</f>
        <v>0.11323160806889139</v>
      </c>
      <c r="O96" s="936">
        <v>3.15E-2</v>
      </c>
      <c r="P96" s="1274">
        <f>O96</f>
        <v>3.15E-2</v>
      </c>
      <c r="Q96" s="1274">
        <f>P96</f>
        <v>3.15E-2</v>
      </c>
      <c r="R96" s="1280"/>
      <c r="S96" s="1281"/>
      <c r="AA96" s="103"/>
    </row>
    <row r="97" spans="1:27">
      <c r="A97" s="316" t="s">
        <v>1169</v>
      </c>
      <c r="B97" s="858">
        <f>SUM('Fin Sta as rep'!D610:D612)</f>
        <v>-560000</v>
      </c>
      <c r="C97" s="858">
        <f>SUM('Fin Sta as rep'!E610:E612)</f>
        <v>-35448</v>
      </c>
      <c r="D97" s="858">
        <f>SUM('Fin Sta as rep'!F610:F612)</f>
        <v>-630698</v>
      </c>
      <c r="E97" s="858">
        <f>SUM('Fin Sta as rep'!G610:G612)</f>
        <v>2094</v>
      </c>
      <c r="F97" s="858"/>
      <c r="G97" s="874"/>
      <c r="H97" s="874"/>
      <c r="J97" s="695" t="s">
        <v>1642</v>
      </c>
      <c r="K97" s="777">
        <f>-B97/B7</f>
        <v>1.9931166293550489</v>
      </c>
      <c r="L97" s="777">
        <f>-C97/C7</f>
        <v>3.8187153030749773E-3</v>
      </c>
      <c r="M97" s="777">
        <f>-D97/D7</f>
        <v>2.4138345036595905E-2</v>
      </c>
      <c r="N97" s="777"/>
      <c r="O97" s="777"/>
      <c r="P97" s="1273"/>
      <c r="Q97" s="1273"/>
      <c r="R97" s="1273"/>
      <c r="AA97" s="103"/>
    </row>
    <row r="98" spans="1:27">
      <c r="A98" s="665" t="s">
        <v>804</v>
      </c>
      <c r="B98" s="858">
        <f>'Fin Sta as rep'!D602+'Fin Sta as rep'!D605+'Fin Sta as rep'!D606+'Fin Sta as rep'!D607</f>
        <v>-1075747</v>
      </c>
      <c r="C98" s="858">
        <f>'Fin Sta as rep'!E602+'Fin Sta as rep'!E605+'Fin Sta as rep'!E606+'Fin Sta as rep'!E607</f>
        <v>-17645281</v>
      </c>
      <c r="D98" s="858">
        <f>'Fin Sta as rep'!F602+'Fin Sta as rep'!F605+'Fin Sta as rep'!F606+'Fin Sta as rep'!F607</f>
        <v>-504488</v>
      </c>
      <c r="E98" s="858">
        <f>'Fin Sta as rep'!G602+'Fin Sta as rep'!G605+'Fin Sta as rep'!G606+'Fin Sta as rep'!G607</f>
        <v>921860</v>
      </c>
      <c r="F98" s="893">
        <f>O98</f>
        <v>-5742636.333333333</v>
      </c>
      <c r="G98" s="893">
        <f t="shared" ref="G98:H98" si="56">P98</f>
        <v>-5742636.333333333</v>
      </c>
      <c r="H98" s="893">
        <f t="shared" si="56"/>
        <v>-5742636.333333333</v>
      </c>
      <c r="J98" s="896" t="s">
        <v>804</v>
      </c>
      <c r="K98" s="136">
        <f>B98</f>
        <v>-1075747</v>
      </c>
      <c r="L98" s="136">
        <f>C98</f>
        <v>-17645281</v>
      </c>
      <c r="M98" s="136">
        <f>D98</f>
        <v>-504488</v>
      </c>
      <c r="N98" s="136">
        <f>E98</f>
        <v>921860</v>
      </c>
      <c r="O98" s="895">
        <f>AVERAGE(L98:N98)</f>
        <v>-5742636.333333333</v>
      </c>
      <c r="P98" s="895">
        <f>O98</f>
        <v>-5742636.333333333</v>
      </c>
      <c r="Q98" s="895">
        <f>P98</f>
        <v>-5742636.333333333</v>
      </c>
      <c r="R98" s="895" t="s">
        <v>229</v>
      </c>
      <c r="AA98" s="103"/>
    </row>
    <row r="99" spans="1:27" s="233" customFormat="1">
      <c r="A99" s="888" t="s">
        <v>807</v>
      </c>
      <c r="B99" s="1211">
        <f>'Fin Sta as rep'!D601+'Fin Sta as rep'!D603+'Fin Sta as rep'!D604+'Fin Sta as rep'!D608+'Fin Sta as rep'!D609</f>
        <v>24377</v>
      </c>
      <c r="C99" s="1211">
        <f>'Fin Sta as rep'!E601+'Fin Sta as rep'!E603+'Fin Sta as rep'!E604+'Fin Sta as rep'!E608+'Fin Sta as rep'!E609</f>
        <v>-441514</v>
      </c>
      <c r="D99" s="1211">
        <f>'Fin Sta as rep'!F601+'Fin Sta as rep'!F603+'Fin Sta as rep'!F604+'Fin Sta as rep'!F608+'Fin Sta as rep'!F609</f>
        <v>322515</v>
      </c>
      <c r="E99" s="1211">
        <f>'Fin Sta as rep'!G601+'Fin Sta as rep'!G603+'Fin Sta as rep'!G604+'Fin Sta as rep'!G608+'Fin Sta as rep'!G609</f>
        <v>-160716</v>
      </c>
      <c r="F99" s="880"/>
      <c r="G99" s="867"/>
      <c r="H99" s="867"/>
      <c r="I99"/>
      <c r="J99" s="260"/>
      <c r="K99" s="260"/>
      <c r="L99" s="260"/>
      <c r="M99" s="260"/>
      <c r="N99" s="260"/>
      <c r="O99" s="260"/>
      <c r="P99" s="260"/>
      <c r="Q99" s="1227"/>
      <c r="R99" s="1227"/>
      <c r="S99"/>
      <c r="T99"/>
      <c r="AA99" s="228"/>
    </row>
    <row r="100" spans="1:27">
      <c r="A100" s="889" t="s">
        <v>1172</v>
      </c>
      <c r="B100" s="863">
        <f>SUM(B96:B99)</f>
        <v>-2564271</v>
      </c>
      <c r="C100" s="863">
        <f t="shared" ref="C100:H100" si="57">SUM(C96:C99)</f>
        <v>-18797430</v>
      </c>
      <c r="D100" s="863">
        <f t="shared" si="57"/>
        <v>-4257244</v>
      </c>
      <c r="E100" s="863">
        <f t="shared" si="57"/>
        <v>-4364661</v>
      </c>
      <c r="F100" s="863">
        <f t="shared" si="57"/>
        <v>-9447312.0310649574</v>
      </c>
      <c r="G100" s="863">
        <f t="shared" si="57"/>
        <v>-11439513.27359123</v>
      </c>
      <c r="H100" s="863">
        <f t="shared" si="57"/>
        <v>-13074763.58132064</v>
      </c>
      <c r="J100" s="260"/>
      <c r="K100" s="260"/>
      <c r="L100" s="260"/>
      <c r="M100" s="260"/>
      <c r="N100" s="260"/>
      <c r="O100" s="260"/>
      <c r="P100" s="260"/>
      <c r="AA100" s="103"/>
    </row>
    <row r="101" spans="1:27">
      <c r="A101" s="889" t="s">
        <v>1173</v>
      </c>
      <c r="B101" s="1266">
        <f>'Fin Sta as rep'!D614</f>
        <v>-10565</v>
      </c>
      <c r="C101" s="1266">
        <f>'Fin Sta as rep'!E614</f>
        <v>59705</v>
      </c>
      <c r="D101" s="863">
        <f>'Fin Sta as rep'!F614</f>
        <v>0</v>
      </c>
      <c r="E101" s="863">
        <f>'Fin Sta as rep'!G614</f>
        <v>0</v>
      </c>
      <c r="F101" s="1279"/>
      <c r="G101" s="1279"/>
      <c r="H101" s="1279"/>
      <c r="J101" s="260"/>
      <c r="K101" s="260"/>
      <c r="L101" s="260"/>
      <c r="M101" s="260"/>
      <c r="N101" s="260"/>
      <c r="O101" s="260"/>
      <c r="P101" s="260"/>
      <c r="AA101" s="103"/>
    </row>
    <row r="102" spans="1:27">
      <c r="A102" s="1292" t="s">
        <v>1643</v>
      </c>
      <c r="B102" s="1270">
        <f>B100+B101</f>
        <v>-2574836</v>
      </c>
      <c r="C102" s="1270">
        <f t="shared" ref="C102:H102" si="58">C100+C101</f>
        <v>-18737725</v>
      </c>
      <c r="D102" s="1270">
        <f t="shared" si="58"/>
        <v>-4257244</v>
      </c>
      <c r="E102" s="1270">
        <f t="shared" si="58"/>
        <v>-4364661</v>
      </c>
      <c r="F102" s="1270">
        <f t="shared" si="58"/>
        <v>-9447312.0310649574</v>
      </c>
      <c r="G102" s="1270">
        <f t="shared" si="58"/>
        <v>-11439513.27359123</v>
      </c>
      <c r="H102" s="1270">
        <f t="shared" si="58"/>
        <v>-13074763.58132064</v>
      </c>
      <c r="J102" s="260"/>
      <c r="K102" s="260"/>
      <c r="L102" s="260"/>
      <c r="M102" s="260"/>
      <c r="N102" s="260"/>
      <c r="O102" s="260"/>
      <c r="P102" s="260"/>
      <c r="AA102" s="103"/>
    </row>
    <row r="103" spans="1:27" ht="14.5">
      <c r="A103" s="869" t="s">
        <v>1581</v>
      </c>
      <c r="B103" s="870"/>
      <c r="C103" s="871"/>
      <c r="D103" s="871"/>
      <c r="E103" s="861"/>
      <c r="F103" s="861"/>
      <c r="G103" s="861"/>
      <c r="H103" s="861"/>
      <c r="J103" s="260"/>
      <c r="K103" s="260"/>
      <c r="L103" s="260"/>
      <c r="M103" s="260"/>
      <c r="N103" s="260"/>
      <c r="O103" s="260"/>
      <c r="P103" s="260"/>
      <c r="AA103" s="103"/>
    </row>
    <row r="104" spans="1:27">
      <c r="A104" s="665" t="s">
        <v>816</v>
      </c>
      <c r="B104" s="858">
        <f>'Fin Sta as rep'!D618+'Fin Sta as rep'!D619+'Fin Sta as rep'!D627</f>
        <v>401357</v>
      </c>
      <c r="C104" s="858">
        <f>'Fin Sta as rep'!E618+'Fin Sta as rep'!E619+'Fin Sta as rep'!E627</f>
        <v>-144700</v>
      </c>
      <c r="D104" s="858">
        <f>'Fin Sta as rep'!F618+'Fin Sta as rep'!F619+'Fin Sta as rep'!F627</f>
        <v>6133238</v>
      </c>
      <c r="E104" s="858">
        <f>'Fin Sta as rep'!G618+'Fin Sta as rep'!G619+'Fin Sta as rep'!G627</f>
        <v>3080364</v>
      </c>
      <c r="F104" s="886">
        <f>F57-E57+F61-E61</f>
        <v>-704551.92102489807</v>
      </c>
      <c r="G104" s="886">
        <f>G57-F57+G61-F61</f>
        <v>-595403.47515618615</v>
      </c>
      <c r="H104" s="886">
        <f>H57-G57+H61-G61</f>
        <v>-722664.53535420168</v>
      </c>
      <c r="J104" s="260" t="s">
        <v>1644</v>
      </c>
      <c r="K104" s="260"/>
      <c r="L104" s="260"/>
      <c r="M104" s="260"/>
      <c r="N104" s="260"/>
      <c r="O104" s="260"/>
      <c r="P104" s="260"/>
      <c r="AA104" s="103"/>
    </row>
    <row r="105" spans="1:27">
      <c r="A105" s="665" t="s">
        <v>1003</v>
      </c>
      <c r="B105" s="858">
        <f>'Fin Sta as rep'!D617+SUM('Fin Sta as rep'!D620:D626)+SUM('Fin Sta as rep'!D628:D633)</f>
        <v>5254333</v>
      </c>
      <c r="C105" s="858">
        <f>'Fin Sta as rep'!E617+SUM('Fin Sta as rep'!E620:E626)+SUM('Fin Sta as rep'!E628:E633)</f>
        <v>24855397</v>
      </c>
      <c r="D105" s="858">
        <f>'Fin Sta as rep'!F617+SUM('Fin Sta as rep'!F620:F626)+SUM('Fin Sta as rep'!F628:F633)</f>
        <v>10576295</v>
      </c>
      <c r="E105" s="858">
        <f>'Fin Sta as rep'!G617+SUM('Fin Sta as rep'!G620:G626)+SUM('Fin Sta as rep'!G628:G633)</f>
        <v>2559028</v>
      </c>
      <c r="F105" s="874"/>
      <c r="G105" s="874"/>
      <c r="H105" s="874"/>
      <c r="J105" s="260"/>
      <c r="K105" s="260"/>
      <c r="L105" s="260"/>
      <c r="M105" s="260"/>
      <c r="N105" s="260"/>
      <c r="O105" s="260"/>
      <c r="P105" s="260"/>
      <c r="AA105" s="103"/>
    </row>
    <row r="106" spans="1:27" ht="14.5">
      <c r="A106" s="891" t="s">
        <v>825</v>
      </c>
      <c r="B106" s="858"/>
      <c r="C106" s="858"/>
      <c r="D106" s="858"/>
      <c r="E106" s="858"/>
      <c r="F106" s="858"/>
      <c r="G106" s="858"/>
      <c r="H106" s="858"/>
      <c r="J106" s="260" t="s">
        <v>825</v>
      </c>
      <c r="K106" s="886"/>
      <c r="L106" s="886"/>
      <c r="M106" s="886"/>
      <c r="N106" s="886"/>
      <c r="O106" s="886"/>
      <c r="P106" s="886"/>
      <c r="Q106" s="886"/>
      <c r="R106" s="886"/>
      <c r="T106" s="869"/>
      <c r="AA106" s="103"/>
    </row>
    <row r="107" spans="1:27">
      <c r="A107" s="891" t="s">
        <v>834</v>
      </c>
      <c r="B107" s="858"/>
      <c r="C107" s="858"/>
      <c r="D107" s="858"/>
      <c r="E107" s="938"/>
      <c r="F107" s="938"/>
      <c r="G107" s="861"/>
      <c r="H107" s="861"/>
      <c r="J107" s="260" t="s">
        <v>1645</v>
      </c>
      <c r="K107" s="260"/>
      <c r="L107" s="260"/>
      <c r="M107" s="260"/>
      <c r="N107" s="260" t="s">
        <v>1428</v>
      </c>
      <c r="O107" s="260"/>
      <c r="P107" s="260"/>
      <c r="Q107" s="862"/>
      <c r="R107" s="862"/>
      <c r="AA107" s="103"/>
    </row>
    <row r="108" spans="1:27" s="233" customFormat="1">
      <c r="A108" s="888" t="s">
        <v>837</v>
      </c>
      <c r="B108" s="1211"/>
      <c r="C108" s="1211"/>
      <c r="D108" s="1211"/>
      <c r="E108" s="1245"/>
      <c r="F108" s="1245"/>
      <c r="G108" s="1245"/>
      <c r="H108" s="1245"/>
      <c r="I108"/>
      <c r="J108" s="260" t="s">
        <v>807</v>
      </c>
      <c r="K108" s="260"/>
      <c r="L108" s="260"/>
      <c r="M108" s="260"/>
      <c r="N108" s="260"/>
      <c r="O108" s="260"/>
      <c r="P108" s="260"/>
      <c r="Q108" s="868"/>
      <c r="R108" s="868"/>
      <c r="AA108" s="228"/>
    </row>
    <row r="109" spans="1:27">
      <c r="A109" s="889" t="s">
        <v>1623</v>
      </c>
      <c r="B109" s="1271">
        <f t="shared" ref="B109:H109" si="59">SUM(B104:B108)</f>
        <v>5655690</v>
      </c>
      <c r="C109" s="1271">
        <f t="shared" si="59"/>
        <v>24710697</v>
      </c>
      <c r="D109" s="1271">
        <f t="shared" si="59"/>
        <v>16709533</v>
      </c>
      <c r="E109" s="1271">
        <f t="shared" si="59"/>
        <v>5639392</v>
      </c>
      <c r="F109" s="1271">
        <f t="shared" si="59"/>
        <v>-704551.92102489807</v>
      </c>
      <c r="G109" s="1271">
        <f t="shared" si="59"/>
        <v>-595403.47515618615</v>
      </c>
      <c r="H109" s="1271">
        <f t="shared" si="59"/>
        <v>-722664.53535420168</v>
      </c>
      <c r="I109" s="137">
        <v>0</v>
      </c>
      <c r="J109" s="260"/>
      <c r="K109" s="260"/>
      <c r="L109" s="260"/>
      <c r="M109" s="260"/>
      <c r="N109" s="260"/>
      <c r="O109" s="260"/>
      <c r="P109" s="260"/>
      <c r="AA109" s="103"/>
    </row>
    <row r="110" spans="1:27" s="233" customFormat="1">
      <c r="A110" s="888" t="s">
        <v>1624</v>
      </c>
      <c r="B110" s="1211">
        <f>'Fin Sta as rep'!D636</f>
        <v>53722</v>
      </c>
      <c r="C110" s="1211">
        <f>'Fin Sta as rep'!E636</f>
        <v>-376646</v>
      </c>
      <c r="D110" s="1211">
        <f>'Fin Sta as rep'!F636</f>
        <v>-472129</v>
      </c>
      <c r="E110" s="1211">
        <f>'Fin Sta as rep'!G636</f>
        <v>1270097</v>
      </c>
      <c r="F110" s="880">
        <v>0</v>
      </c>
      <c r="G110" s="867">
        <v>0</v>
      </c>
      <c r="H110" s="867">
        <v>0</v>
      </c>
      <c r="I110"/>
      <c r="J110" s="260" t="s">
        <v>1624</v>
      </c>
      <c r="K110" s="260"/>
      <c r="L110" s="260"/>
      <c r="M110" s="260"/>
      <c r="N110" s="260"/>
      <c r="O110" s="260"/>
      <c r="P110" s="260"/>
      <c r="Q110" s="868"/>
      <c r="R110" s="868"/>
      <c r="AA110" s="228"/>
    </row>
    <row r="111" spans="1:27">
      <c r="A111" s="889" t="s">
        <v>1625</v>
      </c>
      <c r="B111" s="1271">
        <f>B110+B109+B102+B94</f>
        <v>1340866</v>
      </c>
      <c r="C111" s="1271">
        <f t="shared" ref="C111:H111" si="60">C110+C109+C102+C94</f>
        <v>8736130</v>
      </c>
      <c r="D111" s="1271">
        <f t="shared" si="60"/>
        <v>20320545</v>
      </c>
      <c r="E111" s="1271">
        <f t="shared" si="60"/>
        <v>9925094</v>
      </c>
      <c r="F111" s="1271">
        <f t="shared" si="60"/>
        <v>3057126.8075384237</v>
      </c>
      <c r="G111" s="1271">
        <f t="shared" si="60"/>
        <v>9635771.5128112957</v>
      </c>
      <c r="H111" s="1271">
        <f t="shared" si="60"/>
        <v>7976779.3217466585</v>
      </c>
      <c r="I111" s="137"/>
      <c r="J111" s="770"/>
      <c r="K111" s="673"/>
      <c r="AA111" s="103"/>
    </row>
    <row r="112" spans="1:27" ht="14.5">
      <c r="A112" s="869" t="s">
        <v>1581</v>
      </c>
      <c r="B112" s="870"/>
      <c r="C112" s="871"/>
      <c r="D112" s="871"/>
      <c r="E112" s="861"/>
      <c r="F112" s="861"/>
      <c r="G112" s="861"/>
      <c r="H112" s="861"/>
    </row>
    <row r="113" spans="1:27">
      <c r="A113" s="665" t="s">
        <v>1626</v>
      </c>
      <c r="B113" s="85">
        <f>'Fin Sta as rep'!D638</f>
        <v>95523</v>
      </c>
      <c r="C113" s="85">
        <f>'Fin Sta as rep'!E638</f>
        <v>1436389</v>
      </c>
      <c r="D113" s="85">
        <f>'Fin Sta as rep'!F638</f>
        <v>10172519</v>
      </c>
      <c r="E113" s="85">
        <f>'Fin Sta as rep'!G638</f>
        <v>30493064</v>
      </c>
      <c r="F113" s="858">
        <f t="shared" ref="F113:H113" si="61">E114</f>
        <v>40418158</v>
      </c>
      <c r="G113" s="858">
        <f t="shared" si="61"/>
        <v>43475284.80753842</v>
      </c>
      <c r="H113" s="858">
        <f t="shared" si="61"/>
        <v>53111056.320349716</v>
      </c>
      <c r="J113" s="260"/>
      <c r="AA113" s="103"/>
    </row>
    <row r="114" spans="1:27">
      <c r="A114" s="665" t="s">
        <v>1627</v>
      </c>
      <c r="B114" s="858">
        <f>B113+B111</f>
        <v>1436389</v>
      </c>
      <c r="C114" s="858">
        <f t="shared" ref="C114:H114" si="62">C113+C111</f>
        <v>10172519</v>
      </c>
      <c r="D114" s="858">
        <f t="shared" si="62"/>
        <v>30493064</v>
      </c>
      <c r="E114" s="858">
        <f t="shared" si="62"/>
        <v>40418158</v>
      </c>
      <c r="F114" s="858">
        <f t="shared" si="62"/>
        <v>43475284.80753842</v>
      </c>
      <c r="G114" s="858">
        <f t="shared" si="62"/>
        <v>53111056.320349716</v>
      </c>
      <c r="H114" s="858">
        <f t="shared" si="62"/>
        <v>61087835.64209637</v>
      </c>
      <c r="J114" s="260"/>
    </row>
    <row r="115" spans="1:27" ht="14.5">
      <c r="A115" s="869" t="s">
        <v>1581</v>
      </c>
      <c r="B115" s="870"/>
      <c r="C115" s="871"/>
      <c r="D115" s="871"/>
      <c r="E115" s="861"/>
      <c r="F115" s="861"/>
      <c r="G115" s="861"/>
      <c r="H115" s="861"/>
      <c r="AA115" s="103"/>
    </row>
    <row r="116" spans="1:27" ht="20">
      <c r="A116" s="890" t="s">
        <v>1646</v>
      </c>
      <c r="B116" s="870"/>
      <c r="C116" s="871"/>
      <c r="D116" s="871"/>
      <c r="E116" s="861"/>
      <c r="F116" s="861"/>
      <c r="G116" s="861"/>
      <c r="H116" s="861"/>
      <c r="AA116" s="103"/>
    </row>
    <row r="117" spans="1:27" ht="15" thickBot="1">
      <c r="A117" s="1326" t="s">
        <v>1647</v>
      </c>
      <c r="B117" s="1327" t="s">
        <v>1648</v>
      </c>
      <c r="C117" s="1327" t="s">
        <v>1649</v>
      </c>
      <c r="D117" s="1327" t="s">
        <v>1650</v>
      </c>
      <c r="E117" s="1327" t="s">
        <v>1651</v>
      </c>
      <c r="F117" s="1328" t="s">
        <v>11</v>
      </c>
      <c r="G117" s="1327" t="s">
        <v>12</v>
      </c>
      <c r="H117" s="1327" t="s">
        <v>13</v>
      </c>
    </row>
    <row r="118" spans="1:27">
      <c r="A118" t="s">
        <v>1578</v>
      </c>
      <c r="B118" s="493">
        <f t="shared" ref="B118:H119" si="63">B7</f>
        <v>280967</v>
      </c>
      <c r="C118" s="493">
        <f t="shared" si="63"/>
        <v>9282703</v>
      </c>
      <c r="D118" s="493">
        <f t="shared" si="63"/>
        <v>26128469</v>
      </c>
      <c r="E118" s="493">
        <f t="shared" si="63"/>
        <v>44106434</v>
      </c>
      <c r="F118" s="493">
        <f t="shared" si="63"/>
        <v>114582758.52870899</v>
      </c>
      <c r="G118" s="493">
        <f t="shared" si="63"/>
        <v>175761951.0128364</v>
      </c>
      <c r="H118" s="493">
        <f t="shared" si="63"/>
        <v>226562815.44869888</v>
      </c>
    </row>
    <row r="119" spans="1:27">
      <c r="A119" t="s">
        <v>1579</v>
      </c>
      <c r="B119" s="493">
        <f t="shared" si="63"/>
        <v>3400</v>
      </c>
      <c r="C119" s="493">
        <f t="shared" si="63"/>
        <v>173906</v>
      </c>
      <c r="D119" s="493">
        <f t="shared" si="63"/>
        <v>881310</v>
      </c>
      <c r="E119" s="493">
        <f t="shared" si="63"/>
        <v>1180382</v>
      </c>
      <c r="F119" s="493">
        <f t="shared" si="63"/>
        <v>3025993.7802314637</v>
      </c>
      <c r="G119" s="493">
        <f t="shared" si="63"/>
        <v>5091285.1858269768</v>
      </c>
      <c r="H119" s="493">
        <f t="shared" si="63"/>
        <v>6203128.9318505563</v>
      </c>
    </row>
    <row r="120" spans="1:27">
      <c r="A120" s="64" t="s">
        <v>1652</v>
      </c>
      <c r="B120" s="1329">
        <f t="shared" ref="B120:H120" si="64">B10</f>
        <v>284367</v>
      </c>
      <c r="C120" s="1329">
        <f t="shared" si="64"/>
        <v>9456609</v>
      </c>
      <c r="D120" s="1329">
        <f t="shared" si="64"/>
        <v>27009779</v>
      </c>
      <c r="E120" s="1329">
        <f t="shared" si="64"/>
        <v>45286816</v>
      </c>
      <c r="F120" s="1329">
        <f t="shared" si="64"/>
        <v>117608752.30894046</v>
      </c>
      <c r="G120" s="1329">
        <f t="shared" si="64"/>
        <v>180853236.19866338</v>
      </c>
      <c r="H120" s="1329">
        <f t="shared" si="64"/>
        <v>232765944.38054943</v>
      </c>
    </row>
    <row r="121" spans="1:27">
      <c r="A121" s="383" t="s">
        <v>1653</v>
      </c>
      <c r="C121" s="296">
        <f>C120/B120-1</f>
        <v>32.2549451940626</v>
      </c>
      <c r="D121" s="296">
        <f t="shared" ref="D121:H121" si="65">D120/C120-1</f>
        <v>1.8561801592938862</v>
      </c>
      <c r="E121" s="296">
        <f t="shared" si="65"/>
        <v>0.67668221202402279</v>
      </c>
      <c r="F121" s="296">
        <f t="shared" si="65"/>
        <v>1.5969755151022422</v>
      </c>
      <c r="G121" s="296">
        <f t="shared" si="65"/>
        <v>0.5377532083971881</v>
      </c>
      <c r="H121" s="296">
        <f t="shared" si="65"/>
        <v>0.28704329141703089</v>
      </c>
    </row>
    <row r="123" spans="1:27">
      <c r="A123" t="s">
        <v>1654</v>
      </c>
      <c r="B123" s="296">
        <f t="shared" ref="B123:H123" si="66">1-B13/B7</f>
        <v>5.025501215445205E-3</v>
      </c>
      <c r="C123" s="296">
        <f t="shared" si="66"/>
        <v>0.16364576136929077</v>
      </c>
      <c r="D123" s="296">
        <f t="shared" si="66"/>
        <v>0.20563359452863461</v>
      </c>
      <c r="E123" s="296">
        <f t="shared" si="66"/>
        <v>0.19085857179022903</v>
      </c>
      <c r="F123" s="296">
        <f t="shared" si="66"/>
        <v>0.21851580542629956</v>
      </c>
      <c r="G123" s="296">
        <f t="shared" si="66"/>
        <v>0.2140475094461215</v>
      </c>
      <c r="H123" s="296">
        <f t="shared" si="66"/>
        <v>0.22210502208925709</v>
      </c>
    </row>
    <row r="124" spans="1:27">
      <c r="A124" t="s">
        <v>1655</v>
      </c>
      <c r="B124" s="296">
        <f t="shared" ref="B124:H124" si="67">1-B15/B10</f>
        <v>-3.3407533222917785E-4</v>
      </c>
      <c r="C124" s="296">
        <f t="shared" si="67"/>
        <v>0.16383663530976056</v>
      </c>
      <c r="D124" s="296">
        <f t="shared" si="67"/>
        <v>0.21330992748959554</v>
      </c>
      <c r="E124" s="296">
        <f t="shared" si="67"/>
        <v>0.19410629354026565</v>
      </c>
      <c r="F124" s="296">
        <f t="shared" si="67"/>
        <v>0.22087288260570792</v>
      </c>
      <c r="G124" s="296">
        <f t="shared" si="67"/>
        <v>0.21675227013585696</v>
      </c>
      <c r="H124" s="296">
        <f t="shared" si="67"/>
        <v>0.22445075862647601</v>
      </c>
    </row>
    <row r="126" spans="1:27">
      <c r="A126" t="s">
        <v>1656</v>
      </c>
      <c r="B126" s="493">
        <f t="shared" ref="B126:H126" si="68">B23</f>
        <v>1858519</v>
      </c>
      <c r="C126" s="493">
        <f t="shared" si="68"/>
        <v>2218676</v>
      </c>
      <c r="D126" s="493">
        <f t="shared" si="68"/>
        <v>6778774</v>
      </c>
      <c r="E126" s="493">
        <f t="shared" si="68"/>
        <v>12445333</v>
      </c>
      <c r="F126" s="493">
        <f t="shared" si="68"/>
        <v>19405444.130975179</v>
      </c>
      <c r="G126" s="493">
        <f t="shared" si="68"/>
        <v>26901918.884551182</v>
      </c>
      <c r="H126" s="493">
        <f t="shared" si="68"/>
        <v>27699147.381285384</v>
      </c>
    </row>
    <row r="127" spans="1:27">
      <c r="A127" t="s">
        <v>1657</v>
      </c>
      <c r="B127" s="296">
        <f>B126/B120</f>
        <v>6.5356352882015143</v>
      </c>
      <c r="C127" s="296">
        <f t="shared" ref="C127:H127" si="69">C126/C120</f>
        <v>0.23461644655076677</v>
      </c>
      <c r="D127" s="296">
        <f t="shared" si="69"/>
        <v>0.25097480434771419</v>
      </c>
      <c r="E127" s="296">
        <f t="shared" si="69"/>
        <v>0.27481139323197284</v>
      </c>
      <c r="F127" s="296">
        <f t="shared" si="69"/>
        <v>0.16500000000000004</v>
      </c>
      <c r="G127" s="296">
        <f t="shared" si="69"/>
        <v>0.14875000000000002</v>
      </c>
      <c r="H127" s="296">
        <f t="shared" si="69"/>
        <v>0.11900000000000001</v>
      </c>
    </row>
    <row r="129" spans="1:8">
      <c r="A129" s="64" t="s">
        <v>540</v>
      </c>
      <c r="B129" s="1329">
        <f t="shared" ref="B129:H129" si="70">B29</f>
        <v>-2417874</v>
      </c>
      <c r="C129" s="1329">
        <f t="shared" si="70"/>
        <v>-188877</v>
      </c>
      <c r="D129" s="1329">
        <f t="shared" si="70"/>
        <v>-152812</v>
      </c>
      <c r="E129" s="1329">
        <f t="shared" si="70"/>
        <v>-2159355</v>
      </c>
      <c r="F129" s="1329">
        <f t="shared" si="70"/>
        <v>7984940.5816612011</v>
      </c>
      <c r="G129" s="1329">
        <f t="shared" si="70"/>
        <v>13885488.471428221</v>
      </c>
      <c r="H129" s="1329">
        <f t="shared" si="70"/>
        <v>26432814.316603124</v>
      </c>
    </row>
    <row r="130" spans="1:8">
      <c r="A130" s="383" t="s">
        <v>1658</v>
      </c>
      <c r="B130" s="296">
        <f>B129/B120</f>
        <v>-8.5026532614543875</v>
      </c>
      <c r="C130" s="296">
        <f t="shared" ref="C130:H130" si="71">C129/C120</f>
        <v>-1.9973015697275841E-2</v>
      </c>
      <c r="D130" s="296">
        <f t="shared" si="71"/>
        <v>-5.657654585030111E-3</v>
      </c>
      <c r="E130" s="296">
        <f t="shared" si="71"/>
        <v>-4.7681757975654548E-2</v>
      </c>
      <c r="F130" s="296">
        <f t="shared" si="71"/>
        <v>6.7894101628473758E-2</v>
      </c>
      <c r="G130" s="296">
        <f t="shared" si="71"/>
        <v>7.6777661065325423E-2</v>
      </c>
      <c r="H130" s="296">
        <f t="shared" si="71"/>
        <v>0.11355962912421617</v>
      </c>
    </row>
    <row r="132" spans="1:8">
      <c r="A132" s="64" t="s">
        <v>1659</v>
      </c>
      <c r="B132" s="493">
        <f t="shared" ref="B132:H132" si="72">B32</f>
        <v>-2438536</v>
      </c>
      <c r="C132" s="493">
        <f t="shared" si="72"/>
        <v>-151657</v>
      </c>
      <c r="D132" s="493">
        <f t="shared" si="72"/>
        <v>-321455</v>
      </c>
      <c r="E132" s="493">
        <f t="shared" si="72"/>
        <v>-2032348</v>
      </c>
      <c r="F132" s="493">
        <f t="shared" si="72"/>
        <v>6787199.4944120217</v>
      </c>
      <c r="G132" s="493">
        <f t="shared" si="72"/>
        <v>11802665.200713988</v>
      </c>
      <c r="H132" s="493">
        <f t="shared" si="72"/>
        <v>22467892.169112653</v>
      </c>
    </row>
    <row r="134" spans="1:8">
      <c r="A134" s="64" t="s">
        <v>582</v>
      </c>
      <c r="B134" s="1333">
        <f t="shared" ref="B134:H134" si="73">B38</f>
        <v>-12.869047058823529</v>
      </c>
      <c r="C134" s="1333">
        <f t="shared" si="73"/>
        <v>-0.91032415627289165</v>
      </c>
      <c r="D134" s="1333">
        <f t="shared" si="73"/>
        <v>-0.17344814834741412</v>
      </c>
      <c r="E134" s="1333">
        <f t="shared" si="73"/>
        <v>-1.0365664890335735</v>
      </c>
      <c r="F134" s="1333">
        <f t="shared" si="73"/>
        <v>3.4963378914743757</v>
      </c>
      <c r="G134" s="1333">
        <f t="shared" si="73"/>
        <v>6.0799900747896372</v>
      </c>
      <c r="H134" s="1333">
        <f t="shared" si="73"/>
        <v>11.574043579698012</v>
      </c>
    </row>
    <row r="136" spans="1:8">
      <c r="A136" t="s">
        <v>1660</v>
      </c>
      <c r="B136" s="493">
        <f>B114</f>
        <v>1436389</v>
      </c>
      <c r="C136" s="493">
        <f t="shared" ref="C136:H136" si="74">C114</f>
        <v>10172519</v>
      </c>
      <c r="D136" s="493">
        <f t="shared" si="74"/>
        <v>30493064</v>
      </c>
      <c r="E136" s="493">
        <f t="shared" si="74"/>
        <v>40418158</v>
      </c>
      <c r="F136" s="493">
        <f t="shared" si="74"/>
        <v>43475284.80753842</v>
      </c>
      <c r="G136" s="493">
        <f t="shared" si="74"/>
        <v>53111056.320349716</v>
      </c>
      <c r="H136" s="493">
        <f t="shared" si="74"/>
        <v>61087835.64209637</v>
      </c>
    </row>
    <row r="137" spans="1:8">
      <c r="A137" t="s">
        <v>1661</v>
      </c>
      <c r="B137" s="493">
        <f t="shared" ref="B137:H137" si="75">B63</f>
        <v>4932291</v>
      </c>
      <c r="C137" s="493">
        <f t="shared" si="75"/>
        <v>6569679</v>
      </c>
      <c r="D137" s="493">
        <f t="shared" si="75"/>
        <v>20784611</v>
      </c>
      <c r="E137" s="493">
        <f t="shared" si="75"/>
        <v>41351644</v>
      </c>
      <c r="F137" s="493">
        <f t="shared" si="75"/>
        <v>59722966.111462638</v>
      </c>
      <c r="G137" s="493">
        <f t="shared" si="75"/>
        <v>78865969.656474978</v>
      </c>
      <c r="H137" s="493">
        <f t="shared" si="75"/>
        <v>82732977.476547554</v>
      </c>
    </row>
    <row r="138" spans="1:8">
      <c r="A138" t="s">
        <v>1662</v>
      </c>
    </row>
    <row r="139" spans="1:8">
      <c r="A139" t="s">
        <v>1663</v>
      </c>
    </row>
    <row r="140" spans="1:8">
      <c r="A140" t="s">
        <v>1664</v>
      </c>
      <c r="B140" s="493">
        <f>B94</f>
        <v>-1793710</v>
      </c>
      <c r="C140" s="493">
        <f t="shared" ref="C140:H140" si="76">C94</f>
        <v>3139804</v>
      </c>
      <c r="D140" s="493">
        <f t="shared" si="76"/>
        <v>8340385</v>
      </c>
      <c r="E140" s="493">
        <f t="shared" si="76"/>
        <v>7380266</v>
      </c>
      <c r="F140" s="493">
        <f t="shared" si="76"/>
        <v>13208990.759628279</v>
      </c>
      <c r="G140" s="493">
        <f t="shared" si="76"/>
        <v>21670688.261558712</v>
      </c>
      <c r="H140" s="493">
        <f t="shared" si="76"/>
        <v>21774207.438421499</v>
      </c>
    </row>
    <row r="141" spans="1:8">
      <c r="A141" t="s">
        <v>1665</v>
      </c>
      <c r="B141" s="493">
        <f>B96</f>
        <v>-952901</v>
      </c>
      <c r="C141" s="493">
        <f t="shared" ref="C141:H141" si="77">C96</f>
        <v>-675187</v>
      </c>
      <c r="D141" s="493">
        <f t="shared" si="77"/>
        <v>-3444573</v>
      </c>
      <c r="E141" s="493">
        <f t="shared" si="77"/>
        <v>-5127899</v>
      </c>
      <c r="F141" s="493">
        <f t="shared" si="77"/>
        <v>-3704675.6977316244</v>
      </c>
      <c r="G141" s="493">
        <f t="shared" si="77"/>
        <v>-5696876.9402578967</v>
      </c>
      <c r="H141" s="493">
        <f t="shared" si="77"/>
        <v>-7332127.2479873067</v>
      </c>
    </row>
    <row r="142" spans="1:8">
      <c r="A142" t="s">
        <v>1666</v>
      </c>
    </row>
    <row r="143" spans="1:8">
      <c r="A143" t="s">
        <v>1667</v>
      </c>
    </row>
    <row r="144" spans="1:8">
      <c r="A144" t="s">
        <v>1668</v>
      </c>
    </row>
  </sheetData>
  <mergeCells count="1">
    <mergeCell ref="B2:E2"/>
  </mergeCells>
  <phoneticPr fontId="4" type="noConversion"/>
  <pageMargins left="0.7" right="0.7" top="0.75" bottom="0.75" header="0.3" footer="0.3"/>
  <pageSetup paperSize="9"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3773B-33A1-416C-8562-19A1C5AF6CA5}">
  <dimension ref="A1:AD114"/>
  <sheetViews>
    <sheetView showGridLines="0" zoomScale="110" workbookViewId="0">
      <pane xSplit="1" ySplit="4" topLeftCell="E53" activePane="bottomRight" state="frozen"/>
      <selection pane="topRight"/>
      <selection pane="bottomLeft"/>
      <selection pane="bottomRight" activeCell="I67" sqref="I67"/>
    </sheetView>
  </sheetViews>
  <sheetFormatPr defaultColWidth="8.83203125" defaultRowHeight="14"/>
  <cols>
    <col min="1" max="1" width="53.25" bestFit="1" customWidth="1"/>
    <col min="2" max="6" width="18.25" bestFit="1" customWidth="1"/>
    <col min="7" max="7" width="16.83203125" customWidth="1"/>
    <col min="8" max="8" width="17.1640625" customWidth="1"/>
    <col min="9" max="9" width="17.75" customWidth="1"/>
    <col min="10" max="10" width="17.4140625" customWidth="1"/>
    <col min="11" max="11" width="16.83203125" customWidth="1"/>
    <col min="12" max="12" width="9" bestFit="1" customWidth="1"/>
    <col min="13" max="13" width="26.25" customWidth="1"/>
    <col min="14" max="14" width="16.75" customWidth="1"/>
    <col min="15" max="15" width="15.4140625" customWidth="1"/>
    <col min="16" max="16" width="16.75" customWidth="1"/>
    <col min="17" max="17" width="16.4140625" customWidth="1"/>
    <col min="18" max="18" width="18.25" customWidth="1"/>
    <col min="19" max="19" width="17.1640625" customWidth="1"/>
    <col min="20" max="20" width="18.4140625" customWidth="1"/>
    <col min="21" max="21" width="21.4140625" customWidth="1"/>
  </cols>
  <sheetData>
    <row r="1" spans="1:23">
      <c r="A1" s="49"/>
      <c r="B1" s="104"/>
      <c r="C1" s="104"/>
      <c r="D1" s="105"/>
      <c r="E1" s="106"/>
      <c r="F1" s="106"/>
      <c r="G1" s="106"/>
      <c r="H1" s="107"/>
      <c r="I1" s="107"/>
      <c r="J1" s="107"/>
      <c r="K1" s="107"/>
      <c r="L1" s="103"/>
      <c r="M1" s="103"/>
      <c r="N1" s="103"/>
      <c r="O1" s="103"/>
      <c r="P1" s="103"/>
      <c r="Q1" s="103"/>
      <c r="R1" s="103"/>
      <c r="S1" s="103"/>
      <c r="T1" s="103"/>
      <c r="U1" s="103"/>
      <c r="V1" s="103"/>
      <c r="W1" s="103"/>
    </row>
    <row r="2" spans="1:23" ht="17.5">
      <c r="A2" s="365" t="s">
        <v>1669</v>
      </c>
      <c r="B2" s="109"/>
      <c r="C2" s="109"/>
      <c r="D2" s="110"/>
      <c r="E2" s="111"/>
      <c r="F2" s="111"/>
      <c r="G2" s="111"/>
      <c r="H2" s="112"/>
      <c r="I2" s="112"/>
      <c r="J2" s="112"/>
      <c r="K2" s="113"/>
      <c r="L2" s="108"/>
      <c r="M2" s="108"/>
      <c r="N2" s="108"/>
      <c r="O2" s="108"/>
      <c r="P2" s="108"/>
      <c r="Q2" s="108"/>
      <c r="R2" s="108"/>
      <c r="S2" s="108"/>
      <c r="T2" s="108"/>
      <c r="U2" s="108"/>
      <c r="V2" s="108"/>
      <c r="W2" s="108"/>
    </row>
    <row r="3" spans="1:23">
      <c r="A3" s="366" t="s">
        <v>1670</v>
      </c>
      <c r="B3" s="114">
        <v>2016</v>
      </c>
      <c r="C3" s="114">
        <v>2017</v>
      </c>
      <c r="D3" s="114">
        <v>2018</v>
      </c>
      <c r="E3" s="114">
        <v>2019</v>
      </c>
      <c r="F3" s="114">
        <v>2020</v>
      </c>
      <c r="G3" s="114">
        <v>2021</v>
      </c>
      <c r="H3" s="114">
        <v>2022</v>
      </c>
      <c r="I3" s="115">
        <v>2023</v>
      </c>
      <c r="J3" s="115">
        <v>2024</v>
      </c>
      <c r="K3" s="115">
        <v>2025</v>
      </c>
      <c r="L3" s="103"/>
      <c r="M3" s="116"/>
      <c r="N3" s="114">
        <f t="shared" ref="N3:R4" si="0">E3</f>
        <v>2019</v>
      </c>
      <c r="O3" s="114">
        <f t="shared" si="0"/>
        <v>2020</v>
      </c>
      <c r="P3" s="114">
        <f t="shared" si="0"/>
        <v>2021</v>
      </c>
      <c r="Q3" s="114">
        <f t="shared" si="0"/>
        <v>2022</v>
      </c>
      <c r="R3" s="117">
        <f t="shared" si="0"/>
        <v>2023</v>
      </c>
      <c r="S3" s="117">
        <v>2024</v>
      </c>
      <c r="T3" s="117">
        <f>K3</f>
        <v>2025</v>
      </c>
      <c r="U3" s="117">
        <v>2026</v>
      </c>
      <c r="V3" s="103"/>
      <c r="W3" s="103"/>
    </row>
    <row r="4" spans="1:23">
      <c r="A4" s="367" t="s">
        <v>1574</v>
      </c>
      <c r="B4" s="114" t="s">
        <v>1575</v>
      </c>
      <c r="C4" s="114" t="s">
        <v>1575</v>
      </c>
      <c r="D4" s="114" t="s">
        <v>1575</v>
      </c>
      <c r="E4" s="114" t="s">
        <v>1575</v>
      </c>
      <c r="F4" s="114" t="s">
        <v>1575</v>
      </c>
      <c r="G4" s="114" t="s">
        <v>1575</v>
      </c>
      <c r="H4" s="114" t="s">
        <v>1575</v>
      </c>
      <c r="I4" s="115" t="s">
        <v>1576</v>
      </c>
      <c r="J4" s="115" t="s">
        <v>1576</v>
      </c>
      <c r="K4" s="115" t="s">
        <v>1576</v>
      </c>
      <c r="L4" s="103"/>
      <c r="M4" s="118"/>
      <c r="N4" s="114" t="str">
        <f t="shared" si="0"/>
        <v>Actual</v>
      </c>
      <c r="O4" s="114" t="str">
        <f t="shared" si="0"/>
        <v>Actual</v>
      </c>
      <c r="P4" s="114" t="str">
        <f t="shared" si="0"/>
        <v>Actual</v>
      </c>
      <c r="Q4" s="114" t="str">
        <f t="shared" si="0"/>
        <v>Actual</v>
      </c>
      <c r="R4" s="117" t="str">
        <f t="shared" si="0"/>
        <v>Forecast</v>
      </c>
      <c r="S4" s="117" t="str">
        <f>J4</f>
        <v>Forecast</v>
      </c>
      <c r="T4" s="117" t="str">
        <f>K4</f>
        <v>Forecast</v>
      </c>
      <c r="U4" s="117" t="s">
        <v>1576</v>
      </c>
      <c r="V4" s="119"/>
      <c r="W4" s="103"/>
    </row>
    <row r="5" spans="1:23" s="491" customFormat="1" ht="20">
      <c r="A5" s="490" t="s">
        <v>1577</v>
      </c>
      <c r="M5" s="490" t="s">
        <v>1613</v>
      </c>
    </row>
    <row r="6" spans="1:23">
      <c r="A6" s="65" t="s">
        <v>508</v>
      </c>
      <c r="B6" s="492">
        <f t="shared" ref="B6:K6" si="1">SUM(B7:B10)</f>
        <v>100207703</v>
      </c>
      <c r="C6" s="492">
        <f t="shared" si="1"/>
        <v>102650614</v>
      </c>
      <c r="D6" s="492">
        <f t="shared" si="1"/>
        <v>121790925</v>
      </c>
      <c r="E6" s="492">
        <f t="shared" si="1"/>
        <v>121778117</v>
      </c>
      <c r="F6" s="492">
        <f t="shared" si="1"/>
        <v>153469184</v>
      </c>
      <c r="G6" s="492">
        <f t="shared" si="1"/>
        <v>211299918</v>
      </c>
      <c r="H6" s="492">
        <f t="shared" si="1"/>
        <v>424061535</v>
      </c>
      <c r="I6" s="492">
        <f t="shared" si="1"/>
        <v>568790312.46836209</v>
      </c>
      <c r="J6" s="492">
        <f t="shared" si="1"/>
        <v>733370005.81677365</v>
      </c>
      <c r="K6" s="492">
        <f t="shared" si="1"/>
        <v>877259995.01857424</v>
      </c>
      <c r="M6" s="119" t="s">
        <v>1631</v>
      </c>
      <c r="N6" s="138">
        <f t="shared" ref="N6:T6" si="2">IFERROR(E6/D6-1,"")</f>
        <v>-1.0516382891423426E-4</v>
      </c>
      <c r="O6" s="138">
        <f t="shared" si="2"/>
        <v>0.26023613914148469</v>
      </c>
      <c r="P6" s="138">
        <f t="shared" si="2"/>
        <v>0.37682310215450165</v>
      </c>
      <c r="Q6" s="138">
        <f t="shared" si="2"/>
        <v>1.0069176505785489</v>
      </c>
      <c r="R6" s="138">
        <f t="shared" si="2"/>
        <v>0.34129192469286829</v>
      </c>
      <c r="S6" s="138">
        <f t="shared" si="2"/>
        <v>0.28935038051929896</v>
      </c>
      <c r="T6" s="138">
        <f t="shared" si="2"/>
        <v>0.19620380989204289</v>
      </c>
      <c r="U6" s="138" t="str">
        <f>IFERROR(#REF!/K6-1,"")</f>
        <v/>
      </c>
    </row>
    <row r="7" spans="1:23">
      <c r="A7" s="96" t="s">
        <v>1671</v>
      </c>
      <c r="B7" s="136">
        <f>'Earning Forecast'!B90</f>
        <v>7103045</v>
      </c>
      <c r="C7" s="136">
        <f>'Earning Forecast'!C90</f>
        <v>8442131</v>
      </c>
      <c r="D7" s="136">
        <f>'Earning Forecast'!D90</f>
        <v>8681073</v>
      </c>
      <c r="E7" s="136">
        <f>'Earning Forecast'!E90</f>
        <v>9718500</v>
      </c>
      <c r="F7" s="136">
        <f>'Earning Forecast'!F90</f>
        <v>11704632</v>
      </c>
      <c r="G7" s="136">
        <f>'Earning Forecast'!G90</f>
        <v>15402042</v>
      </c>
      <c r="H7" s="136">
        <f>'Earning Forecast'!H90</f>
        <v>19031916.070949078</v>
      </c>
      <c r="I7" s="136">
        <f>'Earning Forecast'!I90</f>
        <v>27785669.824451655</v>
      </c>
      <c r="J7" s="136">
        <f>'Earning Forecast'!J90</f>
        <v>18958053.730820876</v>
      </c>
      <c r="K7" s="136">
        <f>'Earning Forecast'!K90</f>
        <v>26940399.855485272</v>
      </c>
      <c r="M7" s="96" t="str">
        <f>A7</f>
        <v>Rechargeable Batteries &amp; Photovoltaic Business</v>
      </c>
      <c r="N7" s="138">
        <f t="shared" ref="N7:S9" si="3">IFERROR(E7/D7-1,"")</f>
        <v>0.11950446678653659</v>
      </c>
      <c r="O7" s="138">
        <f t="shared" si="3"/>
        <v>0.20436610588053705</v>
      </c>
      <c r="P7" s="138">
        <f t="shared" si="3"/>
        <v>0.31589288753375588</v>
      </c>
      <c r="Q7" s="138">
        <f t="shared" si="3"/>
        <v>0.23567485862907511</v>
      </c>
      <c r="R7" s="138">
        <f t="shared" si="3"/>
        <v>0.45995125876288334</v>
      </c>
      <c r="S7" s="138">
        <f t="shared" si="3"/>
        <v>-0.31770391534208731</v>
      </c>
      <c r="T7" s="139">
        <f>AVERAGE(Q7:S7)</f>
        <v>0.12597406734995706</v>
      </c>
      <c r="U7" s="139">
        <f>AVERAGE(R7:T7)</f>
        <v>8.9407136923584374E-2</v>
      </c>
      <c r="W7" t="s">
        <v>229</v>
      </c>
    </row>
    <row r="8" spans="1:23">
      <c r="A8" s="96" t="s">
        <v>566</v>
      </c>
      <c r="B8" s="136">
        <f>'Earning Forecast'!B103</f>
        <v>38082566</v>
      </c>
      <c r="C8" s="136">
        <f>'Earning Forecast'!C103</f>
        <v>39707908</v>
      </c>
      <c r="D8" s="136">
        <f>'Earning Forecast'!D103</f>
        <v>41341000</v>
      </c>
      <c r="E8" s="136">
        <f>'Earning Forecast'!E103</f>
        <v>52522290</v>
      </c>
      <c r="F8" s="136">
        <f>'Earning Forecast'!F103</f>
        <v>59354468</v>
      </c>
      <c r="G8" s="136">
        <f>'Earning Forecast'!G103</f>
        <v>85545672</v>
      </c>
      <c r="H8" s="136">
        <f>'Earning Forecast'!H103</f>
        <v>98815954</v>
      </c>
      <c r="I8" s="136">
        <f>'Earning Forecast'!I103</f>
        <v>108697549.40000001</v>
      </c>
      <c r="J8" s="136">
        <f>'Earning Forecast'!J103</f>
        <v>119567304.34000002</v>
      </c>
      <c r="K8" s="136">
        <f>'Earning Forecast'!K103</f>
        <v>131524034.77400003</v>
      </c>
      <c r="M8" s="96" t="str">
        <f>A8</f>
        <v>Mobile Handset Components &amp; Assembly Service</v>
      </c>
      <c r="N8" s="138">
        <f t="shared" si="3"/>
        <v>0.27046491376599491</v>
      </c>
      <c r="O8" s="138">
        <f t="shared" si="3"/>
        <v>0.13008149492339349</v>
      </c>
      <c r="P8" s="138">
        <f t="shared" si="3"/>
        <v>0.44126760600398263</v>
      </c>
      <c r="Q8" s="138">
        <f t="shared" si="3"/>
        <v>0.15512511258313566</v>
      </c>
      <c r="R8" s="138">
        <f t="shared" si="3"/>
        <v>0.10000000000000009</v>
      </c>
      <c r="S8" s="138">
        <f t="shared" si="3"/>
        <v>0.10000000000000009</v>
      </c>
      <c r="T8" s="139">
        <f>AVERAGE(Q8:S8)</f>
        <v>0.11837503752771195</v>
      </c>
      <c r="U8" s="139">
        <f>AVERAGE(R8:T8)</f>
        <v>0.10612501250923738</v>
      </c>
      <c r="W8" t="s">
        <v>229</v>
      </c>
    </row>
    <row r="9" spans="1:23">
      <c r="A9" s="96" t="s">
        <v>1672</v>
      </c>
      <c r="B9" s="136">
        <f>'Earning Forecast'!B81</f>
        <v>55022092</v>
      </c>
      <c r="C9" s="136">
        <f>'Earning Forecast'!C81</f>
        <v>54500575</v>
      </c>
      <c r="D9" s="136">
        <f>'Earning Forecast'!D81</f>
        <v>71768852</v>
      </c>
      <c r="E9" s="136">
        <f>'Earning Forecast'!E81</f>
        <v>59537327</v>
      </c>
      <c r="F9" s="136">
        <f>'Earning Forecast'!F81</f>
        <v>81957889</v>
      </c>
      <c r="G9" s="136">
        <f>'Earning Forecast'!G81</f>
        <v>109659458</v>
      </c>
      <c r="H9" s="136">
        <f>'Earning Forecast'!H81</f>
        <v>305659258.92905092</v>
      </c>
      <c r="I9" s="136">
        <f>'Earning Forecast'!I81</f>
        <v>431751295.24960929</v>
      </c>
      <c r="J9" s="136">
        <f>'Earning Forecast'!J81</f>
        <v>594287534.98316085</v>
      </c>
      <c r="K9" s="136">
        <f>'Earning Forecast'!K81</f>
        <v>718237299.28548455</v>
      </c>
      <c r="M9" s="96" t="str">
        <f>A9</f>
        <v>Automobiles &amp; Related Products</v>
      </c>
      <c r="N9" s="138">
        <f t="shared" si="3"/>
        <v>-0.1704294364357396</v>
      </c>
      <c r="O9" s="138">
        <f t="shared" si="3"/>
        <v>0.37657992270966423</v>
      </c>
      <c r="P9" s="138">
        <f t="shared" si="3"/>
        <v>0.33799759044550304</v>
      </c>
      <c r="Q9" s="138">
        <f t="shared" si="3"/>
        <v>1.7873497143224153</v>
      </c>
      <c r="R9" s="138">
        <f t="shared" si="3"/>
        <v>0.41252483815589769</v>
      </c>
      <c r="S9" s="138">
        <f t="shared" si="3"/>
        <v>0.37645802461248934</v>
      </c>
      <c r="T9" s="139">
        <f>AVERAGE(R9:S9)</f>
        <v>0.39449143138419351</v>
      </c>
      <c r="U9" s="139">
        <f>AVERAGE(S9:T9)</f>
        <v>0.38547472799834143</v>
      </c>
      <c r="W9" t="s">
        <v>229</v>
      </c>
    </row>
    <row r="10" spans="1:23">
      <c r="A10" s="96" t="s">
        <v>568</v>
      </c>
      <c r="B10" s="136">
        <f>'Earning Forecast'!B112</f>
        <v>0</v>
      </c>
      <c r="C10" s="136">
        <f>'Earning Forecast'!C112</f>
        <v>0</v>
      </c>
      <c r="D10" s="136">
        <f>'Earning Forecast'!D112</f>
        <v>0</v>
      </c>
      <c r="E10" s="136">
        <f>'Earning Forecast'!E112</f>
        <v>0</v>
      </c>
      <c r="F10" s="136">
        <f>'Earning Forecast'!F112</f>
        <v>452195</v>
      </c>
      <c r="G10" s="136">
        <f>'Earning Forecast'!G112</f>
        <v>692746</v>
      </c>
      <c r="H10" s="136">
        <f>'Earning Forecast'!H112</f>
        <v>554406</v>
      </c>
      <c r="I10" s="136">
        <f>'Earning Forecast'!I112</f>
        <v>555797.99430103914</v>
      </c>
      <c r="J10" s="136">
        <f>'Earning Forecast'!J112</f>
        <v>557112.76279181812</v>
      </c>
      <c r="K10" s="136">
        <f>'Earning Forecast'!K112</f>
        <v>558261.1036043145</v>
      </c>
      <c r="M10" s="96" t="str">
        <f>A10</f>
        <v>Corporate &amp; Other</v>
      </c>
      <c r="O10" s="138" t="str">
        <f>IFERROR(F10/E10-1,"")</f>
        <v/>
      </c>
      <c r="P10" s="138">
        <f>IFERROR(G10/F10-1,"")</f>
        <v>0.53196298057254054</v>
      </c>
      <c r="Q10" s="138">
        <f>IFERROR(H10/G10-1,"")</f>
        <v>-0.19969801341328564</v>
      </c>
      <c r="R10" s="138">
        <f>IFERROR(I10/H10-1,"")</f>
        <v>2.5107850583130364E-3</v>
      </c>
      <c r="S10" s="138">
        <f>IFERROR(J10/I10-1,"")</f>
        <v>2.3655509812201547E-3</v>
      </c>
      <c r="T10" s="139">
        <f>S10</f>
        <v>2.3655509812201547E-3</v>
      </c>
      <c r="U10" s="139">
        <f>T10</f>
        <v>2.3655509812201547E-3</v>
      </c>
    </row>
    <row r="11" spans="1:23">
      <c r="A11" s="369" t="s">
        <v>1629</v>
      </c>
      <c r="B11" s="142">
        <v>0</v>
      </c>
      <c r="C11" s="142">
        <v>0</v>
      </c>
      <c r="D11" s="142">
        <v>0</v>
      </c>
      <c r="E11" s="142">
        <v>0</v>
      </c>
      <c r="F11" s="142">
        <v>0</v>
      </c>
      <c r="G11" s="142">
        <v>0</v>
      </c>
      <c r="H11" s="142">
        <v>0</v>
      </c>
      <c r="I11" s="142">
        <v>0</v>
      </c>
      <c r="J11" s="142">
        <v>0</v>
      </c>
      <c r="K11" s="207" t="str">
        <f>S11</f>
        <v>(￥)</v>
      </c>
      <c r="M11" s="96" t="str">
        <f>A11</f>
        <v>Other/Manual Adjustments</v>
      </c>
      <c r="O11" s="143"/>
      <c r="P11" s="146" t="s">
        <v>1630</v>
      </c>
      <c r="Q11" s="146" t="s">
        <v>1630</v>
      </c>
      <c r="R11" s="146" t="s">
        <v>1630</v>
      </c>
      <c r="S11" s="146" t="s">
        <v>1630</v>
      </c>
      <c r="T11" s="147" t="str">
        <f>R11</f>
        <v>(￥)</v>
      </c>
      <c r="U11" s="147" t="str">
        <f>T11</f>
        <v>(￥)</v>
      </c>
    </row>
    <row r="12" spans="1:23" ht="14.5">
      <c r="A12" s="370" t="s">
        <v>1581</v>
      </c>
      <c r="M12" s="119"/>
    </row>
    <row r="13" spans="1:23">
      <c r="A13" s="65" t="s">
        <v>287</v>
      </c>
      <c r="B13" s="492">
        <f t="shared" ref="B13:K13" si="4">SUM(B14:B17)</f>
        <v>81189440.000000015</v>
      </c>
      <c r="C13" s="492">
        <f t="shared" si="4"/>
        <v>84715540</v>
      </c>
      <c r="D13" s="492">
        <f t="shared" si="4"/>
        <v>103724161</v>
      </c>
      <c r="E13" s="492">
        <f t="shared" si="4"/>
        <v>103702123.99999999</v>
      </c>
      <c r="F13" s="492">
        <f t="shared" si="4"/>
        <v>126225592.99999999</v>
      </c>
      <c r="G13" s="492">
        <f t="shared" si="4"/>
        <v>187667357.00000003</v>
      </c>
      <c r="H13" s="492">
        <f t="shared" si="4"/>
        <v>351788162.75349998</v>
      </c>
      <c r="I13" s="492">
        <f t="shared" si="4"/>
        <v>465042159.71132517</v>
      </c>
      <c r="J13" s="492">
        <f t="shared" si="4"/>
        <v>593769645.49723446</v>
      </c>
      <c r="K13" s="492">
        <f t="shared" si="4"/>
        <v>702861126.4154408</v>
      </c>
      <c r="M13" s="119" t="s">
        <v>1632</v>
      </c>
      <c r="N13" s="138">
        <f t="shared" ref="N13:T13" si="5">E13/E$6</f>
        <v>0.85156616438731747</v>
      </c>
      <c r="O13" s="138">
        <f t="shared" si="5"/>
        <v>0.82248168466185356</v>
      </c>
      <c r="P13" s="138">
        <f t="shared" si="5"/>
        <v>0.88815631722109811</v>
      </c>
      <c r="Q13" s="138">
        <f t="shared" si="5"/>
        <v>0.82956866803186946</v>
      </c>
      <c r="R13" s="138">
        <f t="shared" si="5"/>
        <v>0.81759859392329626</v>
      </c>
      <c r="S13" s="138">
        <f t="shared" si="5"/>
        <v>0.80964539153184678</v>
      </c>
      <c r="T13" s="138">
        <f t="shared" si="5"/>
        <v>0.80120047694704133</v>
      </c>
      <c r="U13" s="138" t="e">
        <f>#REF!/#REF!</f>
        <v>#REF!</v>
      </c>
    </row>
    <row r="14" spans="1:23">
      <c r="A14" s="96" t="s">
        <v>1671</v>
      </c>
      <c r="B14" s="493">
        <f>'Earning Forecast'!B97</f>
        <v>6178516.3840000005</v>
      </c>
      <c r="C14" s="493">
        <f>'Earning Forecast'!C97</f>
        <v>7598983.9379999992</v>
      </c>
      <c r="D14" s="493">
        <f>'Earning Forecast'!D97</f>
        <v>7727449.9945</v>
      </c>
      <c r="E14" s="493">
        <f>'Earning Forecast'!E97</f>
        <v>8285799.7076000003</v>
      </c>
      <c r="F14" s="493">
        <f>'Earning Forecast'!F97</f>
        <v>9643635.3051999994</v>
      </c>
      <c r="G14" s="493">
        <f>'Earning Forecast'!G97</f>
        <v>14487919.9604</v>
      </c>
      <c r="H14" s="493">
        <f>'Earning Forecast'!H97</f>
        <v>16603098.111867299</v>
      </c>
      <c r="I14" s="493">
        <f>'Earning Forecast'!I97</f>
        <v>24423115.592399918</v>
      </c>
      <c r="J14" s="493">
        <f>'Earning Forecast'!J97</f>
        <v>17011779.327202532</v>
      </c>
      <c r="K14" s="493">
        <f>'Earning Forecast'!K97</f>
        <v>23785698.217245549</v>
      </c>
      <c r="M14" s="155" t="str">
        <f t="shared" ref="M14:M19" si="6">A14</f>
        <v>Rechargeable Batteries &amp; Photovoltaic Business</v>
      </c>
      <c r="N14" s="138">
        <f t="shared" ref="N14:S17" si="7">E14/E$6</f>
        <v>6.8040136534546686E-2</v>
      </c>
      <c r="O14" s="138">
        <f t="shared" si="7"/>
        <v>6.2837600708165617E-2</v>
      </c>
      <c r="P14" s="138">
        <f t="shared" si="7"/>
        <v>6.8565667689468771E-2</v>
      </c>
      <c r="Q14" s="138">
        <f t="shared" si="7"/>
        <v>3.9152568062715942E-2</v>
      </c>
      <c r="R14" s="138">
        <f t="shared" si="7"/>
        <v>4.2938698246128108E-2</v>
      </c>
      <c r="S14" s="138">
        <f t="shared" si="7"/>
        <v>2.3196720880691135E-2</v>
      </c>
      <c r="T14" s="139">
        <f>AVERAGE(Q14:S14)</f>
        <v>3.5095995729845064E-2</v>
      </c>
      <c r="U14" s="139">
        <f>AVERAGE(R14:T14)</f>
        <v>3.3743804952221436E-2</v>
      </c>
      <c r="W14" t="s">
        <v>229</v>
      </c>
    </row>
    <row r="15" spans="1:23">
      <c r="A15" s="96" t="s">
        <v>566</v>
      </c>
      <c r="B15" s="493">
        <f>'Earning Forecast'!B106</f>
        <v>34684128.767999999</v>
      </c>
      <c r="C15" s="493">
        <f>'Earning Forecast'!C106</f>
        <v>34741842.954000004</v>
      </c>
      <c r="D15" s="493">
        <f>'Earning Forecast'!D106</f>
        <v>35214352.659500003</v>
      </c>
      <c r="E15" s="493">
        <f>'Earning Forecast'!E106</f>
        <v>46925211.109999999</v>
      </c>
      <c r="F15" s="493">
        <f>'Earning Forecast'!F106</f>
        <v>53317690.483199999</v>
      </c>
      <c r="G15" s="493">
        <f>'Earning Forecast'!G106</f>
        <v>79758626.725000009</v>
      </c>
      <c r="H15" s="493">
        <f>'Earning Forecast'!H106</f>
        <v>92879339.520000011</v>
      </c>
      <c r="I15" s="493">
        <f>'Earning Forecast'!I106</f>
        <v>100384603.33667597</v>
      </c>
      <c r="J15" s="493">
        <f>'Earning Forecast'!J106</f>
        <v>111428602.54217529</v>
      </c>
      <c r="K15" s="493">
        <f>'Earning Forecast'!K106</f>
        <v>122553077.91163027</v>
      </c>
      <c r="M15" s="120" t="str">
        <f t="shared" si="6"/>
        <v>Mobile Handset Components &amp; Assembly Service</v>
      </c>
      <c r="N15" s="138">
        <f t="shared" si="7"/>
        <v>0.38533368938526125</v>
      </c>
      <c r="O15" s="138">
        <f t="shared" si="7"/>
        <v>0.34741626360116701</v>
      </c>
      <c r="P15" s="138">
        <f t="shared" si="7"/>
        <v>0.37746643481896669</v>
      </c>
      <c r="Q15" s="138">
        <f t="shared" si="7"/>
        <v>0.21902325925410804</v>
      </c>
      <c r="R15" s="138">
        <f t="shared" si="7"/>
        <v>0.17648789217425301</v>
      </c>
      <c r="S15" s="138">
        <f t="shared" si="7"/>
        <v>0.15194049614569974</v>
      </c>
      <c r="T15" s="139">
        <f>AVERAGE(R15:S15)</f>
        <v>0.16421419415997637</v>
      </c>
      <c r="U15" s="139">
        <f>AVERAGE(S15:T15)</f>
        <v>0.15807734515283806</v>
      </c>
      <c r="W15" t="s">
        <v>285</v>
      </c>
    </row>
    <row r="16" spans="1:23">
      <c r="A16" s="96" t="s">
        <v>1672</v>
      </c>
      <c r="B16" s="493">
        <f>'Earning Forecast'!B84</f>
        <v>40310556.960000001</v>
      </c>
      <c r="C16" s="493">
        <f>'Earning Forecast'!C84</f>
        <v>42332355.338</v>
      </c>
      <c r="D16" s="493">
        <f>'Earning Forecast'!D84</f>
        <v>58168509.488799997</v>
      </c>
      <c r="E16" s="493">
        <f>'Earning Forecast'!E84</f>
        <v>47941491.925200008</v>
      </c>
      <c r="F16" s="493">
        <f>'Earning Forecast'!F84</f>
        <v>62809855.076799996</v>
      </c>
      <c r="G16" s="493">
        <f>'Earning Forecast'!G84</f>
        <v>92763974.565099999</v>
      </c>
      <c r="H16" s="493">
        <f>'Earning Forecast'!H84</f>
        <v>241883546.30563271</v>
      </c>
      <c r="I16" s="493">
        <f>'Earning Forecast'!I84</f>
        <v>339731524.54625851</v>
      </c>
      <c r="J16" s="493">
        <f>'Earning Forecast'!J84</f>
        <v>464843737.18609267</v>
      </c>
      <c r="K16" s="493">
        <f>'Earning Forecast'!K84</f>
        <v>556050088.05808425</v>
      </c>
      <c r="M16" s="120" t="str">
        <f t="shared" si="6"/>
        <v>Automobiles &amp; Related Products</v>
      </c>
      <c r="N16" s="138">
        <f t="shared" si="7"/>
        <v>0.39367903779625701</v>
      </c>
      <c r="O16" s="138">
        <f t="shared" si="7"/>
        <v>0.40926688628773839</v>
      </c>
      <c r="P16" s="138">
        <f t="shared" si="7"/>
        <v>0.43901566760238875</v>
      </c>
      <c r="Q16" s="138">
        <f t="shared" si="7"/>
        <v>0.5703972804457087</v>
      </c>
      <c r="R16" s="138">
        <f t="shared" si="7"/>
        <v>0.59728781784615126</v>
      </c>
      <c r="S16" s="138">
        <f t="shared" si="7"/>
        <v>0.63384612610163116</v>
      </c>
      <c r="T16" s="139">
        <f>S16</f>
        <v>0.63384612610163116</v>
      </c>
      <c r="U16" s="139">
        <f>S16</f>
        <v>0.63384612610163116</v>
      </c>
    </row>
    <row r="17" spans="1:23">
      <c r="A17" s="96" t="s">
        <v>568</v>
      </c>
      <c r="B17" s="493">
        <f>'Earning Forecast'!B115</f>
        <v>16237.888000007226</v>
      </c>
      <c r="C17" s="493">
        <f>'Earning Forecast'!C115</f>
        <v>42357.769999996512</v>
      </c>
      <c r="D17" s="493">
        <f>'Earning Forecast'!D115</f>
        <v>2613848.8572000014</v>
      </c>
      <c r="E17" s="493">
        <f>'Earning Forecast'!E115</f>
        <v>549621.25719999417</v>
      </c>
      <c r="F17" s="493">
        <f>'Earning Forecast'!F115</f>
        <v>454412.13479999552</v>
      </c>
      <c r="G17" s="493">
        <f>'Earning Forecast'!G115</f>
        <v>656835.74949999794</v>
      </c>
      <c r="H17" s="493">
        <f>'Earning Forecast'!H115</f>
        <v>422178.81599999254</v>
      </c>
      <c r="I17" s="493">
        <f>'Earning Forecast'!I115</f>
        <v>502916.23599074961</v>
      </c>
      <c r="J17" s="493">
        <f>'Earning Forecast'!J115</f>
        <v>485526.44176399568</v>
      </c>
      <c r="K17" s="493">
        <f>'Earning Forecast'!K115</f>
        <v>472262.22848073178</v>
      </c>
      <c r="M17" s="120" t="str">
        <f t="shared" si="6"/>
        <v>Corporate &amp; Other</v>
      </c>
      <c r="N17" s="138">
        <f t="shared" si="7"/>
        <v>4.5133006712527353E-3</v>
      </c>
      <c r="O17" s="138">
        <f t="shared" si="7"/>
        <v>2.9609340647826442E-3</v>
      </c>
      <c r="P17" s="138">
        <f t="shared" si="7"/>
        <v>3.1085471102738332E-3</v>
      </c>
      <c r="Q17" s="138">
        <f t="shared" si="7"/>
        <v>9.9556026933683706E-4</v>
      </c>
      <c r="R17" s="138">
        <f t="shared" si="7"/>
        <v>8.8418565676384199E-4</v>
      </c>
      <c r="S17" s="138">
        <f t="shared" si="7"/>
        <v>6.6204840382482236E-4</v>
      </c>
      <c r="T17" s="139">
        <f>AVERAGE(Q17:S17)</f>
        <v>8.4726477664183377E-4</v>
      </c>
      <c r="U17" s="139">
        <f>AVERAGE(R17:T17)</f>
        <v>7.978329457434993E-4</v>
      </c>
      <c r="W17" t="s">
        <v>229</v>
      </c>
    </row>
    <row r="18" spans="1:23">
      <c r="A18" s="369" t="s">
        <v>1673</v>
      </c>
      <c r="B18" s="142">
        <v>0</v>
      </c>
      <c r="C18" s="142">
        <v>0</v>
      </c>
      <c r="D18" s="142">
        <v>0</v>
      </c>
      <c r="E18" s="142">
        <v>0</v>
      </c>
      <c r="F18" s="142">
        <v>0</v>
      </c>
      <c r="G18" s="142">
        <v>0</v>
      </c>
      <c r="H18" s="142">
        <v>0</v>
      </c>
      <c r="I18" s="142">
        <v>0</v>
      </c>
      <c r="J18" s="142">
        <v>0</v>
      </c>
      <c r="K18" s="142">
        <v>0</v>
      </c>
      <c r="M18" s="120" t="str">
        <f t="shared" si="6"/>
        <v>Implementation</v>
      </c>
      <c r="N18" s="142">
        <v>0</v>
      </c>
      <c r="O18" s="142">
        <v>0</v>
      </c>
      <c r="P18" s="142">
        <v>0</v>
      </c>
      <c r="Q18" s="142">
        <v>0</v>
      </c>
      <c r="R18" s="142">
        <v>0</v>
      </c>
      <c r="S18" s="142">
        <v>0</v>
      </c>
      <c r="T18" s="147">
        <f>S18</f>
        <v>0</v>
      </c>
      <c r="U18" s="147">
        <f>T18</f>
        <v>0</v>
      </c>
    </row>
    <row r="19" spans="1:23">
      <c r="A19" s="369" t="s">
        <v>1674</v>
      </c>
      <c r="B19" s="142">
        <v>0</v>
      </c>
      <c r="C19" s="142">
        <v>0</v>
      </c>
      <c r="D19" s="142">
        <v>0</v>
      </c>
      <c r="E19" s="142">
        <v>0</v>
      </c>
      <c r="F19" s="142">
        <v>0</v>
      </c>
      <c r="G19" s="142">
        <v>0</v>
      </c>
      <c r="H19" s="142">
        <v>0</v>
      </c>
      <c r="I19" s="142">
        <v>0</v>
      </c>
      <c r="J19" s="142">
        <v>0</v>
      </c>
      <c r="K19" s="142">
        <v>0</v>
      </c>
      <c r="M19" s="120" t="str">
        <f t="shared" si="6"/>
        <v>Fixed</v>
      </c>
      <c r="N19" s="142">
        <v>0</v>
      </c>
      <c r="O19" s="142">
        <v>0</v>
      </c>
      <c r="P19" s="144" t="s">
        <v>1630</v>
      </c>
      <c r="Q19" s="144" t="s">
        <v>1630</v>
      </c>
      <c r="R19" s="144" t="s">
        <v>1630</v>
      </c>
      <c r="S19" s="144" t="s">
        <v>1630</v>
      </c>
      <c r="T19" s="147" t="str">
        <f>S19</f>
        <v>(￥)</v>
      </c>
      <c r="U19" s="147" t="str">
        <f>T19</f>
        <v>(￥)</v>
      </c>
    </row>
    <row r="20" spans="1:23" ht="14.5">
      <c r="A20" s="371" t="s">
        <v>1581</v>
      </c>
    </row>
    <row r="21" spans="1:23">
      <c r="A21" s="65" t="s">
        <v>511</v>
      </c>
      <c r="B21" s="492">
        <f t="shared" ref="B21:K21" si="8">B6-B13</f>
        <v>19018262.999999985</v>
      </c>
      <c r="C21" s="492">
        <f t="shared" si="8"/>
        <v>17935074</v>
      </c>
      <c r="D21" s="492">
        <f t="shared" si="8"/>
        <v>18066764</v>
      </c>
      <c r="E21" s="492">
        <f t="shared" si="8"/>
        <v>18075993.000000015</v>
      </c>
      <c r="F21" s="492">
        <f t="shared" si="8"/>
        <v>27243591.000000015</v>
      </c>
      <c r="G21" s="492">
        <f t="shared" si="8"/>
        <v>23632560.99999997</v>
      </c>
      <c r="H21" s="492">
        <f t="shared" si="8"/>
        <v>72273372.246500015</v>
      </c>
      <c r="I21" s="492">
        <f t="shared" si="8"/>
        <v>103748152.75703692</v>
      </c>
      <c r="J21" s="492">
        <f t="shared" si="8"/>
        <v>139600360.31953919</v>
      </c>
      <c r="K21" s="492">
        <f t="shared" si="8"/>
        <v>174398868.60313344</v>
      </c>
      <c r="M21" s="119" t="s">
        <v>1633</v>
      </c>
      <c r="N21" s="132">
        <f t="shared" ref="N21:T21" si="9">IFERROR(E21/E6,"")</f>
        <v>0.1484338356126825</v>
      </c>
      <c r="O21" s="132">
        <f t="shared" si="9"/>
        <v>0.17751831533814641</v>
      </c>
      <c r="P21" s="132">
        <f t="shared" si="9"/>
        <v>0.11184368277890183</v>
      </c>
      <c r="Q21" s="132">
        <f t="shared" si="9"/>
        <v>0.17043133196813057</v>
      </c>
      <c r="R21" s="132">
        <f t="shared" si="9"/>
        <v>0.18240140607670374</v>
      </c>
      <c r="S21" s="132">
        <f t="shared" si="9"/>
        <v>0.19035460846815322</v>
      </c>
      <c r="T21" s="132">
        <f t="shared" si="9"/>
        <v>0.19879952305295864</v>
      </c>
      <c r="U21" s="132" t="str">
        <f>IFERROR(#REF!/#REF!,"")</f>
        <v/>
      </c>
    </row>
    <row r="22" spans="1:23" ht="14.5">
      <c r="A22" s="371" t="s">
        <v>1581</v>
      </c>
    </row>
    <row r="23" spans="1:23">
      <c r="A23" s="65" t="s">
        <v>1582</v>
      </c>
      <c r="B23" s="492">
        <f t="shared" ref="B23:K23" si="10">SUM(B24:B26)</f>
        <v>11058372</v>
      </c>
      <c r="C23" s="492">
        <f t="shared" si="10"/>
        <v>11712513</v>
      </c>
      <c r="D23" s="492">
        <f t="shared" si="10"/>
        <v>13545220</v>
      </c>
      <c r="E23" s="492">
        <f t="shared" si="10"/>
        <v>14207585</v>
      </c>
      <c r="F23" s="492">
        <f t="shared" si="10"/>
        <v>16916104</v>
      </c>
      <c r="G23" s="492">
        <f t="shared" si="10"/>
        <v>19814894</v>
      </c>
      <c r="H23" s="492">
        <f t="shared" si="10"/>
        <v>43722499</v>
      </c>
      <c r="I23" s="492">
        <f t="shared" si="10"/>
        <v>61016608.695253298</v>
      </c>
      <c r="J23" s="492">
        <f t="shared" si="10"/>
        <v>81560799.078649759</v>
      </c>
      <c r="K23" s="492">
        <f t="shared" si="10"/>
        <v>102825790.74901947</v>
      </c>
      <c r="M23" s="119" t="s">
        <v>1634</v>
      </c>
    </row>
    <row r="24" spans="1:23">
      <c r="A24" s="369" t="s">
        <v>1583</v>
      </c>
      <c r="B24" s="493">
        <f>'Earning Forecast'!B126</f>
        <v>7886678</v>
      </c>
      <c r="C24" s="493">
        <f>'Earning Forecast'!C126</f>
        <v>7973022</v>
      </c>
      <c r="D24" s="493">
        <f>'Earning Forecast'!D126</f>
        <v>8555860</v>
      </c>
      <c r="E24" s="493">
        <f>'Earning Forecast'!E126</f>
        <v>8578213</v>
      </c>
      <c r="F24" s="493">
        <f>'Earning Forecast'!F126</f>
        <v>9451243</v>
      </c>
      <c r="G24" s="493">
        <f>'Earning Forecast'!G126</f>
        <v>11823920</v>
      </c>
      <c r="H24" s="493">
        <f>'Earning Forecast'!H126</f>
        <v>25068046</v>
      </c>
      <c r="I24" s="493">
        <f>'Earning Forecast'!I126</f>
        <v>33493434.80994438</v>
      </c>
      <c r="J24" s="493">
        <f>'Earning Forecast'!J126</f>
        <v>42525082.884315692</v>
      </c>
      <c r="K24" s="493">
        <f>'Earning Forecast'!K126</f>
        <v>51461651.072139837</v>
      </c>
      <c r="M24" s="155" t="str">
        <f>A24</f>
        <v>Selling General &amp; Admin Exp.</v>
      </c>
      <c r="N24" s="138">
        <f t="shared" ref="N24:S26" si="11">IFERROR(E24/E$6,"")</f>
        <v>7.0441333889240537E-2</v>
      </c>
      <c r="O24" s="138">
        <f t="shared" si="11"/>
        <v>6.1583978970006122E-2</v>
      </c>
      <c r="P24" s="138">
        <f t="shared" si="11"/>
        <v>5.5957996159752416E-2</v>
      </c>
      <c r="Q24" s="138">
        <f t="shared" si="11"/>
        <v>5.9114170777125538E-2</v>
      </c>
      <c r="R24" s="138">
        <f t="shared" si="11"/>
        <v>5.8885381968961349E-2</v>
      </c>
      <c r="S24" s="138">
        <f t="shared" si="11"/>
        <v>5.7985849635279779E-2</v>
      </c>
      <c r="T24" s="139">
        <f>S24</f>
        <v>5.7985849635279779E-2</v>
      </c>
      <c r="U24" s="139">
        <f>T24</f>
        <v>5.7985849635279779E-2</v>
      </c>
    </row>
    <row r="25" spans="1:23">
      <c r="A25" s="369" t="s">
        <v>770</v>
      </c>
      <c r="B25" s="142">
        <v>0</v>
      </c>
      <c r="C25" s="142">
        <v>0</v>
      </c>
      <c r="D25" s="142">
        <v>0</v>
      </c>
      <c r="E25" s="142">
        <v>0</v>
      </c>
      <c r="F25" s="142">
        <v>0</v>
      </c>
      <c r="G25" s="142">
        <v>0</v>
      </c>
      <c r="H25" s="142">
        <v>0</v>
      </c>
      <c r="I25" s="142">
        <v>0</v>
      </c>
      <c r="J25" s="142">
        <v>0</v>
      </c>
      <c r="K25" s="142">
        <v>0</v>
      </c>
      <c r="M25" s="120" t="str">
        <f>A25</f>
        <v>Depreciation &amp; Amort.</v>
      </c>
      <c r="N25" s="138">
        <f t="shared" si="11"/>
        <v>0</v>
      </c>
      <c r="O25" s="138">
        <f t="shared" si="11"/>
        <v>0</v>
      </c>
      <c r="P25" s="138">
        <f t="shared" si="11"/>
        <v>0</v>
      </c>
      <c r="Q25" s="138">
        <f t="shared" si="11"/>
        <v>0</v>
      </c>
      <c r="R25" s="138">
        <f t="shared" si="11"/>
        <v>0</v>
      </c>
      <c r="S25" s="138">
        <f t="shared" si="11"/>
        <v>0</v>
      </c>
      <c r="T25" s="139">
        <f>S25*0.95</f>
        <v>0</v>
      </c>
      <c r="U25" s="139">
        <f>T25*0.95</f>
        <v>0</v>
      </c>
    </row>
    <row r="26" spans="1:23">
      <c r="A26" s="369" t="s">
        <v>1675</v>
      </c>
      <c r="B26" s="493">
        <f>'Earning Forecast'!B128</f>
        <v>3171694</v>
      </c>
      <c r="C26" s="493">
        <f>'Earning Forecast'!C128</f>
        <v>3739491</v>
      </c>
      <c r="D26" s="493">
        <f>'Earning Forecast'!D128</f>
        <v>4989360</v>
      </c>
      <c r="E26" s="493">
        <f>'Earning Forecast'!E128</f>
        <v>5629372</v>
      </c>
      <c r="F26" s="493">
        <f>'Earning Forecast'!F128</f>
        <v>7464861</v>
      </c>
      <c r="G26" s="493">
        <f>'Earning Forecast'!G128</f>
        <v>7990974</v>
      </c>
      <c r="H26" s="493">
        <f>'Earning Forecast'!H128</f>
        <v>18654453</v>
      </c>
      <c r="I26" s="493">
        <f>'Earning Forecast'!I128</f>
        <v>27523173.885308918</v>
      </c>
      <c r="J26" s="493">
        <f>'Earning Forecast'!J128</f>
        <v>39035716.194334075</v>
      </c>
      <c r="K26" s="493">
        <f>'Earning Forecast'!K128</f>
        <v>51364139.676879629</v>
      </c>
      <c r="M26" s="120" t="str">
        <f>A26</f>
        <v>R&amp;D</v>
      </c>
      <c r="N26" s="138">
        <f t="shared" si="11"/>
        <v>4.6226466122809243E-2</v>
      </c>
      <c r="O26" s="138">
        <f t="shared" si="11"/>
        <v>4.8640781200739294E-2</v>
      </c>
      <c r="P26" s="138">
        <f t="shared" si="11"/>
        <v>3.7818159494032555E-2</v>
      </c>
      <c r="Q26" s="138">
        <f t="shared" si="11"/>
        <v>4.3989967163609874E-2</v>
      </c>
      <c r="R26" s="138">
        <f t="shared" si="11"/>
        <v>4.8388963879970867E-2</v>
      </c>
      <c r="S26" s="138">
        <f t="shared" si="11"/>
        <v>5.3227860267967955E-2</v>
      </c>
      <c r="T26" s="139">
        <f>S26</f>
        <v>5.3227860267967955E-2</v>
      </c>
      <c r="U26" s="139">
        <f>T26</f>
        <v>5.3227860267967955E-2</v>
      </c>
    </row>
    <row r="27" spans="1:23">
      <c r="A27" s="369" t="s">
        <v>1584</v>
      </c>
      <c r="M27" s="120" t="str">
        <f>A27</f>
        <v>Manual Adjustments</v>
      </c>
      <c r="N27" s="138"/>
      <c r="P27" s="144" t="s">
        <v>1630</v>
      </c>
      <c r="Q27" s="144" t="s">
        <v>1630</v>
      </c>
      <c r="R27" s="144" t="s">
        <v>1630</v>
      </c>
      <c r="S27" s="144" t="s">
        <v>1630</v>
      </c>
      <c r="T27" s="147" t="str">
        <f>S27</f>
        <v>(￥)</v>
      </c>
      <c r="U27" s="147" t="str">
        <f>T27</f>
        <v>(￥)</v>
      </c>
    </row>
    <row r="28" spans="1:23" ht="14.5">
      <c r="A28" s="371" t="s">
        <v>1581</v>
      </c>
    </row>
    <row r="29" spans="1:23">
      <c r="A29" s="65" t="s">
        <v>532</v>
      </c>
      <c r="B29" s="492">
        <f>B21-B23</f>
        <v>7959890.9999999851</v>
      </c>
      <c r="C29" s="492">
        <f t="shared" ref="C29:K29" si="12">C21-C23</f>
        <v>6222561</v>
      </c>
      <c r="D29" s="492">
        <f t="shared" si="12"/>
        <v>4521544</v>
      </c>
      <c r="E29" s="492">
        <f t="shared" si="12"/>
        <v>3868408.0000000149</v>
      </c>
      <c r="F29" s="492">
        <f t="shared" si="12"/>
        <v>10327487.000000015</v>
      </c>
      <c r="G29" s="492">
        <f t="shared" si="12"/>
        <v>3817666.9999999702</v>
      </c>
      <c r="H29" s="492">
        <f t="shared" si="12"/>
        <v>28550873.246500015</v>
      </c>
      <c r="I29" s="492">
        <f t="shared" si="12"/>
        <v>42731544.061783627</v>
      </c>
      <c r="J29" s="492">
        <f t="shared" si="12"/>
        <v>58039561.24088943</v>
      </c>
      <c r="K29" s="492">
        <f t="shared" si="12"/>
        <v>71573077.854113966</v>
      </c>
      <c r="M29" s="119" t="s">
        <v>1635</v>
      </c>
      <c r="N29" s="154">
        <f t="shared" ref="N29:T29" si="13">IFERROR(E29/E6,"")</f>
        <v>3.1766035600632708E-2</v>
      </c>
      <c r="O29" s="154">
        <f t="shared" si="13"/>
        <v>6.7293555167401001E-2</v>
      </c>
      <c r="P29" s="154">
        <f t="shared" si="13"/>
        <v>1.8067527125116868E-2</v>
      </c>
      <c r="Q29" s="154">
        <f t="shared" si="13"/>
        <v>6.7327194027395135E-2</v>
      </c>
      <c r="R29" s="154">
        <f t="shared" si="13"/>
        <v>7.5127060227771533E-2</v>
      </c>
      <c r="S29" s="154">
        <f t="shared" si="13"/>
        <v>7.9140898564905485E-2</v>
      </c>
      <c r="T29" s="154">
        <f t="shared" si="13"/>
        <v>8.1587075964404995E-2</v>
      </c>
      <c r="U29" s="154" t="str">
        <f>IFERROR(#REF!/#REF!,"")</f>
        <v/>
      </c>
    </row>
    <row r="30" spans="1:23" ht="15">
      <c r="A30" s="65" t="s">
        <v>1676</v>
      </c>
      <c r="B30" s="85">
        <f>'Earning Forecast'!B136</f>
        <v>1799609</v>
      </c>
      <c r="C30" s="85">
        <f>'Earning Forecast'!C136</f>
        <v>2342770</v>
      </c>
      <c r="D30" s="85">
        <f>'Earning Forecast'!D136</f>
        <v>3480516</v>
      </c>
      <c r="E30" s="85">
        <f>'Earning Forecast'!E136</f>
        <v>3487407</v>
      </c>
      <c r="F30" s="85">
        <f>'Earning Forecast'!F136</f>
        <v>3123801</v>
      </c>
      <c r="G30" s="85">
        <f>'Earning Forecast'!G136</f>
        <v>1907642</v>
      </c>
      <c r="H30" s="136">
        <f>'Earning Forecast'!H136</f>
        <v>-1617957</v>
      </c>
      <c r="I30" s="876">
        <f>-H46*1.65%+(H62+H66)*4.6%</f>
        <v>-305890.17249999999</v>
      </c>
      <c r="J30" s="876">
        <f>-I46*1.65%+(I62+I66)*4.6%</f>
        <v>-766049.32869877969</v>
      </c>
      <c r="K30" s="876">
        <f>-J46*1.65%+(J62+J66)*4.6%</f>
        <v>-997788.5089848463</v>
      </c>
      <c r="M30" s="120" t="str">
        <f>A30</f>
        <v>Financial Cost</v>
      </c>
      <c r="N30" s="138">
        <f t="shared" ref="N30:S30" si="14">IFERROR(E30/E$6,"")</f>
        <v>2.8637386469032036E-2</v>
      </c>
      <c r="O30" s="138">
        <f t="shared" si="14"/>
        <v>2.035458141225277E-2</v>
      </c>
      <c r="P30" s="138">
        <f t="shared" si="14"/>
        <v>9.0281246583351731E-3</v>
      </c>
      <c r="Q30" s="138">
        <f t="shared" si="14"/>
        <v>-3.8153825953584778E-3</v>
      </c>
      <c r="R30" s="138">
        <f t="shared" si="14"/>
        <v>-5.377907566191443E-4</v>
      </c>
      <c r="S30" s="138">
        <f t="shared" si="14"/>
        <v>-1.044560484643233E-3</v>
      </c>
      <c r="T30" s="494">
        <f>S30</f>
        <v>-1.044560484643233E-3</v>
      </c>
      <c r="U30" s="494">
        <f>T30</f>
        <v>-1.044560484643233E-3</v>
      </c>
      <c r="W30" s="495" t="s">
        <v>1677</v>
      </c>
    </row>
    <row r="31" spans="1:23" ht="14.5">
      <c r="A31" s="371" t="s">
        <v>1581</v>
      </c>
      <c r="G31" s="876"/>
    </row>
    <row r="32" spans="1:23">
      <c r="A32" s="49" t="s">
        <v>1678</v>
      </c>
      <c r="B32" s="85">
        <f>'Earning Forecast'!B131-'Earning Forecast'!B135</f>
        <v>297013</v>
      </c>
      <c r="C32" s="85">
        <f>'Earning Forecast'!C131-'Earning Forecast'!C135</f>
        <v>689565</v>
      </c>
      <c r="D32" s="85">
        <f>'Earning Forecast'!D131-'Earning Forecast'!D135</f>
        <v>1541682</v>
      </c>
      <c r="E32" s="85">
        <f>'Earning Forecast'!E131-'Earning Forecast'!E135</f>
        <v>1761414</v>
      </c>
      <c r="F32" s="136">
        <f>'Earning Forecast'!F131-'Earning Forecast'!F135</f>
        <v>-356613</v>
      </c>
      <c r="G32" s="85">
        <f>'Earning Forecast'!G131-'Earning Forecast'!G135</f>
        <v>1023106</v>
      </c>
      <c r="H32" s="136">
        <f>'Earning Forecast'!H131-'Earning Forecast'!H135</f>
        <v>-9066436.2464999408</v>
      </c>
      <c r="I32" s="136">
        <f>'Earning Forecast'!I131-'Earning Forecast'!I135</f>
        <v>-2799981.0821666466</v>
      </c>
      <c r="J32" s="136">
        <f>'Earning Forecast'!J131-'Earning Forecast'!J135</f>
        <v>-3614437.1095555285</v>
      </c>
      <c r="K32" s="136">
        <f>'Earning Forecast'!K131-'Earning Forecast'!K135</f>
        <v>-5160284.812740705</v>
      </c>
      <c r="M32" s="120" t="str">
        <f>A32</f>
        <v>Other income/(expense), net</v>
      </c>
      <c r="N32" s="138">
        <f t="shared" ref="N32:S36" si="15">IFERROR(E32/E$6,"")</f>
        <v>1.4464125767357694E-2</v>
      </c>
      <c r="O32" s="138">
        <f t="shared" si="15"/>
        <v>-2.3236782180323574E-3</v>
      </c>
      <c r="P32" s="138">
        <f t="shared" si="15"/>
        <v>4.8419611786124786E-3</v>
      </c>
      <c r="Q32" s="138">
        <f t="shared" si="15"/>
        <v>-2.138000148138864E-2</v>
      </c>
      <c r="R32" s="138">
        <f t="shared" si="15"/>
        <v>-4.9226947449503029E-3</v>
      </c>
      <c r="S32" s="138">
        <f t="shared" si="15"/>
        <v>-4.9285314110031455E-3</v>
      </c>
      <c r="T32" s="494">
        <f t="shared" ref="T32:U36" si="16">S32</f>
        <v>-4.9285314110031455E-3</v>
      </c>
      <c r="U32" s="494">
        <f t="shared" si="16"/>
        <v>-4.9285314110031455E-3</v>
      </c>
    </row>
    <row r="33" spans="1:23">
      <c r="A33" s="49" t="s">
        <v>571</v>
      </c>
      <c r="B33" s="85">
        <f>'Earning Forecast'!B132</f>
        <v>710939</v>
      </c>
      <c r="C33" s="85">
        <f>'Earning Forecast'!C132</f>
        <v>1275807</v>
      </c>
      <c r="D33" s="85">
        <f>'Earning Forecast'!D132</f>
        <v>2332863</v>
      </c>
      <c r="E33" s="85">
        <f>'Earning Forecast'!E132</f>
        <v>1707657</v>
      </c>
      <c r="F33" s="85">
        <f>'Earning Forecast'!F132</f>
        <v>1688142</v>
      </c>
      <c r="G33" s="85">
        <f>'Earning Forecast'!G132</f>
        <v>2263485</v>
      </c>
      <c r="H33" s="85">
        <f>'Earning Forecast'!H132</f>
        <v>1675542</v>
      </c>
      <c r="I33" s="85">
        <f>'Earning Forecast'!I132</f>
        <v>1875723</v>
      </c>
      <c r="J33" s="85">
        <f>'Earning Forecast'!J132</f>
        <v>1938250</v>
      </c>
      <c r="K33" s="85">
        <f>'Earning Forecast'!K132</f>
        <v>1829838.3333333333</v>
      </c>
      <c r="M33" s="120" t="str">
        <f>A33</f>
        <v>Government grants and subsidies</v>
      </c>
      <c r="N33" s="138">
        <f t="shared" si="15"/>
        <v>1.4022691778031024E-2</v>
      </c>
      <c r="O33" s="138">
        <f t="shared" si="15"/>
        <v>1.0999876040260955E-2</v>
      </c>
      <c r="P33" s="138">
        <f t="shared" si="15"/>
        <v>1.0712190621862901E-2</v>
      </c>
      <c r="Q33" s="138">
        <f t="shared" si="15"/>
        <v>3.9511765668631084E-3</v>
      </c>
      <c r="R33" s="138">
        <f t="shared" si="15"/>
        <v>3.2977407647116594E-3</v>
      </c>
      <c r="S33" s="138">
        <f t="shared" si="15"/>
        <v>2.6429360140538057E-3</v>
      </c>
      <c r="T33" s="494">
        <f t="shared" si="16"/>
        <v>2.6429360140538057E-3</v>
      </c>
      <c r="U33" s="494">
        <f t="shared" si="16"/>
        <v>2.6429360140538057E-3</v>
      </c>
    </row>
    <row r="34" spans="1:23">
      <c r="A34" s="49" t="s">
        <v>572</v>
      </c>
      <c r="B34" s="142">
        <v>0</v>
      </c>
      <c r="C34" s="142">
        <v>0</v>
      </c>
      <c r="D34" s="85">
        <f>'Earning Forecast'!D133</f>
        <v>332080</v>
      </c>
      <c r="E34" s="85">
        <f>'Earning Forecast'!E133</f>
        <v>477031</v>
      </c>
      <c r="F34" s="85">
        <f>'Earning Forecast'!F133</f>
        <v>1166268</v>
      </c>
      <c r="G34" s="85">
        <f>'Earning Forecast'!G133</f>
        <v>444553</v>
      </c>
      <c r="H34" s="85">
        <f>'Earning Forecast'!H133</f>
        <v>989521</v>
      </c>
      <c r="I34" s="85">
        <f>'Earning Forecast'!I133</f>
        <v>866780.66666666663</v>
      </c>
      <c r="J34" s="85">
        <f>'Earning Forecast'!J133</f>
        <v>766951.5555555555</v>
      </c>
      <c r="K34" s="85">
        <f>'Earning Forecast'!K133</f>
        <v>874417.74074074067</v>
      </c>
      <c r="M34" s="120" t="str">
        <f>A34</f>
        <v>Impairment losses on financial and contract assets</v>
      </c>
      <c r="N34" s="138">
        <f t="shared" si="15"/>
        <v>3.9172144532338268E-3</v>
      </c>
      <c r="O34" s="138">
        <f t="shared" si="15"/>
        <v>7.5993627489411818E-3</v>
      </c>
      <c r="P34" s="138">
        <f t="shared" si="15"/>
        <v>2.1038957525766765E-3</v>
      </c>
      <c r="Q34" s="138">
        <f t="shared" si="15"/>
        <v>2.3334372923024013E-3</v>
      </c>
      <c r="R34" s="138">
        <f t="shared" si="15"/>
        <v>1.5239019506241673E-3</v>
      </c>
      <c r="S34" s="138">
        <f t="shared" si="15"/>
        <v>1.0457907324712321E-3</v>
      </c>
      <c r="T34" s="494">
        <f t="shared" si="16"/>
        <v>1.0457907324712321E-3</v>
      </c>
      <c r="U34" s="494">
        <f t="shared" si="16"/>
        <v>1.0457907324712321E-3</v>
      </c>
    </row>
    <row r="35" spans="1:23">
      <c r="A35" s="49" t="s">
        <v>573</v>
      </c>
      <c r="B35" s="142">
        <v>0</v>
      </c>
      <c r="C35" s="142">
        <v>0</v>
      </c>
      <c r="D35" s="136">
        <f>'Earning Forecast'!D134</f>
        <v>-26871</v>
      </c>
      <c r="E35" s="85">
        <f>'Earning Forecast'!E134</f>
        <v>519134</v>
      </c>
      <c r="F35" s="85">
        <f>'Earning Forecast'!F134</f>
        <v>299523</v>
      </c>
      <c r="G35" s="85">
        <f>'Earning Forecast'!G134</f>
        <v>88765</v>
      </c>
      <c r="H35" s="85">
        <f>'Earning Forecast'!H134</f>
        <v>22719</v>
      </c>
      <c r="I35" s="85">
        <f>'Earning Forecast'!I134</f>
        <v>137002.33333333334</v>
      </c>
      <c r="J35" s="85">
        <f>'Earning Forecast'!J134</f>
        <v>82828.777777777781</v>
      </c>
      <c r="K35" s="85">
        <f>'Earning Forecast'!K134</f>
        <v>80850.037037037036</v>
      </c>
      <c r="M35" s="120" t="str">
        <f>A35</f>
        <v>Loss on derecognition of financial assets measured at amortised cost</v>
      </c>
      <c r="N35" s="138">
        <f t="shared" si="15"/>
        <v>4.2629498040275991E-3</v>
      </c>
      <c r="O35" s="138">
        <f t="shared" si="15"/>
        <v>1.9516817135093389E-3</v>
      </c>
      <c r="P35" s="138">
        <f t="shared" si="15"/>
        <v>4.200900825716364E-4</v>
      </c>
      <c r="Q35" s="138">
        <f t="shared" si="15"/>
        <v>5.357477187833129E-5</v>
      </c>
      <c r="R35" s="138">
        <f t="shared" si="15"/>
        <v>2.4086615107558437E-4</v>
      </c>
      <c r="S35" s="138">
        <f t="shared" si="15"/>
        <v>1.1294268530321086E-4</v>
      </c>
      <c r="T35" s="494">
        <f t="shared" si="16"/>
        <v>1.1294268530321086E-4</v>
      </c>
      <c r="U35" s="494">
        <f t="shared" si="16"/>
        <v>1.1294268530321086E-4</v>
      </c>
    </row>
    <row r="36" spans="1:23">
      <c r="A36" s="121" t="s">
        <v>579</v>
      </c>
      <c r="B36" s="136">
        <f>'Earning Forecast'!B140</f>
        <v>-599824</v>
      </c>
      <c r="C36" s="136">
        <f>'Earning Forecast'!C140</f>
        <v>-224522</v>
      </c>
      <c r="D36" s="136">
        <f>'Earning Forecast'!D140</f>
        <v>-224724</v>
      </c>
      <c r="E36" s="136">
        <f>'Earning Forecast'!E140</f>
        <v>-422776</v>
      </c>
      <c r="F36" s="136">
        <f>'Earning Forecast'!F140</f>
        <v>-186837</v>
      </c>
      <c r="G36" s="136">
        <f>'Earning Forecast'!G140</f>
        <v>-145295</v>
      </c>
      <c r="H36" s="136">
        <f>'Earning Forecast'!H140</f>
        <v>-685885</v>
      </c>
      <c r="I36" s="136">
        <f>'Earning Forecast'!I140</f>
        <v>-791829.94744445302</v>
      </c>
      <c r="J36" s="136">
        <f>'Earning Forecast'!J140</f>
        <v>-1291015.8387090599</v>
      </c>
      <c r="K36" s="136">
        <f>'Earning Forecast'!K140</f>
        <v>-2553363.9058567886</v>
      </c>
      <c r="M36" s="120" t="str">
        <f>A36</f>
        <v>Share of profits and losses of joint ventures and associates</v>
      </c>
      <c r="N36" s="138">
        <f t="shared" si="15"/>
        <v>-3.4716910592401426E-3</v>
      </c>
      <c r="O36" s="138">
        <f t="shared" si="15"/>
        <v>-1.2174235578134044E-3</v>
      </c>
      <c r="P36" s="138">
        <f t="shared" si="15"/>
        <v>-6.8762449780032566E-4</v>
      </c>
      <c r="Q36" s="138">
        <f t="shared" si="15"/>
        <v>-1.6174185663880125E-3</v>
      </c>
      <c r="R36" s="138">
        <f t="shared" si="15"/>
        <v>-1.3921298061638438E-3</v>
      </c>
      <c r="S36" s="138">
        <f t="shared" si="15"/>
        <v>-1.760388110325321E-3</v>
      </c>
      <c r="T36" s="494">
        <f t="shared" si="16"/>
        <v>-1.760388110325321E-3</v>
      </c>
      <c r="U36" s="494">
        <f t="shared" si="16"/>
        <v>-1.760388110325321E-3</v>
      </c>
    </row>
    <row r="37" spans="1:23" ht="14.5">
      <c r="A37" s="371" t="s">
        <v>1581</v>
      </c>
    </row>
    <row r="38" spans="1:23">
      <c r="A38" s="121" t="s">
        <v>1679</v>
      </c>
      <c r="B38" s="492">
        <f t="shared" ref="B38:K38" si="17">B29-B30+B32+B33-B34-B35+B36</f>
        <v>6568409.9999999851</v>
      </c>
      <c r="C38" s="492">
        <f t="shared" si="17"/>
        <v>5620641</v>
      </c>
      <c r="D38" s="492">
        <f t="shared" si="17"/>
        <v>4385640</v>
      </c>
      <c r="E38" s="492">
        <f>E29-E30+E32+E33-E34-E35+E36</f>
        <v>2431131.0000000149</v>
      </c>
      <c r="F38" s="492">
        <f t="shared" si="17"/>
        <v>6882587.0000000149</v>
      </c>
      <c r="G38" s="492">
        <f t="shared" si="17"/>
        <v>4518002.9999999702</v>
      </c>
      <c r="H38" s="492">
        <f t="shared" si="17"/>
        <v>21079811.000000075</v>
      </c>
      <c r="I38" s="492">
        <f t="shared" si="17"/>
        <v>40317563.204672523</v>
      </c>
      <c r="J38" s="492">
        <f t="shared" si="17"/>
        <v>54988627.287990294</v>
      </c>
      <c r="K38" s="492">
        <f t="shared" si="17"/>
        <v>65731788.200056881</v>
      </c>
      <c r="M38" s="120" t="s">
        <v>1636</v>
      </c>
      <c r="N38" s="138">
        <f t="shared" ref="N38:T38" si="18">E38/E$6</f>
        <v>1.9963611360487819E-2</v>
      </c>
      <c r="O38" s="138">
        <f t="shared" si="18"/>
        <v>4.4846703557112906E-2</v>
      </c>
      <c r="P38" s="138">
        <f t="shared" si="18"/>
        <v>2.1381943934308437E-2</v>
      </c>
      <c r="Q38" s="138">
        <f t="shared" si="18"/>
        <v>4.9709321077659338E-2</v>
      </c>
      <c r="R38" s="138">
        <f t="shared" si="18"/>
        <v>7.0882999096288424E-2</v>
      </c>
      <c r="S38" s="138">
        <f t="shared" si="18"/>
        <v>7.4980742124499622E-2</v>
      </c>
      <c r="T38" s="138">
        <f t="shared" si="18"/>
        <v>7.4928514435067956E-2</v>
      </c>
      <c r="U38" s="138" t="e">
        <f>#REF!/#REF!</f>
        <v>#REF!</v>
      </c>
    </row>
    <row r="39" spans="1:23">
      <c r="A39" s="372" t="s">
        <v>1680</v>
      </c>
      <c r="B39" s="85">
        <f>'Earning Forecast'!B144</f>
        <v>1088398</v>
      </c>
      <c r="C39" s="85">
        <f>'Earning Forecast'!C144</f>
        <v>703705</v>
      </c>
      <c r="D39" s="85">
        <f>'Earning Forecast'!D144</f>
        <v>829447</v>
      </c>
      <c r="E39" s="85">
        <f>'Earning Forecast'!E144</f>
        <v>312274</v>
      </c>
      <c r="F39" s="85">
        <f>'Earning Forecast'!F144</f>
        <v>868624</v>
      </c>
      <c r="G39" s="85">
        <f>'Earning Forecast'!G144</f>
        <v>550737</v>
      </c>
      <c r="H39" s="85">
        <f>'Earning Forecast'!H144</f>
        <v>3366635</v>
      </c>
      <c r="I39" s="85">
        <f>'Earning Forecast'!I144</f>
        <v>5260372.0311163347</v>
      </c>
      <c r="J39" s="85">
        <f>'Earning Forecast'!J144</f>
        <v>7345264.0239366777</v>
      </c>
      <c r="K39" s="85">
        <f>'Earning Forecast'!K144</f>
        <v>9107068.4624971412</v>
      </c>
      <c r="M39" s="120" t="s">
        <v>1637</v>
      </c>
      <c r="N39" s="138">
        <f t="shared" ref="N39:S39" si="19">IFERROR(E39/E38,"")</f>
        <v>0.12844803509148545</v>
      </c>
      <c r="O39" s="138">
        <f t="shared" si="19"/>
        <v>0.12620603270252859</v>
      </c>
      <c r="P39" s="138">
        <f t="shared" si="19"/>
        <v>0.12189832543271964</v>
      </c>
      <c r="Q39" s="138">
        <f t="shared" si="19"/>
        <v>0.15970897462031269</v>
      </c>
      <c r="R39" s="138">
        <f t="shared" si="19"/>
        <v>0.13047346151383213</v>
      </c>
      <c r="S39" s="138">
        <f t="shared" si="19"/>
        <v>0.13357787575724606</v>
      </c>
      <c r="T39" s="139">
        <f>AVERAGE(Q39:S39)</f>
        <v>0.1412534372971303</v>
      </c>
      <c r="U39" s="139">
        <f>AVERAGE(R39:T39)</f>
        <v>0.13510159152273618</v>
      </c>
      <c r="W39" t="s">
        <v>229</v>
      </c>
    </row>
    <row r="40" spans="1:23" ht="14.5">
      <c r="A40" s="371" t="s">
        <v>1581</v>
      </c>
    </row>
    <row r="41" spans="1:23">
      <c r="A41" s="121" t="s">
        <v>1681</v>
      </c>
      <c r="B41" s="136">
        <f>-'Earning Forecast'!B147</f>
        <v>-427857.99999999942</v>
      </c>
      <c r="C41" s="136">
        <f>-'Earning Forecast'!C147</f>
        <v>-850458</v>
      </c>
      <c r="D41" s="136">
        <f>-'Earning Forecast'!D147</f>
        <v>-775999</v>
      </c>
      <c r="E41" s="136">
        <f>-'Earning Forecast'!E147</f>
        <v>-504406.99999999913</v>
      </c>
      <c r="F41" s="136">
        <f>-'Earning Forecast'!F147</f>
        <v>-1779696.0000000033</v>
      </c>
      <c r="G41" s="136">
        <f>-'Earning Forecast'!G147</f>
        <v>-922077.99999999825</v>
      </c>
      <c r="H41" s="136">
        <f>-'Earning Forecast'!H147</f>
        <v>-1090728.0000000028</v>
      </c>
      <c r="I41" s="136">
        <f>-'Earning Forecast'!I147</f>
        <v>-2058928.8379560625</v>
      </c>
      <c r="J41" s="136">
        <f>-'Earning Forecast'!J147</f>
        <v>-2797414.4665868054</v>
      </c>
      <c r="K41" s="136">
        <f>-'Earning Forecast'!K147</f>
        <v>-3308240.6585936486</v>
      </c>
      <c r="M41" s="120" t="str">
        <f>A41</f>
        <v>Minority interest+Prefered share dividend</v>
      </c>
      <c r="N41" s="138">
        <f t="shared" ref="N41:S41" si="20">E41/E$6</f>
        <v>-4.1420167467361903E-3</v>
      </c>
      <c r="O41" s="138">
        <f t="shared" si="20"/>
        <v>-1.1596438800378344E-2</v>
      </c>
      <c r="P41" s="138">
        <f t="shared" si="20"/>
        <v>-4.3638351057003165E-3</v>
      </c>
      <c r="Q41" s="138">
        <f t="shared" si="20"/>
        <v>-2.5720984101988945E-3</v>
      </c>
      <c r="R41" s="138">
        <f t="shared" si="20"/>
        <v>-3.6198380894023868E-3</v>
      </c>
      <c r="S41" s="138">
        <f t="shared" si="20"/>
        <v>-3.8144653372771233E-3</v>
      </c>
      <c r="T41" s="139">
        <f>AVERAGE(Q41:S41)</f>
        <v>-3.3354672789594683E-3</v>
      </c>
      <c r="U41" s="139">
        <f>AVERAGE(R41:T41)</f>
        <v>-3.5899235685463264E-3</v>
      </c>
      <c r="W41" t="s">
        <v>229</v>
      </c>
    </row>
    <row r="42" spans="1:23" ht="14.5">
      <c r="A42" s="371" t="s">
        <v>1581</v>
      </c>
    </row>
    <row r="43" spans="1:23">
      <c r="A43" s="373" t="s">
        <v>1588</v>
      </c>
      <c r="B43" s="168">
        <f t="shared" ref="B43:K43" si="21">B38-B39+B41</f>
        <v>5052153.999999986</v>
      </c>
      <c r="C43" s="168">
        <f t="shared" si="21"/>
        <v>4066478</v>
      </c>
      <c r="D43" s="168">
        <f>D38-D39+D41</f>
        <v>2780194</v>
      </c>
      <c r="E43" s="168">
        <f>E38-E39+E41</f>
        <v>1614450.0000000158</v>
      </c>
      <c r="F43" s="168">
        <f t="shared" si="21"/>
        <v>4234267.0000000112</v>
      </c>
      <c r="G43" s="168">
        <f t="shared" si="21"/>
        <v>3045187.9999999721</v>
      </c>
      <c r="H43" s="168">
        <f t="shared" si="21"/>
        <v>16622448.000000071</v>
      </c>
      <c r="I43" s="168">
        <f t="shared" si="21"/>
        <v>32998262.335600123</v>
      </c>
      <c r="J43" s="168">
        <f t="shared" si="21"/>
        <v>44845948.797466807</v>
      </c>
      <c r="K43" s="168">
        <f t="shared" si="21"/>
        <v>53316479.078966089</v>
      </c>
      <c r="M43" s="120" t="s">
        <v>1638</v>
      </c>
      <c r="N43" s="138">
        <f t="shared" ref="N43:T43" si="22">E43/E$6</f>
        <v>1.3257307961166913E-2</v>
      </c>
      <c r="O43" s="138">
        <f t="shared" si="22"/>
        <v>2.7590340221004962E-2</v>
      </c>
      <c r="P43" s="138">
        <f t="shared" si="22"/>
        <v>1.4411685668519626E-2</v>
      </c>
      <c r="Q43" s="138">
        <f t="shared" si="22"/>
        <v>3.9198197969075574E-2</v>
      </c>
      <c r="R43" s="138">
        <f t="shared" si="22"/>
        <v>5.8014810752311449E-2</v>
      </c>
      <c r="S43" s="138">
        <f t="shared" si="22"/>
        <v>6.1150508531529979E-2</v>
      </c>
      <c r="T43" s="138">
        <f t="shared" si="22"/>
        <v>6.0776143197818135E-2</v>
      </c>
      <c r="U43" s="138" t="e">
        <f>#REF!/#REF!</f>
        <v>#REF!</v>
      </c>
    </row>
    <row r="44" spans="1:23" s="497" customFormat="1" ht="14.5">
      <c r="A44" s="496" t="s">
        <v>1581</v>
      </c>
      <c r="G44" s="857"/>
    </row>
    <row r="45" spans="1:23" ht="20">
      <c r="A45" s="498" t="s">
        <v>1590</v>
      </c>
      <c r="M45" s="694" t="s">
        <v>1613</v>
      </c>
    </row>
    <row r="46" spans="1:23">
      <c r="A46" s="216" t="s">
        <v>877</v>
      </c>
      <c r="B46" s="85">
        <f>SUM('Fin Sta as rep'!C246:C248)/1000</f>
        <v>7693666</v>
      </c>
      <c r="C46" s="85">
        <f>SUM('Fin Sta as rep'!D246:D248)/1000</f>
        <v>9903785</v>
      </c>
      <c r="D46" s="85">
        <f>SUM('Fin Sta as rep'!E246:E248)/1000</f>
        <v>13052546</v>
      </c>
      <c r="E46" s="85">
        <f>SUM('Fin Sta as rep'!F246:F248)/1000</f>
        <v>12684428</v>
      </c>
      <c r="F46" s="85">
        <f>SUM('Fin Sta as rep'!G246:G248)/1000</f>
        <v>14445054</v>
      </c>
      <c r="G46" s="85">
        <f>SUM('Fin Sta as rep'!I246:I248)/1000</f>
        <v>56063149</v>
      </c>
      <c r="H46" s="85">
        <f>SUM('Fin Sta as rep'!J246:J248)/1000</f>
        <v>72098193</v>
      </c>
      <c r="I46" s="876">
        <f>H46+I110</f>
        <v>110680998.67733242</v>
      </c>
      <c r="J46" s="876">
        <f t="shared" ref="J46:K46" si="23">I46+J110</f>
        <v>138039510.31303713</v>
      </c>
      <c r="K46" s="876">
        <f t="shared" si="23"/>
        <v>162300920.43616867</v>
      </c>
      <c r="M46" s="758" t="s">
        <v>1591</v>
      </c>
    </row>
    <row r="47" spans="1:23">
      <c r="A47" s="665" t="s">
        <v>1067</v>
      </c>
      <c r="B47" s="85">
        <f>SUM('Fin Sta as rep'!C249:C253)/1000</f>
        <v>48693595</v>
      </c>
      <c r="C47" s="85">
        <f>SUM('Fin Sta as rep'!D249:D253)/1000</f>
        <v>59679183</v>
      </c>
      <c r="D47" s="85">
        <f>SUM('Fin Sta as rep'!E249:E253)/1000</f>
        <v>64367223</v>
      </c>
      <c r="E47" s="85">
        <f>SUM('Fin Sta as rep'!F249:F253)/1000</f>
        <v>59490987</v>
      </c>
      <c r="F47" s="85">
        <f>SUM('Fin Sta as rep'!G249:G253)/1000</f>
        <v>56475558</v>
      </c>
      <c r="G47" s="85">
        <f>SUM('Fin Sta as rep'!I249:I253)/1000</f>
        <v>54898539</v>
      </c>
      <c r="H47" s="85">
        <f>SUM('Fin Sta as rep'!J249:J253)/1000</f>
        <v>67185785</v>
      </c>
      <c r="I47" s="876">
        <f>H47*(I6/H6)</f>
        <v>90115750.874651238</v>
      </c>
      <c r="J47" s="876">
        <f>I47*(J6/I6)</f>
        <v>116190777.68101393</v>
      </c>
      <c r="K47" s="876">
        <f>J47*(K6/J6)</f>
        <v>138987850.9363482</v>
      </c>
      <c r="M47" s="758" t="s">
        <v>1592</v>
      </c>
    </row>
    <row r="48" spans="1:23">
      <c r="A48" s="665" t="s">
        <v>696</v>
      </c>
      <c r="B48" s="85">
        <f>'Fin Sta as rep'!C254/1000</f>
        <v>17378439</v>
      </c>
      <c r="C48" s="85">
        <f>'Fin Sta as rep'!D254/1000</f>
        <v>19872804</v>
      </c>
      <c r="D48" s="85">
        <f>'Fin Sta as rep'!E254/1000</f>
        <v>26330345</v>
      </c>
      <c r="E48" s="85">
        <f>'Fin Sta as rep'!F254/1000</f>
        <v>25571564</v>
      </c>
      <c r="F48" s="85">
        <f>'Fin Sta as rep'!G254/1000</f>
        <v>31396358</v>
      </c>
      <c r="G48" s="85">
        <f>'Fin Sta as rep'!I254/1000</f>
        <v>43354782</v>
      </c>
      <c r="H48" s="85">
        <f>'Fin Sta as rep'!J254/1000</f>
        <v>79107199</v>
      </c>
      <c r="I48" s="876">
        <f>H48*(I13/H13)</f>
        <v>104574816.7980606</v>
      </c>
      <c r="J48" s="876">
        <f>I48*(J13/I13)</f>
        <v>133521984.19314739</v>
      </c>
      <c r="K48" s="876">
        <f>J48*(K13/J13)</f>
        <v>158053569.97094485</v>
      </c>
      <c r="M48" s="758" t="s">
        <v>1593</v>
      </c>
    </row>
    <row r="49" spans="1:13" s="233" customFormat="1">
      <c r="A49" s="888" t="s">
        <v>1069</v>
      </c>
      <c r="B49" s="305">
        <f>SUM('Fin Sta as rep'!C255:C258)/1000</f>
        <v>4474381</v>
      </c>
      <c r="C49" s="305">
        <f>SUM('Fin Sta as rep'!D255:D258)/1000</f>
        <v>13228620</v>
      </c>
      <c r="D49" s="305">
        <f>SUM('Fin Sta as rep'!E255:E258)/1000</f>
        <v>11460461</v>
      </c>
      <c r="E49" s="305">
        <f>SUM('Fin Sta as rep'!F255:F258)/1000</f>
        <v>9219626</v>
      </c>
      <c r="F49" s="305">
        <f>SUM('Fin Sta as rep'!G255:G258)/1000</f>
        <v>9288140</v>
      </c>
      <c r="G49" s="305">
        <f>SUM('Fin Sta as rep'!I255:I258)/1000</f>
        <v>11793719</v>
      </c>
      <c r="H49" s="305">
        <f>SUM('Fin Sta as rep'!J255:J258)/1000</f>
        <v>22412330</v>
      </c>
      <c r="I49" s="884">
        <f>H49*(I23/H23)</f>
        <v>31277360.645805866</v>
      </c>
      <c r="J49" s="884">
        <f>I49*(J23/I23)</f>
        <v>41808395.810458921</v>
      </c>
      <c r="K49" s="884">
        <f>J49*(K23/J23)</f>
        <v>52708916.633012481</v>
      </c>
      <c r="M49" s="881" t="s">
        <v>1594</v>
      </c>
    </row>
    <row r="50" spans="1:13">
      <c r="A50" s="889" t="s">
        <v>1071</v>
      </c>
      <c r="B50" s="875">
        <f t="shared" ref="B50:K50" si="24">SUM(B46:B49)</f>
        <v>78240081</v>
      </c>
      <c r="C50" s="875">
        <f t="shared" si="24"/>
        <v>102684392</v>
      </c>
      <c r="D50" s="875">
        <f t="shared" si="24"/>
        <v>115210575</v>
      </c>
      <c r="E50" s="875">
        <f t="shared" si="24"/>
        <v>106966605</v>
      </c>
      <c r="F50" s="875">
        <f t="shared" si="24"/>
        <v>111605110</v>
      </c>
      <c r="G50" s="875">
        <f t="shared" si="24"/>
        <v>166110189</v>
      </c>
      <c r="H50" s="875">
        <f t="shared" si="24"/>
        <v>240803507</v>
      </c>
      <c r="I50" s="875">
        <f t="shared" si="24"/>
        <v>336648926.99585009</v>
      </c>
      <c r="J50" s="875">
        <f t="shared" si="24"/>
        <v>429560667.9976573</v>
      </c>
      <c r="K50" s="875">
        <f t="shared" si="24"/>
        <v>512051257.97647423</v>
      </c>
      <c r="M50" s="673"/>
    </row>
    <row r="51" spans="1:13" ht="14.5">
      <c r="A51" s="869" t="s">
        <v>1581</v>
      </c>
      <c r="M51" s="673"/>
    </row>
    <row r="52" spans="1:13">
      <c r="A52" s="665" t="s">
        <v>1076</v>
      </c>
      <c r="B52" s="85">
        <f>SUM('Fin Sta as rep'!C261:C265)/1000</f>
        <v>46440156</v>
      </c>
      <c r="C52" s="85">
        <f>SUM('Fin Sta as rep'!D261:D265)/1000</f>
        <v>50980724</v>
      </c>
      <c r="D52" s="85">
        <f>SUM('Fin Sta as rep'!E261:E265)/1000</f>
        <v>53362403</v>
      </c>
      <c r="E52" s="85">
        <f>SUM('Fin Sta as rep'!F261:F265)/1000</f>
        <v>60848697</v>
      </c>
      <c r="F52" s="85">
        <f>SUM('Fin Sta as rep'!G261:G265)/1000</f>
        <v>61642132</v>
      </c>
      <c r="G52" s="85">
        <f>SUM('Fin Sta as rep'!I261:I265)/1000</f>
        <v>83071906</v>
      </c>
      <c r="H52" s="85">
        <f>SUM('Fin Sta as rep'!J261:J265)/1000</f>
        <v>179639631</v>
      </c>
      <c r="I52" s="492">
        <f>H52-I82-I97</f>
        <v>250426267.5375219</v>
      </c>
      <c r="J52" s="492">
        <f>I52-J82-J97</f>
        <v>362194454.78614414</v>
      </c>
      <c r="K52" s="492">
        <f>J52-K82-K97</f>
        <v>499881615.85922855</v>
      </c>
      <c r="M52" s="758" t="s">
        <v>1595</v>
      </c>
    </row>
    <row r="53" spans="1:13">
      <c r="A53" s="96" t="s">
        <v>1596</v>
      </c>
      <c r="B53" s="85"/>
      <c r="C53" s="85"/>
      <c r="D53" s="85"/>
      <c r="E53" s="85"/>
      <c r="F53" s="85"/>
      <c r="G53" s="85"/>
      <c r="H53" s="85"/>
      <c r="M53" s="758" t="s">
        <v>1597</v>
      </c>
    </row>
    <row r="54" spans="1:13">
      <c r="A54" s="96" t="s">
        <v>1682</v>
      </c>
      <c r="B54" s="85"/>
      <c r="C54" s="85"/>
      <c r="D54" s="85"/>
      <c r="E54" s="85"/>
      <c r="F54" s="85"/>
      <c r="G54" s="85"/>
      <c r="H54" s="85"/>
    </row>
    <row r="55" spans="1:13">
      <c r="A55" s="96" t="s">
        <v>895</v>
      </c>
      <c r="B55" s="85">
        <f>SUM('Fin Sta as rep'!C266:C269)/1000</f>
        <v>5469996</v>
      </c>
      <c r="C55" s="85">
        <f>SUM('Fin Sta as rep'!D266:D269)/1000</f>
        <v>7250371</v>
      </c>
      <c r="D55" s="85">
        <f>SUM('Fin Sta as rep'!E266:E269)/1000</f>
        <v>5265358</v>
      </c>
      <c r="E55" s="85">
        <f>SUM('Fin Sta as rep'!F266:F269)/1000</f>
        <v>6029087</v>
      </c>
      <c r="F55" s="85">
        <f>SUM('Fin Sta as rep'!G266:G269)/1000</f>
        <v>7170564</v>
      </c>
      <c r="G55" s="85">
        <f>SUM('Fin Sta as rep'!I266:I269)/1000</f>
        <v>11052809</v>
      </c>
      <c r="H55" s="85">
        <f>SUM('Fin Sta as rep'!J266:J269)/1000</f>
        <v>22051126</v>
      </c>
      <c r="I55" s="492">
        <f>H55-I99</f>
        <v>27220041.333333332</v>
      </c>
      <c r="J55" s="492">
        <f>I55-J99</f>
        <v>33532282.444444444</v>
      </c>
      <c r="K55" s="492">
        <f>J55-K99</f>
        <v>40847104.259259261</v>
      </c>
      <c r="M55" s="758" t="s">
        <v>1599</v>
      </c>
    </row>
    <row r="56" spans="1:13">
      <c r="A56" s="96" t="s">
        <v>713</v>
      </c>
      <c r="B56" s="85">
        <f>'Fin Sta as rep'!C272/1000</f>
        <v>65914</v>
      </c>
      <c r="C56" s="85">
        <f>'Fin Sta as rep'!D272/1000</f>
        <v>65914</v>
      </c>
      <c r="D56" s="85">
        <f>'Fin Sta as rep'!E272/1000</f>
        <v>65914</v>
      </c>
      <c r="E56" s="85">
        <f>'Fin Sta as rep'!F272/1000</f>
        <v>65914</v>
      </c>
      <c r="F56" s="85">
        <f>'Fin Sta as rep'!G272/1000</f>
        <v>65914</v>
      </c>
      <c r="G56" s="85">
        <f>'Fin Sta as rep'!I272/1000</f>
        <v>65914</v>
      </c>
      <c r="H56" s="85">
        <f>'Fin Sta as rep'!J272/1000</f>
        <v>65914</v>
      </c>
      <c r="I56" s="876">
        <f>H56</f>
        <v>65914</v>
      </c>
      <c r="J56" s="876">
        <f>I56</f>
        <v>65914</v>
      </c>
      <c r="K56" s="876">
        <f>J56</f>
        <v>65914</v>
      </c>
      <c r="M56" s="758" t="s">
        <v>1600</v>
      </c>
    </row>
    <row r="57" spans="1:13">
      <c r="A57" s="96" t="s">
        <v>902</v>
      </c>
      <c r="B57" s="85">
        <f>SUM('Fin Sta as rep'!C273:C274)/1000</f>
        <v>12055571</v>
      </c>
      <c r="C57" s="85">
        <f>SUM('Fin Sta as rep'!D273:D274)/1000</f>
        <v>14199119</v>
      </c>
      <c r="D57" s="85">
        <f>SUM('Fin Sta as rep'!E273:E274)/1000</f>
        <v>16698461</v>
      </c>
      <c r="E57" s="85">
        <f>SUM('Fin Sta as rep'!F273:F274)/1000</f>
        <v>18398159</v>
      </c>
      <c r="F57" s="85">
        <f>SUM('Fin Sta as rep'!G273:G274)/1000</f>
        <v>16689882</v>
      </c>
      <c r="G57" s="85">
        <f>SUM('Fin Sta as rep'!I273:I274)/1000</f>
        <v>19709973</v>
      </c>
      <c r="H57" s="85">
        <f>SUM('Fin Sta as rep'!J273:J274)/1000</f>
        <v>24906497</v>
      </c>
      <c r="I57" s="492">
        <f>H57-I83</f>
        <v>18424178.624498673</v>
      </c>
      <c r="J57" s="492">
        <f>I57-J83</f>
        <v>10191700.302803352</v>
      </c>
      <c r="K57" s="492">
        <f>J57-K83</f>
        <v>3976.0376605689526</v>
      </c>
      <c r="M57" s="758" t="s">
        <v>1601</v>
      </c>
    </row>
    <row r="58" spans="1:13" s="233" customFormat="1">
      <c r="A58" s="888" t="s">
        <v>1081</v>
      </c>
      <c r="B58" s="305">
        <f>SUM('Fin Sta as rep'!C270:C271,'Fin Sta as rep'!C275:C278)/1000</f>
        <v>2799060</v>
      </c>
      <c r="C58" s="305">
        <f>SUM('Fin Sta as rep'!D270:D271,'Fin Sta as rep'!D275:D278)/1000</f>
        <v>2918910</v>
      </c>
      <c r="D58" s="305">
        <f>SUM('Fin Sta as rep'!E270:E271,'Fin Sta as rep'!E275:E278)/1000</f>
        <v>3968366</v>
      </c>
      <c r="E58" s="305">
        <f>SUM('Fin Sta as rep'!F270:F271,'Fin Sta as rep'!F275:F278)/1000</f>
        <v>3333131</v>
      </c>
      <c r="F58" s="305">
        <f>SUM('Fin Sta as rep'!G270:G271,'Fin Sta as rep'!G275:G278)/1000</f>
        <v>3843719</v>
      </c>
      <c r="G58" s="305">
        <f>SUM('Fin Sta as rep'!I270:I271,'Fin Sta as rep'!I275:I278)/1000</f>
        <v>15769356</v>
      </c>
      <c r="H58" s="305">
        <f>SUM('Fin Sta as rep'!J270:J271,'Fin Sta as rep'!J275:J278)/1000</f>
        <v>26393971</v>
      </c>
      <c r="I58" s="887">
        <f>H58</f>
        <v>26393971</v>
      </c>
      <c r="J58" s="887">
        <f>I58</f>
        <v>26393971</v>
      </c>
      <c r="K58" s="887">
        <f>J58</f>
        <v>26393971</v>
      </c>
      <c r="M58" s="881" t="s">
        <v>1592</v>
      </c>
    </row>
    <row r="59" spans="1:13">
      <c r="A59" s="906" t="s">
        <v>1085</v>
      </c>
      <c r="B59" s="492">
        <f t="shared" ref="B59:K59" si="25">SUM(B50,B52:B58)</f>
        <v>145070778</v>
      </c>
      <c r="C59" s="492">
        <f t="shared" si="25"/>
        <v>178099430</v>
      </c>
      <c r="D59" s="492">
        <f t="shared" si="25"/>
        <v>194571077</v>
      </c>
      <c r="E59" s="492">
        <f t="shared" si="25"/>
        <v>195641593</v>
      </c>
      <c r="F59" s="492">
        <f t="shared" si="25"/>
        <v>201017321</v>
      </c>
      <c r="G59" s="492">
        <f t="shared" si="25"/>
        <v>295780147</v>
      </c>
      <c r="H59" s="492">
        <f t="shared" si="25"/>
        <v>493860646</v>
      </c>
      <c r="I59" s="492">
        <f t="shared" si="25"/>
        <v>659179299.49120402</v>
      </c>
      <c r="J59" s="492">
        <f t="shared" si="25"/>
        <v>861938990.53104925</v>
      </c>
      <c r="K59" s="492">
        <f t="shared" si="25"/>
        <v>1079243839.1326227</v>
      </c>
      <c r="M59" s="758"/>
    </row>
    <row r="60" spans="1:13" ht="14.5">
      <c r="A60" s="869" t="s">
        <v>1581</v>
      </c>
      <c r="M60" s="758"/>
    </row>
    <row r="61" spans="1:13">
      <c r="A61" s="665" t="s">
        <v>791</v>
      </c>
      <c r="B61" s="85">
        <f>SUM('Fin Sta as rep'!C281:C285,'Fin Sta as rep'!C287:C289,'Fin Sta as rep'!C291,'Fin Sta as rep'!C295)/1000</f>
        <v>39490317</v>
      </c>
      <c r="C61" s="85">
        <f>SUM('Fin Sta as rep'!D281:D285,'Fin Sta as rep'!D287:D289,'Fin Sta as rep'!D291,'Fin Sta as rep'!D295)/1000</f>
        <v>44404789</v>
      </c>
      <c r="D61" s="85">
        <f>SUM('Fin Sta as rep'!E281:E285,'Fin Sta as rep'!E287:E289,'Fin Sta as rep'!E291,'Fin Sta as rep'!E295)/1000</f>
        <v>51219824</v>
      </c>
      <c r="E61" s="85">
        <f>SUM('Fin Sta as rep'!F281:F285,'Fin Sta as rep'!F287:F289,'Fin Sta as rep'!F291,'Fin Sta as rep'!F295)/1000</f>
        <v>40564710</v>
      </c>
      <c r="F61" s="85">
        <f>SUM('Fin Sta as rep'!G281:G285,'Fin Sta as rep'!G287:G289,'Fin Sta as rep'!G291,'Fin Sta as rep'!G295)/1000</f>
        <v>58602334</v>
      </c>
      <c r="G61" s="85">
        <f>SUM('Fin Sta as rep'!I281:I285,'Fin Sta as rep'!I287:I289,'Fin Sta as rep'!I291,'Fin Sta as rep'!I295)/1000</f>
        <v>88119514</v>
      </c>
      <c r="H61" s="85">
        <f>SUM('Fin Sta as rep'!J281:J285,'Fin Sta as rep'!J287:J289,'Fin Sta as rep'!J291,'Fin Sta as rep'!J295)/1000</f>
        <v>160129134</v>
      </c>
      <c r="I61" s="876">
        <f>H61*(I23/H23)</f>
        <v>223467023.46514505</v>
      </c>
      <c r="J61" s="876">
        <f>I61*(J23/I23)</f>
        <v>298707997.56464481</v>
      </c>
      <c r="K61" s="876">
        <f>J61*(K23/J23)</f>
        <v>376588831.88505995</v>
      </c>
      <c r="M61" s="758" t="s">
        <v>1594</v>
      </c>
    </row>
    <row r="62" spans="1:13">
      <c r="A62" s="216" t="s">
        <v>729</v>
      </c>
      <c r="B62" s="85">
        <f>SUM('Fin Sta as rep'!C292,'Fin Sta as rep'!C301)/1000</f>
        <v>32928441</v>
      </c>
      <c r="C62" s="85">
        <f>SUM('Fin Sta as rep'!D292,'Fin Sta as rep'!D301)/1000</f>
        <v>45648670</v>
      </c>
      <c r="D62" s="85">
        <f>SUM('Fin Sta as rep'!E292,'Fin Sta as rep'!E301)/1000</f>
        <v>45271611</v>
      </c>
      <c r="E62" s="85">
        <f>SUM('Fin Sta as rep'!F292,'Fin Sta as rep'!F301)/1000</f>
        <v>49079813</v>
      </c>
      <c r="F62" s="85">
        <f>SUM('Fin Sta as rep'!G292,'Fin Sta as rep'!G301)/1000</f>
        <v>27813150</v>
      </c>
      <c r="G62" s="85">
        <f>SUM('Fin Sta as rep'!I292,'Fin Sta as rep'!I301)/1000</f>
        <v>23187774</v>
      </c>
      <c r="H62" s="85">
        <f>SUM('Fin Sta as rep'!J292,'Fin Sta as rep'!J301)/1000</f>
        <v>11617926</v>
      </c>
      <c r="I62" s="876">
        <f>H62*(I23/H23)</f>
        <v>16213310.327765331</v>
      </c>
      <c r="J62" s="876">
        <f>I62*(J23/I23)</f>
        <v>21672304.874353617</v>
      </c>
      <c r="K62" s="876">
        <f>J62*(K23/J23)</f>
        <v>27322830.467983838</v>
      </c>
      <c r="M62" s="758" t="s">
        <v>1594</v>
      </c>
    </row>
    <row r="63" spans="1:13" s="233" customFormat="1">
      <c r="A63" s="888" t="s">
        <v>1091</v>
      </c>
      <c r="B63" s="305">
        <f>SUM('Fin Sta as rep'!C286,'Fin Sta as rep'!C290,'Fin Sta as rep'!C293:C294,'Fin Sta as rep'!C296:C300)/1000</f>
        <v>5898846</v>
      </c>
      <c r="C63" s="305">
        <f>SUM('Fin Sta as rep'!D286,'Fin Sta as rep'!D290,'Fin Sta as rep'!D293:D294,'Fin Sta as rep'!D296:D300)/1000</f>
        <v>14943477</v>
      </c>
      <c r="D63" s="305">
        <f>SUM('Fin Sta as rep'!E286,'Fin Sta as rep'!E290,'Fin Sta as rep'!E293:E294,'Fin Sta as rep'!E296:E300)/1000</f>
        <v>20077540</v>
      </c>
      <c r="E63" s="305">
        <f>SUM('Fin Sta as rep'!F286,'Fin Sta as rep'!F290,'Fin Sta as rep'!F293:F294,'Fin Sta as rep'!F296:F300)/1000</f>
        <v>18384424</v>
      </c>
      <c r="F63" s="305">
        <f>SUM('Fin Sta as rep'!G286,'Fin Sta as rep'!G290,'Fin Sta as rep'!G293:G294,'Fin Sta as rep'!G296:G300)/1000</f>
        <v>20015212</v>
      </c>
      <c r="G63" s="305">
        <f>SUM('Fin Sta as rep'!I286,'Fin Sta as rep'!I290,'Fin Sta as rep'!I293:I294,'Fin Sta as rep'!I296:I300)/1000</f>
        <v>59996656</v>
      </c>
      <c r="H63" s="305">
        <f>SUM('Fin Sta as rep'!J286,'Fin Sta as rep'!J290,'Fin Sta as rep'!J293:J294,'Fin Sta as rep'!J296:J300)/1000</f>
        <v>161597501</v>
      </c>
      <c r="I63" s="884">
        <f>H63*(I23/H23)</f>
        <v>225516192.12451246</v>
      </c>
      <c r="J63" s="884">
        <f>I63*(J23/I23)</f>
        <v>301447117.89399105</v>
      </c>
      <c r="K63" s="884">
        <f>J63*(K23/J23)</f>
        <v>380042111.11973423</v>
      </c>
      <c r="M63" s="881" t="s">
        <v>1594</v>
      </c>
    </row>
    <row r="64" spans="1:13">
      <c r="A64" s="889" t="s">
        <v>1099</v>
      </c>
      <c r="B64" s="492">
        <f t="shared" ref="B64:K64" si="26">SUM(B61:B63)</f>
        <v>78317604</v>
      </c>
      <c r="C64" s="492">
        <f t="shared" si="26"/>
        <v>104996936</v>
      </c>
      <c r="D64" s="492">
        <f t="shared" si="26"/>
        <v>116568975</v>
      </c>
      <c r="E64" s="492">
        <f t="shared" si="26"/>
        <v>108028947</v>
      </c>
      <c r="F64" s="492">
        <f t="shared" si="26"/>
        <v>106430696</v>
      </c>
      <c r="G64" s="492">
        <f t="shared" si="26"/>
        <v>171303944</v>
      </c>
      <c r="H64" s="492">
        <f t="shared" si="26"/>
        <v>333344561</v>
      </c>
      <c r="I64" s="492">
        <f>SUM(I61:I63)</f>
        <v>465196525.91742289</v>
      </c>
      <c r="J64" s="492">
        <f t="shared" si="26"/>
        <v>621827420.33298945</v>
      </c>
      <c r="K64" s="492">
        <f t="shared" si="26"/>
        <v>783953773.47277808</v>
      </c>
      <c r="M64" s="758"/>
    </row>
    <row r="65" spans="1:30" ht="14.5">
      <c r="A65" s="869" t="s">
        <v>1581</v>
      </c>
      <c r="M65" s="770"/>
    </row>
    <row r="66" spans="1:30">
      <c r="A66" s="216" t="s">
        <v>740</v>
      </c>
      <c r="B66" s="85">
        <f>SUM('Fin Sta as rep'!C304:C307)/1000</f>
        <v>9338520</v>
      </c>
      <c r="C66" s="85">
        <f>SUM('Fin Sta as rep'!D304:D307)/1000</f>
        <v>10862346</v>
      </c>
      <c r="D66" s="85">
        <f>SUM('Fin Sta as rep'!E304:E307)/1000</f>
        <v>13924380</v>
      </c>
      <c r="E66" s="85">
        <f>SUM('Fin Sta as rep'!F304:F307)/1000</f>
        <v>21916487</v>
      </c>
      <c r="F66" s="85">
        <f>SUM('Fin Sta as rep'!G304:G307)/1000</f>
        <v>23625954</v>
      </c>
      <c r="G66" s="85">
        <f>SUM('Fin Sta as rep'!I304:I307)/1000</f>
        <v>10789958</v>
      </c>
      <c r="H66" s="85">
        <f>SUM('Fin Sta as rep'!J304:J307)/1000</f>
        <v>7593596</v>
      </c>
      <c r="I66" s="876">
        <f>R66</f>
        <v>6834236.4000000004</v>
      </c>
      <c r="J66" s="876">
        <f>S66</f>
        <v>6150812.7600000007</v>
      </c>
      <c r="K66" s="876">
        <f>T66</f>
        <v>5535731.4840000011</v>
      </c>
      <c r="M66" s="771" t="s">
        <v>740</v>
      </c>
      <c r="N66" s="85">
        <f>E66</f>
        <v>21916487</v>
      </c>
      <c r="O66" s="85">
        <f>F66</f>
        <v>23625954</v>
      </c>
      <c r="P66" s="85">
        <f>G66</f>
        <v>10789958</v>
      </c>
      <c r="Q66" s="85">
        <f>H66</f>
        <v>7593596</v>
      </c>
      <c r="R66" s="877">
        <f>Q66*0.9</f>
        <v>6834236.4000000004</v>
      </c>
      <c r="S66" s="877">
        <f>R66*0.9</f>
        <v>6150812.7600000007</v>
      </c>
      <c r="T66" s="877">
        <f>S66*0.9</f>
        <v>5535731.4840000011</v>
      </c>
      <c r="U66" s="877">
        <f>T66*0.9</f>
        <v>4982158.3356000008</v>
      </c>
    </row>
    <row r="67" spans="1:30" s="233" customFormat="1">
      <c r="A67" s="888" t="s">
        <v>745</v>
      </c>
      <c r="B67" s="305">
        <f>SUM('Fin Sta as rep'!C308:C311)/1000</f>
        <v>2005291</v>
      </c>
      <c r="C67" s="305">
        <f>SUM('Fin Sta as rep'!D308:D311)/1000</f>
        <v>2282661</v>
      </c>
      <c r="D67" s="305">
        <f>SUM('Fin Sta as rep'!E308:E311)/1000</f>
        <v>3383743</v>
      </c>
      <c r="E67" s="305">
        <f>SUM('Fin Sta as rep'!F308:F311)/1000</f>
        <v>3094739</v>
      </c>
      <c r="F67" s="305">
        <f>SUM('Fin Sta as rep'!G308:G311)/1000</f>
        <v>6506759</v>
      </c>
      <c r="G67" s="305">
        <f>SUM('Fin Sta as rep'!I308:I311)/1000</f>
        <v>9442036</v>
      </c>
      <c r="H67" s="305">
        <f>SUM('Fin Sta as rep'!J308:J311)/1000</f>
        <v>31532652</v>
      </c>
      <c r="I67" s="887">
        <f>H67</f>
        <v>31532652</v>
      </c>
      <c r="J67" s="887">
        <f>I67</f>
        <v>31532652</v>
      </c>
      <c r="K67" s="887">
        <f>J67</f>
        <v>31532652</v>
      </c>
      <c r="M67" s="881" t="s">
        <v>1639</v>
      </c>
    </row>
    <row r="68" spans="1:30">
      <c r="A68" s="889" t="s">
        <v>1108</v>
      </c>
      <c r="B68" s="492">
        <f t="shared" ref="B68:K68" si="27">SUM(B66:B67)</f>
        <v>11343811</v>
      </c>
      <c r="C68" s="492">
        <f t="shared" si="27"/>
        <v>13145007</v>
      </c>
      <c r="D68" s="492">
        <f t="shared" si="27"/>
        <v>17308123</v>
      </c>
      <c r="E68" s="492">
        <f t="shared" si="27"/>
        <v>25011226</v>
      </c>
      <c r="F68" s="492">
        <f t="shared" si="27"/>
        <v>30132713</v>
      </c>
      <c r="G68" s="492">
        <f t="shared" si="27"/>
        <v>20231994</v>
      </c>
      <c r="H68" s="492">
        <f t="shared" si="27"/>
        <v>39126248</v>
      </c>
      <c r="I68" s="492">
        <f t="shared" si="27"/>
        <v>38366888.399999999</v>
      </c>
      <c r="J68" s="492">
        <f t="shared" si="27"/>
        <v>37683464.759999998</v>
      </c>
      <c r="K68" s="492">
        <f t="shared" si="27"/>
        <v>37068383.483999997</v>
      </c>
      <c r="M68" s="758"/>
    </row>
    <row r="69" spans="1:30" ht="14.5">
      <c r="A69" s="869" t="s">
        <v>1581</v>
      </c>
      <c r="M69" s="758"/>
    </row>
    <row r="70" spans="1:30">
      <c r="A70" s="665" t="s">
        <v>755</v>
      </c>
      <c r="B70" s="85">
        <f>SUM('Fin Sta as rep'!C313:C314)/1000</f>
        <v>27199956</v>
      </c>
      <c r="C70" s="85">
        <f>SUM('Fin Sta as rep'!D313:D314)/1000</f>
        <v>27202436</v>
      </c>
      <c r="D70" s="85">
        <f>SUM('Fin Sta as rep'!E313:E314)/1000</f>
        <v>27252586</v>
      </c>
      <c r="E70" s="85">
        <f>SUM('Fin Sta as rep'!F313:F314)/1000</f>
        <v>27258809</v>
      </c>
      <c r="F70" s="85">
        <f>SUM('Fin Sta as rep'!G313:G314)/1000</f>
        <v>27426806</v>
      </c>
      <c r="G70" s="85">
        <f>SUM('Fin Sta as rep'!I313:I314)/1000</f>
        <v>63718362</v>
      </c>
      <c r="H70" s="85">
        <f>SUM('Fin Sta as rep'!J313:J314)/1000</f>
        <v>64617036</v>
      </c>
      <c r="I70" s="492">
        <f>H70</f>
        <v>64617036</v>
      </c>
      <c r="J70" s="492">
        <f>I70</f>
        <v>64617036</v>
      </c>
      <c r="K70" s="492">
        <f>J70</f>
        <v>64617036</v>
      </c>
      <c r="M70" s="758" t="s">
        <v>1604</v>
      </c>
    </row>
    <row r="71" spans="1:30">
      <c r="A71" s="665" t="s">
        <v>1125</v>
      </c>
      <c r="B71" s="85"/>
      <c r="C71" s="85"/>
      <c r="D71" s="85"/>
      <c r="E71" s="85"/>
      <c r="F71" s="85"/>
      <c r="G71" s="85"/>
      <c r="H71" s="85"/>
      <c r="I71" s="492">
        <f>H71+I107/2</f>
        <v>-262736.5</v>
      </c>
      <c r="J71" s="492">
        <f>I71+J107/2</f>
        <v>-525473</v>
      </c>
      <c r="K71" s="492">
        <f>J71+K107/2</f>
        <v>-788209.5</v>
      </c>
      <c r="M71" s="758" t="s">
        <v>1605</v>
      </c>
    </row>
    <row r="72" spans="1:30">
      <c r="A72" s="665" t="s">
        <v>758</v>
      </c>
      <c r="B72" s="85">
        <f>SUM('Fin Sta as rep'!C315:C319,'Fin Sta as rep'!C322)/1000</f>
        <v>23463767</v>
      </c>
      <c r="C72" s="85">
        <f>SUM('Fin Sta as rep'!D315:D319,'Fin Sta as rep'!D322)/1000</f>
        <v>27598979</v>
      </c>
      <c r="D72" s="85">
        <f>SUM('Fin Sta as rep'!E315:E319,'Fin Sta as rep'!E322)/1000</f>
        <v>29836339</v>
      </c>
      <c r="E72" s="85">
        <f>SUM('Fin Sta as rep'!F315:F319,'Fin Sta as rep'!F322)/1000</f>
        <v>30994678</v>
      </c>
      <c r="F72" s="85">
        <f>SUM('Fin Sta as rep'!G315:G319,'Fin Sta as rep'!G322)/1000</f>
        <v>36488580</v>
      </c>
      <c r="G72" s="85">
        <f>SUM('Fin Sta as rep'!I315:I319,'Fin Sta as rep'!I322)/1000</f>
        <v>40649902</v>
      </c>
      <c r="H72" s="85">
        <f>SUM('Fin Sta as rep'!J315:J319,'Fin Sta as rep'!J322)/1000</f>
        <v>58154389</v>
      </c>
      <c r="I72" s="492">
        <f>H72+I81+I105+I94</f>
        <v>92905910.173781186</v>
      </c>
      <c r="J72" s="492">
        <f>I72+J81+J105+J94</f>
        <v>140243603.43805981</v>
      </c>
      <c r="K72" s="492">
        <f>J72+K81+K105+K94</f>
        <v>196562653.17584455</v>
      </c>
      <c r="M72" s="758" t="s">
        <v>1606</v>
      </c>
    </row>
    <row r="73" spans="1:30">
      <c r="A73" s="665" t="s">
        <v>765</v>
      </c>
      <c r="B73" s="85"/>
      <c r="C73" s="85"/>
      <c r="D73" s="85"/>
      <c r="E73" s="85"/>
      <c r="F73" s="85"/>
      <c r="G73" s="85"/>
      <c r="H73" s="85"/>
      <c r="M73" s="758" t="s">
        <v>1607</v>
      </c>
    </row>
    <row r="74" spans="1:30">
      <c r="A74" s="665" t="s">
        <v>760</v>
      </c>
      <c r="B74" s="85">
        <f>SUM('Fin Sta as rep'!C320:C321)/1000</f>
        <v>949840</v>
      </c>
      <c r="C74" s="85">
        <f>SUM('Fin Sta as rep'!D320:D321)/1000</f>
        <v>1260272</v>
      </c>
      <c r="D74" s="136">
        <f>SUM('Fin Sta as rep'!E320:E321)/1000</f>
        <v>-290746</v>
      </c>
      <c r="E74" s="136">
        <f>SUM('Fin Sta as rep'!F320:F321)/1000</f>
        <v>-46659</v>
      </c>
      <c r="F74" s="136">
        <f>SUM('Fin Sta as rep'!G320:G321)/1000</f>
        <v>-556066</v>
      </c>
      <c r="G74" s="136">
        <f>SUM('Fin Sta as rep'!I320:I321)/1000</f>
        <v>-124055</v>
      </c>
      <c r="H74" s="136">
        <f>SUM('Fin Sta as rep'!J320:J321)/1000</f>
        <v>-1381588</v>
      </c>
      <c r="I74" s="492">
        <f>H74+I107/2</f>
        <v>-1644324.5</v>
      </c>
      <c r="J74" s="492">
        <f>I74+J107/2</f>
        <v>-1907061</v>
      </c>
      <c r="K74" s="492">
        <f>J74+K107/2</f>
        <v>-2169797.5</v>
      </c>
      <c r="M74" s="758" t="s">
        <v>1608</v>
      </c>
    </row>
    <row r="75" spans="1:30" s="233" customFormat="1">
      <c r="A75" s="888" t="s">
        <v>1609</v>
      </c>
      <c r="B75" s="305">
        <f>SUM('Fin Sta as rep'!C323:C324)/1000</f>
        <v>3795800</v>
      </c>
      <c r="C75" s="305">
        <f>SUM('Fin Sta as rep'!D323:D324)/1000</f>
        <v>3895800</v>
      </c>
      <c r="D75" s="305">
        <f>SUM('Fin Sta as rep'!E323:E324)/1000</f>
        <v>3895800</v>
      </c>
      <c r="E75" s="305">
        <f>SUM('Fin Sta as rep'!F323:F324)/1000</f>
        <v>4394592</v>
      </c>
      <c r="F75" s="305">
        <f>SUM('Fin Sta as rep'!G323:G324)/1000</f>
        <v>1094592</v>
      </c>
      <c r="G75" s="305">
        <f>SUM('Fin Sta as rep'!I323:I324)/1000</f>
        <v>0</v>
      </c>
      <c r="H75" s="305">
        <f>SUM('Fin Sta as rep'!J323:J324)/1000</f>
        <v>0</v>
      </c>
      <c r="I75" s="887">
        <f>H75</f>
        <v>0</v>
      </c>
      <c r="J75" s="887">
        <f>I75</f>
        <v>0</v>
      </c>
      <c r="K75" s="887">
        <f>J75</f>
        <v>0</v>
      </c>
      <c r="M75" s="808"/>
    </row>
    <row r="76" spans="1:30">
      <c r="A76" s="889" t="s">
        <v>1610</v>
      </c>
      <c r="B76" s="492">
        <f t="shared" ref="B76:K76" si="28">SUM(B70:B75)</f>
        <v>55409363</v>
      </c>
      <c r="C76" s="492">
        <f t="shared" si="28"/>
        <v>59957487</v>
      </c>
      <c r="D76" s="492">
        <f t="shared" si="28"/>
        <v>60693979</v>
      </c>
      <c r="E76" s="492">
        <f t="shared" si="28"/>
        <v>62601420</v>
      </c>
      <c r="F76" s="492">
        <f t="shared" si="28"/>
        <v>64453912</v>
      </c>
      <c r="G76" s="492">
        <f t="shared" si="28"/>
        <v>104244209</v>
      </c>
      <c r="H76" s="492">
        <f>SUM(H70:H75)</f>
        <v>121389837</v>
      </c>
      <c r="I76" s="492">
        <f t="shared" si="28"/>
        <v>155615885.17378119</v>
      </c>
      <c r="J76" s="492">
        <f t="shared" si="28"/>
        <v>202428105.43805981</v>
      </c>
      <c r="K76" s="492">
        <f t="shared" si="28"/>
        <v>258221682.17584455</v>
      </c>
    </row>
    <row r="77" spans="1:30">
      <c r="A77" s="889" t="s">
        <v>1611</v>
      </c>
      <c r="B77" s="492">
        <f t="shared" ref="B77:K77" si="29">B64+B68+B76</f>
        <v>145070778</v>
      </c>
      <c r="C77" s="492">
        <f t="shared" si="29"/>
        <v>178099430</v>
      </c>
      <c r="D77" s="492">
        <f t="shared" si="29"/>
        <v>194571077</v>
      </c>
      <c r="E77" s="492">
        <f t="shared" si="29"/>
        <v>195641593</v>
      </c>
      <c r="F77" s="492">
        <f t="shared" si="29"/>
        <v>201017321</v>
      </c>
      <c r="G77" s="492">
        <f t="shared" si="29"/>
        <v>295780147</v>
      </c>
      <c r="H77" s="492">
        <f>H64+H68+H76</f>
        <v>493860646</v>
      </c>
      <c r="I77" s="492">
        <f t="shared" si="29"/>
        <v>659179299.49120402</v>
      </c>
      <c r="J77" s="492">
        <f t="shared" si="29"/>
        <v>861938990.53104925</v>
      </c>
      <c r="K77" s="492">
        <f t="shared" si="29"/>
        <v>1079243839.1326227</v>
      </c>
      <c r="L77" s="625">
        <f>H77-H59</f>
        <v>0</v>
      </c>
      <c r="M77" s="625"/>
    </row>
    <row r="78" spans="1:30" ht="14.5">
      <c r="A78" s="869" t="s">
        <v>1581</v>
      </c>
      <c r="I78" s="625"/>
      <c r="J78" s="625"/>
      <c r="K78" s="625"/>
    </row>
    <row r="79" spans="1:30">
      <c r="B79" s="625">
        <f t="shared" ref="B79:H79" si="30">ROUND(B77-B59,1)</f>
        <v>0</v>
      </c>
      <c r="C79" s="625">
        <f t="shared" si="30"/>
        <v>0</v>
      </c>
      <c r="D79" s="625">
        <f t="shared" si="30"/>
        <v>0</v>
      </c>
      <c r="E79" s="625">
        <f t="shared" si="30"/>
        <v>0</v>
      </c>
      <c r="F79" s="625">
        <f t="shared" si="30"/>
        <v>0</v>
      </c>
      <c r="G79" s="625">
        <f t="shared" si="30"/>
        <v>0</v>
      </c>
      <c r="H79" s="625">
        <f t="shared" si="30"/>
        <v>0</v>
      </c>
      <c r="I79" s="625">
        <f>ROUND(I77-I59,1)</f>
        <v>0</v>
      </c>
      <c r="J79" s="625">
        <f>ROUND(J77-J59,1)</f>
        <v>0</v>
      </c>
      <c r="K79" s="625">
        <f>ROUND(K77-K59,1)</f>
        <v>0</v>
      </c>
    </row>
    <row r="80" spans="1:30" s="679" customFormat="1" ht="20">
      <c r="A80" s="890" t="s">
        <v>1612</v>
      </c>
      <c r="B80" s="852"/>
      <c r="C80" s="853"/>
      <c r="D80" s="853"/>
      <c r="E80" s="853"/>
      <c r="F80" s="853"/>
      <c r="G80" s="853"/>
      <c r="H80" s="854"/>
      <c r="I80" s="854"/>
      <c r="J80" s="854"/>
      <c r="K80" s="854"/>
      <c r="L80" s="855"/>
      <c r="M80" s="694" t="s">
        <v>1613</v>
      </c>
      <c r="N80" s="691"/>
      <c r="O80" s="855"/>
      <c r="P80" s="855"/>
      <c r="Q80" s="855"/>
      <c r="R80" s="855"/>
      <c r="S80" s="855"/>
      <c r="T80" s="855"/>
      <c r="U80" s="855"/>
      <c r="V80" s="855"/>
      <c r="W80" s="856"/>
      <c r="AD80" s="673"/>
    </row>
    <row r="81" spans="1:30">
      <c r="A81" s="665" t="s">
        <v>543</v>
      </c>
      <c r="B81" s="136">
        <f t="shared" ref="B81:K81" si="31">B43-B41</f>
        <v>5480011.9999999851</v>
      </c>
      <c r="C81" s="136">
        <f t="shared" si="31"/>
        <v>4916936</v>
      </c>
      <c r="D81" s="136">
        <f t="shared" si="31"/>
        <v>3556193</v>
      </c>
      <c r="E81" s="136">
        <f t="shared" si="31"/>
        <v>2118857.0000000149</v>
      </c>
      <c r="F81" s="136">
        <f t="shared" si="31"/>
        <v>6013963.0000000149</v>
      </c>
      <c r="G81" s="136">
        <f t="shared" si="31"/>
        <v>3967265.9999999702</v>
      </c>
      <c r="H81" s="136">
        <f t="shared" si="31"/>
        <v>17713176.000000075</v>
      </c>
      <c r="I81" s="136">
        <f>I43-I41</f>
        <v>35057191.173556186</v>
      </c>
      <c r="J81" s="136">
        <f t="shared" si="31"/>
        <v>47643363.264053613</v>
      </c>
      <c r="K81" s="136">
        <f t="shared" si="31"/>
        <v>56624719.737559736</v>
      </c>
      <c r="M81" s="770"/>
      <c r="N81" s="673"/>
      <c r="AD81" s="103"/>
    </row>
    <row r="82" spans="1:30">
      <c r="A82" s="903" t="s">
        <v>770</v>
      </c>
      <c r="B82" s="136">
        <f>SUM('Fin Sta as rep'!C336:C340)/1000</f>
        <v>5308825</v>
      </c>
      <c r="C82" s="136">
        <f>SUM('Fin Sta as rep'!D336:D340)/1000</f>
        <v>5750952</v>
      </c>
      <c r="D82" s="136">
        <f>SUM('Fin Sta as rep'!E336:E340)/1000</f>
        <v>7591203</v>
      </c>
      <c r="E82" s="136">
        <f>SUM('Fin Sta as rep'!F336:F340)/1000</f>
        <v>8320673</v>
      </c>
      <c r="F82" s="136">
        <f>SUM('Fin Sta as rep'!G336:G340)/1000</f>
        <v>9414758</v>
      </c>
      <c r="G82" s="136">
        <f>SUM('Fin Sta as rep'!I336:I340)/1000</f>
        <v>11152855</v>
      </c>
      <c r="H82" s="136">
        <f>SUM('Fin Sta as rep'!J336:J340)/1000</f>
        <v>15189188</v>
      </c>
      <c r="I82" s="877">
        <f>I85-I83</f>
        <v>20839804.836952023</v>
      </c>
      <c r="J82" s="877">
        <f>J85-J83</f>
        <v>26995311.63887658</v>
      </c>
      <c r="K82" s="877">
        <f>K85-K83</f>
        <v>31951892.299769975</v>
      </c>
      <c r="M82" s="760" t="s">
        <v>1615</v>
      </c>
      <c r="N82" s="933">
        <f>E85/E6</f>
        <v>8.0803753928959179E-2</v>
      </c>
      <c r="O82" s="933">
        <f>F85/F6</f>
        <v>8.1571268405258482E-2</v>
      </c>
      <c r="P82" s="933">
        <f>G85/G6</f>
        <v>6.6769462731168683E-2</v>
      </c>
      <c r="Q82" s="933">
        <f>H85/H6</f>
        <v>4.8035493245101799E-2</v>
      </c>
      <c r="R82" s="934">
        <f>Q82</f>
        <v>4.8035493245101799E-2</v>
      </c>
      <c r="S82" s="934">
        <f>R82</f>
        <v>4.8035493245101799E-2</v>
      </c>
      <c r="T82" s="934">
        <f>S82</f>
        <v>4.8035493245101799E-2</v>
      </c>
      <c r="U82" s="934">
        <f>T82</f>
        <v>4.8035493245101799E-2</v>
      </c>
      <c r="AD82" s="103"/>
    </row>
    <row r="83" spans="1:30">
      <c r="A83" s="904" t="s">
        <v>951</v>
      </c>
      <c r="B83" s="136">
        <f>SUM('Fin Sta as rep'!C341:C342)/1000</f>
        <v>1718744</v>
      </c>
      <c r="C83" s="136">
        <f>SUM('Fin Sta as rep'!D341:D342)/1000</f>
        <v>1341543</v>
      </c>
      <c r="D83" s="136">
        <f>SUM('Fin Sta as rep'!E341:E342)/1000</f>
        <v>1835317</v>
      </c>
      <c r="E83" s="136">
        <f>SUM('Fin Sta as rep'!F341:F342)/1000</f>
        <v>1519456</v>
      </c>
      <c r="F83" s="136">
        <f>SUM('Fin Sta as rep'!G341:G342)/1000</f>
        <v>3103918</v>
      </c>
      <c r="G83" s="136">
        <f>SUM('Fin Sta as rep'!I341:I342)/1000</f>
        <v>2955527</v>
      </c>
      <c r="H83" s="136">
        <f>SUM('Fin Sta as rep'!J341:J342)/1000</f>
        <v>5180817</v>
      </c>
      <c r="I83" s="877">
        <f>I85*R83</f>
        <v>6482318.3755013263</v>
      </c>
      <c r="J83" s="877">
        <f>J85*S83</f>
        <v>8232478.3216953212</v>
      </c>
      <c r="K83" s="877">
        <f>K85*T83</f>
        <v>10187724.265142784</v>
      </c>
      <c r="M83" s="673" t="s">
        <v>951</v>
      </c>
      <c r="N83" s="777">
        <f>E83/E85</f>
        <v>0.1544142358296319</v>
      </c>
      <c r="O83" s="777">
        <f>F83/F85</f>
        <v>0.24794299333252173</v>
      </c>
      <c r="P83" s="777">
        <f>G83/G85</f>
        <v>0.20948731045133312</v>
      </c>
      <c r="Q83" s="777">
        <f>H83/H85</f>
        <v>0.25433557821905295</v>
      </c>
      <c r="R83" s="777">
        <f>AVERAGE(O83:Q83)</f>
        <v>0.23725529400096926</v>
      </c>
      <c r="S83" s="777">
        <f>AVERAGE(P83:R83)</f>
        <v>0.23369272755711845</v>
      </c>
      <c r="T83" s="777">
        <f>AVERAGE(Q83:S83)</f>
        <v>0.24176119992571354</v>
      </c>
      <c r="U83" s="777">
        <f>AVERAGE(R83:T83)</f>
        <v>0.23756974049460042</v>
      </c>
      <c r="AD83" s="103"/>
    </row>
    <row r="84" spans="1:30">
      <c r="A84" s="904" t="s">
        <v>771</v>
      </c>
      <c r="B84" s="136"/>
      <c r="C84" s="136"/>
      <c r="D84" s="136"/>
      <c r="E84" s="136"/>
      <c r="F84" s="136"/>
      <c r="G84" s="136"/>
      <c r="H84" s="858"/>
      <c r="I84" s="858"/>
      <c r="J84" s="861"/>
      <c r="K84" s="861"/>
      <c r="M84" s="673" t="s">
        <v>1683</v>
      </c>
      <c r="N84" s="673"/>
      <c r="Q84" s="860"/>
      <c r="R84" s="860"/>
      <c r="S84" s="860"/>
      <c r="T84" s="860"/>
      <c r="U84" s="860"/>
      <c r="AD84" s="103"/>
    </row>
    <row r="85" spans="1:30">
      <c r="A85" s="905" t="s">
        <v>1139</v>
      </c>
      <c r="B85" s="137">
        <f t="shared" ref="B85:H85" si="32">SUM(B82:B84)</f>
        <v>7027569</v>
      </c>
      <c r="C85" s="137">
        <f t="shared" si="32"/>
        <v>7092495</v>
      </c>
      <c r="D85" s="137">
        <f t="shared" si="32"/>
        <v>9426520</v>
      </c>
      <c r="E85" s="137">
        <f t="shared" si="32"/>
        <v>9840129</v>
      </c>
      <c r="F85" s="137">
        <f t="shared" si="32"/>
        <v>12518676</v>
      </c>
      <c r="G85" s="137">
        <f t="shared" si="32"/>
        <v>14108382</v>
      </c>
      <c r="H85" s="137">
        <f t="shared" si="32"/>
        <v>20370005</v>
      </c>
      <c r="I85" s="877">
        <f>I6*R82</f>
        <v>27322123.21245335</v>
      </c>
      <c r="J85" s="877">
        <f>J6*S82</f>
        <v>35227789.9605719</v>
      </c>
      <c r="K85" s="877">
        <f>K6*T82</f>
        <v>42139616.564912759</v>
      </c>
      <c r="M85" s="770"/>
      <c r="N85" s="673"/>
      <c r="AD85" s="103"/>
    </row>
    <row r="86" spans="1:30">
      <c r="A86" s="665" t="s">
        <v>788</v>
      </c>
      <c r="B86" s="136">
        <f>SUM('Fin Sta as rep'!C358:C359)/1000</f>
        <v>-19811441</v>
      </c>
      <c r="C86" s="136">
        <f>SUM('Fin Sta as rep'!D358:D359)/1000</f>
        <v>-19636274</v>
      </c>
      <c r="D86" s="136">
        <f>SUM('Fin Sta as rep'!E358:E359)/1000</f>
        <v>-4385568</v>
      </c>
      <c r="E86" s="136">
        <f>SUM('Fin Sta as rep'!F358:F359)/1000</f>
        <v>8068298</v>
      </c>
      <c r="F86" s="136">
        <f>SUM('Fin Sta as rep'!G358:G359)/1000</f>
        <v>1549519</v>
      </c>
      <c r="G86" s="136">
        <f>SUM('Fin Sta as rep'!I358:I359)/1000</f>
        <v>1382660</v>
      </c>
      <c r="H86" s="136">
        <f>SUM('Fin Sta as rep'!J358:J359)/1000</f>
        <v>-17546586</v>
      </c>
      <c r="I86" s="137">
        <f t="shared" ref="I86:K88" si="33">-(I47-H47)</f>
        <v>-22929965.874651238</v>
      </c>
      <c r="J86" s="137">
        <f t="shared" si="33"/>
        <v>-26075026.806362689</v>
      </c>
      <c r="K86" s="137">
        <f t="shared" si="33"/>
        <v>-22797073.255334273</v>
      </c>
      <c r="M86" s="758" t="s">
        <v>1617</v>
      </c>
      <c r="N86" s="673"/>
      <c r="AD86" s="103"/>
    </row>
    <row r="87" spans="1:30">
      <c r="A87" s="665" t="s">
        <v>696</v>
      </c>
      <c r="B87" s="136">
        <f>SUM('Fin Sta as rep'!C360:C362)/1000</f>
        <v>-1984925</v>
      </c>
      <c r="C87" s="136">
        <f>SUM('Fin Sta as rep'!D360:D362)/1000</f>
        <v>-2726616</v>
      </c>
      <c r="D87" s="136">
        <f>SUM('Fin Sta as rep'!E360:E362)/1000</f>
        <v>-6584924</v>
      </c>
      <c r="E87" s="136">
        <f>SUM('Fin Sta as rep'!F360:F362)/1000</f>
        <v>283960</v>
      </c>
      <c r="F87" s="136">
        <f>SUM('Fin Sta as rep'!G360:G362)/1000</f>
        <v>-6701761</v>
      </c>
      <c r="G87" s="136">
        <f>SUM('Fin Sta as rep'!I360:I362)/1000</f>
        <v>-12892770</v>
      </c>
      <c r="H87" s="136">
        <f>SUM('Fin Sta as rep'!J360:J362)/1000</f>
        <v>-36564504</v>
      </c>
      <c r="I87" s="137">
        <f t="shared" si="33"/>
        <v>-25467617.798060596</v>
      </c>
      <c r="J87" s="137">
        <f t="shared" si="33"/>
        <v>-28947167.395086795</v>
      </c>
      <c r="K87" s="137">
        <f t="shared" si="33"/>
        <v>-24531585.777797461</v>
      </c>
      <c r="M87" s="758" t="s">
        <v>1617</v>
      </c>
      <c r="N87" s="673"/>
      <c r="AD87" s="103"/>
    </row>
    <row r="88" spans="1:30">
      <c r="A88" s="665" t="s">
        <v>1069</v>
      </c>
      <c r="B88" s="136"/>
      <c r="C88" s="136"/>
      <c r="D88" s="136"/>
      <c r="E88" s="136"/>
      <c r="F88" s="136"/>
      <c r="G88" s="136"/>
      <c r="H88" s="136"/>
      <c r="I88" s="137">
        <f>-(I49-H49)</f>
        <v>-8865030.6458058655</v>
      </c>
      <c r="J88" s="137">
        <f t="shared" si="33"/>
        <v>-10531035.164653055</v>
      </c>
      <c r="K88" s="137">
        <f t="shared" si="33"/>
        <v>-10900520.82255356</v>
      </c>
      <c r="M88" s="758" t="s">
        <v>1617</v>
      </c>
      <c r="N88" s="673"/>
      <c r="AD88" s="103"/>
    </row>
    <row r="89" spans="1:30">
      <c r="A89" s="665" t="s">
        <v>791</v>
      </c>
      <c r="B89" s="136">
        <f>SUM('Fin Sta as rep'!C363:C364)/1000</f>
        <v>4830456</v>
      </c>
      <c r="C89" s="136">
        <f>SUM('Fin Sta as rep'!D363:D364)/1000</f>
        <v>14377997</v>
      </c>
      <c r="D89" s="136">
        <f>SUM('Fin Sta as rep'!E363:E364)/1000</f>
        <v>6123683</v>
      </c>
      <c r="E89" s="136">
        <f>SUM('Fin Sta as rep'!F363:F364)/1000</f>
        <v>-9983177</v>
      </c>
      <c r="F89" s="136">
        <f>SUM('Fin Sta as rep'!G363:G364)/1000</f>
        <v>26515194</v>
      </c>
      <c r="G89" s="136">
        <f>SUM('Fin Sta as rep'!I363:I364)/1000</f>
        <v>55595180</v>
      </c>
      <c r="H89" s="136">
        <f>SUM('Fin Sta as rep'!J363:J364)/1000</f>
        <v>152528799</v>
      </c>
      <c r="I89" s="137">
        <f>I61-H61</f>
        <v>63337889.465145051</v>
      </c>
      <c r="J89" s="137">
        <f>J61-I61</f>
        <v>75240974.099499762</v>
      </c>
      <c r="K89" s="137">
        <f>K61-J61</f>
        <v>77880834.320415139</v>
      </c>
      <c r="M89" s="758" t="s">
        <v>1617</v>
      </c>
      <c r="N89" s="673"/>
      <c r="AD89" s="103"/>
    </row>
    <row r="90" spans="1:30">
      <c r="A90" s="665" t="s">
        <v>775</v>
      </c>
      <c r="B90" s="136">
        <f>SUM('Fin Sta as rep'!C346:C347)/1000</f>
        <v>726027</v>
      </c>
      <c r="C90" s="136">
        <f>SUM('Fin Sta as rep'!D346:D347)/1000</f>
        <v>206053</v>
      </c>
      <c r="D90" s="136">
        <f>SUM('Fin Sta as rep'!E346:E347)/1000</f>
        <v>-248412</v>
      </c>
      <c r="E90" s="136">
        <f>SUM('Fin Sta as rep'!F346:F347)/1000</f>
        <v>289561</v>
      </c>
      <c r="F90" s="136">
        <f>SUM('Fin Sta as rep'!G346:G347)/1000</f>
        <v>-26713</v>
      </c>
      <c r="G90" s="136">
        <f>SUM('Fin Sta as rep'!I346:I347)/1000</f>
        <v>-31631</v>
      </c>
      <c r="H90" s="136">
        <f>SUM('Fin Sta as rep'!J346:J347)/1000</f>
        <v>769184</v>
      </c>
      <c r="I90" s="1206">
        <f>I63-H63</f>
        <v>63918691.124512464</v>
      </c>
      <c r="J90" s="137">
        <f>J63-I63</f>
        <v>75930925.769478589</v>
      </c>
      <c r="K90" s="137">
        <f>K63-J63</f>
        <v>78594993.225743175</v>
      </c>
      <c r="M90" s="758" t="s">
        <v>1617</v>
      </c>
      <c r="N90" s="673"/>
      <c r="AD90" s="103"/>
    </row>
    <row r="91" spans="1:30">
      <c r="A91" s="361" t="s">
        <v>707</v>
      </c>
      <c r="B91" s="136"/>
      <c r="C91" s="136"/>
      <c r="D91" s="136"/>
      <c r="E91" s="136"/>
      <c r="F91" s="136"/>
      <c r="G91" s="136"/>
      <c r="H91" s="137"/>
      <c r="I91" s="137"/>
      <c r="J91" s="137"/>
      <c r="K91" s="137"/>
      <c r="M91" s="758"/>
      <c r="N91" s="673"/>
      <c r="P91" s="935"/>
      <c r="Q91" s="935"/>
      <c r="R91" s="935"/>
      <c r="S91" s="862"/>
      <c r="T91" s="862"/>
      <c r="U91" s="862"/>
      <c r="AD91" s="103"/>
    </row>
    <row r="92" spans="1:30">
      <c r="A92" t="s">
        <v>778</v>
      </c>
      <c r="B92" s="136"/>
      <c r="C92" s="136"/>
      <c r="D92" s="136"/>
      <c r="E92" s="136"/>
      <c r="F92" s="136"/>
      <c r="G92" s="136"/>
      <c r="H92" s="137"/>
      <c r="I92" s="137"/>
      <c r="J92" s="137"/>
      <c r="K92" s="137"/>
      <c r="M92" s="695" t="s">
        <v>1619</v>
      </c>
      <c r="N92" s="742"/>
      <c r="O92" s="742"/>
      <c r="P92" s="742"/>
      <c r="Q92" s="935"/>
      <c r="R92" s="935"/>
      <c r="S92" s="862"/>
      <c r="T92" s="862"/>
      <c r="U92" s="862"/>
      <c r="AD92" s="103"/>
    </row>
    <row r="93" spans="1:30">
      <c r="A93" s="665" t="s">
        <v>773</v>
      </c>
      <c r="B93" s="136">
        <f>SUM('Fin Sta as rep'!C343:C345)/1000</f>
        <v>136717</v>
      </c>
      <c r="C93" s="136">
        <f>SUM('Fin Sta as rep'!D343:D345)/1000</f>
        <v>55150</v>
      </c>
      <c r="D93" s="136">
        <f>SUM('Fin Sta as rep'!E343:E345)/1000</f>
        <v>18526</v>
      </c>
      <c r="E93" s="136">
        <f>SUM('Fin Sta as rep'!F343:F345)/1000</f>
        <v>99754</v>
      </c>
      <c r="F93" s="136">
        <f>SUM('Fin Sta as rep'!G343:G345)/1000</f>
        <v>375662</v>
      </c>
      <c r="G93" s="136">
        <f>SUM('Fin Sta as rep'!I343:I345)/1000</f>
        <v>112802</v>
      </c>
      <c r="H93" s="136">
        <f>SUM('Fin Sta as rep'!J343:J345)/1000</f>
        <v>876123</v>
      </c>
      <c r="I93" s="137">
        <v>0</v>
      </c>
      <c r="J93" s="137">
        <v>0</v>
      </c>
      <c r="K93" s="137">
        <v>0</v>
      </c>
      <c r="M93" s="758" t="s">
        <v>1600</v>
      </c>
      <c r="N93" s="136"/>
      <c r="O93" s="136"/>
      <c r="P93" s="136"/>
      <c r="Q93" s="137"/>
      <c r="R93" s="137"/>
      <c r="S93" s="137"/>
      <c r="T93" s="137"/>
      <c r="U93" s="137"/>
      <c r="AD93" s="103"/>
    </row>
    <row r="94" spans="1:30" s="233" customFormat="1">
      <c r="A94" s="888" t="s">
        <v>780</v>
      </c>
      <c r="B94" s="866">
        <f>(SUM('Fin Sta as rep'!C348:C357)+SUM('Fin Sta as rep'!C365:C367))/1000</f>
        <v>1750014</v>
      </c>
      <c r="C94" s="866">
        <f>(SUM('Fin Sta as rep'!D348:D357)+SUM('Fin Sta as rep'!D365:D367))/1000</f>
        <v>2293084</v>
      </c>
      <c r="D94" s="866">
        <f>(SUM('Fin Sta as rep'!E348:E357)+SUM('Fin Sta as rep'!E365:E367))/1000</f>
        <v>4616891</v>
      </c>
      <c r="E94" s="866">
        <f>(SUM('Fin Sta as rep'!F348:F357)+SUM('Fin Sta as rep'!F365:F367))/1000</f>
        <v>4023625</v>
      </c>
      <c r="F94" s="866">
        <f>(SUM('Fin Sta as rep'!G348:G357)+SUM('Fin Sta as rep'!G365:G367))/1000</f>
        <v>5148128</v>
      </c>
      <c r="G94" s="866">
        <f>(SUM('Fin Sta as rep'!I348:I357)+SUM('Fin Sta as rep'!I365:I367))/1000</f>
        <v>3224793</v>
      </c>
      <c r="H94" s="866">
        <f>(SUM('Fin Sta as rep'!J348:J357)+SUM('Fin Sta as rep'!J365:J367))/1000</f>
        <v>2691532</v>
      </c>
      <c r="I94" s="898">
        <f>I30</f>
        <v>-305890.17249999999</v>
      </c>
      <c r="J94" s="898">
        <f>J30</f>
        <v>-766049.32869877969</v>
      </c>
      <c r="K94" s="898">
        <f>K30</f>
        <v>-997788.5089848463</v>
      </c>
      <c r="M94" s="878" t="s">
        <v>807</v>
      </c>
      <c r="N94" s="879">
        <f>E94</f>
        <v>4023625</v>
      </c>
      <c r="O94" s="879">
        <f>F94</f>
        <v>5148128</v>
      </c>
      <c r="P94" s="879">
        <f>G94</f>
        <v>3224793</v>
      </c>
      <c r="Q94" s="866"/>
      <c r="R94" s="866"/>
      <c r="S94" s="866"/>
      <c r="T94" s="866"/>
      <c r="U94" s="866"/>
      <c r="AD94" s="228"/>
    </row>
    <row r="95" spans="1:30">
      <c r="A95" s="889" t="s">
        <v>1620</v>
      </c>
      <c r="B95" s="137">
        <f t="shared" ref="B95:K95" si="34">B81+SUM(B85:B94)</f>
        <v>-1845571.0000000149</v>
      </c>
      <c r="C95" s="137">
        <f t="shared" si="34"/>
        <v>6578825</v>
      </c>
      <c r="D95" s="137">
        <f t="shared" si="34"/>
        <v>12522909</v>
      </c>
      <c r="E95" s="137">
        <f t="shared" si="34"/>
        <v>14741007.000000015</v>
      </c>
      <c r="F95" s="137">
        <f t="shared" si="34"/>
        <v>45392668.000000015</v>
      </c>
      <c r="G95" s="137">
        <f t="shared" si="34"/>
        <v>65466681.99999997</v>
      </c>
      <c r="H95" s="137">
        <f t="shared" si="34"/>
        <v>140837729.00000006</v>
      </c>
      <c r="I95" s="137">
        <f t="shared" si="34"/>
        <v>132067390.48464936</v>
      </c>
      <c r="J95" s="137">
        <f t="shared" si="34"/>
        <v>167723774.39880255</v>
      </c>
      <c r="K95" s="137">
        <f t="shared" si="34"/>
        <v>196013195.48396069</v>
      </c>
      <c r="M95" s="770"/>
      <c r="N95" s="673"/>
      <c r="AD95" s="103"/>
    </row>
    <row r="96" spans="1:30" ht="14.5">
      <c r="A96" s="869" t="s">
        <v>1581</v>
      </c>
      <c r="B96" s="869"/>
      <c r="C96" s="870"/>
      <c r="D96" s="870"/>
      <c r="E96" s="870"/>
      <c r="F96" s="870"/>
      <c r="G96" s="871"/>
      <c r="H96" s="861"/>
      <c r="I96" s="861"/>
      <c r="J96" s="861"/>
      <c r="K96" s="861"/>
      <c r="M96" s="673"/>
      <c r="N96" s="673"/>
      <c r="AD96" s="103"/>
    </row>
    <row r="97" spans="1:30">
      <c r="A97" s="665" t="s">
        <v>797</v>
      </c>
      <c r="B97" s="136">
        <f>SUM('Fin Sta as rep'!C370:C371)/1000</f>
        <v>-13053450</v>
      </c>
      <c r="C97" s="136">
        <f>SUM('Fin Sta as rep'!D370:D371)/1000</f>
        <v>-14776561</v>
      </c>
      <c r="D97" s="136">
        <f>SUM('Fin Sta as rep'!E370:E371)/1000</f>
        <v>-17842390</v>
      </c>
      <c r="E97" s="136">
        <f>SUM('Fin Sta as rep'!F370:F371)/1000</f>
        <v>-20627160</v>
      </c>
      <c r="F97" s="136">
        <f>SUM('Fin Sta as rep'!G370:G371)/1000</f>
        <v>-11774094</v>
      </c>
      <c r="G97" s="136">
        <f>SUM('Fin Sta as rep'!I370:I371)/1000</f>
        <v>-37343609</v>
      </c>
      <c r="H97" s="136">
        <f>SUM('Fin Sta as rep'!J370:J371)/1000</f>
        <v>-97456862</v>
      </c>
      <c r="I97" s="877">
        <f>-R97*I6</f>
        <v>-91626441.374473944</v>
      </c>
      <c r="J97" s="877">
        <f>-S97*J6</f>
        <v>-138763498.8874988</v>
      </c>
      <c r="K97" s="877">
        <f>-T97*K6</f>
        <v>-169639053.37285441</v>
      </c>
      <c r="M97" s="695" t="s">
        <v>1621</v>
      </c>
      <c r="N97" s="777">
        <f>-E97/E6</f>
        <v>0.16938314130772772</v>
      </c>
      <c r="O97" s="777">
        <f>-F97/F6</f>
        <v>7.6719597336231363E-2</v>
      </c>
      <c r="P97" s="777">
        <f>-G97/G6</f>
        <v>0.17673271884563627</v>
      </c>
      <c r="Q97" s="777">
        <f>-H97/H6</f>
        <v>0.22981773623962382</v>
      </c>
      <c r="R97" s="934">
        <f>AVERAGE(O97:Q97)</f>
        <v>0.16109001747383048</v>
      </c>
      <c r="S97" s="934">
        <f>AVERAGE(P97:R97)</f>
        <v>0.18921349085303019</v>
      </c>
      <c r="T97" s="934">
        <f>AVERAGE(Q97:S97)</f>
        <v>0.19337374818882816</v>
      </c>
      <c r="U97" s="934">
        <f>AVERAGE(R97:T97)</f>
        <v>0.18122575217189626</v>
      </c>
      <c r="V97" s="872"/>
      <c r="AD97" s="103"/>
    </row>
    <row r="98" spans="1:30">
      <c r="A98" s="316" t="s">
        <v>1169</v>
      </c>
      <c r="B98" s="136"/>
      <c r="C98" s="136"/>
      <c r="D98" s="136"/>
      <c r="E98" s="136"/>
      <c r="F98" s="136"/>
      <c r="G98" s="136"/>
      <c r="H98" s="136"/>
      <c r="I98" s="858"/>
      <c r="J98" s="874"/>
      <c r="K98" s="874"/>
      <c r="M98" s="695" t="s">
        <v>1642</v>
      </c>
      <c r="N98" s="777"/>
      <c r="O98" s="934"/>
      <c r="P98" s="934"/>
      <c r="Q98" s="934"/>
      <c r="R98" s="934"/>
      <c r="S98" s="860"/>
      <c r="T98" s="860"/>
      <c r="U98" s="860"/>
      <c r="AD98" s="103"/>
    </row>
    <row r="99" spans="1:30">
      <c r="A99" s="665" t="s">
        <v>804</v>
      </c>
      <c r="B99" s="136">
        <f>SUM('Fin Sta as rep'!C374:C380,'Fin Sta as rep'!C389)/1000</f>
        <v>-894524</v>
      </c>
      <c r="C99" s="136">
        <f>SUM('Fin Sta as rep'!D374:D380,'Fin Sta as rep'!D389)/1000</f>
        <v>-1591915</v>
      </c>
      <c r="D99" s="136">
        <f>SUM('Fin Sta as rep'!E374:E380,'Fin Sta as rep'!E389)/1000</f>
        <v>-287697</v>
      </c>
      <c r="E99" s="136">
        <f>SUM('Fin Sta as rep'!F374:F380,'Fin Sta as rep'!F389)/1000</f>
        <v>-735806</v>
      </c>
      <c r="F99" s="136">
        <f>SUM('Fin Sta as rep'!G374:G380,'Fin Sta as rep'!G389)/1000</f>
        <v>-1738938</v>
      </c>
      <c r="G99" s="136">
        <f>SUM('Fin Sta as rep'!I374:I380,'Fin Sta as rep'!I389)/1000</f>
        <v>-3304499</v>
      </c>
      <c r="H99" s="136">
        <f>SUM('Fin Sta as rep'!J374:J380,'Fin Sta as rep'!J389)/1000</f>
        <v>-10463309</v>
      </c>
      <c r="I99" s="893">
        <f>R99</f>
        <v>-5168915.333333333</v>
      </c>
      <c r="J99" s="893">
        <f>S99</f>
        <v>-6312241.111111111</v>
      </c>
      <c r="K99" s="893">
        <f>T99</f>
        <v>-7314821.8148148144</v>
      </c>
      <c r="M99" s="896" t="s">
        <v>804</v>
      </c>
      <c r="N99" s="136">
        <f>E99</f>
        <v>-735806</v>
      </c>
      <c r="O99" s="136">
        <f>F99</f>
        <v>-1738938</v>
      </c>
      <c r="P99" s="136">
        <f>G99</f>
        <v>-3304499</v>
      </c>
      <c r="Q99" s="136">
        <f>H99</f>
        <v>-10463309</v>
      </c>
      <c r="R99" s="895">
        <f>AVERAGE(O99:Q99)</f>
        <v>-5168915.333333333</v>
      </c>
      <c r="S99" s="895">
        <f>AVERAGE(P99:R99)</f>
        <v>-6312241.111111111</v>
      </c>
      <c r="T99" s="895">
        <f>AVERAGE(Q99:S99)</f>
        <v>-7314821.8148148144</v>
      </c>
      <c r="U99" s="895">
        <f>AVERAGE(R99:T99)</f>
        <v>-6265326.0864197528</v>
      </c>
      <c r="AD99" s="103"/>
    </row>
    <row r="100" spans="1:30" s="233" customFormat="1">
      <c r="A100" s="888" t="s">
        <v>807</v>
      </c>
      <c r="B100" s="879">
        <f>SUM('Fin Sta as rep'!C372:C373,'Fin Sta as rep'!C381:C388)/1000</f>
        <v>505332</v>
      </c>
      <c r="C100" s="879">
        <f>SUM('Fin Sta as rep'!D372:D373,'Fin Sta as rep'!D381:D388)/1000</f>
        <v>193454</v>
      </c>
      <c r="D100" s="879">
        <f>SUM('Fin Sta as rep'!E372:E373,'Fin Sta as rep'!E381:E388)/1000</f>
        <v>3899327</v>
      </c>
      <c r="E100" s="879">
        <f>SUM('Fin Sta as rep'!F372:F373,'Fin Sta as rep'!F381:F388)/1000</f>
        <v>481520</v>
      </c>
      <c r="F100" s="879">
        <f>SUM('Fin Sta as rep'!G372:G373,'Fin Sta as rep'!G381:G388)/1000</f>
        <v>-931216</v>
      </c>
      <c r="G100" s="879">
        <f>SUM('Fin Sta as rep'!I372:I373,'Fin Sta as rep'!I381:I388)/1000</f>
        <v>-4755884</v>
      </c>
      <c r="H100" s="879">
        <f>SUM('Fin Sta as rep'!J372:J373,'Fin Sta as rep'!J381:J388)/1000</f>
        <v>-12675806</v>
      </c>
      <c r="I100" s="880">
        <v>0</v>
      </c>
      <c r="J100" s="867">
        <v>0</v>
      </c>
      <c r="K100" s="867">
        <v>0</v>
      </c>
      <c r="M100" s="260"/>
      <c r="N100" s="260"/>
      <c r="O100" s="260"/>
      <c r="P100" s="260"/>
      <c r="Q100" s="260"/>
      <c r="R100" s="260"/>
      <c r="S100" s="260"/>
      <c r="T100" s="868"/>
      <c r="U100" s="868"/>
      <c r="AD100" s="228"/>
    </row>
    <row r="101" spans="1:30">
      <c r="A101" s="889" t="s">
        <v>1684</v>
      </c>
      <c r="B101" s="137">
        <f t="shared" ref="B101:K101" si="35">SUM(B97:B100)</f>
        <v>-13442642</v>
      </c>
      <c r="C101" s="137">
        <f t="shared" si="35"/>
        <v>-16175022</v>
      </c>
      <c r="D101" s="137">
        <f t="shared" si="35"/>
        <v>-14230760</v>
      </c>
      <c r="E101" s="137">
        <f t="shared" si="35"/>
        <v>-20881446</v>
      </c>
      <c r="F101" s="137">
        <f t="shared" si="35"/>
        <v>-14444248</v>
      </c>
      <c r="G101" s="137">
        <f t="shared" si="35"/>
        <v>-45403992</v>
      </c>
      <c r="H101" s="137">
        <f t="shared" si="35"/>
        <v>-120595977</v>
      </c>
      <c r="I101" s="137">
        <f t="shared" si="35"/>
        <v>-96795356.707807273</v>
      </c>
      <c r="J101" s="137">
        <f t="shared" si="35"/>
        <v>-145075739.9986099</v>
      </c>
      <c r="K101" s="137">
        <f t="shared" si="35"/>
        <v>-176953875.18766922</v>
      </c>
      <c r="M101" s="260"/>
      <c r="N101" s="260"/>
      <c r="O101" s="260"/>
      <c r="P101" s="260"/>
      <c r="Q101" s="260"/>
      <c r="R101" s="260"/>
      <c r="S101" s="260"/>
      <c r="AD101" s="103"/>
    </row>
    <row r="102" spans="1:30" ht="14.5">
      <c r="A102" s="869" t="s">
        <v>1581</v>
      </c>
      <c r="B102" s="869"/>
      <c r="C102" s="870"/>
      <c r="D102" s="870"/>
      <c r="E102" s="870"/>
      <c r="F102" s="871"/>
      <c r="G102" s="871"/>
      <c r="H102" s="861"/>
      <c r="I102" s="861"/>
      <c r="J102" s="861"/>
      <c r="K102" s="861"/>
      <c r="M102" s="260"/>
      <c r="N102" s="260"/>
      <c r="O102" s="260"/>
      <c r="P102" s="260"/>
      <c r="Q102" s="260"/>
      <c r="R102" s="260"/>
      <c r="S102" s="260"/>
      <c r="AD102" s="103"/>
    </row>
    <row r="103" spans="1:30">
      <c r="A103" s="665" t="s">
        <v>816</v>
      </c>
      <c r="B103" s="136">
        <f>SUM('Fin Sta as rep'!C392:C397)/1000</f>
        <v>4532157</v>
      </c>
      <c r="C103" s="136">
        <f>SUM('Fin Sta as rep'!D392:D397)/1000</f>
        <v>14283484</v>
      </c>
      <c r="D103" s="136">
        <f>SUM('Fin Sta as rep'!E392:E397)/1000</f>
        <v>9507781</v>
      </c>
      <c r="E103" s="136">
        <f>SUM('Fin Sta as rep'!F392:F397)/1000</f>
        <v>9879385</v>
      </c>
      <c r="F103" s="136">
        <f>SUM('Fin Sta as rep'!G392:G397)/1000</f>
        <v>-24489908</v>
      </c>
      <c r="G103" s="136">
        <f>SUM('Fin Sta as rep'!I392:I397)/1000</f>
        <v>-17006426</v>
      </c>
      <c r="H103" s="136">
        <f>SUM('Fin Sta as rep'!J392:J397)/1000</f>
        <v>-16412946</v>
      </c>
      <c r="I103" s="886">
        <f>I62-H62+I66-H66</f>
        <v>3836024.727765331</v>
      </c>
      <c r="J103" s="886">
        <f>J62-I62+J66-I66</f>
        <v>4775570.906588288</v>
      </c>
      <c r="K103" s="886">
        <f>K62-J62+K66-J66</f>
        <v>5035444.3176302211</v>
      </c>
      <c r="M103" s="260" t="s">
        <v>1644</v>
      </c>
      <c r="N103" s="260"/>
      <c r="O103" s="260"/>
      <c r="P103" s="260"/>
      <c r="Q103" s="260"/>
      <c r="R103" s="260"/>
      <c r="S103" s="260"/>
      <c r="AD103" s="103"/>
    </row>
    <row r="104" spans="1:30">
      <c r="A104" s="665" t="s">
        <v>1003</v>
      </c>
      <c r="B104" s="136">
        <f>SUM('Fin Sta as rep'!C398:C404)/1000</f>
        <v>15068800</v>
      </c>
      <c r="C104" s="136">
        <f>SUM('Fin Sta as rep'!D398:D404)/1000</f>
        <v>100000</v>
      </c>
      <c r="D104" s="136">
        <f>SUM('Fin Sta as rep'!E398:E404)/1000</f>
        <v>10835</v>
      </c>
      <c r="E104" s="136">
        <f>SUM('Fin Sta as rep'!F398:F404)/1000</f>
        <v>500578</v>
      </c>
      <c r="F104" s="136">
        <f>SUM('Fin Sta as rep'!G398:G404)/1000</f>
        <v>-500000</v>
      </c>
      <c r="G104" s="136">
        <f>SUM('Fin Sta as rep'!I398:I404)/1000</f>
        <v>36213719</v>
      </c>
      <c r="H104" s="136">
        <f>SUM('Fin Sta as rep'!J398:J404)/1000</f>
        <v>507625</v>
      </c>
      <c r="I104" s="874">
        <v>0</v>
      </c>
      <c r="J104" s="874">
        <v>0</v>
      </c>
      <c r="K104" s="874">
        <v>0</v>
      </c>
      <c r="M104" s="260"/>
      <c r="N104" s="260"/>
      <c r="O104" s="260"/>
      <c r="P104" s="260"/>
      <c r="Q104" s="260"/>
      <c r="R104" s="260"/>
      <c r="S104" s="260"/>
      <c r="AD104" s="103"/>
    </row>
    <row r="105" spans="1:30" ht="14.5">
      <c r="A105" s="937" t="s">
        <v>825</v>
      </c>
      <c r="B105" s="136">
        <f>SUM('Fin Sta as rep'!C405:C408)/1000</f>
        <v>-3208633</v>
      </c>
      <c r="C105" s="136">
        <f>SUM('Fin Sta as rep'!D405:D408)/1000</f>
        <v>-3201316</v>
      </c>
      <c r="D105" s="136">
        <f>SUM('Fin Sta as rep'!E405:E408)/1000</f>
        <v>-4120193</v>
      </c>
      <c r="E105" s="136">
        <f>SUM('Fin Sta as rep'!F405:F408)/1000</f>
        <v>-4388702</v>
      </c>
      <c r="F105" s="136">
        <f>SUM('Fin Sta as rep'!G405:G408)/1000</f>
        <v>-3686029</v>
      </c>
      <c r="G105" s="136">
        <f>SUM('Fin Sta as rep'!I405:I408)/1000</f>
        <v>-2619303</v>
      </c>
      <c r="H105" s="136">
        <f>SUM('Fin Sta as rep'!J405:J408)/1000</f>
        <v>-1632852</v>
      </c>
      <c r="I105" s="220">
        <f>-I94-2911142855/10*1.05/1000</f>
        <v>220.17272499995306</v>
      </c>
      <c r="J105" s="220">
        <f>-J94-2911142855/10*1.05/1000</f>
        <v>460379.32892377966</v>
      </c>
      <c r="K105" s="220">
        <f>-K94-2911142855/10*1.05/1000</f>
        <v>692118.50920984626</v>
      </c>
      <c r="M105" s="260" t="s">
        <v>825</v>
      </c>
      <c r="N105" s="886"/>
      <c r="O105" s="886"/>
      <c r="P105" s="886"/>
      <c r="Q105" s="886"/>
      <c r="R105" s="886"/>
      <c r="S105" s="886"/>
      <c r="T105" s="886"/>
      <c r="U105" s="886"/>
      <c r="W105" s="869"/>
      <c r="AD105" s="103"/>
    </row>
    <row r="106" spans="1:30">
      <c r="A106" s="937" t="s">
        <v>834</v>
      </c>
      <c r="B106" s="136"/>
      <c r="C106" s="136"/>
      <c r="D106" s="136"/>
      <c r="E106" s="136"/>
      <c r="F106" s="136"/>
      <c r="G106" s="136"/>
      <c r="H106" s="136"/>
      <c r="I106" s="938"/>
      <c r="J106" s="861"/>
      <c r="K106" s="861"/>
      <c r="M106" s="260" t="s">
        <v>1645</v>
      </c>
      <c r="N106" s="260"/>
      <c r="O106" s="260"/>
      <c r="P106" s="260"/>
      <c r="Q106" s="260" t="s">
        <v>1428</v>
      </c>
      <c r="R106" s="260"/>
      <c r="S106" s="260"/>
      <c r="T106" s="862"/>
      <c r="U106" s="862"/>
      <c r="AD106" s="103"/>
    </row>
    <row r="107" spans="1:30" s="233" customFormat="1">
      <c r="A107" s="888" t="s">
        <v>837</v>
      </c>
      <c r="B107" s="879">
        <f>SUM('Fin Sta as rep'!C409:C412)/1000</f>
        <v>-122107</v>
      </c>
      <c r="C107" s="879">
        <f>SUM('Fin Sta as rep'!D409:D412)/1000</f>
        <v>-14344</v>
      </c>
      <c r="D107" s="879">
        <f>SUM('Fin Sta as rep'!E409:E412)/1000</f>
        <v>-1481912</v>
      </c>
      <c r="E107" s="879">
        <f>SUM('Fin Sta as rep'!F409:F412)/1000</f>
        <v>619084</v>
      </c>
      <c r="F107" s="879">
        <f>SUM('Fin Sta as rep'!G409:G412)/1000</f>
        <v>-231481</v>
      </c>
      <c r="G107" s="879">
        <f>SUM('Fin Sta as rep'!I409:I412)/1000</f>
        <v>-525473</v>
      </c>
      <c r="H107" s="879">
        <f>SUM('Fin Sta as rep'!J409:J412)/1000</f>
        <v>-1950510</v>
      </c>
      <c r="I107" s="885">
        <f>$G$107</f>
        <v>-525473</v>
      </c>
      <c r="J107" s="885">
        <f>$G$107</f>
        <v>-525473</v>
      </c>
      <c r="K107" s="885">
        <f>$G$107</f>
        <v>-525473</v>
      </c>
      <c r="M107" s="260" t="s">
        <v>807</v>
      </c>
      <c r="N107" s="260"/>
      <c r="O107" s="260"/>
      <c r="P107" s="260"/>
      <c r="Q107" s="260"/>
      <c r="R107" s="260"/>
      <c r="S107" s="260"/>
      <c r="T107" s="868"/>
      <c r="U107" s="868"/>
      <c r="AD107" s="228"/>
    </row>
    <row r="108" spans="1:30">
      <c r="A108" s="889" t="s">
        <v>1623</v>
      </c>
      <c r="B108" s="137">
        <f t="shared" ref="B108:K108" si="36">SUM(B103:B107)</f>
        <v>16270217</v>
      </c>
      <c r="C108" s="137">
        <f>SUM(C103:C107)</f>
        <v>11167824</v>
      </c>
      <c r="D108" s="137">
        <f t="shared" si="36"/>
        <v>3916511</v>
      </c>
      <c r="E108" s="137">
        <f t="shared" si="36"/>
        <v>6610345</v>
      </c>
      <c r="F108" s="137">
        <f t="shared" si="36"/>
        <v>-28907418</v>
      </c>
      <c r="G108" s="137">
        <f t="shared" si="36"/>
        <v>16062517</v>
      </c>
      <c r="H108" s="137">
        <f t="shared" si="36"/>
        <v>-19488683</v>
      </c>
      <c r="I108" s="137">
        <f t="shared" si="36"/>
        <v>3310771.900490331</v>
      </c>
      <c r="J108" s="137">
        <f t="shared" si="36"/>
        <v>4710477.2355120676</v>
      </c>
      <c r="K108" s="137">
        <f t="shared" si="36"/>
        <v>5202089.8268400673</v>
      </c>
      <c r="L108" s="137">
        <v>0</v>
      </c>
      <c r="M108" s="260"/>
      <c r="N108" s="260"/>
      <c r="O108" s="260"/>
      <c r="P108" s="260"/>
      <c r="Q108" s="260"/>
      <c r="R108" s="260"/>
      <c r="S108" s="260"/>
      <c r="AD108" s="103"/>
    </row>
    <row r="109" spans="1:30" s="233" customFormat="1">
      <c r="A109" s="888" t="s">
        <v>1624</v>
      </c>
      <c r="B109" s="879">
        <f>'Fin Sta as rep'!C415/1000</f>
        <v>97059</v>
      </c>
      <c r="C109" s="879">
        <f>'Fin Sta as rep'!D415/1000</f>
        <v>5733</v>
      </c>
      <c r="D109" s="879">
        <f>'Fin Sta as rep'!E415/1000</f>
        <v>6443</v>
      </c>
      <c r="E109" s="879">
        <f>'Fin Sta as rep'!F415/1000</f>
        <v>53334</v>
      </c>
      <c r="F109" s="879">
        <f>'Fin Sta as rep'!G415/1000</f>
        <v>23199</v>
      </c>
      <c r="G109" s="879">
        <f>'Fin Sta as rep'!I415/1000</f>
        <v>-43845</v>
      </c>
      <c r="H109" s="879">
        <f>'Fin Sta as rep'!J415/1000</f>
        <v>609620</v>
      </c>
      <c r="I109" s="880">
        <v>0</v>
      </c>
      <c r="J109" s="867">
        <v>0</v>
      </c>
      <c r="K109" s="867">
        <v>0</v>
      </c>
      <c r="M109" s="260" t="s">
        <v>1624</v>
      </c>
      <c r="N109" s="260"/>
      <c r="O109" s="260"/>
      <c r="P109" s="260"/>
      <c r="Q109" s="260"/>
      <c r="R109" s="260"/>
      <c r="S109" s="260"/>
      <c r="T109" s="868"/>
      <c r="U109" s="868"/>
      <c r="AD109" s="228"/>
    </row>
    <row r="110" spans="1:30">
      <c r="A110" s="889" t="s">
        <v>1625</v>
      </c>
      <c r="B110" s="137">
        <f t="shared" ref="B110:K110" si="37">B95+B101+B108+B109</f>
        <v>1079062.9999999851</v>
      </c>
      <c r="C110" s="137">
        <f>C95+C101+C108+C109</f>
        <v>1577360</v>
      </c>
      <c r="D110" s="137">
        <f t="shared" si="37"/>
        <v>2215103</v>
      </c>
      <c r="E110" s="137">
        <f t="shared" si="37"/>
        <v>523240.0000000149</v>
      </c>
      <c r="F110" s="137">
        <f t="shared" si="37"/>
        <v>2064201.0000000149</v>
      </c>
      <c r="G110" s="137">
        <f t="shared" si="37"/>
        <v>36081361.99999997</v>
      </c>
      <c r="H110" s="137">
        <f t="shared" si="37"/>
        <v>1362689.0000000596</v>
      </c>
      <c r="I110" s="137">
        <f>I95+I101+I108+I109</f>
        <v>38582805.677332416</v>
      </c>
      <c r="J110" s="137">
        <f t="shared" si="37"/>
        <v>27358511.635704715</v>
      </c>
      <c r="K110" s="137">
        <f t="shared" si="37"/>
        <v>24261410.123131536</v>
      </c>
      <c r="L110" s="137"/>
      <c r="M110" s="770"/>
      <c r="N110" s="673"/>
      <c r="AD110" s="103"/>
    </row>
    <row r="111" spans="1:30" ht="14.5">
      <c r="A111" s="869" t="s">
        <v>1581</v>
      </c>
      <c r="B111" s="869"/>
      <c r="C111" s="863"/>
      <c r="D111" s="863"/>
      <c r="E111" s="870"/>
      <c r="F111" s="871"/>
      <c r="G111" s="871"/>
      <c r="H111" s="861"/>
      <c r="I111" s="861"/>
      <c r="J111" s="861"/>
      <c r="K111" s="861"/>
      <c r="AD111" s="103"/>
    </row>
    <row r="112" spans="1:30">
      <c r="A112" s="665" t="s">
        <v>1626</v>
      </c>
      <c r="B112" s="665"/>
      <c r="C112" s="136">
        <f>B46</f>
        <v>7693666</v>
      </c>
      <c r="D112" s="136">
        <f t="shared" ref="D112:K112" si="38">C113</f>
        <v>9271026</v>
      </c>
      <c r="E112" s="136">
        <f t="shared" si="38"/>
        <v>11486129</v>
      </c>
      <c r="F112" s="136">
        <f t="shared" si="38"/>
        <v>12009369.000000015</v>
      </c>
      <c r="G112" s="136">
        <f t="shared" si="38"/>
        <v>14073570.00000003</v>
      </c>
      <c r="H112" s="136">
        <f t="shared" si="38"/>
        <v>50154932</v>
      </c>
      <c r="I112" s="220">
        <f t="shared" si="38"/>
        <v>51517621.00000006</v>
      </c>
      <c r="J112" s="136">
        <f t="shared" si="38"/>
        <v>90100426.677332476</v>
      </c>
      <c r="K112" s="136">
        <f t="shared" si="38"/>
        <v>117458938.31303719</v>
      </c>
      <c r="M112" s="260"/>
      <c r="AD112" s="103"/>
    </row>
    <row r="113" spans="1:30">
      <c r="A113" s="665" t="s">
        <v>1627</v>
      </c>
      <c r="B113" s="136">
        <f>B46</f>
        <v>7693666</v>
      </c>
      <c r="C113" s="863">
        <f>C112+C110</f>
        <v>9271026</v>
      </c>
      <c r="D113" s="863">
        <f t="shared" ref="D113:K113" si="39">D112+D110</f>
        <v>11486129</v>
      </c>
      <c r="E113" s="863">
        <f>E112+E110</f>
        <v>12009369.000000015</v>
      </c>
      <c r="F113" s="863">
        <f t="shared" si="39"/>
        <v>14073570.00000003</v>
      </c>
      <c r="G113" s="863">
        <f t="shared" si="39"/>
        <v>50154932</v>
      </c>
      <c r="H113" s="863">
        <f t="shared" si="39"/>
        <v>51517621.00000006</v>
      </c>
      <c r="I113" s="863">
        <f>I112+I110</f>
        <v>90100426.677332476</v>
      </c>
      <c r="J113" s="863">
        <f t="shared" si="39"/>
        <v>117458938.31303719</v>
      </c>
      <c r="K113" s="863">
        <f t="shared" si="39"/>
        <v>141720348.43616873</v>
      </c>
      <c r="M113" s="260"/>
      <c r="AD113" s="103"/>
    </row>
    <row r="114" spans="1:30" ht="14.5">
      <c r="A114" s="371" t="s">
        <v>1581</v>
      </c>
      <c r="B114" s="869"/>
      <c r="C114" s="870"/>
      <c r="D114" s="870"/>
      <c r="E114" s="870"/>
      <c r="F114" s="871"/>
      <c r="G114" s="871"/>
      <c r="H114" s="861"/>
      <c r="I114" s="861"/>
      <c r="J114" s="861"/>
      <c r="K114" s="861"/>
      <c r="AD114" s="103"/>
    </row>
  </sheetData>
  <phoneticPr fontId="4"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03A6D-DBA7-614C-8668-77A5F8D062A9}">
  <dimension ref="A1:D238"/>
  <sheetViews>
    <sheetView workbookViewId="0">
      <pane ySplit="1" topLeftCell="A38" activePane="bottomLeft" state="frozen"/>
      <selection pane="bottomLeft" activeCell="D168" sqref="D168"/>
    </sheetView>
  </sheetViews>
  <sheetFormatPr defaultColWidth="11.4140625" defaultRowHeight="14"/>
  <cols>
    <col min="1" max="1" width="59.83203125" style="39" customWidth="1"/>
    <col min="2" max="2" width="46" style="39" bestFit="1" customWidth="1"/>
    <col min="3" max="3" width="24.25" style="510" bestFit="1" customWidth="1"/>
    <col min="4" max="4" width="76.75" style="39" bestFit="1" customWidth="1"/>
  </cols>
  <sheetData>
    <row r="1" spans="1:4" ht="15.5">
      <c r="A1" s="39" t="s">
        <v>1018</v>
      </c>
      <c r="B1" s="1347" t="s">
        <v>1685</v>
      </c>
      <c r="C1" s="1340" t="s">
        <v>1686</v>
      </c>
      <c r="D1" s="1340" t="s">
        <v>1687</v>
      </c>
    </row>
    <row r="2" spans="1:4" ht="15.5">
      <c r="A2" s="1348" t="s">
        <v>1019</v>
      </c>
    </row>
    <row r="4" spans="1:4">
      <c r="A4" s="1338" t="s">
        <v>662</v>
      </c>
    </row>
    <row r="5" spans="1:4">
      <c r="A5" s="1338" t="s">
        <v>663</v>
      </c>
      <c r="B5" s="39" t="s">
        <v>189</v>
      </c>
    </row>
    <row r="6" spans="1:4">
      <c r="A6" s="1338" t="s">
        <v>665</v>
      </c>
      <c r="B6" s="39" t="s">
        <v>1688</v>
      </c>
    </row>
    <row r="7" spans="1:4">
      <c r="A7" s="1349" t="s">
        <v>508</v>
      </c>
    </row>
    <row r="8" spans="1:4">
      <c r="A8" s="1338" t="s">
        <v>1021</v>
      </c>
    </row>
    <row r="9" spans="1:4">
      <c r="A9" s="1338" t="s">
        <v>1022</v>
      </c>
    </row>
    <row r="10" spans="1:4">
      <c r="A10" s="1418" t="s">
        <v>1023</v>
      </c>
      <c r="B10" s="1367"/>
      <c r="C10" s="1343"/>
      <c r="D10" s="1367"/>
    </row>
    <row r="11" spans="1:4">
      <c r="A11" s="1349"/>
    </row>
    <row r="12" spans="1:4">
      <c r="A12" s="1349" t="s">
        <v>1024</v>
      </c>
    </row>
    <row r="13" spans="1:4">
      <c r="A13" s="1338" t="s">
        <v>1021</v>
      </c>
    </row>
    <row r="14" spans="1:4">
      <c r="A14" s="1338" t="s">
        <v>1022</v>
      </c>
    </row>
    <row r="15" spans="1:4">
      <c r="A15" s="1418" t="s">
        <v>1025</v>
      </c>
      <c r="B15" s="1367"/>
      <c r="C15" s="1343"/>
      <c r="D15" s="1367"/>
    </row>
    <row r="16" spans="1:4">
      <c r="A16" s="1418" t="s">
        <v>511</v>
      </c>
      <c r="B16" s="1367"/>
      <c r="C16" s="1343"/>
      <c r="D16" s="1367"/>
    </row>
    <row r="17" spans="1:4">
      <c r="A17" s="1349" t="s">
        <v>1026</v>
      </c>
    </row>
    <row r="18" spans="1:4">
      <c r="A18" s="1338" t="s">
        <v>1027</v>
      </c>
    </row>
    <row r="19" spans="1:4">
      <c r="A19" s="1338" t="s">
        <v>1028</v>
      </c>
    </row>
    <row r="20" spans="1:4">
      <c r="A20" s="1418" t="s">
        <v>616</v>
      </c>
      <c r="B20" s="1367"/>
      <c r="C20" s="1343"/>
      <c r="D20" s="1367"/>
    </row>
    <row r="21" spans="1:4">
      <c r="A21" s="1418" t="s">
        <v>1029</v>
      </c>
      <c r="B21" s="1367"/>
      <c r="C21" s="1343"/>
      <c r="D21" s="1367"/>
    </row>
    <row r="22" spans="1:4">
      <c r="A22" s="1338" t="s">
        <v>1031</v>
      </c>
      <c r="B22" s="39" t="s">
        <v>1689</v>
      </c>
    </row>
    <row r="23" spans="1:4">
      <c r="A23" s="1338" t="s">
        <v>597</v>
      </c>
      <c r="B23" s="1973" t="s">
        <v>1030</v>
      </c>
    </row>
    <row r="24" spans="1:4">
      <c r="A24" s="1338" t="s">
        <v>1032</v>
      </c>
      <c r="B24" s="1973"/>
    </row>
    <row r="25" spans="1:4">
      <c r="A25" s="1338" t="s">
        <v>1033</v>
      </c>
      <c r="B25" s="1973"/>
    </row>
    <row r="26" spans="1:4">
      <c r="A26" s="1338" t="s">
        <v>1034</v>
      </c>
      <c r="B26" s="1973"/>
    </row>
    <row r="27" spans="1:4">
      <c r="A27" s="1338" t="s">
        <v>633</v>
      </c>
      <c r="B27" s="1973"/>
    </row>
    <row r="28" spans="1:4">
      <c r="A28" s="1338" t="s">
        <v>634</v>
      </c>
      <c r="B28" s="1973"/>
    </row>
    <row r="29" spans="1:4">
      <c r="A29" s="1338" t="s">
        <v>1035</v>
      </c>
      <c r="B29" s="1979"/>
      <c r="C29" s="1345"/>
      <c r="D29" s="1362"/>
    </row>
    <row r="30" spans="1:4">
      <c r="A30" s="1418" t="s">
        <v>1036</v>
      </c>
    </row>
    <row r="31" spans="1:4">
      <c r="A31" s="1338" t="s">
        <v>635</v>
      </c>
    </row>
    <row r="32" spans="1:4">
      <c r="A32" s="1418" t="s">
        <v>1037</v>
      </c>
      <c r="B32" s="1367"/>
      <c r="C32" s="1343"/>
      <c r="D32" s="1367"/>
    </row>
    <row r="33" spans="1:1">
      <c r="A33" s="1349" t="s">
        <v>1038</v>
      </c>
    </row>
    <row r="34" spans="1:1">
      <c r="A34" s="1349" t="s">
        <v>639</v>
      </c>
    </row>
    <row r="35" spans="1:1">
      <c r="A35" s="1338" t="s">
        <v>1039</v>
      </c>
    </row>
    <row r="36" spans="1:1">
      <c r="A36" s="1338" t="s">
        <v>609</v>
      </c>
    </row>
    <row r="37" spans="1:1">
      <c r="A37" s="1338" t="s">
        <v>1040</v>
      </c>
    </row>
    <row r="38" spans="1:1">
      <c r="A38" s="1338" t="s">
        <v>1041</v>
      </c>
    </row>
    <row r="39" spans="1:1">
      <c r="A39" s="1349" t="s">
        <v>1690</v>
      </c>
    </row>
    <row r="40" spans="1:1">
      <c r="A40" s="1338" t="s">
        <v>1691</v>
      </c>
    </row>
    <row r="41" spans="1:1">
      <c r="A41" s="1338" t="s">
        <v>1692</v>
      </c>
    </row>
    <row r="42" spans="1:1">
      <c r="A42" s="1349"/>
    </row>
    <row r="43" spans="1:1">
      <c r="A43" s="1349" t="s">
        <v>639</v>
      </c>
    </row>
    <row r="44" spans="1:1">
      <c r="A44" s="58" t="s">
        <v>1045</v>
      </c>
    </row>
    <row r="45" spans="1:1">
      <c r="A45" s="39" t="s">
        <v>1046</v>
      </c>
    </row>
    <row r="46" spans="1:1">
      <c r="A46" s="58" t="s">
        <v>1047</v>
      </c>
    </row>
    <row r="47" spans="1:1">
      <c r="A47" s="58" t="s">
        <v>1048</v>
      </c>
    </row>
    <row r="48" spans="1:1">
      <c r="A48" s="39" t="s">
        <v>1039</v>
      </c>
    </row>
    <row r="49" spans="1:1">
      <c r="A49" s="39" t="s">
        <v>1049</v>
      </c>
    </row>
    <row r="50" spans="1:1">
      <c r="A50" s="39" t="s">
        <v>1040</v>
      </c>
    </row>
    <row r="51" spans="1:1">
      <c r="A51" s="39" t="s">
        <v>1041</v>
      </c>
    </row>
    <row r="52" spans="1:1">
      <c r="A52" s="58" t="s">
        <v>1693</v>
      </c>
    </row>
    <row r="54" spans="1:1">
      <c r="A54" s="58" t="s">
        <v>1051</v>
      </c>
    </row>
    <row r="55" spans="1:1">
      <c r="A55" s="39" t="s">
        <v>1052</v>
      </c>
    </row>
    <row r="56" spans="1:1">
      <c r="A56" s="39" t="s">
        <v>1053</v>
      </c>
    </row>
    <row r="57" spans="1:1">
      <c r="A57" s="58" t="s">
        <v>1694</v>
      </c>
    </row>
    <row r="58" spans="1:1">
      <c r="A58" s="39" t="s">
        <v>1052</v>
      </c>
    </row>
    <row r="59" spans="1:1">
      <c r="A59" s="39" t="s">
        <v>1053</v>
      </c>
    </row>
    <row r="60" spans="1:1">
      <c r="A60" s="1349" t="s">
        <v>1695</v>
      </c>
    </row>
    <row r="61" spans="1:1">
      <c r="A61" s="39" t="s">
        <v>1052</v>
      </c>
    </row>
    <row r="62" spans="1:1">
      <c r="A62" s="39" t="s">
        <v>1053</v>
      </c>
    </row>
    <row r="63" spans="1:1">
      <c r="A63" s="1349" t="s">
        <v>1696</v>
      </c>
    </row>
    <row r="64" spans="1:1">
      <c r="A64" s="39" t="s">
        <v>1052</v>
      </c>
    </row>
    <row r="65" spans="1:4">
      <c r="A65" s="39" t="s">
        <v>1053</v>
      </c>
    </row>
    <row r="66" spans="1:4">
      <c r="A66" s="1338" t="s">
        <v>1057</v>
      </c>
    </row>
    <row r="67" spans="1:4">
      <c r="A67" s="1338" t="s">
        <v>1058</v>
      </c>
    </row>
    <row r="68" spans="1:4">
      <c r="A68" s="1349" t="s">
        <v>1059</v>
      </c>
    </row>
    <row r="69" spans="1:4">
      <c r="A69" s="1349"/>
    </row>
    <row r="70" spans="1:4" ht="15" customHeight="1">
      <c r="A70" s="1350" t="s">
        <v>1060</v>
      </c>
      <c r="B70" s="1350"/>
    </row>
    <row r="71" spans="1:4" ht="15.5">
      <c r="A71" s="1348" t="s">
        <v>1019</v>
      </c>
      <c r="B71" s="1351"/>
    </row>
    <row r="72" spans="1:4">
      <c r="A72" s="1338" t="s">
        <v>662</v>
      </c>
    </row>
    <row r="73" spans="1:4">
      <c r="A73" s="1338" t="s">
        <v>663</v>
      </c>
      <c r="B73" s="39" t="s">
        <v>189</v>
      </c>
    </row>
    <row r="74" spans="1:4" ht="14.5" thickBot="1">
      <c r="A74" s="1352" t="s">
        <v>665</v>
      </c>
      <c r="B74" s="1353" t="s">
        <v>1697</v>
      </c>
      <c r="C74" s="1344"/>
      <c r="D74" s="1354"/>
    </row>
    <row r="75" spans="1:4">
      <c r="A75" s="1355" t="s">
        <v>1061</v>
      </c>
    </row>
    <row r="76" spans="1:4">
      <c r="A76" s="1356" t="s">
        <v>1062</v>
      </c>
      <c r="B76" s="1357"/>
    </row>
    <row r="77" spans="1:4">
      <c r="A77" s="39" t="s">
        <v>1063</v>
      </c>
      <c r="B77" s="1985" t="s">
        <v>877</v>
      </c>
      <c r="C77" s="1987" t="s">
        <v>1698</v>
      </c>
      <c r="D77" s="1983" t="s">
        <v>1699</v>
      </c>
    </row>
    <row r="78" spans="1:4">
      <c r="A78" s="39" t="s">
        <v>1064</v>
      </c>
      <c r="B78" s="1985"/>
      <c r="C78" s="1981"/>
      <c r="D78" s="1973"/>
    </row>
    <row r="79" spans="1:4">
      <c r="A79" s="39" t="s">
        <v>1065</v>
      </c>
      <c r="B79" s="1985"/>
      <c r="C79" s="1981"/>
      <c r="D79" s="1973"/>
    </row>
    <row r="80" spans="1:4">
      <c r="A80" s="39" t="s">
        <v>1066</v>
      </c>
      <c r="B80" s="1357" t="s">
        <v>1067</v>
      </c>
      <c r="C80" s="510" t="s">
        <v>1700</v>
      </c>
      <c r="D80" s="39" t="s">
        <v>1701</v>
      </c>
    </row>
    <row r="81" spans="1:4">
      <c r="A81" s="39" t="s">
        <v>789</v>
      </c>
      <c r="B81" s="1357" t="s">
        <v>696</v>
      </c>
      <c r="C81" s="510" t="s">
        <v>1700</v>
      </c>
      <c r="D81" s="39" t="s">
        <v>1702</v>
      </c>
    </row>
    <row r="82" spans="1:4">
      <c r="A82" s="39" t="s">
        <v>1068</v>
      </c>
      <c r="B82" s="1985" t="s">
        <v>1069</v>
      </c>
      <c r="C82" s="1981" t="s">
        <v>1700</v>
      </c>
      <c r="D82" s="1973" t="s">
        <v>1703</v>
      </c>
    </row>
    <row r="83" spans="1:4">
      <c r="A83" s="39" t="s">
        <v>1070</v>
      </c>
      <c r="B83" s="1985"/>
      <c r="C83" s="1981"/>
      <c r="D83" s="1973"/>
    </row>
    <row r="84" spans="1:4">
      <c r="A84" s="1377" t="s">
        <v>1071</v>
      </c>
      <c r="B84" s="1380"/>
      <c r="C84" s="1384"/>
      <c r="D84" s="1382"/>
    </row>
    <row r="85" spans="1:4">
      <c r="A85" s="1378"/>
      <c r="B85" s="1383"/>
      <c r="C85" s="1385"/>
    </row>
    <row r="86" spans="1:4">
      <c r="A86" s="1356" t="s">
        <v>1073</v>
      </c>
    </row>
    <row r="87" spans="1:4">
      <c r="A87" s="39" t="s">
        <v>1074</v>
      </c>
      <c r="B87" s="1338" t="s">
        <v>895</v>
      </c>
      <c r="C87" s="510" t="s">
        <v>1704</v>
      </c>
      <c r="D87" s="39" t="s">
        <v>1705</v>
      </c>
    </row>
    <row r="88" spans="1:4" ht="28">
      <c r="A88" s="39" t="s">
        <v>1075</v>
      </c>
      <c r="B88" s="1357" t="s">
        <v>1076</v>
      </c>
      <c r="C88" s="1341" t="s">
        <v>1704</v>
      </c>
      <c r="D88" s="1350" t="s">
        <v>1706</v>
      </c>
    </row>
    <row r="89" spans="1:4">
      <c r="A89" s="39" t="s">
        <v>1077</v>
      </c>
      <c r="B89" s="1338" t="s">
        <v>1078</v>
      </c>
      <c r="C89" s="510" t="s">
        <v>1704</v>
      </c>
      <c r="D89" s="39" t="s">
        <v>1707</v>
      </c>
    </row>
    <row r="90" spans="1:4" ht="28">
      <c r="A90" s="39" t="s">
        <v>1079</v>
      </c>
      <c r="B90" s="1338" t="s">
        <v>902</v>
      </c>
      <c r="C90" s="1341" t="s">
        <v>1704</v>
      </c>
      <c r="D90" s="1350" t="s">
        <v>1708</v>
      </c>
    </row>
    <row r="91" spans="1:4">
      <c r="A91" s="39" t="s">
        <v>713</v>
      </c>
      <c r="B91" s="1357" t="s">
        <v>713</v>
      </c>
      <c r="C91" s="510" t="s">
        <v>1700</v>
      </c>
      <c r="D91" s="39" t="s">
        <v>1709</v>
      </c>
    </row>
    <row r="92" spans="1:4">
      <c r="A92" s="39" t="s">
        <v>1080</v>
      </c>
      <c r="B92" s="1985" t="s">
        <v>1081</v>
      </c>
      <c r="C92" s="1981" t="s">
        <v>1700</v>
      </c>
      <c r="D92" s="1973" t="s">
        <v>1701</v>
      </c>
    </row>
    <row r="93" spans="1:4">
      <c r="A93" s="39" t="s">
        <v>1082</v>
      </c>
      <c r="B93" s="1985"/>
      <c r="C93" s="1981"/>
      <c r="D93" s="1973"/>
    </row>
    <row r="94" spans="1:4">
      <c r="A94" s="39" t="s">
        <v>1083</v>
      </c>
      <c r="B94" s="1986"/>
      <c r="C94" s="1981"/>
      <c r="D94" s="1973"/>
    </row>
    <row r="95" spans="1:4" ht="14.5" thickBot="1">
      <c r="A95" s="1358" t="s">
        <v>1084</v>
      </c>
      <c r="B95" s="1386"/>
      <c r="C95" s="1343"/>
      <c r="D95" s="1367"/>
    </row>
    <row r="96" spans="1:4">
      <c r="A96" s="1387" t="s">
        <v>1085</v>
      </c>
      <c r="B96" s="1389"/>
      <c r="C96" s="1390"/>
      <c r="D96" s="1393"/>
    </row>
    <row r="97" spans="1:4" ht="14.5" thickBot="1">
      <c r="A97" s="1359"/>
      <c r="B97" s="1388"/>
      <c r="C97" s="1344"/>
      <c r="D97" s="1392"/>
    </row>
    <row r="98" spans="1:4">
      <c r="A98" s="1355" t="s">
        <v>1086</v>
      </c>
    </row>
    <row r="99" spans="1:4">
      <c r="A99" s="1356" t="s">
        <v>1087</v>
      </c>
    </row>
    <row r="100" spans="1:4">
      <c r="A100" s="39" t="s">
        <v>1088</v>
      </c>
      <c r="B100" s="1357" t="s">
        <v>729</v>
      </c>
      <c r="C100" s="510" t="s">
        <v>1700</v>
      </c>
      <c r="D100" s="39" t="s">
        <v>1710</v>
      </c>
    </row>
    <row r="101" spans="1:4">
      <c r="A101" s="39" t="s">
        <v>1089</v>
      </c>
      <c r="B101" s="1357" t="s">
        <v>791</v>
      </c>
      <c r="C101" s="510" t="s">
        <v>1700</v>
      </c>
      <c r="D101" s="39" t="s">
        <v>1710</v>
      </c>
    </row>
    <row r="102" spans="1:4">
      <c r="A102" s="39" t="s">
        <v>1090</v>
      </c>
      <c r="B102" s="1985" t="s">
        <v>1091</v>
      </c>
      <c r="C102" s="1981" t="s">
        <v>1700</v>
      </c>
      <c r="D102" s="1973" t="s">
        <v>1703</v>
      </c>
    </row>
    <row r="103" spans="1:4">
      <c r="A103" s="39" t="s">
        <v>1092</v>
      </c>
      <c r="B103" s="1985"/>
      <c r="C103" s="1981"/>
      <c r="D103" s="1973"/>
    </row>
    <row r="104" spans="1:4">
      <c r="A104" s="39" t="s">
        <v>1093</v>
      </c>
      <c r="B104" s="1985"/>
      <c r="C104" s="1981"/>
      <c r="D104" s="1973"/>
    </row>
    <row r="105" spans="1:4">
      <c r="A105" s="39" t="s">
        <v>1711</v>
      </c>
      <c r="B105" s="1985"/>
      <c r="C105" s="1981"/>
      <c r="D105" s="1973"/>
    </row>
    <row r="106" spans="1:4">
      <c r="A106" s="39" t="s">
        <v>1095</v>
      </c>
      <c r="B106" s="1985"/>
      <c r="C106" s="1981"/>
      <c r="D106" s="1973"/>
    </row>
    <row r="107" spans="1:4">
      <c r="A107" s="39" t="s">
        <v>1096</v>
      </c>
      <c r="B107" s="1985"/>
      <c r="C107" s="1981"/>
      <c r="D107" s="1973"/>
    </row>
    <row r="108" spans="1:4">
      <c r="A108" s="39" t="s">
        <v>1097</v>
      </c>
      <c r="B108" s="1985"/>
      <c r="C108" s="1981"/>
      <c r="D108" s="1973"/>
    </row>
    <row r="109" spans="1:4">
      <c r="A109" s="39" t="s">
        <v>1098</v>
      </c>
      <c r="B109" s="1985"/>
      <c r="C109" s="1981"/>
      <c r="D109" s="1973"/>
    </row>
    <row r="110" spans="1:4">
      <c r="A110" s="1377" t="s">
        <v>1099</v>
      </c>
      <c r="B110" s="1380"/>
      <c r="C110" s="1381"/>
      <c r="D110" s="1395"/>
    </row>
    <row r="111" spans="1:4">
      <c r="A111" s="1379"/>
      <c r="B111" s="1394"/>
      <c r="C111" s="1385"/>
    </row>
    <row r="112" spans="1:4">
      <c r="A112" s="1356" t="s">
        <v>1100</v>
      </c>
    </row>
    <row r="113" spans="1:4">
      <c r="A113" s="39" t="s">
        <v>1101</v>
      </c>
      <c r="B113" s="1357" t="s">
        <v>740</v>
      </c>
      <c r="C113" s="510" t="s">
        <v>1700</v>
      </c>
      <c r="D113" s="39" t="s">
        <v>1712</v>
      </c>
    </row>
    <row r="114" spans="1:4">
      <c r="A114" s="39" t="s">
        <v>1102</v>
      </c>
      <c r="B114" s="1985" t="s">
        <v>745</v>
      </c>
      <c r="C114" s="1981" t="s">
        <v>1704</v>
      </c>
      <c r="D114" s="1973" t="s">
        <v>1713</v>
      </c>
    </row>
    <row r="115" spans="1:4">
      <c r="A115" s="39" t="s">
        <v>1103</v>
      </c>
      <c r="B115" s="1985"/>
      <c r="C115" s="1981"/>
      <c r="D115" s="1973"/>
    </row>
    <row r="116" spans="1:4">
      <c r="A116" s="39" t="s">
        <v>1714</v>
      </c>
      <c r="B116" s="1985"/>
      <c r="C116" s="1981"/>
      <c r="D116" s="1973"/>
    </row>
    <row r="117" spans="1:4">
      <c r="A117" s="39" t="s">
        <v>1105</v>
      </c>
      <c r="B117" s="1985"/>
      <c r="C117" s="1981"/>
      <c r="D117" s="1973"/>
    </row>
    <row r="118" spans="1:4">
      <c r="A118" s="226" t="s">
        <v>1106</v>
      </c>
      <c r="B118" s="1986"/>
      <c r="C118" s="1981"/>
      <c r="D118" s="1973"/>
    </row>
    <row r="119" spans="1:4" ht="14.5" thickBot="1">
      <c r="A119" s="58" t="s">
        <v>1107</v>
      </c>
      <c r="C119" s="1343"/>
      <c r="D119" s="1367"/>
    </row>
    <row r="120" spans="1:4">
      <c r="A120" s="1387" t="s">
        <v>1108</v>
      </c>
      <c r="B120" s="1389"/>
      <c r="C120" s="1391"/>
      <c r="D120" s="1396"/>
    </row>
    <row r="121" spans="1:4" ht="14.5" thickBot="1">
      <c r="A121" s="1359"/>
      <c r="B121" s="1388"/>
      <c r="C121" s="1397"/>
      <c r="D121" s="1354"/>
    </row>
    <row r="122" spans="1:4">
      <c r="A122" s="1355" t="s">
        <v>1715</v>
      </c>
    </row>
    <row r="123" spans="1:4">
      <c r="A123" s="58" t="s">
        <v>1110</v>
      </c>
      <c r="B123" s="1398"/>
      <c r="C123" s="1401"/>
      <c r="D123" s="1399"/>
    </row>
    <row r="124" spans="1:4">
      <c r="A124" s="39" t="s">
        <v>1111</v>
      </c>
      <c r="B124" s="1398"/>
      <c r="C124" s="1402"/>
    </row>
    <row r="125" spans="1:4">
      <c r="A125" s="39" t="s">
        <v>1112</v>
      </c>
      <c r="B125" s="1398"/>
      <c r="D125" s="1398"/>
    </row>
    <row r="126" spans="1:4">
      <c r="A126" s="39" t="s">
        <v>1113</v>
      </c>
      <c r="B126" s="1398"/>
      <c r="C126" s="1401"/>
      <c r="D126" s="1399"/>
    </row>
    <row r="127" spans="1:4">
      <c r="A127" s="39" t="s">
        <v>1114</v>
      </c>
      <c r="B127" s="1398"/>
      <c r="C127" s="1401"/>
    </row>
    <row r="128" spans="1:4">
      <c r="A128" s="39" t="s">
        <v>1115</v>
      </c>
      <c r="B128" s="1398"/>
      <c r="C128" s="1401"/>
      <c r="D128" s="1398"/>
    </row>
    <row r="129" spans="1:4">
      <c r="A129" s="39" t="s">
        <v>1116</v>
      </c>
      <c r="B129" s="1399"/>
      <c r="C129" s="1401"/>
      <c r="D129" s="1398"/>
    </row>
    <row r="130" spans="1:4">
      <c r="A130" s="39" t="s">
        <v>1117</v>
      </c>
      <c r="C130" s="1402"/>
      <c r="D130" s="1399"/>
    </row>
    <row r="131" spans="1:4">
      <c r="A131" s="39" t="s">
        <v>1118</v>
      </c>
      <c r="B131" s="1400"/>
      <c r="C131" s="1345"/>
      <c r="D131" s="1362"/>
    </row>
    <row r="132" spans="1:4">
      <c r="A132" s="1358" t="s">
        <v>1119</v>
      </c>
      <c r="B132" s="39" t="s">
        <v>1609</v>
      </c>
      <c r="C132" s="510" t="s">
        <v>1700</v>
      </c>
      <c r="D132" s="39" t="s">
        <v>1709</v>
      </c>
    </row>
    <row r="133" spans="1:4">
      <c r="A133" s="58"/>
      <c r="B133" s="1403"/>
      <c r="C133" s="1404"/>
      <c r="D133" s="1403"/>
    </row>
    <row r="134" spans="1:4">
      <c r="A134" s="58" t="s">
        <v>1121</v>
      </c>
    </row>
    <row r="135" spans="1:4">
      <c r="A135" s="39" t="s">
        <v>1716</v>
      </c>
      <c r="B135" s="1985" t="s">
        <v>755</v>
      </c>
      <c r="C135" s="1981" t="s">
        <v>1704</v>
      </c>
      <c r="D135" s="1990" t="s">
        <v>1717</v>
      </c>
    </row>
    <row r="136" spans="1:4">
      <c r="A136" s="39" t="s">
        <v>1718</v>
      </c>
      <c r="B136" s="1985"/>
      <c r="C136" s="1981"/>
      <c r="D136" s="1990"/>
    </row>
    <row r="137" spans="1:4">
      <c r="A137" s="39" t="s">
        <v>1719</v>
      </c>
      <c r="B137" s="1985"/>
      <c r="C137" s="1981"/>
      <c r="D137" s="1990"/>
    </row>
    <row r="138" spans="1:4">
      <c r="A138" s="39" t="s">
        <v>1124</v>
      </c>
      <c r="B138" s="1357" t="s">
        <v>1125</v>
      </c>
      <c r="C138" s="510" t="s">
        <v>1704</v>
      </c>
      <c r="D138" s="39" t="s">
        <v>1720</v>
      </c>
    </row>
    <row r="139" spans="1:4">
      <c r="A139" s="39" t="s">
        <v>1127</v>
      </c>
      <c r="B139" s="1357" t="s">
        <v>760</v>
      </c>
      <c r="C139" s="510" t="s">
        <v>1704</v>
      </c>
      <c r="D139" s="39" t="s">
        <v>1721</v>
      </c>
    </row>
    <row r="140" spans="1:4" ht="28">
      <c r="A140" s="226" t="s">
        <v>1128</v>
      </c>
      <c r="B140" s="1417" t="s">
        <v>758</v>
      </c>
      <c r="C140" s="1345" t="s">
        <v>1704</v>
      </c>
      <c r="D140" s="1363" t="s">
        <v>1722</v>
      </c>
    </row>
    <row r="141" spans="1:4">
      <c r="A141" s="58" t="s">
        <v>1129</v>
      </c>
    </row>
    <row r="142" spans="1:4" ht="14.5" thickBot="1">
      <c r="A142" s="1353" t="s">
        <v>1130</v>
      </c>
      <c r="B142" s="1364" t="s">
        <v>765</v>
      </c>
      <c r="C142" s="1344" t="s">
        <v>1700</v>
      </c>
      <c r="D142" s="1354" t="s">
        <v>1709</v>
      </c>
    </row>
    <row r="143" spans="1:4">
      <c r="A143" s="58" t="s">
        <v>1131</v>
      </c>
    </row>
    <row r="144" spans="1:4">
      <c r="A144" s="58" t="s">
        <v>1132</v>
      </c>
    </row>
    <row r="145" spans="1:4">
      <c r="A145" s="1405"/>
      <c r="B145" s="1406"/>
      <c r="C145" s="1409"/>
      <c r="D145" s="1408"/>
    </row>
    <row r="146" spans="1:4">
      <c r="A146" s="1414"/>
      <c r="B146" s="1415"/>
      <c r="C146" s="1416"/>
      <c r="D146" s="1414"/>
    </row>
    <row r="147" spans="1:4">
      <c r="A147" s="39" t="s">
        <v>1133</v>
      </c>
    </row>
    <row r="148" spans="1:4" ht="15.5">
      <c r="A148" s="1348" t="s">
        <v>1019</v>
      </c>
    </row>
    <row r="149" spans="1:4">
      <c r="A149" s="1338" t="s">
        <v>662</v>
      </c>
    </row>
    <row r="150" spans="1:4">
      <c r="A150" s="1338" t="s">
        <v>663</v>
      </c>
      <c r="B150" s="39" t="s">
        <v>189</v>
      </c>
    </row>
    <row r="151" spans="1:4" ht="14.5" thickBot="1">
      <c r="A151" s="1352" t="s">
        <v>665</v>
      </c>
      <c r="B151" s="1353" t="s">
        <v>1697</v>
      </c>
      <c r="C151" s="1344"/>
      <c r="D151" s="1354"/>
    </row>
    <row r="152" spans="1:4">
      <c r="A152" s="1365" t="s">
        <v>1134</v>
      </c>
      <c r="B152" s="1361"/>
    </row>
    <row r="153" spans="1:4">
      <c r="A153" s="39" t="s">
        <v>1135</v>
      </c>
      <c r="B153" s="1357" t="s">
        <v>543</v>
      </c>
      <c r="C153" s="510" t="s">
        <v>1704</v>
      </c>
      <c r="D153" s="39" t="s">
        <v>1723</v>
      </c>
    </row>
    <row r="154" spans="1:4">
      <c r="A154" s="39" t="s">
        <v>1136</v>
      </c>
      <c r="B154" s="39" t="s">
        <v>1136</v>
      </c>
      <c r="C154" s="510" t="s">
        <v>1700</v>
      </c>
      <c r="D154" s="39" t="s">
        <v>1709</v>
      </c>
    </row>
    <row r="155" spans="1:4">
      <c r="A155" s="58" t="s">
        <v>1137</v>
      </c>
    </row>
    <row r="156" spans="1:4">
      <c r="A156" s="1973" t="s">
        <v>1138</v>
      </c>
      <c r="B156" s="39" t="s">
        <v>1347</v>
      </c>
      <c r="C156" s="510" t="s">
        <v>1700</v>
      </c>
      <c r="D156" s="39" t="s">
        <v>1724</v>
      </c>
    </row>
    <row r="157" spans="1:4">
      <c r="A157" s="1973"/>
      <c r="B157" s="39" t="s">
        <v>1725</v>
      </c>
      <c r="C157" s="510" t="s">
        <v>1700</v>
      </c>
      <c r="D157" s="39" t="s">
        <v>1726</v>
      </c>
    </row>
    <row r="158" spans="1:4">
      <c r="A158" s="1973"/>
      <c r="B158" s="39" t="s">
        <v>771</v>
      </c>
      <c r="C158" s="510" t="s">
        <v>1700</v>
      </c>
      <c r="D158" s="1375" t="s">
        <v>1709</v>
      </c>
    </row>
    <row r="159" spans="1:4">
      <c r="A159" s="39" t="s">
        <v>1140</v>
      </c>
      <c r="B159" s="39" t="s">
        <v>778</v>
      </c>
      <c r="C159" s="510" t="s">
        <v>1700</v>
      </c>
      <c r="D159" s="39" t="s">
        <v>229</v>
      </c>
    </row>
    <row r="160" spans="1:4">
      <c r="A160" s="39" t="s">
        <v>1142</v>
      </c>
      <c r="B160" s="1985" t="s">
        <v>775</v>
      </c>
      <c r="C160" s="1988" t="s">
        <v>1700</v>
      </c>
      <c r="D160" s="1989" t="s">
        <v>1709</v>
      </c>
    </row>
    <row r="161" spans="1:4">
      <c r="A161" s="39" t="s">
        <v>1034</v>
      </c>
      <c r="B161" s="1985"/>
      <c r="C161" s="1988"/>
      <c r="D161" s="1989"/>
    </row>
    <row r="162" spans="1:4">
      <c r="A162" s="39" t="s">
        <v>634</v>
      </c>
      <c r="B162" s="1366" t="s">
        <v>1146</v>
      </c>
      <c r="C162" s="510" t="s">
        <v>1704</v>
      </c>
      <c r="D162" s="39" t="s">
        <v>1727</v>
      </c>
    </row>
    <row r="163" spans="1:4">
      <c r="A163" s="39" t="s">
        <v>1148</v>
      </c>
      <c r="B163" s="1357" t="s">
        <v>773</v>
      </c>
      <c r="C163" s="510" t="s">
        <v>1704</v>
      </c>
      <c r="D163" s="39" t="s">
        <v>1728</v>
      </c>
    </row>
    <row r="164" spans="1:4">
      <c r="A164" s="58" t="s">
        <v>1149</v>
      </c>
    </row>
    <row r="165" spans="1:4">
      <c r="A165" s="39" t="s">
        <v>1068</v>
      </c>
      <c r="B165" s="1357" t="s">
        <v>1069</v>
      </c>
      <c r="C165" s="510" t="s">
        <v>1704</v>
      </c>
      <c r="D165" s="39" t="s">
        <v>1729</v>
      </c>
    </row>
    <row r="166" spans="1:4">
      <c r="A166" s="39" t="s">
        <v>789</v>
      </c>
      <c r="B166" s="1357" t="s">
        <v>696</v>
      </c>
      <c r="C166" s="510" t="s">
        <v>1704</v>
      </c>
      <c r="D166" s="39" t="s">
        <v>1730</v>
      </c>
    </row>
    <row r="167" spans="1:4">
      <c r="A167" s="39" t="s">
        <v>1150</v>
      </c>
      <c r="B167" s="1357" t="s">
        <v>1151</v>
      </c>
      <c r="C167" s="510" t="s">
        <v>1700</v>
      </c>
      <c r="D167" s="39" t="s">
        <v>229</v>
      </c>
    </row>
    <row r="168" spans="1:4">
      <c r="A168" s="39" t="s">
        <v>1066</v>
      </c>
      <c r="B168" s="1357" t="s">
        <v>788</v>
      </c>
      <c r="C168" s="510" t="s">
        <v>1704</v>
      </c>
      <c r="D168" s="39" t="s">
        <v>1731</v>
      </c>
    </row>
    <row r="169" spans="1:4">
      <c r="A169" s="39" t="s">
        <v>1089</v>
      </c>
      <c r="B169" s="1357" t="s">
        <v>791</v>
      </c>
      <c r="C169" s="510" t="s">
        <v>1704</v>
      </c>
      <c r="D169" s="39" t="s">
        <v>1732</v>
      </c>
    </row>
    <row r="170" spans="1:4">
      <c r="A170" s="39" t="s">
        <v>1153</v>
      </c>
      <c r="B170" s="1980" t="s">
        <v>1146</v>
      </c>
      <c r="C170" s="1981" t="s">
        <v>1704</v>
      </c>
      <c r="D170" s="1973" t="s">
        <v>1727</v>
      </c>
    </row>
    <row r="171" spans="1:4">
      <c r="A171" s="39" t="s">
        <v>1090</v>
      </c>
      <c r="B171" s="1980"/>
      <c r="C171" s="1981"/>
      <c r="D171" s="1973"/>
    </row>
    <row r="172" spans="1:4">
      <c r="A172" s="39" t="s">
        <v>1096</v>
      </c>
      <c r="B172" s="1980"/>
      <c r="C172" s="1981"/>
      <c r="D172" s="1973"/>
    </row>
    <row r="173" spans="1:4" ht="32.15" customHeight="1">
      <c r="A173" s="39" t="s">
        <v>1152</v>
      </c>
      <c r="B173" s="1973" t="s">
        <v>780</v>
      </c>
      <c r="C173" s="1981" t="s">
        <v>1704</v>
      </c>
      <c r="D173" s="1983" t="s">
        <v>1733</v>
      </c>
    </row>
    <row r="174" spans="1:4" ht="32.15" customHeight="1">
      <c r="A174" s="39" t="s">
        <v>1143</v>
      </c>
      <c r="B174" s="1973"/>
      <c r="C174" s="1981"/>
      <c r="D174" s="1983"/>
    </row>
    <row r="175" spans="1:4">
      <c r="A175" s="39" t="s">
        <v>1144</v>
      </c>
      <c r="B175" s="1973"/>
      <c r="C175" s="1981"/>
      <c r="D175" s="1983"/>
    </row>
    <row r="176" spans="1:4">
      <c r="A176" s="39" t="s">
        <v>1145</v>
      </c>
      <c r="B176" s="1973"/>
      <c r="C176" s="1981"/>
      <c r="D176" s="1983"/>
    </row>
    <row r="177" spans="1:4">
      <c r="A177" s="39" t="s">
        <v>1141</v>
      </c>
      <c r="B177" s="1973"/>
      <c r="C177" s="1981"/>
      <c r="D177" s="1983"/>
    </row>
    <row r="178" spans="1:4">
      <c r="A178" s="39" t="s">
        <v>1031</v>
      </c>
      <c r="B178" s="1973"/>
      <c r="C178" s="1981"/>
      <c r="D178" s="1983"/>
    </row>
    <row r="179" spans="1:4">
      <c r="A179" s="39" t="s">
        <v>1147</v>
      </c>
      <c r="B179" s="1973"/>
      <c r="C179" s="1981"/>
      <c r="D179" s="1983"/>
    </row>
    <row r="180" spans="1:4">
      <c r="A180" s="39" t="s">
        <v>1080</v>
      </c>
      <c r="B180" s="1973"/>
      <c r="C180" s="1981"/>
      <c r="D180" s="1983"/>
    </row>
    <row r="181" spans="1:4">
      <c r="A181" s="1362" t="s">
        <v>1106</v>
      </c>
      <c r="B181" s="1979"/>
      <c r="C181" s="1982"/>
      <c r="D181" s="1984"/>
    </row>
    <row r="182" spans="1:4">
      <c r="A182" s="58" t="s">
        <v>1154</v>
      </c>
      <c r="C182" s="1343"/>
      <c r="D182" s="1367"/>
    </row>
    <row r="183" spans="1:4" ht="14.5" thickBot="1">
      <c r="A183" s="58" t="s">
        <v>1155</v>
      </c>
    </row>
    <row r="184" spans="1:4">
      <c r="A184" s="1410" t="s">
        <v>1156</v>
      </c>
      <c r="B184" s="1393"/>
      <c r="C184" s="1390"/>
      <c r="D184" s="1393"/>
    </row>
    <row r="185" spans="1:4" ht="14.5" thickBot="1">
      <c r="A185" s="1368"/>
      <c r="B185" s="1411"/>
      <c r="C185" s="1397"/>
      <c r="D185" s="1354"/>
    </row>
    <row r="186" spans="1:4">
      <c r="A186" s="1355" t="s">
        <v>1157</v>
      </c>
      <c r="C186" s="1339"/>
      <c r="D186" s="1369"/>
    </row>
    <row r="187" spans="1:4">
      <c r="A187" s="39" t="s">
        <v>1158</v>
      </c>
      <c r="B187" s="1357" t="s">
        <v>797</v>
      </c>
      <c r="C187" s="510" t="s">
        <v>1700</v>
      </c>
      <c r="D187" s="39" t="s">
        <v>1734</v>
      </c>
    </row>
    <row r="188" spans="1:4">
      <c r="A188" s="39" t="s">
        <v>1160</v>
      </c>
      <c r="B188" s="1985" t="s">
        <v>804</v>
      </c>
      <c r="C188" s="1981" t="s">
        <v>1700</v>
      </c>
      <c r="D188" s="1973" t="s">
        <v>229</v>
      </c>
    </row>
    <row r="189" spans="1:4">
      <c r="A189" s="39" t="s">
        <v>1735</v>
      </c>
      <c r="B189" s="1985"/>
      <c r="C189" s="1981"/>
      <c r="D189" s="1973"/>
    </row>
    <row r="190" spans="1:4">
      <c r="A190" s="39" t="s">
        <v>1164</v>
      </c>
      <c r="B190" s="1985"/>
      <c r="C190" s="1981"/>
      <c r="D190" s="1973"/>
    </row>
    <row r="191" spans="1:4">
      <c r="A191" s="39" t="s">
        <v>1165</v>
      </c>
      <c r="B191" s="1985"/>
      <c r="C191" s="1981"/>
      <c r="D191" s="1973"/>
    </row>
    <row r="192" spans="1:4">
      <c r="A192" s="39" t="s">
        <v>1168</v>
      </c>
      <c r="B192" s="1973" t="s">
        <v>1169</v>
      </c>
      <c r="C192" s="1981" t="s">
        <v>1700</v>
      </c>
      <c r="D192" s="1973" t="s">
        <v>1736</v>
      </c>
    </row>
    <row r="193" spans="1:4">
      <c r="A193" s="39" t="s">
        <v>1170</v>
      </c>
      <c r="B193" s="1973"/>
      <c r="C193" s="1981"/>
      <c r="D193" s="1973"/>
    </row>
    <row r="194" spans="1:4">
      <c r="A194" s="39" t="s">
        <v>1171</v>
      </c>
      <c r="B194" s="1973"/>
      <c r="C194" s="1981"/>
      <c r="D194" s="1973"/>
    </row>
    <row r="195" spans="1:4">
      <c r="A195" s="39" t="s">
        <v>1159</v>
      </c>
      <c r="B195" s="1973" t="s">
        <v>807</v>
      </c>
      <c r="C195" s="1981" t="s">
        <v>1700</v>
      </c>
      <c r="D195" s="1973" t="s">
        <v>1736</v>
      </c>
    </row>
    <row r="196" spans="1:4">
      <c r="A196" s="39" t="s">
        <v>1161</v>
      </c>
      <c r="B196" s="1973"/>
      <c r="C196" s="1981"/>
      <c r="D196" s="1973"/>
    </row>
    <row r="197" spans="1:4">
      <c r="A197" s="39" t="s">
        <v>1162</v>
      </c>
      <c r="B197" s="1973"/>
      <c r="C197" s="1981"/>
      <c r="D197" s="1973"/>
    </row>
    <row r="198" spans="1:4">
      <c r="A198" s="39" t="s">
        <v>1166</v>
      </c>
      <c r="B198" s="1973"/>
      <c r="C198" s="1981"/>
      <c r="D198" s="1973"/>
    </row>
    <row r="199" spans="1:4">
      <c r="A199" s="39" t="s">
        <v>1167</v>
      </c>
      <c r="B199" s="1979"/>
      <c r="C199" s="1981"/>
      <c r="D199" s="1973"/>
    </row>
    <row r="200" spans="1:4">
      <c r="A200" s="1370" t="s">
        <v>1172</v>
      </c>
      <c r="B200" s="1367"/>
      <c r="C200" s="1343"/>
      <c r="D200" s="1367"/>
    </row>
    <row r="201" spans="1:4" ht="14.5" thickBot="1">
      <c r="A201" s="58" t="s">
        <v>1173</v>
      </c>
    </row>
    <row r="202" spans="1:4">
      <c r="A202" s="1410" t="s">
        <v>1174</v>
      </c>
      <c r="B202" s="1393"/>
      <c r="C202" s="1413"/>
      <c r="D202" s="1393"/>
    </row>
    <row r="203" spans="1:4" ht="14.5" thickBot="1">
      <c r="A203" s="1368"/>
      <c r="B203" s="1411"/>
      <c r="C203" s="1412"/>
      <c r="D203" s="1354"/>
    </row>
    <row r="204" spans="1:4">
      <c r="A204" s="1355" t="s">
        <v>1737</v>
      </c>
    </row>
    <row r="205" spans="1:4">
      <c r="A205" s="39" t="s">
        <v>1186</v>
      </c>
      <c r="B205" s="1980" t="s">
        <v>816</v>
      </c>
      <c r="C205" s="1981" t="s">
        <v>1704</v>
      </c>
      <c r="D205" s="1973" t="s">
        <v>1738</v>
      </c>
    </row>
    <row r="206" spans="1:4">
      <c r="A206" s="39" t="s">
        <v>1177</v>
      </c>
      <c r="B206" s="1980"/>
      <c r="C206" s="1981"/>
      <c r="D206" s="1973"/>
    </row>
    <row r="207" spans="1:4">
      <c r="A207" s="39" t="s">
        <v>1178</v>
      </c>
      <c r="B207" s="1980"/>
      <c r="C207" s="1981"/>
      <c r="D207" s="1973"/>
    </row>
    <row r="208" spans="1:4">
      <c r="A208" s="39" t="s">
        <v>1176</v>
      </c>
      <c r="B208" s="1980" t="s">
        <v>1003</v>
      </c>
      <c r="C208" s="1981" t="s">
        <v>1700</v>
      </c>
      <c r="D208" s="1973" t="s">
        <v>1736</v>
      </c>
    </row>
    <row r="209" spans="1:4">
      <c r="A209" s="39" t="s">
        <v>1179</v>
      </c>
      <c r="B209" s="1980"/>
      <c r="C209" s="1981"/>
      <c r="D209" s="1973"/>
    </row>
    <row r="210" spans="1:4">
      <c r="A210" s="39" t="s">
        <v>1180</v>
      </c>
      <c r="B210" s="1980"/>
      <c r="C210" s="1981"/>
      <c r="D210" s="1973"/>
    </row>
    <row r="211" spans="1:4">
      <c r="A211" s="39" t="s">
        <v>1181</v>
      </c>
      <c r="B211" s="1980"/>
      <c r="C211" s="1981"/>
      <c r="D211" s="1973"/>
    </row>
    <row r="212" spans="1:4">
      <c r="A212" s="39" t="s">
        <v>1182</v>
      </c>
      <c r="B212" s="1980"/>
      <c r="C212" s="1981"/>
      <c r="D212" s="1973"/>
    </row>
    <row r="213" spans="1:4">
      <c r="A213" s="39" t="s">
        <v>1183</v>
      </c>
      <c r="B213" s="1980"/>
      <c r="C213" s="1981"/>
      <c r="D213" s="1973"/>
    </row>
    <row r="214" spans="1:4">
      <c r="A214" s="39" t="s">
        <v>1184</v>
      </c>
      <c r="B214" s="1980"/>
      <c r="C214" s="1981"/>
      <c r="D214" s="1973"/>
    </row>
    <row r="215" spans="1:4">
      <c r="A215" s="39" t="s">
        <v>1185</v>
      </c>
      <c r="B215" s="1980"/>
      <c r="C215" s="1981"/>
      <c r="D215" s="1973"/>
    </row>
    <row r="216" spans="1:4">
      <c r="A216" s="39" t="s">
        <v>1187</v>
      </c>
      <c r="B216" s="1980"/>
      <c r="C216" s="1981"/>
      <c r="D216" s="1973"/>
    </row>
    <row r="217" spans="1:4">
      <c r="A217" s="39" t="s">
        <v>1188</v>
      </c>
      <c r="B217" s="1980"/>
      <c r="C217" s="1981"/>
      <c r="D217" s="1973"/>
    </row>
    <row r="218" spans="1:4">
      <c r="A218" s="39" t="s">
        <v>1189</v>
      </c>
      <c r="B218" s="1980"/>
      <c r="C218" s="1981"/>
      <c r="D218" s="1973"/>
    </row>
    <row r="219" spans="1:4">
      <c r="A219" s="39" t="s">
        <v>1190</v>
      </c>
      <c r="B219" s="1980"/>
      <c r="C219" s="1981"/>
      <c r="D219" s="1973"/>
    </row>
    <row r="220" spans="1:4">
      <c r="A220" s="39" t="s">
        <v>1739</v>
      </c>
      <c r="B220" s="1980"/>
      <c r="C220" s="1981"/>
      <c r="D220" s="1973"/>
    </row>
    <row r="221" spans="1:4">
      <c r="A221" s="1369" t="s">
        <v>1192</v>
      </c>
      <c r="B221" s="1980"/>
      <c r="C221" s="1981"/>
      <c r="D221" s="1973"/>
    </row>
    <row r="222" spans="1:4">
      <c r="B222" s="1373" t="s">
        <v>825</v>
      </c>
      <c r="C222" s="510" t="s">
        <v>1700</v>
      </c>
      <c r="D222" s="1338" t="s">
        <v>1709</v>
      </c>
    </row>
    <row r="223" spans="1:4">
      <c r="B223" s="1373" t="s">
        <v>834</v>
      </c>
      <c r="C223" s="510" t="s">
        <v>1700</v>
      </c>
      <c r="D223" s="1338" t="s">
        <v>1709</v>
      </c>
    </row>
    <row r="224" spans="1:4">
      <c r="B224" s="1374" t="s">
        <v>837</v>
      </c>
      <c r="C224" s="510" t="s">
        <v>1700</v>
      </c>
      <c r="D224" s="1338" t="s">
        <v>1709</v>
      </c>
    </row>
    <row r="225" spans="1:4" ht="14.5" thickBot="1">
      <c r="A225" s="1370" t="s">
        <v>1740</v>
      </c>
      <c r="B225" s="1367"/>
      <c r="C225" s="1346"/>
      <c r="D225" s="1360"/>
    </row>
    <row r="226" spans="1:4">
      <c r="A226" s="1371" t="s">
        <v>1741</v>
      </c>
      <c r="B226" s="1372"/>
    </row>
    <row r="227" spans="1:4">
      <c r="A227" s="39" t="s">
        <v>1195</v>
      </c>
    </row>
    <row r="228" spans="1:4">
      <c r="A228" s="58" t="s">
        <v>1196</v>
      </c>
      <c r="B228" s="58"/>
    </row>
    <row r="229" spans="1:4">
      <c r="A229" s="39" t="s">
        <v>1197</v>
      </c>
    </row>
    <row r="230" spans="1:4">
      <c r="A230" s="58" t="s">
        <v>1198</v>
      </c>
      <c r="B230" s="58"/>
    </row>
    <row r="238" spans="1:4">
      <c r="C238" s="1407"/>
    </row>
  </sheetData>
  <autoFilter ref="A1:D1" xr:uid="{E5C03A6D-DBA7-614C-8668-77A5F8D062A9}"/>
  <mergeCells count="44">
    <mergeCell ref="D208:D221"/>
    <mergeCell ref="D160:D161"/>
    <mergeCell ref="D82:D83"/>
    <mergeCell ref="D92:D94"/>
    <mergeCell ref="D102:D109"/>
    <mergeCell ref="D114:D118"/>
    <mergeCell ref="D135:D137"/>
    <mergeCell ref="D188:D191"/>
    <mergeCell ref="D192:D194"/>
    <mergeCell ref="D195:D199"/>
    <mergeCell ref="D205:D207"/>
    <mergeCell ref="C192:C194"/>
    <mergeCell ref="B205:B207"/>
    <mergeCell ref="B208:B221"/>
    <mergeCell ref="B135:B137"/>
    <mergeCell ref="B195:B199"/>
    <mergeCell ref="B192:B194"/>
    <mergeCell ref="C195:C199"/>
    <mergeCell ref="C205:C207"/>
    <mergeCell ref="C208:C221"/>
    <mergeCell ref="C160:C161"/>
    <mergeCell ref="C188:C191"/>
    <mergeCell ref="C135:C137"/>
    <mergeCell ref="B114:B118"/>
    <mergeCell ref="B102:B109"/>
    <mergeCell ref="A156:A158"/>
    <mergeCell ref="B160:B161"/>
    <mergeCell ref="B188:B191"/>
    <mergeCell ref="B23:B29"/>
    <mergeCell ref="B173:B181"/>
    <mergeCell ref="B170:B172"/>
    <mergeCell ref="C170:C172"/>
    <mergeCell ref="D170:D172"/>
    <mergeCell ref="C173:C181"/>
    <mergeCell ref="D173:D181"/>
    <mergeCell ref="B92:B94"/>
    <mergeCell ref="B77:B79"/>
    <mergeCell ref="B82:B83"/>
    <mergeCell ref="D77:D79"/>
    <mergeCell ref="C82:C83"/>
    <mergeCell ref="C92:C94"/>
    <mergeCell ref="C102:C109"/>
    <mergeCell ref="C114:C118"/>
    <mergeCell ref="C77:C79"/>
  </mergeCells>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A7325-50B0-A149-BBCE-B0BB5B8607EC}">
  <dimension ref="A1:AK276"/>
  <sheetViews>
    <sheetView zoomScale="150" workbookViewId="0">
      <pane xSplit="1" ySplit="1" topLeftCell="W13" activePane="bottomRight" state="frozen"/>
      <selection pane="topRight" activeCell="B1" sqref="B1"/>
      <selection pane="bottomLeft" activeCell="A3" sqref="A3"/>
      <selection pane="bottomRight" activeCell="J25" sqref="J25:AC25"/>
    </sheetView>
  </sheetViews>
  <sheetFormatPr defaultColWidth="10.75" defaultRowHeight="14" outlineLevelCol="1"/>
  <cols>
    <col min="1" max="1" width="19.25" style="1020" bestFit="1" customWidth="1"/>
    <col min="2" max="22" width="10.83203125" style="1005" customWidth="1" outlineLevel="1"/>
    <col min="23" max="23" width="10.83203125" style="1147" customWidth="1" outlineLevel="1"/>
    <col min="24" max="27" width="10.83203125" style="1005" customWidth="1"/>
    <col min="28" max="28" width="10.83203125" style="1147" customWidth="1"/>
    <col min="29" max="29" width="10.75" style="1158"/>
    <col min="30" max="30" width="10.83203125" style="1005" customWidth="1"/>
    <col min="31" max="31" width="12.83203125" bestFit="1" customWidth="1"/>
    <col min="32" max="32" width="13" bestFit="1" customWidth="1"/>
    <col min="37" max="37" width="10.75" style="1158"/>
  </cols>
  <sheetData>
    <row r="1" spans="1:37" s="1134" customFormat="1" ht="14.5">
      <c r="A1" s="1129" t="s">
        <v>1742</v>
      </c>
      <c r="B1" s="1130" t="s">
        <v>1743</v>
      </c>
      <c r="C1" s="1130" t="s">
        <v>1744</v>
      </c>
      <c r="D1" s="1130" t="s">
        <v>1745</v>
      </c>
      <c r="E1" s="1130" t="s">
        <v>1746</v>
      </c>
      <c r="F1" s="1130" t="s">
        <v>1747</v>
      </c>
      <c r="G1" s="1130" t="s">
        <v>1748</v>
      </c>
      <c r="H1" s="1130" t="s">
        <v>1749</v>
      </c>
      <c r="I1" s="1130" t="s">
        <v>1750</v>
      </c>
      <c r="J1" s="1130" t="s">
        <v>1751</v>
      </c>
      <c r="K1" s="1130" t="s">
        <v>1752</v>
      </c>
      <c r="L1" s="1130" t="s">
        <v>1753</v>
      </c>
      <c r="M1" s="1130" t="s">
        <v>1754</v>
      </c>
      <c r="N1" s="1130" t="s">
        <v>1755</v>
      </c>
      <c r="O1" s="1130" t="s">
        <v>1756</v>
      </c>
      <c r="P1" s="1130" t="s">
        <v>1757</v>
      </c>
      <c r="Q1" s="1130" t="s">
        <v>1758</v>
      </c>
      <c r="R1" s="1130" t="s">
        <v>1759</v>
      </c>
      <c r="S1" s="1130" t="s">
        <v>1760</v>
      </c>
      <c r="T1" s="1130" t="s">
        <v>1761</v>
      </c>
      <c r="U1" s="1130" t="s">
        <v>1762</v>
      </c>
      <c r="V1" s="1130" t="s">
        <v>1763</v>
      </c>
      <c r="W1" s="1144" t="s">
        <v>1764</v>
      </c>
      <c r="X1" s="1130" t="s">
        <v>1765</v>
      </c>
      <c r="Y1" s="1130" t="s">
        <v>1766</v>
      </c>
      <c r="Z1" s="1131" t="s">
        <v>1767</v>
      </c>
      <c r="AA1" s="1130" t="s">
        <v>1768</v>
      </c>
      <c r="AB1" s="1144" t="s">
        <v>1769</v>
      </c>
      <c r="AC1" s="1138" t="s">
        <v>1770</v>
      </c>
      <c r="AD1" s="1132">
        <v>2018</v>
      </c>
      <c r="AE1" s="1132">
        <v>2019</v>
      </c>
      <c r="AF1" s="1152">
        <v>2020</v>
      </c>
      <c r="AG1" s="1132">
        <v>2021</v>
      </c>
      <c r="AH1" s="1132">
        <v>2022</v>
      </c>
      <c r="AI1" s="1132">
        <v>2023</v>
      </c>
      <c r="AJ1" s="1133">
        <v>2024</v>
      </c>
      <c r="AK1" s="1157">
        <v>2025</v>
      </c>
    </row>
    <row r="2" spans="1:37">
      <c r="A2" s="1020" t="s">
        <v>1771</v>
      </c>
      <c r="B2" s="1006">
        <v>110</v>
      </c>
      <c r="C2" s="1006">
        <v>202</v>
      </c>
      <c r="D2" s="1006">
        <v>145</v>
      </c>
      <c r="E2" s="1006">
        <v>178</v>
      </c>
      <c r="F2" s="1006">
        <v>136</v>
      </c>
      <c r="G2" s="1006">
        <v>150</v>
      </c>
      <c r="H2" s="1006">
        <v>182</v>
      </c>
      <c r="I2" s="1006">
        <v>103</v>
      </c>
      <c r="J2" s="1006">
        <v>99</v>
      </c>
      <c r="K2" s="1006">
        <v>161</v>
      </c>
      <c r="L2" s="1006">
        <v>256</v>
      </c>
      <c r="M2" s="1006">
        <v>275</v>
      </c>
      <c r="N2" s="1006">
        <v>343</v>
      </c>
      <c r="O2" s="1006">
        <v>434</v>
      </c>
      <c r="P2" s="1006">
        <v>512</v>
      </c>
      <c r="Q2" s="1006">
        <v>531</v>
      </c>
      <c r="R2" s="1006">
        <v>619</v>
      </c>
      <c r="S2" s="1006">
        <v>634</v>
      </c>
      <c r="T2" s="1006">
        <v>486</v>
      </c>
      <c r="U2" s="1006">
        <v>368</v>
      </c>
      <c r="V2" s="1006">
        <v>524</v>
      </c>
      <c r="W2" s="1145">
        <v>510</v>
      </c>
      <c r="X2" s="1006">
        <v>405</v>
      </c>
      <c r="Y2" s="1006">
        <v>596</v>
      </c>
      <c r="Z2" s="1120">
        <f>Z5-Z4-Z3</f>
        <v>1214.6353333333309</v>
      </c>
      <c r="AA2" s="1006"/>
      <c r="AD2" s="1007">
        <f>SUM(G2:J2)</f>
        <v>534</v>
      </c>
      <c r="AE2" s="1007">
        <f>SUM(K2:N2)</f>
        <v>1035</v>
      </c>
      <c r="AF2" s="1146">
        <f>SUM(O2:R2)</f>
        <v>2096</v>
      </c>
      <c r="AG2" s="1007">
        <f>SUM(S2:V2)</f>
        <v>2012</v>
      </c>
      <c r="AH2" s="1007"/>
      <c r="AI2" s="1007"/>
    </row>
    <row r="3" spans="1:37">
      <c r="A3" s="1020" t="s">
        <v>1772</v>
      </c>
      <c r="B3" s="1006">
        <v>629</v>
      </c>
      <c r="C3" s="1006">
        <v>957</v>
      </c>
      <c r="D3" s="1006">
        <v>792</v>
      </c>
      <c r="E3" s="1006">
        <v>1016</v>
      </c>
      <c r="F3" s="1006">
        <v>1288</v>
      </c>
      <c r="G3" s="1006">
        <v>1715</v>
      </c>
      <c r="H3" s="1006">
        <v>411</v>
      </c>
      <c r="I3" s="1006">
        <v>1471</v>
      </c>
      <c r="J3" s="1006">
        <v>1813</v>
      </c>
      <c r="K3" s="1006">
        <v>6640</v>
      </c>
      <c r="L3" s="1006">
        <v>12649</v>
      </c>
      <c r="M3" s="1006">
        <v>13288</v>
      </c>
      <c r="N3" s="1006">
        <v>10837</v>
      </c>
      <c r="O3" s="1006">
        <v>6192</v>
      </c>
      <c r="P3" s="1006">
        <v>4394</v>
      </c>
      <c r="Q3" s="1006">
        <v>5904</v>
      </c>
      <c r="R3" s="1006">
        <v>4696</v>
      </c>
      <c r="S3" s="1006">
        <v>3768</v>
      </c>
      <c r="T3" s="1006">
        <v>5816</v>
      </c>
      <c r="U3" s="1006">
        <v>5933</v>
      </c>
      <c r="V3" s="1006">
        <v>5600</v>
      </c>
      <c r="W3" s="1145">
        <v>3834</v>
      </c>
      <c r="X3" s="1006">
        <v>1661</v>
      </c>
      <c r="Y3" s="1006">
        <v>4598</v>
      </c>
      <c r="Z3" s="1120">
        <f>Y3*1.1</f>
        <v>5057.8</v>
      </c>
      <c r="AA3" s="1006"/>
      <c r="AD3" s="1007">
        <f>SUM(G3:J3)</f>
        <v>5410</v>
      </c>
      <c r="AE3" s="1007">
        <f>SUM(K3:N3)</f>
        <v>43414</v>
      </c>
      <c r="AF3" s="1146">
        <f>SUM(O3:R3)</f>
        <v>21186</v>
      </c>
      <c r="AG3" s="1007">
        <f>SUM(S3:V3)</f>
        <v>21117</v>
      </c>
      <c r="AH3" s="1007"/>
      <c r="AI3" s="1007"/>
    </row>
    <row r="4" spans="1:37">
      <c r="A4" s="1020" t="s">
        <v>1773</v>
      </c>
      <c r="B4" s="1006">
        <v>2031</v>
      </c>
      <c r="C4" s="1006">
        <v>1661</v>
      </c>
      <c r="D4" s="1006">
        <v>1665</v>
      </c>
      <c r="E4" s="1006">
        <v>1915</v>
      </c>
      <c r="F4" s="1006">
        <v>2580</v>
      </c>
      <c r="G4" s="1006">
        <v>2965</v>
      </c>
      <c r="H4" s="1006">
        <v>3352</v>
      </c>
      <c r="I4" s="1006">
        <v>17106</v>
      </c>
      <c r="J4" s="1006">
        <v>14551</v>
      </c>
      <c r="K4" s="1006">
        <v>9929</v>
      </c>
      <c r="L4" s="1006">
        <v>30632</v>
      </c>
      <c r="M4" s="1006">
        <v>28028</v>
      </c>
      <c r="N4" s="1006">
        <v>28626</v>
      </c>
      <c r="O4" s="1006">
        <v>14955</v>
      </c>
      <c r="P4" s="1006">
        <v>17675</v>
      </c>
      <c r="Q4" s="1006">
        <v>21899</v>
      </c>
      <c r="R4" s="1006">
        <v>26628</v>
      </c>
      <c r="S4" s="1006">
        <v>18991</v>
      </c>
      <c r="T4" s="1006">
        <v>15518</v>
      </c>
      <c r="U4" s="1006">
        <v>15302</v>
      </c>
      <c r="V4" s="1006">
        <v>16946</v>
      </c>
      <c r="W4" s="1145">
        <v>17864</v>
      </c>
      <c r="X4" s="1006">
        <v>18649</v>
      </c>
      <c r="Y4" s="1006">
        <v>20328</v>
      </c>
      <c r="Z4" s="1120">
        <f>Y4*1.2</f>
        <v>24393.599999999999</v>
      </c>
      <c r="AA4" s="1006"/>
      <c r="AD4" s="1007">
        <f>SUM(G4:J4)</f>
        <v>37974</v>
      </c>
      <c r="AE4" s="1007">
        <f>SUM(K4:N4)</f>
        <v>97215</v>
      </c>
      <c r="AF4" s="1146">
        <f>SUM(O4:R4)</f>
        <v>81157</v>
      </c>
      <c r="AG4" s="1007">
        <f>SUM(S4:V4)</f>
        <v>66757</v>
      </c>
      <c r="AH4" s="1007"/>
      <c r="AI4" s="1007"/>
    </row>
    <row r="5" spans="1:37">
      <c r="A5" s="1020" t="s">
        <v>1774</v>
      </c>
      <c r="B5" s="1007">
        <f>SUM(B2:B4)</f>
        <v>2770</v>
      </c>
      <c r="C5" s="1007">
        <f t="shared" ref="C5:F5" si="0">SUM(C2:C4)</f>
        <v>2820</v>
      </c>
      <c r="D5" s="1007">
        <f t="shared" si="0"/>
        <v>2602</v>
      </c>
      <c r="E5" s="1007">
        <f t="shared" si="0"/>
        <v>3109</v>
      </c>
      <c r="F5" s="1007">
        <f t="shared" si="0"/>
        <v>4004</v>
      </c>
      <c r="G5" s="1007">
        <f>SUM(G2:G4)</f>
        <v>4830</v>
      </c>
      <c r="H5" s="1007">
        <f t="shared" ref="H5:P5" si="1">SUM(H2:H4)</f>
        <v>3945</v>
      </c>
      <c r="I5" s="1007">
        <f t="shared" si="1"/>
        <v>18680</v>
      </c>
      <c r="J5" s="1007">
        <f t="shared" si="1"/>
        <v>16463</v>
      </c>
      <c r="K5" s="1007">
        <f t="shared" si="1"/>
        <v>16730</v>
      </c>
      <c r="L5" s="1007">
        <f t="shared" si="1"/>
        <v>43537</v>
      </c>
      <c r="M5" s="1007">
        <f t="shared" si="1"/>
        <v>41591</v>
      </c>
      <c r="N5" s="1007">
        <f t="shared" si="1"/>
        <v>39806</v>
      </c>
      <c r="O5" s="1007">
        <f t="shared" si="1"/>
        <v>21581</v>
      </c>
      <c r="P5" s="1007">
        <f t="shared" si="1"/>
        <v>22581</v>
      </c>
      <c r="Q5" s="1007">
        <f>SUM(Q2:Q4)</f>
        <v>28334</v>
      </c>
      <c r="R5" s="1007">
        <f t="shared" ref="R5" si="2">SUM(R2:R4)</f>
        <v>31943</v>
      </c>
      <c r="S5" s="1007">
        <f t="shared" ref="S5" si="3">SUM(S2:S4)</f>
        <v>23393</v>
      </c>
      <c r="T5" s="1007">
        <f t="shared" ref="T5" si="4">SUM(T2:T4)</f>
        <v>21820</v>
      </c>
      <c r="U5" s="1007">
        <f t="shared" ref="U5" si="5">SUM(U2:U4)</f>
        <v>21603</v>
      </c>
      <c r="V5" s="1007">
        <f t="shared" ref="V5" si="6">SUM(V2:V4)</f>
        <v>23070</v>
      </c>
      <c r="W5" s="1146">
        <f t="shared" ref="W5" si="7">SUM(W2:W4)</f>
        <v>22208</v>
      </c>
      <c r="X5" s="1007">
        <f t="shared" ref="X5" si="8">SUM(X2:X4)</f>
        <v>20715</v>
      </c>
      <c r="Y5" s="1007">
        <f t="shared" ref="Y5" si="9">SUM(Y2:Y4)</f>
        <v>25522</v>
      </c>
      <c r="Z5" s="1007">
        <f>Z11*$Z$22</f>
        <v>30666.03533333333</v>
      </c>
      <c r="AA5" s="1007">
        <f t="shared" ref="AA5" si="10">AA11*$Z$22</f>
        <v>36799.242399999996</v>
      </c>
      <c r="AB5" s="1146">
        <f>AB11*$Z$22</f>
        <v>44159.090879999996</v>
      </c>
      <c r="AC5" s="1140">
        <f>AC11*$Z$22</f>
        <v>55198.863599999997</v>
      </c>
      <c r="AD5" s="1007">
        <f>SUM(AD2:AD4)</f>
        <v>43918</v>
      </c>
      <c r="AE5" s="1007">
        <f t="shared" ref="AE5:AG5" si="11">SUM(AE2:AE4)</f>
        <v>141664</v>
      </c>
      <c r="AF5" s="1146">
        <f t="shared" si="11"/>
        <v>104439</v>
      </c>
      <c r="AG5" s="1007">
        <f t="shared" si="11"/>
        <v>89886</v>
      </c>
      <c r="AH5" s="1007">
        <f>SUM(W5:Z5)</f>
        <v>99111.035333333333</v>
      </c>
      <c r="AI5" s="1007">
        <f>AI11*AI22*0.8</f>
        <v>174051.1498183597</v>
      </c>
      <c r="AJ5" s="1007">
        <f t="shared" ref="AJ5:AK5" si="12">AJ11*AJ22</f>
        <v>305434.59622994851</v>
      </c>
      <c r="AK5" s="1140">
        <f t="shared" si="12"/>
        <v>394733.81135128095</v>
      </c>
    </row>
    <row r="6" spans="1:37">
      <c r="B6" s="320"/>
      <c r="C6" s="320"/>
      <c r="D6" s="320"/>
      <c r="E6" s="320"/>
      <c r="F6" s="320"/>
      <c r="X6" s="1018"/>
      <c r="Y6" s="1019"/>
      <c r="AD6" s="1007"/>
      <c r="AE6" s="1007"/>
      <c r="AF6" s="1146"/>
      <c r="AG6" s="1007"/>
      <c r="AH6" s="1014">
        <v>285000</v>
      </c>
      <c r="AI6" s="1014">
        <v>200000</v>
      </c>
      <c r="AJ6" s="1014">
        <v>500000</v>
      </c>
      <c r="AK6" s="1159">
        <v>1500000</v>
      </c>
    </row>
    <row r="7" spans="1:37" s="1119" customFormat="1" ht="14.5">
      <c r="A7" s="1129" t="s">
        <v>1775</v>
      </c>
      <c r="B7" s="1135"/>
      <c r="C7" s="1135"/>
      <c r="D7" s="1135"/>
      <c r="E7" s="1135"/>
      <c r="F7" s="1135"/>
      <c r="G7" s="1114"/>
      <c r="H7" s="1114"/>
      <c r="I7" s="1114"/>
      <c r="J7" s="1114"/>
      <c r="K7" s="1114"/>
      <c r="L7" s="1114"/>
      <c r="M7" s="1114"/>
      <c r="N7" s="1114"/>
      <c r="O7" s="1114"/>
      <c r="P7" s="1114"/>
      <c r="Q7" s="1114"/>
      <c r="R7" s="1114"/>
      <c r="S7" s="1114"/>
      <c r="T7" s="1114"/>
      <c r="U7" s="1114"/>
      <c r="V7" s="1114"/>
      <c r="W7" s="1148"/>
      <c r="X7" s="1114"/>
      <c r="Y7" s="1122"/>
      <c r="Z7" s="1114"/>
      <c r="AA7" s="1114"/>
      <c r="AB7" s="1148"/>
      <c r="AC7" s="1160"/>
      <c r="AD7" s="1117"/>
      <c r="AE7" s="1117"/>
      <c r="AF7" s="1153"/>
      <c r="AG7" s="1117"/>
      <c r="AH7" s="1117"/>
      <c r="AI7" s="1117"/>
      <c r="AK7" s="1160"/>
    </row>
    <row r="8" spans="1:37">
      <c r="A8" s="1020" t="s">
        <v>1771</v>
      </c>
      <c r="B8" s="1009">
        <v>0.03</v>
      </c>
      <c r="C8" s="1009">
        <v>0.03</v>
      </c>
      <c r="D8" s="1009">
        <v>0.03</v>
      </c>
      <c r="E8" s="1009">
        <v>0.03</v>
      </c>
      <c r="F8" s="1009">
        <v>0.03</v>
      </c>
      <c r="G8" s="1009">
        <v>0.03</v>
      </c>
      <c r="H8" s="1009">
        <v>0.03</v>
      </c>
      <c r="I8" s="1009">
        <v>0.03</v>
      </c>
      <c r="J8" s="1009">
        <v>0.03</v>
      </c>
      <c r="K8" s="1009">
        <v>2.1999999999999999E-2</v>
      </c>
      <c r="L8" s="1009">
        <v>0.02</v>
      </c>
      <c r="M8" s="1009">
        <v>1.9E-2</v>
      </c>
      <c r="N8" s="1009">
        <v>1.7999999999999999E-2</v>
      </c>
      <c r="O8" s="1009">
        <v>1.6E-2</v>
      </c>
      <c r="P8" s="1009">
        <v>1.4E-2</v>
      </c>
      <c r="Q8" s="1009">
        <v>1.2E-2</v>
      </c>
      <c r="R8" s="1009">
        <v>8.9999999999999993E-3</v>
      </c>
      <c r="S8" s="1009">
        <v>8.0000000000000002E-3</v>
      </c>
      <c r="T8" s="1009">
        <v>6.0000000000000001E-3</v>
      </c>
      <c r="U8" s="1009">
        <v>4.0000000000000001E-3</v>
      </c>
      <c r="V8" s="1009">
        <v>4.0000000000000001E-3</v>
      </c>
      <c r="W8" s="1149">
        <v>4.0000000000000001E-3</v>
      </c>
      <c r="X8" s="1009">
        <v>4.0000000000000001E-3</v>
      </c>
      <c r="Y8" s="1009">
        <v>4.0000000000000001E-3</v>
      </c>
      <c r="Z8" s="1017">
        <f t="shared" ref="Z8:Z10" si="13">AVERAGE(W8:Y8)</f>
        <v>4.0000000000000001E-3</v>
      </c>
      <c r="AA8" s="1009"/>
      <c r="AD8" s="1007"/>
      <c r="AE8" s="1007"/>
      <c r="AF8" s="1146"/>
      <c r="AG8" s="1007"/>
      <c r="AH8" s="1007"/>
      <c r="AI8" s="1007"/>
    </row>
    <row r="9" spans="1:37">
      <c r="A9" s="1020" t="s">
        <v>1772</v>
      </c>
      <c r="B9" s="1009">
        <v>0.14299999999999999</v>
      </c>
      <c r="C9" s="1009">
        <v>0.14299999999999999</v>
      </c>
      <c r="D9" s="1009">
        <v>0.14299999999999999</v>
      </c>
      <c r="E9" s="1009">
        <v>0.14299999999999999</v>
      </c>
      <c r="F9" s="1009">
        <v>0.14399999999999999</v>
      </c>
      <c r="G9" s="1009">
        <v>0.28000000000000003</v>
      </c>
      <c r="H9" s="1009">
        <v>5.7000000000000002E-2</v>
      </c>
      <c r="I9" s="1009">
        <v>0.189</v>
      </c>
      <c r="J9" s="1009">
        <v>0.222</v>
      </c>
      <c r="K9" s="1009">
        <v>0.29199999999999998</v>
      </c>
      <c r="L9" s="1009">
        <v>0.55500000000000005</v>
      </c>
      <c r="M9" s="1009">
        <v>0.442</v>
      </c>
      <c r="N9" s="1009">
        <v>0.30599999999999999</v>
      </c>
      <c r="O9" s="1009">
        <v>0.26100000000000001</v>
      </c>
      <c r="P9" s="1009">
        <v>0.315</v>
      </c>
      <c r="Q9" s="1009">
        <v>0.217</v>
      </c>
      <c r="R9" s="1009">
        <v>0.13800000000000001</v>
      </c>
      <c r="S9" s="1009">
        <v>0.121</v>
      </c>
      <c r="T9" s="1009">
        <v>0.161</v>
      </c>
      <c r="U9" s="1009">
        <v>0.129</v>
      </c>
      <c r="V9" s="1009">
        <v>0.10299999999999999</v>
      </c>
      <c r="W9" s="1149">
        <v>6.5000000000000002E-2</v>
      </c>
      <c r="X9" s="1009">
        <v>6.5000000000000002E-2</v>
      </c>
      <c r="Y9" s="1009">
        <v>8.7999999999999995E-2</v>
      </c>
      <c r="Z9" s="1017">
        <f>AVERAGE(X9:Y9)</f>
        <v>7.6499999999999999E-2</v>
      </c>
      <c r="AA9" s="1009"/>
      <c r="AD9" s="1007"/>
      <c r="AE9" s="1007"/>
      <c r="AF9" s="1146"/>
      <c r="AG9" s="1007"/>
      <c r="AH9" s="1007"/>
      <c r="AI9" s="1007"/>
    </row>
    <row r="10" spans="1:37">
      <c r="A10" s="1020" t="s">
        <v>1773</v>
      </c>
      <c r="B10" s="1009">
        <v>0.14299999999999999</v>
      </c>
      <c r="C10" s="1009">
        <v>0.14299999999999999</v>
      </c>
      <c r="D10" s="1009">
        <v>0.14299999999999999</v>
      </c>
      <c r="E10" s="1009">
        <v>0.14599999999999999</v>
      </c>
      <c r="F10" s="1009">
        <v>0.156</v>
      </c>
      <c r="G10" s="1009">
        <v>0.157</v>
      </c>
      <c r="H10" s="1009">
        <v>0.122</v>
      </c>
      <c r="I10" s="1009">
        <v>0.23599999999999999</v>
      </c>
      <c r="J10" s="1009">
        <v>0.183</v>
      </c>
      <c r="K10" s="1009">
        <v>0.30099999999999999</v>
      </c>
      <c r="L10" s="1009">
        <v>0.51100000000000001</v>
      </c>
      <c r="M10" s="1009">
        <v>0.53400000000000003</v>
      </c>
      <c r="N10" s="1009">
        <v>0.499</v>
      </c>
      <c r="O10" s="1009">
        <v>0.39800000000000002</v>
      </c>
      <c r="P10" s="1009">
        <v>0.42599999999999999</v>
      </c>
      <c r="Q10" s="1009">
        <v>0.32500000000000001</v>
      </c>
      <c r="R10" s="1009">
        <v>0.32900000000000001</v>
      </c>
      <c r="S10" s="1009">
        <v>0.253</v>
      </c>
      <c r="T10" s="1009">
        <v>0.184</v>
      </c>
      <c r="U10" s="1009">
        <v>0.14799999999999999</v>
      </c>
      <c r="V10" s="1009">
        <v>0.13800000000000001</v>
      </c>
      <c r="W10" s="1149">
        <v>0.14499999999999999</v>
      </c>
      <c r="X10" s="1009">
        <v>0.14499999999999999</v>
      </c>
      <c r="Y10" s="1009">
        <v>0.14299999999999999</v>
      </c>
      <c r="Z10" s="1017">
        <f t="shared" si="13"/>
        <v>0.14433333333333331</v>
      </c>
      <c r="AA10" s="1009"/>
      <c r="AD10" s="1007"/>
      <c r="AE10" s="1007"/>
      <c r="AF10" s="1146"/>
      <c r="AG10" s="1007"/>
      <c r="AH10" s="1007"/>
      <c r="AI10" s="1007"/>
    </row>
    <row r="11" spans="1:37">
      <c r="A11" s="1020" t="s">
        <v>1774</v>
      </c>
      <c r="B11" s="1009">
        <v>0.124</v>
      </c>
      <c r="C11" s="1009">
        <v>0.113</v>
      </c>
      <c r="D11" s="1009">
        <v>0.11799999999999999</v>
      </c>
      <c r="E11" s="1009">
        <v>0.11899999999999999</v>
      </c>
      <c r="F11" s="1009">
        <v>0.13400000000000001</v>
      </c>
      <c r="G11" s="1009">
        <v>0.161</v>
      </c>
      <c r="H11" s="1009">
        <v>9.7000000000000003E-2</v>
      </c>
      <c r="I11" s="1009">
        <v>0.223</v>
      </c>
      <c r="J11" s="1009">
        <v>0.18099999999999999</v>
      </c>
      <c r="K11" s="1009">
        <v>0.26500000000000001</v>
      </c>
      <c r="L11" s="1009">
        <v>0.45700000000000002</v>
      </c>
      <c r="M11" s="1009">
        <v>0.42799999999999999</v>
      </c>
      <c r="N11" s="1009">
        <v>0.35499999999999998</v>
      </c>
      <c r="O11" s="1009">
        <v>0.24399999999999999</v>
      </c>
      <c r="P11" s="1009">
        <v>0.248</v>
      </c>
      <c r="Q11" s="1009">
        <v>0.20300000000000001</v>
      </c>
      <c r="R11" s="1009">
        <v>0.17699999999999999</v>
      </c>
      <c r="S11" s="1009">
        <v>0.127</v>
      </c>
      <c r="T11" s="1009">
        <v>0.108</v>
      </c>
      <c r="U11" s="1009">
        <v>8.8999999999999996E-2</v>
      </c>
      <c r="V11" s="1009">
        <v>7.4999999999999997E-2</v>
      </c>
      <c r="W11" s="1149">
        <v>7.1999999999999995E-2</v>
      </c>
      <c r="X11" s="1009">
        <v>8.1000000000000003E-2</v>
      </c>
      <c r="Y11" s="1009">
        <v>7.3999999999999996E-2</v>
      </c>
      <c r="Z11" s="1017">
        <f>AVERAGE(W11:Y11)</f>
        <v>7.566666666666666E-2</v>
      </c>
      <c r="AA11" s="1121">
        <f>Z11*1.2</f>
        <v>9.0799999999999992E-2</v>
      </c>
      <c r="AB11" s="1166">
        <f>AA11*1.2</f>
        <v>0.10895999999999999</v>
      </c>
      <c r="AC11" s="1165">
        <f>AB11*1.25</f>
        <v>0.13619999999999999</v>
      </c>
      <c r="AD11" s="1011">
        <f>AD5/AD22</f>
        <v>0.17888768502602787</v>
      </c>
      <c r="AE11" s="1011">
        <f t="shared" ref="AE11" si="14">AE5/AE22</f>
        <v>0.38531670909763477</v>
      </c>
      <c r="AF11" s="1011">
        <f>AF5/AF22</f>
        <v>0.20902557205387004</v>
      </c>
      <c r="AG11" s="1011">
        <f>AG5/AG22</f>
        <v>9.6037181473369301E-2</v>
      </c>
      <c r="AH11" s="1017">
        <f>AH5/AH22</f>
        <v>7.5435521480999995E-2</v>
      </c>
      <c r="AI11" s="1017">
        <f>AVERAGE(AF11:AH11)</f>
        <v>0.12683275833607977</v>
      </c>
      <c r="AJ11" s="1017">
        <f>AVERAGE(AG11:AI11)*(1+50%)</f>
        <v>0.14915273064522452</v>
      </c>
      <c r="AK11" s="1161">
        <f>AVERAGE(AH11:AJ11)*(1+50%)</f>
        <v>0.17571050523115214</v>
      </c>
    </row>
    <row r="12" spans="1:37">
      <c r="B12" s="320"/>
      <c r="C12" s="320"/>
      <c r="D12" s="320"/>
      <c r="E12" s="320"/>
      <c r="F12" s="320"/>
      <c r="J12" s="1008"/>
      <c r="K12" s="1008"/>
      <c r="L12" s="1008"/>
      <c r="M12" s="1008"/>
      <c r="N12" s="1008"/>
      <c r="O12" s="1008"/>
      <c r="P12" s="1008"/>
      <c r="Y12" s="1016"/>
      <c r="AD12" s="1007"/>
      <c r="AE12" s="1007"/>
      <c r="AF12" s="1146"/>
      <c r="AG12" s="1007"/>
      <c r="AH12" s="1012">
        <f>AH6/AH22</f>
        <v>0.21691957459407499</v>
      </c>
      <c r="AI12" s="1012">
        <f>AI6/AI25</f>
        <v>0.1111111111111111</v>
      </c>
      <c r="AJ12" s="1012">
        <f>AJ6/AJ25</f>
        <v>0.16666666666666666</v>
      </c>
      <c r="AK12" s="1162">
        <f>AK6/AK25</f>
        <v>0.3</v>
      </c>
    </row>
    <row r="13" spans="1:37" s="1119" customFormat="1" ht="14.5">
      <c r="A13" s="1129" t="s">
        <v>1776</v>
      </c>
      <c r="B13" s="1135"/>
      <c r="C13" s="1135"/>
      <c r="D13" s="1135"/>
      <c r="E13" s="1135"/>
      <c r="F13" s="1135"/>
      <c r="G13" s="1114"/>
      <c r="H13" s="1114"/>
      <c r="I13" s="1114"/>
      <c r="J13" s="1115"/>
      <c r="K13" s="1115"/>
      <c r="L13" s="1115"/>
      <c r="M13" s="1115"/>
      <c r="N13" s="1115"/>
      <c r="O13" s="1115"/>
      <c r="P13" s="1115"/>
      <c r="Q13" s="1114"/>
      <c r="R13" s="1114"/>
      <c r="S13" s="1114"/>
      <c r="T13" s="1114"/>
      <c r="U13" s="1114"/>
      <c r="V13" s="1114"/>
      <c r="W13" s="1148"/>
      <c r="X13" s="1114"/>
      <c r="Y13" s="1116"/>
      <c r="Z13" s="1114"/>
      <c r="AA13" s="1114"/>
      <c r="AB13" s="1148"/>
      <c r="AC13" s="1160"/>
      <c r="AD13" s="1117"/>
      <c r="AE13" s="1117"/>
      <c r="AF13" s="1153"/>
      <c r="AG13" s="1117"/>
      <c r="AH13" s="1118"/>
      <c r="AI13" s="1118"/>
      <c r="AJ13" s="1118"/>
      <c r="AK13" s="1163"/>
    </row>
    <row r="14" spans="1:37">
      <c r="A14" s="1020" t="s">
        <v>148</v>
      </c>
      <c r="B14" s="1009"/>
      <c r="C14" s="1009"/>
      <c r="D14" s="1009"/>
      <c r="E14" s="1009">
        <v>0.33300000000000002</v>
      </c>
      <c r="F14" s="1009">
        <v>0.27300000000000002</v>
      </c>
      <c r="G14" s="1009">
        <v>9.8000000000000004E-2</v>
      </c>
      <c r="H14" s="1009">
        <v>8.8999999999999996E-2</v>
      </c>
      <c r="I14" s="1009">
        <v>0.22900000000000001</v>
      </c>
      <c r="J14" s="1009">
        <v>0.14599999999999999</v>
      </c>
      <c r="K14" s="1009">
        <v>0.26100000000000001</v>
      </c>
      <c r="L14" s="1009">
        <v>0.46100000000000002</v>
      </c>
      <c r="M14" s="1009">
        <v>0.48399999999999999</v>
      </c>
      <c r="N14" s="1009">
        <v>0.434</v>
      </c>
      <c r="O14" s="1009">
        <v>0.315</v>
      </c>
      <c r="P14" s="1009">
        <v>0.309</v>
      </c>
      <c r="Q14" s="1009">
        <v>0.17699999999999999</v>
      </c>
      <c r="R14" s="1009">
        <v>0.22700000000000001</v>
      </c>
      <c r="S14" s="1009">
        <v>0.183</v>
      </c>
      <c r="T14" s="1009">
        <v>0.14499999999999999</v>
      </c>
      <c r="U14" s="1009">
        <v>0.104</v>
      </c>
      <c r="V14" s="1009">
        <v>6.4000000000000001E-2</v>
      </c>
      <c r="W14" s="1149">
        <v>6.9000000000000006E-2</v>
      </c>
      <c r="X14" s="1009">
        <v>7.1999999999999995E-2</v>
      </c>
      <c r="Y14" s="1009">
        <v>5.1999999999999998E-2</v>
      </c>
      <c r="Z14" s="1121">
        <f>AVERAGE(W14:Y14)</f>
        <v>6.433333333333334E-2</v>
      </c>
      <c r="AD14" s="1007"/>
      <c r="AE14" s="1007"/>
      <c r="AF14" s="1146"/>
      <c r="AG14" s="1007"/>
      <c r="AH14" s="1012"/>
      <c r="AI14" s="1012"/>
      <c r="AJ14" s="1012"/>
      <c r="AK14" s="1162"/>
    </row>
    <row r="15" spans="1:37">
      <c r="A15" s="1020" t="s">
        <v>21</v>
      </c>
      <c r="B15" s="1009"/>
      <c r="C15" s="1009"/>
      <c r="D15" s="1009"/>
      <c r="E15" s="1009"/>
      <c r="F15" s="1009"/>
      <c r="G15" s="1009"/>
      <c r="H15" s="1009"/>
      <c r="I15" s="1009"/>
      <c r="J15" s="1009"/>
      <c r="K15" s="1009"/>
      <c r="L15" s="1009"/>
      <c r="M15" s="1009"/>
      <c r="N15" s="1009"/>
      <c r="O15" s="1009">
        <v>0.54500000000000004</v>
      </c>
      <c r="P15" s="1009">
        <v>0.499</v>
      </c>
      <c r="Q15" s="1009">
        <v>0.38400000000000001</v>
      </c>
      <c r="R15" s="1009">
        <v>0.33700000000000002</v>
      </c>
      <c r="S15" s="1009">
        <v>0.28999999999999998</v>
      </c>
      <c r="T15" s="1009">
        <v>0.20100000000000001</v>
      </c>
      <c r="U15" s="1009">
        <v>0.13400000000000001</v>
      </c>
      <c r="V15" s="1009">
        <v>0.14299999999999999</v>
      </c>
      <c r="W15" s="1149">
        <v>0.122</v>
      </c>
      <c r="X15" s="1009">
        <v>0.123</v>
      </c>
      <c r="Y15" s="1009">
        <v>0.13300000000000001</v>
      </c>
      <c r="Z15" s="1121">
        <f t="shared" ref="Z15:Z17" si="15">AVERAGE(W15:Y15)</f>
        <v>0.126</v>
      </c>
      <c r="AD15" s="1007"/>
      <c r="AE15" s="1007"/>
      <c r="AF15" s="1146"/>
      <c r="AG15" s="1007"/>
      <c r="AH15" s="1012"/>
      <c r="AI15" s="1012"/>
      <c r="AJ15" s="1012"/>
      <c r="AK15" s="1162"/>
    </row>
    <row r="16" spans="1:37">
      <c r="A16" s="1020" t="s">
        <v>1777</v>
      </c>
      <c r="B16" s="1009">
        <v>0.14299999999999999</v>
      </c>
      <c r="C16" s="1009">
        <v>0.14299999999999999</v>
      </c>
      <c r="D16" s="1009">
        <v>0.14299999999999999</v>
      </c>
      <c r="E16" s="1009">
        <v>0.14299999999999999</v>
      </c>
      <c r="F16" s="1009">
        <v>0.14399999999999999</v>
      </c>
      <c r="G16" s="1009">
        <v>0.20200000000000001</v>
      </c>
      <c r="H16" s="1009">
        <v>0.19</v>
      </c>
      <c r="I16" s="1009">
        <v>0.26</v>
      </c>
      <c r="J16" s="1009">
        <v>0.32900000000000001</v>
      </c>
      <c r="K16" s="1009">
        <v>0.5</v>
      </c>
      <c r="L16" s="1009">
        <v>0.80600000000000005</v>
      </c>
      <c r="M16" s="1009">
        <v>0.75</v>
      </c>
      <c r="N16" s="1009">
        <v>0.73599999999999999</v>
      </c>
      <c r="O16" s="1009">
        <v>0.64500000000000002</v>
      </c>
      <c r="P16" s="1009">
        <v>0.622</v>
      </c>
      <c r="Q16" s="1009">
        <v>0.56499999999999995</v>
      </c>
      <c r="R16" s="1009">
        <v>0.54100000000000004</v>
      </c>
      <c r="S16" s="1009">
        <v>0.51800000000000002</v>
      </c>
      <c r="T16" s="1009">
        <v>0.47299999999999998</v>
      </c>
      <c r="U16" s="1009">
        <v>0.45200000000000001</v>
      </c>
      <c r="V16" s="1009">
        <v>0.44600000000000001</v>
      </c>
      <c r="W16" s="1149">
        <v>0.5</v>
      </c>
      <c r="X16" s="1009">
        <v>0.47399999999999998</v>
      </c>
      <c r="Y16" s="1009">
        <v>0.44800000000000001</v>
      </c>
      <c r="Z16" s="1121">
        <f t="shared" si="15"/>
        <v>0.47399999999999998</v>
      </c>
      <c r="AD16" s="1007"/>
      <c r="AE16" s="1007"/>
      <c r="AF16" s="1146"/>
      <c r="AG16" s="1007"/>
      <c r="AH16" s="1012"/>
      <c r="AI16" s="1012"/>
      <c r="AJ16" s="1012"/>
      <c r="AK16" s="1162"/>
    </row>
    <row r="17" spans="1:37">
      <c r="A17" s="1020" t="s">
        <v>1778</v>
      </c>
      <c r="B17" s="1009">
        <v>0.14299999999999999</v>
      </c>
      <c r="C17" s="1009">
        <v>0.14299999999999999</v>
      </c>
      <c r="D17" s="1009">
        <v>0.14299999999999999</v>
      </c>
      <c r="E17" s="1009">
        <v>0.14599999999999999</v>
      </c>
      <c r="F17" s="1009">
        <v>0.156</v>
      </c>
      <c r="G17" s="1009">
        <v>0.157</v>
      </c>
      <c r="H17" s="1009">
        <v>0.122</v>
      </c>
      <c r="I17" s="1009">
        <v>0.23599999999999999</v>
      </c>
      <c r="J17" s="1009">
        <v>0.183</v>
      </c>
      <c r="K17" s="1009">
        <v>0.30099999999999999</v>
      </c>
      <c r="L17" s="1009">
        <v>0.51100000000000001</v>
      </c>
      <c r="M17" s="1009">
        <v>0.53400000000000003</v>
      </c>
      <c r="N17" s="1009">
        <v>0.499</v>
      </c>
      <c r="O17" s="1009">
        <v>0.39800000000000002</v>
      </c>
      <c r="P17" s="1009">
        <v>0.42599999999999999</v>
      </c>
      <c r="Q17" s="1009">
        <v>0.32500000000000001</v>
      </c>
      <c r="R17" s="1009">
        <v>0.32900000000000001</v>
      </c>
      <c r="S17" s="1009">
        <v>0.253</v>
      </c>
      <c r="T17" s="1009">
        <v>0.184</v>
      </c>
      <c r="U17" s="1009">
        <v>0.14799999999999999</v>
      </c>
      <c r="V17" s="1009">
        <v>0.13800000000000001</v>
      </c>
      <c r="W17" s="1149">
        <v>0.14499999999999999</v>
      </c>
      <c r="X17" s="1009">
        <v>0.14499999999999999</v>
      </c>
      <c r="Y17" s="1009">
        <v>0.14299999999999999</v>
      </c>
      <c r="Z17" s="1121">
        <f t="shared" si="15"/>
        <v>0.14433333333333331</v>
      </c>
      <c r="AD17" s="1007"/>
      <c r="AE17" s="1007"/>
      <c r="AF17" s="1146"/>
      <c r="AG17" s="1007"/>
      <c r="AH17" s="1012"/>
      <c r="AI17" s="1012"/>
      <c r="AJ17" s="1012"/>
      <c r="AK17" s="1162"/>
    </row>
    <row r="18" spans="1:37">
      <c r="B18" s="320"/>
      <c r="C18" s="320"/>
      <c r="D18" s="320"/>
      <c r="E18" s="320"/>
      <c r="F18" s="320"/>
      <c r="J18" s="1008"/>
      <c r="K18" s="1008"/>
      <c r="L18" s="1008"/>
      <c r="M18" s="1008"/>
      <c r="N18" s="1008"/>
      <c r="O18" s="1008"/>
      <c r="P18" s="1008"/>
      <c r="Y18" s="1016"/>
      <c r="AD18" s="1007"/>
      <c r="AE18" s="1007"/>
      <c r="AF18" s="1146"/>
      <c r="AG18" s="1007"/>
      <c r="AH18" s="1012"/>
      <c r="AI18" s="1012"/>
      <c r="AJ18" s="1012"/>
      <c r="AK18" s="1162"/>
    </row>
    <row r="19" spans="1:37" s="1119" customFormat="1" ht="14.5">
      <c r="A19" s="1129" t="s">
        <v>1779</v>
      </c>
      <c r="B19" s="1135"/>
      <c r="C19" s="1135"/>
      <c r="D19" s="1135"/>
      <c r="E19" s="1135"/>
      <c r="F19" s="1135"/>
      <c r="G19" s="1114"/>
      <c r="H19" s="1114"/>
      <c r="I19" s="1114"/>
      <c r="J19" s="1114"/>
      <c r="K19" s="1114"/>
      <c r="L19" s="1114"/>
      <c r="M19" s="1114"/>
      <c r="N19" s="1114"/>
      <c r="O19" s="1114"/>
      <c r="P19" s="1114"/>
      <c r="Q19" s="1114"/>
      <c r="R19" s="1114"/>
      <c r="S19" s="1114"/>
      <c r="T19" s="1114"/>
      <c r="U19" s="1114"/>
      <c r="V19" s="1114"/>
      <c r="W19" s="1148"/>
      <c r="X19" s="1114"/>
      <c r="Y19" s="1114"/>
      <c r="Z19" s="1114"/>
      <c r="AA19" s="1114"/>
      <c r="AB19" s="1148"/>
      <c r="AC19" s="1160"/>
      <c r="AD19" s="1117"/>
      <c r="AE19" s="1117"/>
      <c r="AF19" s="1153"/>
      <c r="AG19" s="1117"/>
      <c r="AH19" s="1117"/>
      <c r="AI19" s="1117"/>
      <c r="AK19" s="1160"/>
    </row>
    <row r="20" spans="1:37">
      <c r="A20" s="1020" t="s">
        <v>1780</v>
      </c>
      <c r="B20" s="408"/>
      <c r="C20" s="408"/>
      <c r="D20" s="408"/>
      <c r="E20" s="408">
        <v>26137</v>
      </c>
      <c r="F20" s="408">
        <v>29967</v>
      </c>
      <c r="G20" s="408">
        <v>8182</v>
      </c>
      <c r="H20" s="408">
        <v>18449</v>
      </c>
      <c r="I20" s="408">
        <v>56065</v>
      </c>
      <c r="J20" s="408">
        <v>63359</v>
      </c>
      <c r="K20" s="408">
        <v>50928</v>
      </c>
      <c r="L20" s="408">
        <v>77634</v>
      </c>
      <c r="M20" s="408">
        <v>79703</v>
      </c>
      <c r="N20" s="408">
        <v>92620</v>
      </c>
      <c r="O20" s="408">
        <v>76266</v>
      </c>
      <c r="P20" s="408">
        <v>80277</v>
      </c>
      <c r="Q20" s="408">
        <v>124318</v>
      </c>
      <c r="R20" s="408">
        <v>161701</v>
      </c>
      <c r="S20" s="408">
        <v>182780</v>
      </c>
      <c r="T20" s="408">
        <v>199360</v>
      </c>
      <c r="U20" s="408">
        <v>232025</v>
      </c>
      <c r="V20" s="408">
        <v>296850</v>
      </c>
      <c r="W20" s="408">
        <v>295324</v>
      </c>
      <c r="X20" s="408">
        <v>238533</v>
      </c>
      <c r="Y20" s="408">
        <v>325158</v>
      </c>
      <c r="Z20" s="408">
        <v>388131</v>
      </c>
      <c r="AA20" s="408">
        <v>412180</v>
      </c>
      <c r="AB20" s="408">
        <v>446915</v>
      </c>
      <c r="AC20" s="1139">
        <v>419074</v>
      </c>
      <c r="AD20" s="1007"/>
      <c r="AE20" s="1007"/>
      <c r="AF20" s="1146"/>
      <c r="AG20" s="1007"/>
      <c r="AH20" s="1005"/>
      <c r="AI20" s="1005"/>
    </row>
    <row r="21" spans="1:37">
      <c r="A21" s="1020" t="s">
        <v>1777</v>
      </c>
      <c r="B21" s="408">
        <v>22252</v>
      </c>
      <c r="C21" s="408">
        <v>25051</v>
      </c>
      <c r="D21" s="408">
        <v>22026</v>
      </c>
      <c r="E21" s="408">
        <v>25915</v>
      </c>
      <c r="F21" s="408">
        <v>28425</v>
      </c>
      <c r="G21" s="408">
        <v>21815</v>
      </c>
      <c r="H21" s="408">
        <v>22319</v>
      </c>
      <c r="I21" s="408">
        <v>27710</v>
      </c>
      <c r="J21" s="408">
        <v>27607</v>
      </c>
      <c r="K21" s="408">
        <v>12091</v>
      </c>
      <c r="L21" s="408">
        <v>17722</v>
      </c>
      <c r="M21" s="408">
        <v>17483</v>
      </c>
      <c r="N21" s="408">
        <v>19475</v>
      </c>
      <c r="O21" s="408">
        <v>12230</v>
      </c>
      <c r="P21" s="408">
        <v>10614</v>
      </c>
      <c r="Q21" s="408">
        <v>15275</v>
      </c>
      <c r="R21" s="408">
        <v>18966</v>
      </c>
      <c r="S21" s="408">
        <v>2020</v>
      </c>
      <c r="T21" s="408">
        <v>1890</v>
      </c>
      <c r="U21" s="408">
        <v>9275</v>
      </c>
      <c r="V21" s="408">
        <v>11750</v>
      </c>
      <c r="W21" s="408">
        <v>14724</v>
      </c>
      <c r="X21" s="408">
        <v>16162</v>
      </c>
      <c r="Y21" s="408">
        <v>18672</v>
      </c>
      <c r="Z21" s="408">
        <v>17147</v>
      </c>
      <c r="AA21" s="408">
        <v>10695</v>
      </c>
      <c r="AB21" s="408">
        <v>19225</v>
      </c>
      <c r="AC21" s="1139">
        <v>15985</v>
      </c>
      <c r="AD21" s="1007"/>
      <c r="AE21" s="1007"/>
      <c r="AF21" s="1146"/>
      <c r="AG21" s="1007"/>
      <c r="AH21" s="1007"/>
      <c r="AI21" s="1007"/>
    </row>
    <row r="22" spans="1:37" s="1265" customFormat="1" ht="15" customHeight="1">
      <c r="A22" s="1566" t="s">
        <v>1778</v>
      </c>
      <c r="B22" s="1567">
        <v>22252</v>
      </c>
      <c r="C22" s="1567">
        <v>25051</v>
      </c>
      <c r="D22" s="1567">
        <v>22026</v>
      </c>
      <c r="E22" s="1567">
        <v>52052</v>
      </c>
      <c r="F22" s="1567">
        <v>58392</v>
      </c>
      <c r="G22" s="1567">
        <v>29997</v>
      </c>
      <c r="H22" s="1567">
        <v>40768</v>
      </c>
      <c r="I22" s="1567">
        <v>83775</v>
      </c>
      <c r="J22" s="1567">
        <v>90966</v>
      </c>
      <c r="K22" s="1567">
        <v>63019</v>
      </c>
      <c r="L22" s="1567">
        <v>95356</v>
      </c>
      <c r="M22" s="1567">
        <v>97186</v>
      </c>
      <c r="N22" s="1567">
        <v>112095</v>
      </c>
      <c r="O22" s="1567">
        <v>88496</v>
      </c>
      <c r="P22" s="1567">
        <v>90891</v>
      </c>
      <c r="Q22" s="1567">
        <v>139593</v>
      </c>
      <c r="R22" s="1567">
        <v>180667</v>
      </c>
      <c r="S22" s="1567">
        <v>184800</v>
      </c>
      <c r="T22" s="1567">
        <v>201250</v>
      </c>
      <c r="U22" s="1567">
        <v>241300</v>
      </c>
      <c r="V22" s="1567">
        <v>308600</v>
      </c>
      <c r="W22" s="1567">
        <v>310048</v>
      </c>
      <c r="X22" s="1567">
        <v>254695</v>
      </c>
      <c r="Y22" s="1567">
        <v>343830</v>
      </c>
      <c r="Z22" s="1567">
        <v>405278</v>
      </c>
      <c r="AA22" s="1567">
        <v>422875</v>
      </c>
      <c r="AB22" s="1567">
        <v>466140</v>
      </c>
      <c r="AC22" s="1568">
        <v>435059</v>
      </c>
      <c r="AD22" s="1569">
        <f>SUM(G22:J22)</f>
        <v>245506</v>
      </c>
      <c r="AE22" s="1569">
        <f>SUM(K22:N22)</f>
        <v>367656</v>
      </c>
      <c r="AF22" s="1570">
        <f>SUM(O22:R22)</f>
        <v>499647</v>
      </c>
      <c r="AG22" s="1569">
        <f>SUM(S22:V22)</f>
        <v>935950</v>
      </c>
      <c r="AH22" s="1569">
        <f>SUM(W22:Z22)</f>
        <v>1313851</v>
      </c>
      <c r="AI22" s="1571">
        <f>'Price&amp;Q'!CO17</f>
        <v>1715360.7642629009</v>
      </c>
      <c r="AJ22" s="1571">
        <f>'Price&amp;Q'!CP17</f>
        <v>2047797.5489195492</v>
      </c>
      <c r="AK22" s="1572">
        <f>'Price&amp;Q'!CQ17</f>
        <v>2246500.9182689302</v>
      </c>
    </row>
    <row r="23" spans="1:37">
      <c r="A23" s="1020" t="s">
        <v>1781</v>
      </c>
      <c r="B23" s="1178"/>
      <c r="C23" s="1178"/>
      <c r="D23" s="1178"/>
      <c r="E23" s="1172">
        <f>E20/E22</f>
        <v>0.50213248290171364</v>
      </c>
      <c r="F23" s="1172">
        <f t="shared" ref="F23:K23" si="16">F20/F22</f>
        <v>0.51320386354295111</v>
      </c>
      <c r="G23" s="1172">
        <f t="shared" si="16"/>
        <v>0.27276060939427277</v>
      </c>
      <c r="H23" s="1172">
        <f t="shared" si="16"/>
        <v>0.45253630298273156</v>
      </c>
      <c r="I23" s="1172">
        <f t="shared" si="16"/>
        <v>0.66923306475678901</v>
      </c>
      <c r="J23" s="1172">
        <f t="shared" si="16"/>
        <v>0.69651298287272168</v>
      </c>
      <c r="K23" s="1172">
        <f t="shared" si="16"/>
        <v>0.80813722845491043</v>
      </c>
      <c r="L23" s="1172">
        <f t="shared" ref="L23" si="17">L20/L22</f>
        <v>0.81414908343470782</v>
      </c>
      <c r="M23" s="1172">
        <f t="shared" ref="M23" si="18">M20/M22</f>
        <v>0.82010783446175373</v>
      </c>
      <c r="N23" s="1172">
        <f t="shared" ref="N23" si="19">N20/N22</f>
        <v>0.82626343726303586</v>
      </c>
      <c r="O23" s="1172">
        <f t="shared" ref="O23" si="20">O20/O22</f>
        <v>0.86180166335201591</v>
      </c>
      <c r="P23" s="1172">
        <f t="shared" ref="P23:Q23" si="21">P20/P22</f>
        <v>0.88322276132950461</v>
      </c>
      <c r="Q23" s="1172">
        <f t="shared" si="21"/>
        <v>0.89057474228650435</v>
      </c>
      <c r="R23" s="1172">
        <f t="shared" ref="R23" si="22">R20/R22</f>
        <v>0.89502233390713304</v>
      </c>
      <c r="S23" s="1172">
        <f t="shared" ref="S23" si="23">S20/S22</f>
        <v>0.9890692640692641</v>
      </c>
      <c r="T23" s="1172">
        <f t="shared" ref="T23" si="24">T20/T22</f>
        <v>0.99060869565217391</v>
      </c>
      <c r="U23" s="1172">
        <f t="shared" ref="U23" si="25">U20/U22</f>
        <v>0.96156237049316207</v>
      </c>
      <c r="V23" s="1172">
        <f t="shared" ref="V23" si="26">V20/V22</f>
        <v>0.96192482177576155</v>
      </c>
      <c r="W23" s="1172">
        <f t="shared" ref="W23" si="27">W20/W22</f>
        <v>0.95251057900712144</v>
      </c>
      <c r="X23" s="1172">
        <f t="shared" ref="X23" si="28">X20/X22</f>
        <v>0.93654370914230745</v>
      </c>
      <c r="Y23" s="1172">
        <f t="shared" ref="Y23" si="29">Y20/Y22</f>
        <v>0.94569409301108109</v>
      </c>
      <c r="Z23" s="1172">
        <f t="shared" ref="Z23" si="30">Z20/Z22</f>
        <v>0.95769077028607519</v>
      </c>
      <c r="AA23" s="1172">
        <f t="shared" ref="AA23" si="31">AA20/AA22</f>
        <v>0.97470883830919297</v>
      </c>
      <c r="AB23" s="1172">
        <f t="shared" ref="AB23" si="32">AB20/AB22</f>
        <v>0.95875702578624444</v>
      </c>
      <c r="AC23" s="1172">
        <f t="shared" ref="AC23" si="33">AC20/AC22</f>
        <v>0.96325785698031763</v>
      </c>
      <c r="AD23" s="1007"/>
      <c r="AE23" s="1007"/>
      <c r="AF23" s="1146"/>
      <c r="AG23" s="1007"/>
      <c r="AH23" s="1007"/>
      <c r="AI23" s="1013"/>
      <c r="AJ23" s="1013"/>
      <c r="AK23" s="1154"/>
    </row>
    <row r="24" spans="1:37">
      <c r="A24" s="1020" t="s">
        <v>1782</v>
      </c>
      <c r="B24" s="1172">
        <f t="shared" ref="B24:F24" si="34">B21/B22</f>
        <v>1</v>
      </c>
      <c r="C24" s="1172">
        <f t="shared" si="34"/>
        <v>1</v>
      </c>
      <c r="D24" s="1172">
        <f t="shared" si="34"/>
        <v>1</v>
      </c>
      <c r="E24" s="1172">
        <f t="shared" si="34"/>
        <v>0.49786751709828631</v>
      </c>
      <c r="F24" s="1172">
        <f t="shared" si="34"/>
        <v>0.48679613645704889</v>
      </c>
      <c r="G24" s="1172">
        <f t="shared" ref="G24:AC24" si="35">G21/G22</f>
        <v>0.72723939060572729</v>
      </c>
      <c r="H24" s="1172">
        <f t="shared" si="35"/>
        <v>0.54746369701726849</v>
      </c>
      <c r="I24" s="1172">
        <f t="shared" si="35"/>
        <v>0.33076693524321099</v>
      </c>
      <c r="J24" s="1172">
        <f t="shared" si="35"/>
        <v>0.30348701712727832</v>
      </c>
      <c r="K24" s="1172">
        <f t="shared" si="35"/>
        <v>0.19186277154508957</v>
      </c>
      <c r="L24" s="1172">
        <f t="shared" si="35"/>
        <v>0.18585091656529218</v>
      </c>
      <c r="M24" s="1172">
        <f t="shared" si="35"/>
        <v>0.17989216553824625</v>
      </c>
      <c r="N24" s="1172">
        <f t="shared" si="35"/>
        <v>0.1737365627369642</v>
      </c>
      <c r="O24" s="1172">
        <f t="shared" si="35"/>
        <v>0.13819833664798409</v>
      </c>
      <c r="P24" s="1172">
        <f t="shared" si="35"/>
        <v>0.11677723867049543</v>
      </c>
      <c r="Q24" s="1172">
        <f t="shared" si="35"/>
        <v>0.10942525771349566</v>
      </c>
      <c r="R24" s="1172">
        <f t="shared" si="35"/>
        <v>0.10497766609286699</v>
      </c>
      <c r="S24" s="1172">
        <f t="shared" si="35"/>
        <v>1.0930735930735931E-2</v>
      </c>
      <c r="T24" s="1172">
        <f t="shared" si="35"/>
        <v>9.391304347826087E-3</v>
      </c>
      <c r="U24" s="1172">
        <f t="shared" si="35"/>
        <v>3.8437629506837961E-2</v>
      </c>
      <c r="V24" s="1172">
        <f t="shared" si="35"/>
        <v>3.8075178224238497E-2</v>
      </c>
      <c r="W24" s="1172">
        <f t="shared" si="35"/>
        <v>4.748942099287852E-2</v>
      </c>
      <c r="X24" s="1172">
        <f t="shared" si="35"/>
        <v>6.3456290857692541E-2</v>
      </c>
      <c r="Y24" s="1172">
        <f t="shared" si="35"/>
        <v>5.4305906988918941E-2</v>
      </c>
      <c r="Z24" s="1172">
        <f t="shared" si="35"/>
        <v>4.2309229713924763E-2</v>
      </c>
      <c r="AA24" s="1172">
        <f t="shared" si="35"/>
        <v>2.5291161690806977E-2</v>
      </c>
      <c r="AB24" s="1172">
        <f t="shared" si="35"/>
        <v>4.1242974213755522E-2</v>
      </c>
      <c r="AC24" s="1179">
        <f t="shared" si="35"/>
        <v>3.6742143019682386E-2</v>
      </c>
      <c r="AD24" s="1007"/>
      <c r="AE24" s="1007"/>
      <c r="AF24" s="1146"/>
      <c r="AG24" s="1007"/>
      <c r="AH24" s="1007"/>
      <c r="AI24" s="1013"/>
      <c r="AJ24" s="1013"/>
      <c r="AK24" s="1154"/>
    </row>
    <row r="25" spans="1:37">
      <c r="B25" s="408"/>
      <c r="C25" s="408"/>
      <c r="D25" s="408"/>
      <c r="E25" s="408"/>
      <c r="F25" s="408"/>
      <c r="G25" s="408"/>
      <c r="J25" s="1005">
        <f>SUM(B22:J22)</f>
        <v>425279</v>
      </c>
      <c r="N25" s="1005">
        <f>J25+SUM(K22:N22)</f>
        <v>792935</v>
      </c>
      <c r="R25" s="1005">
        <f>N25+SUM(O22:R22)</f>
        <v>1292582</v>
      </c>
      <c r="V25" s="1005">
        <f>R25+SUM(S22:V22)</f>
        <v>2228532</v>
      </c>
      <c r="Z25" s="1005">
        <f>V25+SUM(W22:Z22)</f>
        <v>3542383</v>
      </c>
      <c r="AC25" s="1947">
        <f>Z25+SUM(AA22:AC22)</f>
        <v>4866457</v>
      </c>
      <c r="AD25" s="1013"/>
      <c r="AE25" s="1013"/>
      <c r="AF25" s="1154"/>
      <c r="AI25" s="1014">
        <v>1800000</v>
      </c>
      <c r="AJ25" s="1014">
        <v>3000000</v>
      </c>
      <c r="AK25" s="1156">
        <v>5000000</v>
      </c>
    </row>
    <row r="26" spans="1:37" s="1119" customFormat="1" ht="14.5">
      <c r="A26" s="1129" t="s">
        <v>1783</v>
      </c>
      <c r="B26" s="1135"/>
      <c r="C26" s="1135"/>
      <c r="D26" s="1135"/>
      <c r="E26" s="1135"/>
      <c r="F26" s="1135"/>
      <c r="G26" s="1135"/>
      <c r="H26" s="1135"/>
      <c r="I26" s="1135"/>
      <c r="J26" s="1135"/>
      <c r="K26" s="1135"/>
      <c r="L26" s="1135"/>
      <c r="M26" s="1135"/>
      <c r="N26" s="1135"/>
      <c r="O26" s="1135"/>
      <c r="P26" s="1135"/>
      <c r="Q26" s="1135"/>
      <c r="R26" s="1135"/>
      <c r="S26" s="1135"/>
      <c r="T26" s="1135"/>
      <c r="U26" s="1135"/>
      <c r="V26" s="1135"/>
      <c r="W26" s="1135"/>
      <c r="X26" s="1135"/>
      <c r="Y26" s="1135"/>
      <c r="Z26" s="1117"/>
      <c r="AA26" s="1117"/>
      <c r="AB26" s="1153"/>
      <c r="AC26" s="1160"/>
      <c r="AD26" s="1128"/>
      <c r="AE26" s="1128"/>
      <c r="AF26" s="1155"/>
      <c r="AK26" s="1160"/>
    </row>
    <row r="27" spans="1:37">
      <c r="A27" s="1020" t="s">
        <v>1771</v>
      </c>
      <c r="B27" s="1136">
        <v>0.28000000000000003</v>
      </c>
      <c r="C27" s="1136">
        <v>0.61</v>
      </c>
      <c r="D27" s="1136">
        <v>0.44</v>
      </c>
      <c r="E27" s="1136">
        <v>0.53</v>
      </c>
      <c r="F27" s="1136">
        <v>0.41</v>
      </c>
      <c r="G27" s="1136">
        <v>0.45</v>
      </c>
      <c r="H27" s="1136">
        <v>0.55000000000000004</v>
      </c>
      <c r="I27" s="1136">
        <v>0.31</v>
      </c>
      <c r="J27" s="1136">
        <v>0.3</v>
      </c>
      <c r="K27" s="1170">
        <v>0.97</v>
      </c>
      <c r="L27" s="1136">
        <v>1.54</v>
      </c>
      <c r="M27" s="1136">
        <v>1.88</v>
      </c>
      <c r="N27" s="1136">
        <v>2.4</v>
      </c>
      <c r="O27" s="1136">
        <v>3.04</v>
      </c>
      <c r="P27" s="1136">
        <v>3.58</v>
      </c>
      <c r="Q27" s="1136">
        <v>4.25</v>
      </c>
      <c r="R27" s="1136">
        <v>4.95</v>
      </c>
      <c r="S27" s="1136">
        <v>6.34</v>
      </c>
      <c r="T27" s="1136">
        <v>4.8600000000000003</v>
      </c>
      <c r="U27" s="1136">
        <v>3.68</v>
      </c>
      <c r="V27" s="1136">
        <v>5.24</v>
      </c>
      <c r="W27" s="1150">
        <v>5.18</v>
      </c>
      <c r="X27" s="1136">
        <v>4.1100000000000003</v>
      </c>
      <c r="Y27" s="1136">
        <v>6.56</v>
      </c>
      <c r="Z27" s="1137">
        <f>(Z32*15000+Z33*149)/1000000</f>
        <v>14.7280044383737</v>
      </c>
      <c r="AA27" s="1137"/>
      <c r="AB27" s="1167"/>
      <c r="AD27" s="1013"/>
      <c r="AE27" s="1013"/>
      <c r="AF27" s="1154"/>
    </row>
    <row r="28" spans="1:37">
      <c r="A28" s="1020" t="s">
        <v>1772</v>
      </c>
      <c r="B28" s="1136">
        <v>1.57</v>
      </c>
      <c r="C28" s="1136">
        <v>2.87</v>
      </c>
      <c r="D28" s="1136">
        <v>2.38</v>
      </c>
      <c r="E28" s="1136">
        <v>3.05</v>
      </c>
      <c r="F28" s="1136">
        <v>3.86</v>
      </c>
      <c r="G28" s="1136">
        <v>5.15</v>
      </c>
      <c r="H28" s="1136">
        <v>1.23</v>
      </c>
      <c r="I28" s="1136">
        <v>4.41</v>
      </c>
      <c r="J28" s="1136">
        <v>5.44</v>
      </c>
      <c r="K28" s="1170">
        <v>35.409999999999997</v>
      </c>
      <c r="L28" s="1136">
        <v>75.89</v>
      </c>
      <c r="M28" s="1136">
        <v>85.34</v>
      </c>
      <c r="N28" s="1136">
        <v>75.86</v>
      </c>
      <c r="O28" s="1136">
        <v>43.34</v>
      </c>
      <c r="P28" s="1136">
        <v>30.76</v>
      </c>
      <c r="Q28" s="1136">
        <v>47.23</v>
      </c>
      <c r="R28" s="1136">
        <v>37.57</v>
      </c>
      <c r="S28" s="1136">
        <v>31.21</v>
      </c>
      <c r="T28" s="1136">
        <v>48.18</v>
      </c>
      <c r="U28" s="1136">
        <v>49.15</v>
      </c>
      <c r="V28" s="1136">
        <v>46.39</v>
      </c>
      <c r="W28" s="1150">
        <v>38.340000000000003</v>
      </c>
      <c r="X28" s="1136">
        <v>16.61</v>
      </c>
      <c r="Y28" s="1136">
        <v>54.62</v>
      </c>
      <c r="Z28" s="1137">
        <f>( Z37*149+Z36*15000)/1000000</f>
        <v>62.154469800016876</v>
      </c>
      <c r="AA28" s="1137"/>
      <c r="AB28" s="1167"/>
      <c r="AD28" s="1013"/>
      <c r="AE28" s="1013"/>
      <c r="AF28" s="1154"/>
    </row>
    <row r="29" spans="1:37">
      <c r="A29" s="1020" t="s">
        <v>1773</v>
      </c>
      <c r="B29" s="1136">
        <v>5.08</v>
      </c>
      <c r="C29" s="1136">
        <v>4.9800000000000004</v>
      </c>
      <c r="D29" s="1136">
        <v>5</v>
      </c>
      <c r="E29" s="1136">
        <v>5.75</v>
      </c>
      <c r="F29" s="1136">
        <v>7.74</v>
      </c>
      <c r="G29" s="1136">
        <v>8.9</v>
      </c>
      <c r="H29" s="1136">
        <v>10.06</v>
      </c>
      <c r="I29" s="1136">
        <v>51.32</v>
      </c>
      <c r="J29" s="1136">
        <v>43.65</v>
      </c>
      <c r="K29" s="1136">
        <v>56.17</v>
      </c>
      <c r="L29" s="1170">
        <v>183.79</v>
      </c>
      <c r="M29" s="1136">
        <v>184.39</v>
      </c>
      <c r="N29" s="1136">
        <v>200.38</v>
      </c>
      <c r="O29" s="1136">
        <v>104.69</v>
      </c>
      <c r="P29" s="1136">
        <v>123.73</v>
      </c>
      <c r="Q29" s="1136">
        <v>175.19</v>
      </c>
      <c r="R29" s="1136">
        <v>213.02</v>
      </c>
      <c r="S29" s="1136">
        <v>189.91</v>
      </c>
      <c r="T29" s="1136">
        <v>155.18</v>
      </c>
      <c r="U29" s="1136">
        <v>153.02000000000001</v>
      </c>
      <c r="V29" s="1136">
        <v>169.46</v>
      </c>
      <c r="W29" s="1150">
        <v>181.31</v>
      </c>
      <c r="X29" s="1136">
        <v>207.8</v>
      </c>
      <c r="Y29" s="1136">
        <v>235.31</v>
      </c>
      <c r="Z29" s="1137">
        <f>(Z40*15000+Z41*149)/1000000</f>
        <v>310.46821797546477</v>
      </c>
      <c r="AA29" s="1137"/>
      <c r="AB29" s="1167"/>
      <c r="AD29" s="1013"/>
      <c r="AE29" s="1013"/>
      <c r="AF29" s="1154"/>
    </row>
    <row r="30" spans="1:37">
      <c r="A30" s="1020" t="s">
        <v>1774</v>
      </c>
      <c r="B30" s="1137">
        <f>SUM(B27:B29)</f>
        <v>6.93</v>
      </c>
      <c r="C30" s="1137">
        <f t="shared" ref="C30:Y30" si="36">SUM(C27:C29)</f>
        <v>8.4600000000000009</v>
      </c>
      <c r="D30" s="1137">
        <f t="shared" si="36"/>
        <v>7.82</v>
      </c>
      <c r="E30" s="1137">
        <f t="shared" si="36"/>
        <v>9.33</v>
      </c>
      <c r="F30" s="1137">
        <f t="shared" si="36"/>
        <v>12.01</v>
      </c>
      <c r="G30" s="1137">
        <f t="shared" si="36"/>
        <v>14.5</v>
      </c>
      <c r="H30" s="1137">
        <f t="shared" si="36"/>
        <v>11.84</v>
      </c>
      <c r="I30" s="1137">
        <f t="shared" si="36"/>
        <v>56.04</v>
      </c>
      <c r="J30" s="1137">
        <f t="shared" si="36"/>
        <v>49.39</v>
      </c>
      <c r="K30" s="1137">
        <f t="shared" si="36"/>
        <v>92.55</v>
      </c>
      <c r="L30" s="1137">
        <f t="shared" si="36"/>
        <v>261.22000000000003</v>
      </c>
      <c r="M30" s="1137">
        <f t="shared" si="36"/>
        <v>271.61</v>
      </c>
      <c r="N30" s="1137">
        <f t="shared" si="36"/>
        <v>278.64</v>
      </c>
      <c r="O30" s="1137">
        <f t="shared" si="36"/>
        <v>151.07</v>
      </c>
      <c r="P30" s="1137">
        <f t="shared" si="36"/>
        <v>158.07</v>
      </c>
      <c r="Q30" s="1137">
        <f t="shared" si="36"/>
        <v>226.67</v>
      </c>
      <c r="R30" s="1137">
        <f t="shared" si="36"/>
        <v>255.54000000000002</v>
      </c>
      <c r="S30" s="1137">
        <f t="shared" si="36"/>
        <v>227.45999999999998</v>
      </c>
      <c r="T30" s="1137">
        <f t="shared" si="36"/>
        <v>208.22</v>
      </c>
      <c r="U30" s="1137">
        <f t="shared" si="36"/>
        <v>205.85000000000002</v>
      </c>
      <c r="V30" s="1137">
        <f t="shared" si="36"/>
        <v>221.09</v>
      </c>
      <c r="W30" s="1137">
        <f t="shared" si="36"/>
        <v>224.83</v>
      </c>
      <c r="X30" s="1137">
        <f t="shared" si="36"/>
        <v>228.52</v>
      </c>
      <c r="Y30" s="1137">
        <f t="shared" si="36"/>
        <v>296.49</v>
      </c>
      <c r="Z30" s="1137">
        <f>SUM(Z27:Z29)</f>
        <v>387.35069221385533</v>
      </c>
      <c r="AA30" s="1137">
        <f t="shared" ref="AA30" si="37">SUM(AA27:AA29)</f>
        <v>0</v>
      </c>
      <c r="AB30" s="1137">
        <f t="shared" ref="AB30" si="38">SUM(AB27:AB29)</f>
        <v>0</v>
      </c>
      <c r="AC30" s="1141">
        <f t="shared" ref="AC30" si="39">SUM(AC27:AC29)</f>
        <v>0</v>
      </c>
      <c r="AD30" s="1013"/>
      <c r="AE30" s="1013"/>
      <c r="AF30" s="1154"/>
    </row>
    <row r="31" spans="1:37">
      <c r="A31" s="1175" t="s">
        <v>1771</v>
      </c>
      <c r="B31" s="1137"/>
      <c r="C31" s="1137"/>
      <c r="D31" s="1137"/>
      <c r="E31" s="1137"/>
      <c r="F31" s="1137"/>
      <c r="G31" s="1137"/>
      <c r="H31" s="1137"/>
      <c r="I31" s="1137"/>
      <c r="J31" s="1137"/>
      <c r="K31" s="1137"/>
      <c r="L31" s="1137"/>
      <c r="M31" s="1137"/>
      <c r="N31" s="1137"/>
      <c r="O31" s="1137"/>
      <c r="P31" s="1137"/>
      <c r="Q31" s="1137"/>
      <c r="R31" s="1137"/>
      <c r="S31" s="1137"/>
      <c r="T31" s="1137"/>
      <c r="U31" s="1137"/>
      <c r="V31" s="1137"/>
      <c r="W31" s="1137"/>
      <c r="X31" s="1137"/>
      <c r="Y31" s="1137"/>
      <c r="Z31" s="1137"/>
      <c r="AA31" s="1137"/>
      <c r="AB31" s="1137"/>
      <c r="AC31" s="1141"/>
      <c r="AD31" s="1013"/>
      <c r="AE31" s="1013"/>
      <c r="AF31" s="1154"/>
    </row>
    <row r="32" spans="1:37">
      <c r="A32" s="1020" t="s">
        <v>1784</v>
      </c>
      <c r="B32" s="1171"/>
      <c r="C32" s="1171"/>
      <c r="D32" s="1171"/>
      <c r="E32" s="1171"/>
      <c r="F32" s="1171"/>
      <c r="G32" s="1171"/>
      <c r="H32" s="1171"/>
      <c r="I32" s="1171"/>
      <c r="J32" s="1171"/>
      <c r="K32" s="1171"/>
      <c r="L32" s="1171"/>
      <c r="M32" s="1171"/>
      <c r="N32" s="1171"/>
      <c r="O32" s="1171"/>
      <c r="P32" s="1171"/>
      <c r="Q32" s="1171"/>
      <c r="R32" s="1171"/>
      <c r="S32" s="1171"/>
      <c r="T32" s="1171"/>
      <c r="U32" s="1120"/>
      <c r="V32" s="1120"/>
      <c r="W32" s="1120">
        <f t="shared" ref="W32:X32" si="40">(W27*1000000-149*W2)/(W45-149)</f>
        <v>430.68179900430346</v>
      </c>
      <c r="X32" s="1120">
        <f t="shared" si="40"/>
        <v>341.71420133322084</v>
      </c>
      <c r="Y32" s="1120">
        <f>(Y27*1000000-149*Y2)/(Y45-149)</f>
        <v>435.74143155343074</v>
      </c>
      <c r="Z32" s="1007">
        <f>Z34*Z2</f>
        <v>979.53159879516761</v>
      </c>
      <c r="AA32" s="1137"/>
      <c r="AB32" s="1137"/>
      <c r="AC32" s="1141"/>
      <c r="AD32" s="1013"/>
      <c r="AE32" s="1013"/>
      <c r="AF32" s="1154"/>
    </row>
    <row r="33" spans="1:37">
      <c r="A33" s="1020" t="s">
        <v>1785</v>
      </c>
      <c r="B33" s="1171"/>
      <c r="C33" s="1171"/>
      <c r="D33" s="1171"/>
      <c r="E33" s="1171"/>
      <c r="F33" s="1171"/>
      <c r="G33" s="1171"/>
      <c r="H33" s="1171"/>
      <c r="I33" s="1171"/>
      <c r="J33" s="1171"/>
      <c r="K33" s="1171"/>
      <c r="L33" s="1171"/>
      <c r="M33" s="1171"/>
      <c r="N33" s="1171"/>
      <c r="O33" s="1171"/>
      <c r="P33" s="1171"/>
      <c r="Q33" s="1171"/>
      <c r="R33" s="1171"/>
      <c r="S33" s="1171"/>
      <c r="T33" s="1171"/>
      <c r="U33" s="1120"/>
      <c r="V33" s="1120"/>
      <c r="W33" s="1120">
        <f t="shared" ref="W33:X33" si="41">W2-W32</f>
        <v>79.318200995696543</v>
      </c>
      <c r="X33" s="1120">
        <f t="shared" si="41"/>
        <v>63.285798666779158</v>
      </c>
      <c r="Y33" s="1120">
        <f>Y2-Y32</f>
        <v>160.25856844656926</v>
      </c>
      <c r="Z33" s="1007">
        <f>Z2-Z32</f>
        <v>235.10373453816328</v>
      </c>
      <c r="AA33" s="1137"/>
      <c r="AB33" s="1137"/>
      <c r="AC33" s="1141"/>
      <c r="AD33" s="1013"/>
      <c r="AE33" s="1013"/>
      <c r="AF33" s="1154"/>
    </row>
    <row r="34" spans="1:37">
      <c r="A34" s="1020" t="s">
        <v>1786</v>
      </c>
      <c r="B34" s="1137"/>
      <c r="C34" s="1137"/>
      <c r="D34" s="1137"/>
      <c r="E34" s="1137"/>
      <c r="F34" s="1137"/>
      <c r="G34" s="1137"/>
      <c r="H34" s="1137"/>
      <c r="I34" s="1137"/>
      <c r="J34" s="1137"/>
      <c r="K34" s="1137"/>
      <c r="L34" s="1137"/>
      <c r="M34" s="1137"/>
      <c r="N34" s="1137"/>
      <c r="O34" s="1137"/>
      <c r="P34" s="1137"/>
      <c r="Q34" s="1137"/>
      <c r="R34" s="1137"/>
      <c r="S34" s="1137"/>
      <c r="T34" s="1137"/>
      <c r="U34" s="1173"/>
      <c r="V34" s="1173"/>
      <c r="W34" s="1173">
        <f t="shared" ref="W34:X34" si="42">W32/W2</f>
        <v>0.84447411569471265</v>
      </c>
      <c r="X34" s="1173">
        <f t="shared" si="42"/>
        <v>0.84373876872400211</v>
      </c>
      <c r="Y34" s="1173">
        <f>Y32/Y2</f>
        <v>0.73110978448562203</v>
      </c>
      <c r="Z34" s="1174">
        <f>AVERAGE(W34:Y34)</f>
        <v>0.80644088963477889</v>
      </c>
      <c r="AA34" s="1137"/>
      <c r="AB34" s="1137"/>
      <c r="AC34" s="1141"/>
      <c r="AD34" s="1013"/>
      <c r="AE34" s="1013"/>
      <c r="AF34" s="1154"/>
    </row>
    <row r="35" spans="1:37">
      <c r="A35" s="1175" t="s">
        <v>1772</v>
      </c>
      <c r="B35" s="1137"/>
      <c r="C35" s="1137"/>
      <c r="D35" s="1137"/>
      <c r="E35" s="1137"/>
      <c r="F35" s="1137"/>
      <c r="G35" s="1137"/>
      <c r="H35" s="1137"/>
      <c r="I35" s="1137"/>
      <c r="J35" s="1137"/>
      <c r="K35" s="1137"/>
      <c r="L35" s="1137"/>
      <c r="M35" s="1137"/>
      <c r="N35" s="1137"/>
      <c r="O35" s="1137"/>
      <c r="P35" s="1137"/>
      <c r="Q35" s="1137"/>
      <c r="R35" s="1137"/>
      <c r="S35" s="1137"/>
      <c r="T35" s="1137"/>
      <c r="U35" s="1173"/>
      <c r="V35" s="1173"/>
      <c r="W35" s="1173"/>
      <c r="X35" s="1173"/>
      <c r="Y35" s="1173"/>
      <c r="Z35" s="1174"/>
      <c r="AA35" s="1137"/>
      <c r="AB35" s="1137"/>
      <c r="AC35" s="1141"/>
      <c r="AD35" s="1013"/>
      <c r="AE35" s="1013"/>
      <c r="AF35" s="1154"/>
    </row>
    <row r="36" spans="1:37">
      <c r="A36" s="1020" t="s">
        <v>1784</v>
      </c>
      <c r="B36" s="1137"/>
      <c r="C36" s="1137"/>
      <c r="D36" s="1137"/>
      <c r="E36" s="1137"/>
      <c r="F36" s="1137"/>
      <c r="G36" s="1137"/>
      <c r="H36" s="1137"/>
      <c r="I36" s="1137"/>
      <c r="J36" s="1137"/>
      <c r="K36" s="1137"/>
      <c r="L36" s="1137"/>
      <c r="M36" s="1137"/>
      <c r="N36" s="1137"/>
      <c r="O36" s="1137"/>
      <c r="P36" s="1137"/>
      <c r="Q36" s="1137"/>
      <c r="R36" s="1137"/>
      <c r="S36" s="1137"/>
      <c r="T36" s="1120"/>
      <c r="U36" s="1120"/>
      <c r="V36" s="1120"/>
      <c r="W36" s="1120">
        <f t="shared" ref="W36:X36" si="43">(W28*1000000-149*W3)/(W45-149)</f>
        <v>3186.9659944308496</v>
      </c>
      <c r="X36" s="1120">
        <f t="shared" si="43"/>
        <v>1380.6861024386128</v>
      </c>
      <c r="Y36" s="1120">
        <f>(Y28*1000000-149*Y3)/(Y45-149)</f>
        <v>3631.7351020133324</v>
      </c>
      <c r="Z36" s="1007">
        <f>Z38*Z3</f>
        <v>4134.4594707438473</v>
      </c>
      <c r="AA36" s="1137"/>
      <c r="AB36" s="1137"/>
      <c r="AC36" s="1141"/>
      <c r="AD36" s="1013"/>
      <c r="AE36" s="1013"/>
      <c r="AF36" s="1154"/>
    </row>
    <row r="37" spans="1:37">
      <c r="A37" s="1020" t="s">
        <v>1785</v>
      </c>
      <c r="B37" s="1137"/>
      <c r="C37" s="1137"/>
      <c r="D37" s="1137"/>
      <c r="E37" s="1137"/>
      <c r="F37" s="1137"/>
      <c r="G37" s="1137"/>
      <c r="H37" s="1137"/>
      <c r="I37" s="1137"/>
      <c r="J37" s="1137"/>
      <c r="K37" s="1137"/>
      <c r="L37" s="1137"/>
      <c r="M37" s="1137"/>
      <c r="N37" s="1137"/>
      <c r="O37" s="1137"/>
      <c r="P37" s="1137"/>
      <c r="Q37" s="1137"/>
      <c r="R37" s="1137"/>
      <c r="S37" s="1137"/>
      <c r="T37" s="1176"/>
      <c r="U37" s="1176"/>
      <c r="V37" s="1176"/>
      <c r="W37" s="1177">
        <f t="shared" ref="W37:X37" si="44">W3-W36</f>
        <v>647.03400556915039</v>
      </c>
      <c r="X37" s="1177">
        <f t="shared" si="44"/>
        <v>280.31389756138719</v>
      </c>
      <c r="Y37" s="1177">
        <f>Y3-Y36</f>
        <v>966.26489798666762</v>
      </c>
      <c r="Z37" s="1007">
        <f>Z3-Z36</f>
        <v>923.34052925615288</v>
      </c>
      <c r="AA37" s="1137"/>
      <c r="AB37" s="1137"/>
      <c r="AC37" s="1141"/>
      <c r="AD37" s="1013"/>
      <c r="AE37" s="1013"/>
      <c r="AF37" s="1154"/>
    </row>
    <row r="38" spans="1:37">
      <c r="A38" s="1020" t="s">
        <v>1786</v>
      </c>
      <c r="B38" s="1137"/>
      <c r="C38" s="1137"/>
      <c r="D38" s="1137"/>
      <c r="E38" s="1137"/>
      <c r="F38" s="1137"/>
      <c r="G38" s="1137"/>
      <c r="H38" s="1137"/>
      <c r="I38" s="1137"/>
      <c r="J38" s="1137"/>
      <c r="K38" s="1137"/>
      <c r="L38" s="1137"/>
      <c r="M38" s="1137"/>
      <c r="N38" s="1137"/>
      <c r="O38" s="1137"/>
      <c r="P38" s="1137"/>
      <c r="Q38" s="1137"/>
      <c r="R38" s="1137"/>
      <c r="S38" s="1137"/>
      <c r="T38" s="1137"/>
      <c r="U38" s="1173"/>
      <c r="V38" s="1173"/>
      <c r="W38" s="1173">
        <f t="shared" ref="W38:X38" si="45">W36/W3</f>
        <v>0.83123787022192219</v>
      </c>
      <c r="X38" s="1173">
        <f t="shared" si="45"/>
        <v>0.83123787022192219</v>
      </c>
      <c r="Y38" s="1173">
        <f>Y36/Y3</f>
        <v>0.78985104437001574</v>
      </c>
      <c r="Z38" s="1174">
        <f>AVERAGE(W38:Y38)</f>
        <v>0.81744226160462008</v>
      </c>
      <c r="AA38" s="1137"/>
      <c r="AB38" s="1137"/>
      <c r="AC38" s="1141"/>
      <c r="AD38" s="1013"/>
      <c r="AE38" s="1013"/>
      <c r="AF38" s="1154"/>
    </row>
    <row r="39" spans="1:37">
      <c r="A39" s="1175" t="s">
        <v>1773</v>
      </c>
      <c r="B39" s="1137"/>
      <c r="C39" s="1137"/>
      <c r="D39" s="1137"/>
      <c r="E39" s="1137"/>
      <c r="F39" s="1137"/>
      <c r="G39" s="1137"/>
      <c r="H39" s="1137"/>
      <c r="I39" s="1137"/>
      <c r="J39" s="1137"/>
      <c r="K39" s="1137"/>
      <c r="L39" s="1137"/>
      <c r="M39" s="1137"/>
      <c r="N39" s="1137"/>
      <c r="O39" s="1137"/>
      <c r="P39" s="1137"/>
      <c r="Q39" s="1137"/>
      <c r="R39" s="1137"/>
      <c r="S39" s="1137"/>
      <c r="T39" s="1137"/>
      <c r="U39" s="1173"/>
      <c r="V39" s="1173"/>
      <c r="W39" s="1173"/>
      <c r="X39" s="1173"/>
      <c r="Y39" s="1173"/>
      <c r="AA39" s="1137"/>
      <c r="AB39" s="1137"/>
      <c r="AC39" s="1141"/>
      <c r="AD39" s="1013"/>
      <c r="AE39" s="1013"/>
      <c r="AF39" s="1154"/>
    </row>
    <row r="40" spans="1:37">
      <c r="A40" s="1020" t="s">
        <v>1784</v>
      </c>
      <c r="B40" s="1137"/>
      <c r="C40" s="1137"/>
      <c r="D40" s="1137"/>
      <c r="E40" s="1137"/>
      <c r="F40" s="1137"/>
      <c r="G40" s="1137"/>
      <c r="H40" s="1137"/>
      <c r="I40" s="1137"/>
      <c r="J40" s="1137"/>
      <c r="K40" s="1137"/>
      <c r="L40" s="1137"/>
      <c r="M40" s="1137"/>
      <c r="N40" s="1137"/>
      <c r="O40" s="1137"/>
      <c r="P40" s="1137"/>
      <c r="Q40" s="1137"/>
      <c r="R40" s="1137"/>
      <c r="S40" s="1137"/>
      <c r="T40" s="1137"/>
      <c r="U40" s="1173"/>
      <c r="V40" s="1173"/>
      <c r="W40" s="1120">
        <f t="shared" ref="W40:X40" si="46">(W29*1000000-149*W4)/(W45-149)</f>
        <v>15074.530756898152</v>
      </c>
      <c r="X40" s="1120">
        <f t="shared" si="46"/>
        <v>17299.915534554046</v>
      </c>
      <c r="Y40" s="1120">
        <f>(Y29*1000000-149*Y4)/(Y45-149)</f>
        <v>15640.773550602653</v>
      </c>
      <c r="Z40" s="1007">
        <f>Z42*Z4</f>
        <v>20660.80207228232</v>
      </c>
      <c r="AA40" s="1137"/>
      <c r="AB40" s="1137"/>
      <c r="AC40" s="1141"/>
      <c r="AD40" s="1013"/>
      <c r="AE40" s="1013"/>
      <c r="AF40" s="1154"/>
    </row>
    <row r="41" spans="1:37">
      <c r="A41" s="1020" t="s">
        <v>1785</v>
      </c>
      <c r="B41" s="1137"/>
      <c r="C41" s="1137"/>
      <c r="D41" s="1137"/>
      <c r="E41" s="1137"/>
      <c r="F41" s="1137"/>
      <c r="G41" s="1137"/>
      <c r="H41" s="1137"/>
      <c r="I41" s="1137"/>
      <c r="J41" s="1137"/>
      <c r="K41" s="1137"/>
      <c r="L41" s="1137"/>
      <c r="M41" s="1137"/>
      <c r="N41" s="1137"/>
      <c r="O41" s="1137"/>
      <c r="P41" s="1137"/>
      <c r="Q41" s="1137"/>
      <c r="R41" s="1137"/>
      <c r="S41" s="1137"/>
      <c r="T41" s="1137"/>
      <c r="U41" s="1173"/>
      <c r="V41" s="1173"/>
      <c r="W41" s="1177">
        <f t="shared" ref="W41:X41" si="47">W4-W40</f>
        <v>2789.4692431018484</v>
      </c>
      <c r="X41" s="1177">
        <f t="shared" si="47"/>
        <v>1349.0844654459543</v>
      </c>
      <c r="Y41" s="1177">
        <f>Y4-Y40</f>
        <v>4687.2264493973471</v>
      </c>
      <c r="Z41" s="1007">
        <f>Z4-Z40</f>
        <v>3732.7979277176782</v>
      </c>
      <c r="AA41" s="1137"/>
      <c r="AB41" s="1137"/>
      <c r="AC41" s="1141"/>
      <c r="AD41" s="1013"/>
      <c r="AE41" s="1013"/>
      <c r="AF41" s="1154"/>
    </row>
    <row r="42" spans="1:37">
      <c r="A42" s="1020" t="s">
        <v>1786</v>
      </c>
      <c r="B42" s="1137"/>
      <c r="C42" s="1137"/>
      <c r="D42" s="1137"/>
      <c r="E42" s="1137"/>
      <c r="F42" s="1137"/>
      <c r="G42" s="1137"/>
      <c r="H42" s="1137"/>
      <c r="I42" s="1137"/>
      <c r="J42" s="1137"/>
      <c r="K42" s="1137"/>
      <c r="L42" s="1137"/>
      <c r="M42" s="1137"/>
      <c r="N42" s="1137"/>
      <c r="O42" s="1137"/>
      <c r="P42" s="1137"/>
      <c r="Q42" s="1137"/>
      <c r="R42" s="1137"/>
      <c r="S42" s="1137"/>
      <c r="T42" s="1137"/>
      <c r="U42" s="1137"/>
      <c r="V42" s="1137"/>
      <c r="W42" s="1173">
        <f>W40/W4</f>
        <v>0.8438496841075992</v>
      </c>
      <c r="X42" s="1173">
        <f t="shared" ref="X42:Y42" si="48">X40/X4</f>
        <v>0.92765915247756159</v>
      </c>
      <c r="Y42" s="1173">
        <f t="shared" si="48"/>
        <v>0.76942018647199195</v>
      </c>
      <c r="Z42" s="1174">
        <f>AVERAGE(W42:Y42)</f>
        <v>0.84697634101905095</v>
      </c>
      <c r="AA42" s="1137"/>
      <c r="AB42" s="1137"/>
      <c r="AC42" s="1141"/>
      <c r="AD42" s="1013"/>
      <c r="AE42" s="1013"/>
      <c r="AF42" s="1154"/>
    </row>
    <row r="44" spans="1:37" s="1135" customFormat="1" ht="13.5">
      <c r="A44" s="1135" t="s">
        <v>1787</v>
      </c>
      <c r="AC44" s="1142"/>
      <c r="AK44" s="1142"/>
    </row>
    <row r="45" spans="1:37">
      <c r="A45" s="1020" t="s">
        <v>1788</v>
      </c>
      <c r="B45" s="1006">
        <v>3000</v>
      </c>
      <c r="C45" s="1006">
        <v>3000</v>
      </c>
      <c r="D45" s="1006">
        <v>3000</v>
      </c>
      <c r="E45" s="1006">
        <v>3000</v>
      </c>
      <c r="F45" s="1006">
        <v>3000</v>
      </c>
      <c r="G45" s="1006">
        <v>3000</v>
      </c>
      <c r="H45" s="1006">
        <v>3000</v>
      </c>
      <c r="I45" s="1006">
        <v>3000</v>
      </c>
      <c r="J45" s="1006">
        <v>3000</v>
      </c>
      <c r="K45" s="1014">
        <v>6000</v>
      </c>
      <c r="L45" s="1006">
        <v>6000</v>
      </c>
      <c r="M45" s="1006">
        <v>7000</v>
      </c>
      <c r="N45" s="1006">
        <v>7000</v>
      </c>
      <c r="O45" s="1006">
        <v>8000</v>
      </c>
      <c r="P45" s="1006">
        <v>8000</v>
      </c>
      <c r="Q45" s="1006">
        <v>8000</v>
      </c>
      <c r="R45" s="1006">
        <v>10000</v>
      </c>
      <c r="S45" s="1006">
        <v>10000</v>
      </c>
      <c r="T45" s="1006">
        <v>10000</v>
      </c>
      <c r="U45" s="1006">
        <v>10000</v>
      </c>
      <c r="V45" s="1006">
        <v>10000</v>
      </c>
      <c r="W45" s="1145">
        <v>12000</v>
      </c>
      <c r="X45" s="1006">
        <v>12000</v>
      </c>
      <c r="Y45" s="1006">
        <v>15000</v>
      </c>
      <c r="Z45" s="1006">
        <v>15000</v>
      </c>
      <c r="AA45" s="1006">
        <v>15000</v>
      </c>
      <c r="AB45" s="1145">
        <v>15000</v>
      </c>
      <c r="AC45" s="1143">
        <v>12000</v>
      </c>
    </row>
    <row r="46" spans="1:37">
      <c r="AE46" s="1005"/>
    </row>
    <row r="47" spans="1:37">
      <c r="A47" s="1020" t="s">
        <v>1789</v>
      </c>
      <c r="B47" s="1005" t="s">
        <v>1790</v>
      </c>
      <c r="AE47" s="1005"/>
    </row>
    <row r="48" spans="1:37">
      <c r="D48" s="32"/>
      <c r="E48" s="32"/>
      <c r="G48" s="32"/>
      <c r="AB48" s="1168"/>
    </row>
    <row r="49" spans="1:37">
      <c r="D49" s="32"/>
      <c r="E49" s="32"/>
      <c r="G49" s="32"/>
      <c r="AB49" s="1168"/>
    </row>
    <row r="50" spans="1:37" s="1126" customFormat="1" ht="14.5">
      <c r="A50" s="1127" t="s">
        <v>1791</v>
      </c>
      <c r="B50" s="1124"/>
      <c r="C50" s="1124"/>
      <c r="D50" s="1125"/>
      <c r="E50" s="1125"/>
      <c r="F50" s="1124"/>
      <c r="G50" s="1125"/>
      <c r="H50" s="1124"/>
      <c r="I50" s="1124"/>
      <c r="J50" s="1124"/>
      <c r="K50" s="1124"/>
      <c r="L50" s="1124"/>
      <c r="M50" s="1124"/>
      <c r="N50" s="1124"/>
      <c r="O50" s="1124"/>
      <c r="P50" s="1124"/>
      <c r="Q50" s="1124"/>
      <c r="R50" s="1124"/>
      <c r="S50" s="1124"/>
      <c r="T50" s="1124"/>
      <c r="U50" s="1124"/>
      <c r="V50" s="1124"/>
      <c r="W50" s="1151"/>
      <c r="X50" s="1124"/>
      <c r="Y50" s="1124"/>
      <c r="Z50" s="1124"/>
      <c r="AA50" s="1124"/>
      <c r="AB50" s="1169"/>
      <c r="AC50" s="1164"/>
      <c r="AD50" s="1124"/>
      <c r="AK50" s="1164"/>
    </row>
    <row r="51" spans="1:37">
      <c r="D51" s="32"/>
      <c r="E51" s="32"/>
      <c r="G51" s="32"/>
    </row>
    <row r="52" spans="1:37">
      <c r="B52" s="1020" t="s">
        <v>1792</v>
      </c>
      <c r="C52" s="1020" t="s">
        <v>1793</v>
      </c>
      <c r="D52" s="1020" t="s">
        <v>1794</v>
      </c>
      <c r="E52" s="1020" t="s">
        <v>1795</v>
      </c>
      <c r="G52" s="32"/>
    </row>
    <row r="53" spans="1:37">
      <c r="A53" s="1004" t="s">
        <v>1743</v>
      </c>
      <c r="B53" s="1009">
        <v>0.03</v>
      </c>
      <c r="C53" s="1009">
        <v>0.14299999999999999</v>
      </c>
      <c r="D53" s="1009">
        <v>0.14299999999999999</v>
      </c>
      <c r="E53" s="1009">
        <v>0.124</v>
      </c>
      <c r="G53" s="32"/>
    </row>
    <row r="54" spans="1:37">
      <c r="A54" s="1004" t="s">
        <v>1744</v>
      </c>
      <c r="B54" s="1009">
        <v>0.03</v>
      </c>
      <c r="C54" s="1009">
        <v>0.14299999999999999</v>
      </c>
      <c r="D54" s="1009">
        <v>0.14299999999999999</v>
      </c>
      <c r="E54" s="1009">
        <v>0.113</v>
      </c>
      <c r="G54" s="32"/>
    </row>
    <row r="55" spans="1:37">
      <c r="A55" s="1004" t="s">
        <v>1745</v>
      </c>
      <c r="B55" s="1009">
        <v>0.03</v>
      </c>
      <c r="C55" s="1009">
        <v>0.14299999999999999</v>
      </c>
      <c r="D55" s="1009">
        <v>0.14299999999999999</v>
      </c>
      <c r="E55" s="1009">
        <v>0.11799999999999999</v>
      </c>
      <c r="G55" s="32"/>
    </row>
    <row r="56" spans="1:37">
      <c r="A56" s="1004" t="s">
        <v>1746</v>
      </c>
      <c r="B56" s="1009">
        <v>0.03</v>
      </c>
      <c r="C56" s="1009">
        <v>0.14299999999999999</v>
      </c>
      <c r="D56" s="1009">
        <v>0.14599999999999999</v>
      </c>
      <c r="E56" s="1009">
        <v>0.11899999999999999</v>
      </c>
      <c r="G56" s="32"/>
      <c r="R56" s="32"/>
    </row>
    <row r="57" spans="1:37">
      <c r="A57" s="1004" t="s">
        <v>1747</v>
      </c>
      <c r="B57" s="1009">
        <v>0.03</v>
      </c>
      <c r="C57" s="1009">
        <v>0.14399999999999999</v>
      </c>
      <c r="D57" s="1009">
        <v>0.156</v>
      </c>
      <c r="E57" s="1009">
        <v>0.13400000000000001</v>
      </c>
      <c r="G57" s="32"/>
      <c r="R57" s="32"/>
    </row>
    <row r="58" spans="1:37">
      <c r="A58" s="1004" t="s">
        <v>1748</v>
      </c>
      <c r="B58" s="1009">
        <v>0.03</v>
      </c>
      <c r="C58" s="1009">
        <v>0.28000000000000003</v>
      </c>
      <c r="D58" s="1009">
        <v>0.157</v>
      </c>
      <c r="E58" s="1009">
        <v>0.161</v>
      </c>
      <c r="G58" s="32"/>
      <c r="R58" s="32"/>
    </row>
    <row r="59" spans="1:37">
      <c r="A59" s="1004" t="s">
        <v>1749</v>
      </c>
      <c r="B59" s="1009">
        <v>0.03</v>
      </c>
      <c r="C59" s="1009">
        <v>5.7000000000000002E-2</v>
      </c>
      <c r="D59" s="1009">
        <v>0.122</v>
      </c>
      <c r="E59" s="1009">
        <v>9.7000000000000003E-2</v>
      </c>
      <c r="G59" s="32"/>
      <c r="R59" s="32"/>
    </row>
    <row r="60" spans="1:37">
      <c r="A60" s="1004" t="s">
        <v>1750</v>
      </c>
      <c r="B60" s="1009">
        <v>0.03</v>
      </c>
      <c r="C60" s="1009">
        <v>0.189</v>
      </c>
      <c r="D60" s="1009">
        <v>0.23599999999999999</v>
      </c>
      <c r="E60" s="1009">
        <v>0.223</v>
      </c>
      <c r="G60" s="32"/>
      <c r="R60" s="32"/>
    </row>
    <row r="61" spans="1:37">
      <c r="A61" s="1004" t="s">
        <v>1751</v>
      </c>
      <c r="B61" s="1009">
        <v>0.03</v>
      </c>
      <c r="C61" s="1009">
        <v>0.222</v>
      </c>
      <c r="D61" s="1009">
        <v>0.183</v>
      </c>
      <c r="E61" s="1009">
        <v>0.18099999999999999</v>
      </c>
      <c r="G61" s="32"/>
    </row>
    <row r="62" spans="1:37">
      <c r="A62" s="1004" t="s">
        <v>1752</v>
      </c>
      <c r="B62" s="1009">
        <v>2.1999999999999999E-2</v>
      </c>
      <c r="C62" s="1009">
        <v>0.29199999999999998</v>
      </c>
      <c r="D62" s="1009">
        <v>0.30099999999999999</v>
      </c>
      <c r="E62" s="1009">
        <v>0.26500000000000001</v>
      </c>
      <c r="G62" s="32"/>
    </row>
    <row r="63" spans="1:37">
      <c r="A63" s="1004" t="s">
        <v>1753</v>
      </c>
      <c r="B63" s="1009">
        <v>0.02</v>
      </c>
      <c r="C63" s="1009">
        <v>0.55500000000000005</v>
      </c>
      <c r="D63" s="1009">
        <v>0.51100000000000001</v>
      </c>
      <c r="E63" s="1009">
        <v>0.45700000000000002</v>
      </c>
      <c r="G63" s="32"/>
    </row>
    <row r="64" spans="1:37">
      <c r="A64" s="1004" t="s">
        <v>1754</v>
      </c>
      <c r="B64" s="1009">
        <v>1.9E-2</v>
      </c>
      <c r="C64" s="1009">
        <v>0.442</v>
      </c>
      <c r="D64" s="1009">
        <v>0.53400000000000003</v>
      </c>
      <c r="E64" s="1009">
        <v>0.42799999999999999</v>
      </c>
      <c r="G64" s="32"/>
    </row>
    <row r="65" spans="1:7">
      <c r="A65" s="1004" t="s">
        <v>1755</v>
      </c>
      <c r="B65" s="1009">
        <v>1.7999999999999999E-2</v>
      </c>
      <c r="C65" s="1009">
        <v>0.30599999999999999</v>
      </c>
      <c r="D65" s="1009">
        <v>0.499</v>
      </c>
      <c r="E65" s="1009">
        <v>0.35499999999999998</v>
      </c>
      <c r="G65" s="32"/>
    </row>
    <row r="66" spans="1:7">
      <c r="A66" s="1004" t="s">
        <v>1796</v>
      </c>
      <c r="B66" s="1009">
        <v>1.6E-2</v>
      </c>
      <c r="C66" s="1009">
        <v>0.26100000000000001</v>
      </c>
      <c r="D66" s="1009">
        <v>0.39800000000000002</v>
      </c>
      <c r="E66" s="1009">
        <v>0.24399999999999999</v>
      </c>
      <c r="G66" s="32"/>
    </row>
    <row r="67" spans="1:7">
      <c r="A67" s="1004" t="s">
        <v>1797</v>
      </c>
      <c r="B67" s="1009">
        <v>1.4E-2</v>
      </c>
      <c r="C67" s="1009">
        <v>0.315</v>
      </c>
      <c r="D67" s="1009">
        <v>0.42599999999999999</v>
      </c>
      <c r="E67" s="1009">
        <v>0.248</v>
      </c>
      <c r="G67" s="32"/>
    </row>
    <row r="68" spans="1:7">
      <c r="A68" s="1004" t="s">
        <v>1758</v>
      </c>
      <c r="B68" s="1009">
        <v>1.2E-2</v>
      </c>
      <c r="C68" s="1009">
        <v>0.217</v>
      </c>
      <c r="D68" s="1009">
        <v>0.32500000000000001</v>
      </c>
      <c r="E68" s="1009">
        <v>0.20300000000000001</v>
      </c>
      <c r="G68" s="32"/>
    </row>
    <row r="69" spans="1:7">
      <c r="A69" s="1004" t="s">
        <v>1759</v>
      </c>
      <c r="B69" s="1009">
        <v>8.9999999999999993E-3</v>
      </c>
      <c r="C69" s="1009">
        <v>0.13800000000000001</v>
      </c>
      <c r="D69" s="1009">
        <v>0.32900000000000001</v>
      </c>
      <c r="E69" s="1009">
        <v>0.17699999999999999</v>
      </c>
      <c r="G69" s="32"/>
    </row>
    <row r="70" spans="1:7">
      <c r="A70" s="1004" t="s">
        <v>1760</v>
      </c>
      <c r="B70" s="1009">
        <v>8.0000000000000002E-3</v>
      </c>
      <c r="C70" s="1009">
        <v>0.121</v>
      </c>
      <c r="D70" s="1009">
        <v>0.253</v>
      </c>
      <c r="E70" s="1009">
        <v>0.127</v>
      </c>
      <c r="G70" s="32"/>
    </row>
    <row r="71" spans="1:7">
      <c r="A71" s="1004" t="s">
        <v>1761</v>
      </c>
      <c r="B71" s="1009">
        <v>6.0000000000000001E-3</v>
      </c>
      <c r="C71" s="1009">
        <v>0.161</v>
      </c>
      <c r="D71" s="1009">
        <v>0.184</v>
      </c>
      <c r="E71" s="1009">
        <v>0.108</v>
      </c>
      <c r="G71" s="32"/>
    </row>
    <row r="72" spans="1:7">
      <c r="A72" s="1004" t="s">
        <v>1762</v>
      </c>
      <c r="B72" s="1009">
        <v>4.0000000000000001E-3</v>
      </c>
      <c r="C72" s="1009">
        <v>0.129</v>
      </c>
      <c r="D72" s="1009">
        <v>0.14799999999999999</v>
      </c>
      <c r="E72" s="1009">
        <v>8.8999999999999996E-2</v>
      </c>
      <c r="G72" s="32"/>
    </row>
    <row r="73" spans="1:7">
      <c r="A73" s="1004" t="s">
        <v>1763</v>
      </c>
      <c r="B73" s="1009">
        <v>4.0000000000000001E-3</v>
      </c>
      <c r="C73" s="1009">
        <v>0.10299999999999999</v>
      </c>
      <c r="D73" s="1009">
        <v>0.13800000000000001</v>
      </c>
      <c r="E73" s="1009">
        <v>7.4999999999999997E-2</v>
      </c>
      <c r="G73" s="32"/>
    </row>
    <row r="74" spans="1:7">
      <c r="A74" s="1004" t="s">
        <v>1764</v>
      </c>
      <c r="B74" s="1009">
        <v>4.0000000000000001E-3</v>
      </c>
      <c r="C74" s="1009">
        <v>6.5000000000000002E-2</v>
      </c>
      <c r="D74" s="1009">
        <v>0.14499999999999999</v>
      </c>
      <c r="E74" s="1009">
        <v>7.1999999999999995E-2</v>
      </c>
      <c r="G74" s="32"/>
    </row>
    <row r="75" spans="1:7">
      <c r="A75" s="1004" t="s">
        <v>1765</v>
      </c>
      <c r="B75" s="1009">
        <v>4.0000000000000001E-3</v>
      </c>
      <c r="C75" s="1009">
        <v>6.5000000000000002E-2</v>
      </c>
      <c r="D75" s="1009">
        <v>0.14499999999999999</v>
      </c>
      <c r="E75" s="1009">
        <v>8.1000000000000003E-2</v>
      </c>
      <c r="G75" s="32"/>
    </row>
    <row r="76" spans="1:7">
      <c r="A76" s="1004" t="s">
        <v>1766</v>
      </c>
      <c r="B76" s="1009">
        <v>4.0000000000000001E-3</v>
      </c>
      <c r="C76" s="1009">
        <v>8.7999999999999995E-2</v>
      </c>
      <c r="D76" s="1009">
        <v>0.14299999999999999</v>
      </c>
      <c r="E76" s="1009">
        <v>7.3999999999999996E-2</v>
      </c>
    </row>
    <row r="77" spans="1:7">
      <c r="A77" s="1010" t="s">
        <v>1767</v>
      </c>
      <c r="B77" s="1009">
        <v>4.0000000000000001E-3</v>
      </c>
      <c r="C77" s="1009">
        <v>7.6499999999999999E-2</v>
      </c>
      <c r="D77" s="1009">
        <v>0.14433333333333331</v>
      </c>
      <c r="E77" s="1009">
        <v>7.566666666666666E-2</v>
      </c>
      <c r="F77" s="1009"/>
    </row>
    <row r="80" spans="1:7">
      <c r="B80" s="1020" t="s">
        <v>148</v>
      </c>
      <c r="C80" s="1020" t="s">
        <v>21</v>
      </c>
      <c r="D80" s="1020" t="s">
        <v>1777</v>
      </c>
      <c r="E80" s="1020" t="s">
        <v>1798</v>
      </c>
    </row>
    <row r="81" spans="1:5">
      <c r="A81" s="1004" t="s">
        <v>1743</v>
      </c>
      <c r="B81" s="1009"/>
      <c r="C81" s="1009"/>
      <c r="D81" s="1009">
        <v>0.14299999999999999</v>
      </c>
      <c r="E81" s="1009">
        <v>0.14299999999999999</v>
      </c>
    </row>
    <row r="82" spans="1:5">
      <c r="A82" s="1004" t="s">
        <v>1744</v>
      </c>
      <c r="B82" s="1009"/>
      <c r="C82" s="1009"/>
      <c r="D82" s="1009">
        <v>0.14299999999999999</v>
      </c>
      <c r="E82" s="1009">
        <v>0.14299999999999999</v>
      </c>
    </row>
    <row r="83" spans="1:5">
      <c r="A83" s="1004" t="s">
        <v>1745</v>
      </c>
      <c r="B83" s="1009"/>
      <c r="C83" s="1009"/>
      <c r="D83" s="1009">
        <v>0.14299999999999999</v>
      </c>
      <c r="E83" s="1009">
        <v>0.14299999999999999</v>
      </c>
    </row>
    <row r="84" spans="1:5">
      <c r="A84" s="1004" t="s">
        <v>1746</v>
      </c>
      <c r="B84" s="1009">
        <v>0.33300000000000002</v>
      </c>
      <c r="C84" s="1009"/>
      <c r="D84" s="1009">
        <v>0.14299999999999999</v>
      </c>
      <c r="E84" s="1009">
        <v>0.14599999999999999</v>
      </c>
    </row>
    <row r="85" spans="1:5">
      <c r="A85" s="1004" t="s">
        <v>1747</v>
      </c>
      <c r="B85" s="1009">
        <v>0.27300000000000002</v>
      </c>
      <c r="C85" s="1009"/>
      <c r="D85" s="1009">
        <v>0.14399999999999999</v>
      </c>
      <c r="E85" s="1009">
        <v>0.156</v>
      </c>
    </row>
    <row r="86" spans="1:5">
      <c r="A86" s="1004" t="s">
        <v>1748</v>
      </c>
      <c r="B86" s="1009">
        <v>9.8000000000000004E-2</v>
      </c>
      <c r="C86" s="1009"/>
      <c r="D86" s="1009">
        <v>0.20200000000000001</v>
      </c>
      <c r="E86" s="1009">
        <v>0.157</v>
      </c>
    </row>
    <row r="87" spans="1:5">
      <c r="A87" s="1004" t="s">
        <v>1749</v>
      </c>
      <c r="B87" s="1009">
        <v>8.8999999999999996E-2</v>
      </c>
      <c r="C87" s="1009"/>
      <c r="D87" s="1009">
        <v>0.19</v>
      </c>
      <c r="E87" s="1009">
        <v>0.122</v>
      </c>
    </row>
    <row r="88" spans="1:5">
      <c r="A88" s="1004" t="s">
        <v>1750</v>
      </c>
      <c r="B88" s="1009">
        <v>0.22900000000000001</v>
      </c>
      <c r="C88" s="1009"/>
      <c r="D88" s="1009">
        <v>0.26</v>
      </c>
      <c r="E88" s="1009">
        <v>0.23599999999999999</v>
      </c>
    </row>
    <row r="89" spans="1:5">
      <c r="A89" s="1004" t="s">
        <v>1751</v>
      </c>
      <c r="B89" s="1009">
        <v>0.14599999999999999</v>
      </c>
      <c r="C89" s="1009"/>
      <c r="D89" s="1009">
        <v>0.32900000000000001</v>
      </c>
      <c r="E89" s="1009">
        <v>0.183</v>
      </c>
    </row>
    <row r="90" spans="1:5">
      <c r="A90" s="1004" t="s">
        <v>1752</v>
      </c>
      <c r="B90" s="1009">
        <v>0.26100000000000001</v>
      </c>
      <c r="C90" s="1009"/>
      <c r="D90" s="1009">
        <v>0.5</v>
      </c>
      <c r="E90" s="1009">
        <v>0.30099999999999999</v>
      </c>
    </row>
    <row r="91" spans="1:5">
      <c r="A91" s="1004" t="s">
        <v>1753</v>
      </c>
      <c r="B91" s="1009">
        <v>0.46100000000000002</v>
      </c>
      <c r="C91" s="1009"/>
      <c r="D91" s="1009">
        <v>0.80600000000000005</v>
      </c>
      <c r="E91" s="1009">
        <v>0.51100000000000001</v>
      </c>
    </row>
    <row r="92" spans="1:5">
      <c r="A92" s="1004" t="s">
        <v>1754</v>
      </c>
      <c r="B92" s="1009">
        <v>0.48399999999999999</v>
      </c>
      <c r="C92" s="1009"/>
      <c r="D92" s="1009">
        <v>0.75</v>
      </c>
      <c r="E92" s="1009">
        <v>0.53400000000000003</v>
      </c>
    </row>
    <row r="93" spans="1:5">
      <c r="A93" s="1004" t="s">
        <v>1755</v>
      </c>
      <c r="B93" s="1009">
        <v>0.434</v>
      </c>
      <c r="C93" s="1009"/>
      <c r="D93" s="1009">
        <v>0.73599999999999999</v>
      </c>
      <c r="E93" s="1009">
        <v>0.499</v>
      </c>
    </row>
    <row r="94" spans="1:5">
      <c r="A94" s="1004" t="s">
        <v>1796</v>
      </c>
      <c r="B94" s="1009">
        <v>0.315</v>
      </c>
      <c r="C94" s="1009">
        <v>0.54500000000000004</v>
      </c>
      <c r="D94" s="1009">
        <v>0.64500000000000002</v>
      </c>
      <c r="E94" s="1009">
        <v>0.39800000000000002</v>
      </c>
    </row>
    <row r="95" spans="1:5">
      <c r="A95" s="1004" t="s">
        <v>1797</v>
      </c>
      <c r="B95" s="1009">
        <v>0.309</v>
      </c>
      <c r="C95" s="1009">
        <v>0.499</v>
      </c>
      <c r="D95" s="1009">
        <v>0.622</v>
      </c>
      <c r="E95" s="1009">
        <v>0.42599999999999999</v>
      </c>
    </row>
    <row r="96" spans="1:5">
      <c r="A96" s="1004" t="s">
        <v>1758</v>
      </c>
      <c r="B96" s="1009">
        <v>0.17699999999999999</v>
      </c>
      <c r="C96" s="1009">
        <v>0.38400000000000001</v>
      </c>
      <c r="D96" s="1009">
        <v>0.56499999999999995</v>
      </c>
      <c r="E96" s="1009">
        <v>0.32500000000000001</v>
      </c>
    </row>
    <row r="97" spans="1:5">
      <c r="A97" s="1004" t="s">
        <v>1759</v>
      </c>
      <c r="B97" s="1009">
        <v>0.22700000000000001</v>
      </c>
      <c r="C97" s="1009">
        <v>0.33700000000000002</v>
      </c>
      <c r="D97" s="1009">
        <v>0.54100000000000004</v>
      </c>
      <c r="E97" s="1009">
        <v>0.32900000000000001</v>
      </c>
    </row>
    <row r="98" spans="1:5">
      <c r="A98" s="1004" t="s">
        <v>1760</v>
      </c>
      <c r="B98" s="1009">
        <v>0.183</v>
      </c>
      <c r="C98" s="1009">
        <v>0.28999999999999998</v>
      </c>
      <c r="D98" s="1009">
        <v>0.51800000000000002</v>
      </c>
      <c r="E98" s="1009">
        <v>0.253</v>
      </c>
    </row>
    <row r="99" spans="1:5">
      <c r="A99" s="1004" t="s">
        <v>1761</v>
      </c>
      <c r="B99" s="1009">
        <v>0.14499999999999999</v>
      </c>
      <c r="C99" s="1009">
        <v>0.20100000000000001</v>
      </c>
      <c r="D99" s="1009">
        <v>0.47299999999999998</v>
      </c>
      <c r="E99" s="1009">
        <v>0.184</v>
      </c>
    </row>
    <row r="100" spans="1:5">
      <c r="A100" s="1004" t="s">
        <v>1762</v>
      </c>
      <c r="B100" s="1009">
        <v>0.104</v>
      </c>
      <c r="C100" s="1009">
        <v>0.13400000000000001</v>
      </c>
      <c r="D100" s="1009">
        <v>0.45200000000000001</v>
      </c>
      <c r="E100" s="1009">
        <v>0.14799999999999999</v>
      </c>
    </row>
    <row r="101" spans="1:5">
      <c r="A101" s="1004" t="s">
        <v>1763</v>
      </c>
      <c r="B101" s="1009">
        <v>6.4000000000000001E-2</v>
      </c>
      <c r="C101" s="1009">
        <v>0.14299999999999999</v>
      </c>
      <c r="D101" s="1009">
        <v>0.44600000000000001</v>
      </c>
      <c r="E101" s="1009">
        <v>0.13800000000000001</v>
      </c>
    </row>
    <row r="102" spans="1:5">
      <c r="A102" s="1004" t="s">
        <v>1764</v>
      </c>
      <c r="B102" s="1009">
        <v>6.9000000000000006E-2</v>
      </c>
      <c r="C102" s="1009">
        <v>0.122</v>
      </c>
      <c r="D102" s="1009">
        <v>0.5</v>
      </c>
      <c r="E102" s="1009">
        <v>0.14499999999999999</v>
      </c>
    </row>
    <row r="103" spans="1:5">
      <c r="A103" s="1004" t="s">
        <v>1765</v>
      </c>
      <c r="B103" s="1009">
        <v>7.1999999999999995E-2</v>
      </c>
      <c r="C103" s="1009">
        <v>0.123</v>
      </c>
      <c r="D103" s="1009">
        <v>0.47399999999999998</v>
      </c>
      <c r="E103" s="1009">
        <v>0.14499999999999999</v>
      </c>
    </row>
    <row r="104" spans="1:5">
      <c r="A104" s="1004" t="s">
        <v>1766</v>
      </c>
      <c r="B104" s="1009">
        <v>5.1999999999999998E-2</v>
      </c>
      <c r="C104" s="1009">
        <v>0.13300000000000001</v>
      </c>
      <c r="D104" s="1009">
        <v>0.44800000000000001</v>
      </c>
      <c r="E104" s="1009">
        <v>0.14299999999999999</v>
      </c>
    </row>
    <row r="105" spans="1:5">
      <c r="A105" s="1010" t="s">
        <v>1767</v>
      </c>
      <c r="B105" s="1009">
        <v>6.433333333333334E-2</v>
      </c>
      <c r="C105" s="1009">
        <v>0.126</v>
      </c>
      <c r="D105" s="1009">
        <v>0.30733333333333329</v>
      </c>
      <c r="E105" s="1009">
        <v>0.14433333333333331</v>
      </c>
    </row>
    <row r="106" spans="1:5">
      <c r="C106" s="1008">
        <f>AVERAGE(C94:C105,B84:B105)</f>
        <v>0.22430392156862741</v>
      </c>
      <c r="D106" s="1008">
        <f>AVERAGE(D81:D105)</f>
        <v>0.41921333333333338</v>
      </c>
    </row>
    <row r="111" spans="1:5">
      <c r="A111" s="1123" t="s">
        <v>1743</v>
      </c>
      <c r="B111" s="1006">
        <v>3000</v>
      </c>
    </row>
    <row r="112" spans="1:5">
      <c r="A112" s="1123" t="s">
        <v>1744</v>
      </c>
      <c r="B112" s="1006">
        <v>3000</v>
      </c>
    </row>
    <row r="113" spans="1:2">
      <c r="A113" s="1123" t="s">
        <v>1745</v>
      </c>
      <c r="B113" s="1006">
        <v>3000</v>
      </c>
    </row>
    <row r="114" spans="1:2">
      <c r="A114" s="1123" t="s">
        <v>1746</v>
      </c>
      <c r="B114" s="1006">
        <v>3000</v>
      </c>
    </row>
    <row r="115" spans="1:2">
      <c r="A115" s="1123" t="s">
        <v>1747</v>
      </c>
      <c r="B115" s="1006">
        <v>3000</v>
      </c>
    </row>
    <row r="116" spans="1:2">
      <c r="A116" s="1123" t="s">
        <v>1748</v>
      </c>
      <c r="B116" s="1006">
        <v>3000</v>
      </c>
    </row>
    <row r="117" spans="1:2">
      <c r="A117" s="1123" t="s">
        <v>1749</v>
      </c>
      <c r="B117" s="1006">
        <v>3000</v>
      </c>
    </row>
    <row r="118" spans="1:2">
      <c r="A118" s="1123" t="s">
        <v>1750</v>
      </c>
      <c r="B118" s="1006">
        <v>3000</v>
      </c>
    </row>
    <row r="119" spans="1:2">
      <c r="A119" s="1123" t="s">
        <v>1751</v>
      </c>
      <c r="B119" s="1006">
        <v>3000</v>
      </c>
    </row>
    <row r="120" spans="1:2">
      <c r="A120" s="1123" t="s">
        <v>1752</v>
      </c>
      <c r="B120" s="1006">
        <v>6000</v>
      </c>
    </row>
    <row r="121" spans="1:2">
      <c r="A121" s="1123" t="s">
        <v>1753</v>
      </c>
      <c r="B121" s="1006">
        <v>6000</v>
      </c>
    </row>
    <row r="122" spans="1:2">
      <c r="A122" s="1123" t="s">
        <v>1754</v>
      </c>
      <c r="B122" s="1006">
        <v>7000</v>
      </c>
    </row>
    <row r="123" spans="1:2">
      <c r="A123" s="1123" t="s">
        <v>1755</v>
      </c>
      <c r="B123" s="1006">
        <v>7000</v>
      </c>
    </row>
    <row r="124" spans="1:2">
      <c r="A124" s="1123" t="s">
        <v>1756</v>
      </c>
      <c r="B124" s="1006">
        <v>8000</v>
      </c>
    </row>
    <row r="125" spans="1:2">
      <c r="A125" s="1123" t="s">
        <v>1757</v>
      </c>
      <c r="B125" s="1006">
        <v>8000</v>
      </c>
    </row>
    <row r="126" spans="1:2">
      <c r="A126" s="1123" t="s">
        <v>1758</v>
      </c>
      <c r="B126" s="1006">
        <v>8000</v>
      </c>
    </row>
    <row r="127" spans="1:2">
      <c r="A127" s="1123" t="s">
        <v>1759</v>
      </c>
      <c r="B127" s="1006">
        <v>10000</v>
      </c>
    </row>
    <row r="128" spans="1:2">
      <c r="A128" s="1123" t="s">
        <v>1760</v>
      </c>
      <c r="B128" s="1006">
        <v>10000</v>
      </c>
    </row>
    <row r="129" spans="1:5">
      <c r="A129" s="1123" t="s">
        <v>1761</v>
      </c>
      <c r="B129" s="1006">
        <v>10000</v>
      </c>
    </row>
    <row r="130" spans="1:5">
      <c r="A130" s="1123" t="s">
        <v>1762</v>
      </c>
      <c r="B130" s="1006">
        <v>10000</v>
      </c>
    </row>
    <row r="131" spans="1:5">
      <c r="A131" s="1123" t="s">
        <v>1763</v>
      </c>
      <c r="B131" s="1006">
        <v>10000</v>
      </c>
    </row>
    <row r="132" spans="1:5">
      <c r="A132" s="1123" t="s">
        <v>1764</v>
      </c>
      <c r="B132" s="1006">
        <v>12000</v>
      </c>
    </row>
    <row r="133" spans="1:5">
      <c r="A133" s="1123" t="s">
        <v>1765</v>
      </c>
      <c r="B133" s="1006">
        <v>12000</v>
      </c>
    </row>
    <row r="134" spans="1:5">
      <c r="A134" s="1123" t="s">
        <v>1766</v>
      </c>
      <c r="B134" s="1006">
        <v>15000</v>
      </c>
    </row>
    <row r="135" spans="1:5">
      <c r="A135" s="1123" t="s">
        <v>1767</v>
      </c>
      <c r="B135" s="1006">
        <v>15000</v>
      </c>
    </row>
    <row r="136" spans="1:5">
      <c r="A136" s="1123" t="s">
        <v>1768</v>
      </c>
      <c r="B136" s="1006">
        <v>15000</v>
      </c>
    </row>
    <row r="137" spans="1:5">
      <c r="A137" s="1123" t="s">
        <v>1769</v>
      </c>
      <c r="B137" s="1006">
        <v>15000</v>
      </c>
    </row>
    <row r="138" spans="1:5">
      <c r="A138" s="1123" t="s">
        <v>1770</v>
      </c>
      <c r="B138" s="1006">
        <v>12000</v>
      </c>
    </row>
    <row r="139" spans="1:5">
      <c r="A139" s="1005"/>
      <c r="B139" s="1006"/>
    </row>
    <row r="140" spans="1:5">
      <c r="B140" s="1020" t="s">
        <v>1792</v>
      </c>
      <c r="C140" s="1020" t="s">
        <v>1793</v>
      </c>
      <c r="D140" s="1020" t="s">
        <v>1794</v>
      </c>
      <c r="E140" s="1005" t="s">
        <v>1798</v>
      </c>
    </row>
    <row r="141" spans="1:5">
      <c r="A141" s="1004" t="s">
        <v>1743</v>
      </c>
      <c r="B141" s="1136">
        <v>0.28000000000000003</v>
      </c>
      <c r="C141" s="1136">
        <v>1.57</v>
      </c>
      <c r="D141" s="1136">
        <v>5.08</v>
      </c>
      <c r="E141" s="1137">
        <f>SUM(B141:D141)</f>
        <v>6.93</v>
      </c>
    </row>
    <row r="142" spans="1:5">
      <c r="A142" s="1004" t="s">
        <v>1744</v>
      </c>
      <c r="B142" s="1136">
        <v>0.61</v>
      </c>
      <c r="C142" s="1136">
        <v>2.87</v>
      </c>
      <c r="D142" s="1136">
        <v>4.9800000000000004</v>
      </c>
      <c r="E142" s="1137">
        <f t="shared" ref="E142:E165" si="49">SUM(B142:D142)</f>
        <v>8.4600000000000009</v>
      </c>
    </row>
    <row r="143" spans="1:5">
      <c r="A143" s="1004" t="s">
        <v>1745</v>
      </c>
      <c r="B143" s="1136">
        <v>0.44</v>
      </c>
      <c r="C143" s="1136">
        <v>2.38</v>
      </c>
      <c r="D143" s="1136">
        <v>5</v>
      </c>
      <c r="E143" s="1137">
        <f t="shared" si="49"/>
        <v>7.82</v>
      </c>
    </row>
    <row r="144" spans="1:5">
      <c r="A144" s="1004" t="s">
        <v>1746</v>
      </c>
      <c r="B144" s="1136">
        <v>0.53</v>
      </c>
      <c r="C144" s="1136">
        <v>3.05</v>
      </c>
      <c r="D144" s="1136">
        <v>5.75</v>
      </c>
      <c r="E144" s="1137">
        <f t="shared" si="49"/>
        <v>9.33</v>
      </c>
    </row>
    <row r="145" spans="1:6">
      <c r="A145" s="1004" t="s">
        <v>1747</v>
      </c>
      <c r="B145" s="1136">
        <v>0.41</v>
      </c>
      <c r="C145" s="1136">
        <v>3.86</v>
      </c>
      <c r="D145" s="1136">
        <v>7.74</v>
      </c>
      <c r="E145" s="1137">
        <f t="shared" si="49"/>
        <v>12.01</v>
      </c>
    </row>
    <row r="146" spans="1:6">
      <c r="A146" s="1004" t="s">
        <v>1748</v>
      </c>
      <c r="B146" s="1136">
        <v>0.45</v>
      </c>
      <c r="C146" s="1136">
        <v>5.15</v>
      </c>
      <c r="D146" s="1136">
        <v>8.9</v>
      </c>
      <c r="E146" s="1137">
        <f t="shared" si="49"/>
        <v>14.5</v>
      </c>
    </row>
    <row r="147" spans="1:6">
      <c r="A147" s="1004" t="s">
        <v>1749</v>
      </c>
      <c r="B147" s="1136">
        <v>0.55000000000000004</v>
      </c>
      <c r="C147" s="1136">
        <v>1.23</v>
      </c>
      <c r="D147" s="1136">
        <v>10.06</v>
      </c>
      <c r="E147" s="1137">
        <f t="shared" si="49"/>
        <v>11.84</v>
      </c>
    </row>
    <row r="148" spans="1:6">
      <c r="A148" s="1004" t="s">
        <v>1750</v>
      </c>
      <c r="B148" s="1136">
        <v>0.31</v>
      </c>
      <c r="C148" s="1136">
        <v>4.41</v>
      </c>
      <c r="D148" s="1136">
        <v>51.32</v>
      </c>
      <c r="E148" s="1137">
        <f t="shared" si="49"/>
        <v>56.04</v>
      </c>
    </row>
    <row r="149" spans="1:6">
      <c r="A149" s="1004" t="s">
        <v>1751</v>
      </c>
      <c r="B149" s="1136">
        <v>0.3</v>
      </c>
      <c r="C149" s="1136">
        <v>5.44</v>
      </c>
      <c r="D149" s="1136">
        <v>43.65</v>
      </c>
      <c r="E149" s="1137">
        <f t="shared" si="49"/>
        <v>49.39</v>
      </c>
    </row>
    <row r="150" spans="1:6">
      <c r="A150" s="1004" t="s">
        <v>1752</v>
      </c>
      <c r="B150" s="1170">
        <v>0.97</v>
      </c>
      <c r="C150" s="1170">
        <v>35.409999999999997</v>
      </c>
      <c r="D150" s="1136">
        <v>56.17</v>
      </c>
      <c r="E150" s="1137">
        <f t="shared" si="49"/>
        <v>92.55</v>
      </c>
      <c r="F150" s="1016">
        <f>E151/E147-1</f>
        <v>21.062500000000004</v>
      </c>
    </row>
    <row r="151" spans="1:6">
      <c r="A151" s="1004" t="s">
        <v>1753</v>
      </c>
      <c r="B151" s="1136">
        <v>1.54</v>
      </c>
      <c r="C151" s="1136">
        <v>75.89</v>
      </c>
      <c r="D151" s="1170">
        <v>183.79</v>
      </c>
      <c r="E151" s="1137">
        <f t="shared" si="49"/>
        <v>261.22000000000003</v>
      </c>
      <c r="F151" s="1016">
        <f>E151/E150-1</f>
        <v>1.8224743381955704</v>
      </c>
    </row>
    <row r="152" spans="1:6">
      <c r="A152" s="1004" t="s">
        <v>1754</v>
      </c>
      <c r="B152" s="1136">
        <v>1.88</v>
      </c>
      <c r="C152" s="1136">
        <v>85.34</v>
      </c>
      <c r="D152" s="1136">
        <v>184.39</v>
      </c>
      <c r="E152" s="1137">
        <f t="shared" si="49"/>
        <v>271.61</v>
      </c>
    </row>
    <row r="153" spans="1:6">
      <c r="A153" s="1004" t="s">
        <v>1755</v>
      </c>
      <c r="B153" s="1136">
        <v>2.4</v>
      </c>
      <c r="C153" s="1136">
        <v>75.86</v>
      </c>
      <c r="D153" s="1136">
        <v>200.38</v>
      </c>
      <c r="E153" s="1137">
        <f t="shared" si="49"/>
        <v>278.64</v>
      </c>
    </row>
    <row r="154" spans="1:6">
      <c r="A154" s="1004" t="s">
        <v>1796</v>
      </c>
      <c r="B154" s="1136">
        <v>3.04</v>
      </c>
      <c r="C154" s="1136">
        <v>43.34</v>
      </c>
      <c r="D154" s="1136">
        <v>104.69</v>
      </c>
      <c r="E154" s="1137">
        <f t="shared" si="49"/>
        <v>151.07</v>
      </c>
      <c r="F154" s="1016">
        <f>E154/E153-1</f>
        <v>-0.45783089290841228</v>
      </c>
    </row>
    <row r="155" spans="1:6">
      <c r="A155" s="1004" t="s">
        <v>1797</v>
      </c>
      <c r="B155" s="1136">
        <v>3.58</v>
      </c>
      <c r="C155" s="1136">
        <v>30.76</v>
      </c>
      <c r="D155" s="1136">
        <v>123.73</v>
      </c>
      <c r="E155" s="1137">
        <f t="shared" si="49"/>
        <v>158.07</v>
      </c>
    </row>
    <row r="156" spans="1:6">
      <c r="A156" s="1004" t="s">
        <v>1758</v>
      </c>
      <c r="B156" s="1136">
        <v>4.25</v>
      </c>
      <c r="C156" s="1136">
        <v>47.23</v>
      </c>
      <c r="D156" s="1136">
        <v>175.19</v>
      </c>
      <c r="E156" s="1137">
        <f t="shared" si="49"/>
        <v>226.67</v>
      </c>
    </row>
    <row r="157" spans="1:6">
      <c r="A157" s="1004" t="s">
        <v>1759</v>
      </c>
      <c r="B157" s="1136">
        <v>4.95</v>
      </c>
      <c r="C157" s="1136">
        <v>37.57</v>
      </c>
      <c r="D157" s="1136">
        <v>213.02</v>
      </c>
      <c r="E157" s="1137">
        <f t="shared" si="49"/>
        <v>255.54000000000002</v>
      </c>
    </row>
    <row r="158" spans="1:6">
      <c r="A158" s="1004" t="s">
        <v>1760</v>
      </c>
      <c r="B158" s="1136">
        <v>6.34</v>
      </c>
      <c r="C158" s="1136">
        <v>31.21</v>
      </c>
      <c r="D158" s="1136">
        <v>189.91</v>
      </c>
      <c r="E158" s="1137">
        <f t="shared" si="49"/>
        <v>227.45999999999998</v>
      </c>
    </row>
    <row r="159" spans="1:6">
      <c r="A159" s="1004" t="s">
        <v>1761</v>
      </c>
      <c r="B159" s="1136">
        <v>4.8600000000000003</v>
      </c>
      <c r="C159" s="1136">
        <v>48.18</v>
      </c>
      <c r="D159" s="1136">
        <v>155.18</v>
      </c>
      <c r="E159" s="1137">
        <f t="shared" si="49"/>
        <v>208.22</v>
      </c>
    </row>
    <row r="160" spans="1:6">
      <c r="A160" s="1004" t="s">
        <v>1762</v>
      </c>
      <c r="B160" s="1136">
        <v>3.68</v>
      </c>
      <c r="C160" s="1136">
        <v>49.15</v>
      </c>
      <c r="D160" s="1136">
        <v>153.02000000000001</v>
      </c>
      <c r="E160" s="1137">
        <f t="shared" si="49"/>
        <v>205.85000000000002</v>
      </c>
    </row>
    <row r="161" spans="1:5">
      <c r="A161" s="1004" t="s">
        <v>1763</v>
      </c>
      <c r="B161" s="1136">
        <v>5.24</v>
      </c>
      <c r="C161" s="1136">
        <v>46.39</v>
      </c>
      <c r="D161" s="1136">
        <v>169.46</v>
      </c>
      <c r="E161" s="1137">
        <f t="shared" si="49"/>
        <v>221.09</v>
      </c>
    </row>
    <row r="162" spans="1:5">
      <c r="A162" s="1004" t="s">
        <v>1764</v>
      </c>
      <c r="B162" s="1150">
        <v>5.18</v>
      </c>
      <c r="C162" s="1150">
        <v>38.340000000000003</v>
      </c>
      <c r="D162" s="1150">
        <v>181.31</v>
      </c>
      <c r="E162" s="1137">
        <f t="shared" si="49"/>
        <v>224.83</v>
      </c>
    </row>
    <row r="163" spans="1:5">
      <c r="A163" s="1004" t="s">
        <v>1765</v>
      </c>
      <c r="B163" s="1136">
        <v>4.1100000000000003</v>
      </c>
      <c r="C163" s="1136">
        <v>16.61</v>
      </c>
      <c r="D163" s="1136">
        <v>207.8</v>
      </c>
      <c r="E163" s="1137">
        <f t="shared" si="49"/>
        <v>228.52</v>
      </c>
    </row>
    <row r="164" spans="1:5">
      <c r="A164" s="1004" t="s">
        <v>1766</v>
      </c>
      <c r="B164" s="1136">
        <v>6.56</v>
      </c>
      <c r="C164" s="1136">
        <v>54.62</v>
      </c>
      <c r="D164" s="1136">
        <v>235.31</v>
      </c>
      <c r="E164" s="1137">
        <f t="shared" si="49"/>
        <v>296.49</v>
      </c>
    </row>
    <row r="165" spans="1:5">
      <c r="A165" s="1010" t="s">
        <v>1767</v>
      </c>
      <c r="B165" s="1150">
        <v>14.7280044383737</v>
      </c>
      <c r="C165" s="1150">
        <v>62.154469800016876</v>
      </c>
      <c r="D165" s="1150">
        <v>310.46821797546477</v>
      </c>
      <c r="E165" s="1137">
        <f t="shared" si="49"/>
        <v>387.35069221385533</v>
      </c>
    </row>
    <row r="167" spans="1:5">
      <c r="B167" s="1180" t="s">
        <v>1799</v>
      </c>
      <c r="C167" s="1180" t="s">
        <v>1800</v>
      </c>
    </row>
    <row r="168" spans="1:5">
      <c r="A168" s="1004" t="s">
        <v>1743</v>
      </c>
      <c r="B168" s="1016">
        <v>0</v>
      </c>
      <c r="C168" s="1016">
        <v>1</v>
      </c>
    </row>
    <row r="169" spans="1:5">
      <c r="A169" s="1004" t="s">
        <v>1744</v>
      </c>
      <c r="B169" s="1016">
        <v>0</v>
      </c>
      <c r="C169" s="1016">
        <v>1</v>
      </c>
    </row>
    <row r="170" spans="1:5">
      <c r="A170" s="1004" t="s">
        <v>1745</v>
      </c>
      <c r="B170" s="1016">
        <v>0</v>
      </c>
      <c r="C170" s="1016">
        <v>1</v>
      </c>
    </row>
    <row r="171" spans="1:5">
      <c r="A171" s="1004" t="s">
        <v>1746</v>
      </c>
      <c r="B171" s="1016">
        <v>0.50213248290171364</v>
      </c>
      <c r="C171" s="1016">
        <v>0.49786751709828631</v>
      </c>
    </row>
    <row r="172" spans="1:5">
      <c r="A172" s="1004" t="s">
        <v>1747</v>
      </c>
      <c r="B172" s="1016">
        <v>0.51320386354295111</v>
      </c>
      <c r="C172" s="1016">
        <v>0.48679613645704889</v>
      </c>
    </row>
    <row r="173" spans="1:5">
      <c r="A173" s="1004" t="s">
        <v>1748</v>
      </c>
      <c r="B173" s="1016">
        <v>0.27276060939427277</v>
      </c>
      <c r="C173" s="1016">
        <v>0.72723939060572729</v>
      </c>
    </row>
    <row r="174" spans="1:5">
      <c r="A174" s="1004" t="s">
        <v>1749</v>
      </c>
      <c r="B174" s="1016">
        <v>0.45253630298273156</v>
      </c>
      <c r="C174" s="1016">
        <v>0.54746369701726849</v>
      </c>
    </row>
    <row r="175" spans="1:5">
      <c r="A175" s="1004" t="s">
        <v>1750</v>
      </c>
      <c r="B175" s="1016">
        <v>0.66923306475678901</v>
      </c>
      <c r="C175" s="1016">
        <v>0.33076693524321099</v>
      </c>
    </row>
    <row r="176" spans="1:5">
      <c r="A176" s="1004" t="s">
        <v>1751</v>
      </c>
      <c r="B176" s="1016">
        <v>0.69651298287272168</v>
      </c>
      <c r="C176" s="1016">
        <v>0.30348701712727832</v>
      </c>
      <c r="D176" s="1016">
        <f>AVERAGE(C175:C180)</f>
        <v>0.22759939479268024</v>
      </c>
    </row>
    <row r="177" spans="1:3">
      <c r="A177" s="1004" t="s">
        <v>1752</v>
      </c>
      <c r="B177" s="1016">
        <v>0.80813722845491043</v>
      </c>
      <c r="C177" s="1016">
        <v>0.19186277154508957</v>
      </c>
    </row>
    <row r="178" spans="1:3">
      <c r="A178" s="1004" t="s">
        <v>1753</v>
      </c>
      <c r="B178" s="1016">
        <v>0.81414908343470782</v>
      </c>
      <c r="C178" s="1016">
        <v>0.18585091656529218</v>
      </c>
    </row>
    <row r="179" spans="1:3">
      <c r="A179" s="1004" t="s">
        <v>1754</v>
      </c>
      <c r="B179" s="1016">
        <v>0.82010783446175373</v>
      </c>
      <c r="C179" s="1016">
        <v>0.17989216553824625</v>
      </c>
    </row>
    <row r="180" spans="1:3">
      <c r="A180" s="1004" t="s">
        <v>1755</v>
      </c>
      <c r="B180" s="1016">
        <v>0.82626343726303586</v>
      </c>
      <c r="C180" s="1016">
        <v>0.1737365627369642</v>
      </c>
    </row>
    <row r="181" spans="1:3">
      <c r="A181" s="1004" t="s">
        <v>1796</v>
      </c>
      <c r="B181" s="1016">
        <v>0.86180166335201591</v>
      </c>
      <c r="C181" s="1016">
        <v>0.13819833664798409</v>
      </c>
    </row>
    <row r="182" spans="1:3">
      <c r="A182" s="1004" t="s">
        <v>1797</v>
      </c>
      <c r="B182" s="1016">
        <v>0.88322276132950461</v>
      </c>
      <c r="C182" s="1016">
        <v>0.11677723867049543</v>
      </c>
    </row>
    <row r="183" spans="1:3">
      <c r="A183" s="1004" t="s">
        <v>1758</v>
      </c>
      <c r="B183" s="1016">
        <v>0.89057474228650435</v>
      </c>
      <c r="C183" s="1016">
        <v>0.10942525771349566</v>
      </c>
    </row>
    <row r="184" spans="1:3">
      <c r="A184" s="1004" t="s">
        <v>1759</v>
      </c>
      <c r="B184" s="1016">
        <v>0.89502233390713304</v>
      </c>
      <c r="C184" s="1016">
        <v>0.10497766609286699</v>
      </c>
    </row>
    <row r="185" spans="1:3">
      <c r="A185" s="1004" t="s">
        <v>1760</v>
      </c>
      <c r="B185" s="1016">
        <v>0.9890692640692641</v>
      </c>
      <c r="C185" s="1016">
        <v>1.0930735930735931E-2</v>
      </c>
    </row>
    <row r="186" spans="1:3">
      <c r="A186" s="1004" t="s">
        <v>1761</v>
      </c>
      <c r="B186" s="1016">
        <v>0.99060869565217391</v>
      </c>
      <c r="C186" s="1016">
        <v>9.391304347826087E-3</v>
      </c>
    </row>
    <row r="187" spans="1:3">
      <c r="A187" s="1004" t="s">
        <v>1762</v>
      </c>
      <c r="B187" s="1016">
        <v>0.96156237049316207</v>
      </c>
      <c r="C187" s="1016">
        <v>3.8437629506837961E-2</v>
      </c>
    </row>
    <row r="188" spans="1:3">
      <c r="A188" s="1004" t="s">
        <v>1763</v>
      </c>
      <c r="B188" s="1016">
        <v>0.96192482177576155</v>
      </c>
      <c r="C188" s="1016">
        <v>3.8075178224238497E-2</v>
      </c>
    </row>
    <row r="189" spans="1:3">
      <c r="A189" s="1004" t="s">
        <v>1764</v>
      </c>
      <c r="B189" s="1181">
        <v>0.95251057900712144</v>
      </c>
      <c r="C189" s="1181">
        <v>4.748942099287852E-2</v>
      </c>
    </row>
    <row r="190" spans="1:3">
      <c r="A190" s="1004" t="s">
        <v>1765</v>
      </c>
      <c r="B190" s="1016">
        <v>0.93654370914230745</v>
      </c>
      <c r="C190" s="1016">
        <v>6.3456290857692541E-2</v>
      </c>
    </row>
    <row r="191" spans="1:3">
      <c r="A191" s="1004" t="s">
        <v>1766</v>
      </c>
      <c r="B191" s="1016">
        <v>0.94569409301108109</v>
      </c>
      <c r="C191" s="1016">
        <v>5.4305906988918941E-2</v>
      </c>
    </row>
    <row r="192" spans="1:3">
      <c r="A192" s="1010" t="s">
        <v>1767</v>
      </c>
      <c r="B192" s="1016">
        <v>0.95769077028607519</v>
      </c>
      <c r="C192" s="1016">
        <v>4.2309229713924763E-2</v>
      </c>
    </row>
    <row r="193" spans="1:6">
      <c r="A193" s="1004" t="s">
        <v>1768</v>
      </c>
      <c r="B193" s="1016">
        <v>0.97470883830919297</v>
      </c>
      <c r="C193" s="1016">
        <v>2.5291161690806977E-2</v>
      </c>
    </row>
    <row r="194" spans="1:6">
      <c r="A194" s="1004" t="s">
        <v>1769</v>
      </c>
      <c r="B194" s="1181">
        <v>0.95875702578624444</v>
      </c>
      <c r="C194" s="1181">
        <v>4.1242974213755522E-2</v>
      </c>
    </row>
    <row r="195" spans="1:6">
      <c r="A195" s="1004" t="s">
        <v>1770</v>
      </c>
      <c r="B195" s="1182">
        <v>0.96325785698031763</v>
      </c>
      <c r="C195" s="1182">
        <v>3.6742143019682386E-2</v>
      </c>
    </row>
    <row r="197" spans="1:6">
      <c r="B197" s="1005" t="s">
        <v>1422</v>
      </c>
      <c r="C197" s="1005" t="s">
        <v>1423</v>
      </c>
      <c r="D197" s="1005" t="s">
        <v>1424</v>
      </c>
      <c r="E197" s="1005" t="s">
        <v>1425</v>
      </c>
    </row>
    <row r="198" spans="1:6">
      <c r="A198" s="1183" t="s">
        <v>1650</v>
      </c>
      <c r="B198" s="1187">
        <v>1.6571955939356691</v>
      </c>
      <c r="C198" s="1187">
        <v>-1.2453814709827992E-2</v>
      </c>
      <c r="D198" s="1187">
        <v>-1.5362977926756465E-2</v>
      </c>
      <c r="E198" s="1187"/>
    </row>
    <row r="199" spans="1:6">
      <c r="A199" s="1183" t="s">
        <v>1651</v>
      </c>
      <c r="B199" s="1187">
        <v>3.5411848526919951</v>
      </c>
      <c r="C199" s="1187">
        <v>3.6616999800730944E-2</v>
      </c>
      <c r="D199" s="1187">
        <v>4.9979601623746511E-2</v>
      </c>
      <c r="E199" s="1187"/>
    </row>
    <row r="200" spans="1:6">
      <c r="A200" s="1183" t="s">
        <v>11</v>
      </c>
      <c r="B200" s="1187">
        <v>2.4632413675404914</v>
      </c>
      <c r="C200" s="1187">
        <v>9.327988389214778E-2</v>
      </c>
      <c r="D200" s="1187">
        <v>3.4548768234457239E-2</v>
      </c>
      <c r="E200" s="1187">
        <v>0.32858995726001705</v>
      </c>
    </row>
    <row r="201" spans="1:6">
      <c r="A201" s="1183" t="s">
        <v>12</v>
      </c>
      <c r="B201" s="1187">
        <v>3.0482298429478858</v>
      </c>
      <c r="C201" s="1187">
        <v>0.18423729578745376</v>
      </c>
      <c r="D201" s="1187">
        <v>2.5633467177048109E-2</v>
      </c>
      <c r="E201" s="1187">
        <v>0.63370810611058315</v>
      </c>
    </row>
    <row r="202" spans="1:6">
      <c r="A202" s="1183" t="s">
        <v>13</v>
      </c>
      <c r="B202" s="1187">
        <v>3.9312145536647543</v>
      </c>
      <c r="C202" s="1187">
        <v>0.3027778186070389</v>
      </c>
      <c r="D202" s="1187">
        <v>4.4829609455096529E-2</v>
      </c>
      <c r="E202" s="1187">
        <v>0.9000463847316118</v>
      </c>
    </row>
    <row r="205" spans="1:6">
      <c r="B205" s="1186"/>
      <c r="C205" s="1186"/>
      <c r="D205" s="1186"/>
      <c r="E205" s="1186"/>
      <c r="F205" s="1186">
        <v>3.9312145536647543</v>
      </c>
    </row>
    <row r="206" spans="1:6">
      <c r="B206" s="1186"/>
      <c r="C206" s="1186"/>
      <c r="D206" s="1186"/>
      <c r="E206" s="1186"/>
      <c r="F206" s="1186">
        <v>0.3027778186070389</v>
      </c>
    </row>
    <row r="207" spans="1:6">
      <c r="B207" s="1186"/>
      <c r="C207" s="1186"/>
      <c r="D207" s="1186"/>
      <c r="E207" s="1186"/>
      <c r="F207" s="1186">
        <v>4.4829609455096529E-2</v>
      </c>
    </row>
    <row r="208" spans="1:6">
      <c r="B208" s="1186"/>
      <c r="C208" s="1186"/>
      <c r="D208" s="1186"/>
      <c r="E208" s="1186"/>
      <c r="F208" s="1186">
        <v>0.9000463847316118</v>
      </c>
    </row>
    <row r="212" spans="1:6">
      <c r="D212" s="1005">
        <v>107.84782380537125</v>
      </c>
      <c r="E212" s="1005">
        <v>118.63260618590839</v>
      </c>
      <c r="F212" s="1005">
        <v>130.49586680449923</v>
      </c>
    </row>
    <row r="213" spans="1:6">
      <c r="D213" s="1005">
        <v>36.93848758336545</v>
      </c>
      <c r="E213" s="1005">
        <v>30.4826405828777</v>
      </c>
      <c r="F213" s="1005">
        <v>25.1977570331136</v>
      </c>
    </row>
    <row r="215" spans="1:6">
      <c r="A215" s="1183"/>
    </row>
    <row r="216" spans="1:6">
      <c r="A216" s="1183"/>
      <c r="B216" s="1005" t="s">
        <v>1801</v>
      </c>
      <c r="C216" s="1005" t="s">
        <v>1802</v>
      </c>
    </row>
    <row r="217" spans="1:6">
      <c r="A217" s="1183" t="s">
        <v>11</v>
      </c>
      <c r="B217" s="1110">
        <v>107.84782380537125</v>
      </c>
      <c r="C217" s="1110">
        <v>36.93848758336545</v>
      </c>
    </row>
    <row r="218" spans="1:6">
      <c r="A218" s="1183" t="s">
        <v>12</v>
      </c>
      <c r="B218" s="1110">
        <v>118.63260618590839</v>
      </c>
      <c r="C218" s="1110">
        <v>30.4826405828777</v>
      </c>
    </row>
    <row r="219" spans="1:6">
      <c r="A219" s="1183" t="s">
        <v>13</v>
      </c>
      <c r="B219" s="1110">
        <v>130.49586680449923</v>
      </c>
      <c r="C219" s="1110">
        <v>25.1977570331136</v>
      </c>
    </row>
    <row r="229" spans="1:5">
      <c r="A229" s="1183"/>
    </row>
    <row r="230" spans="1:5">
      <c r="A230" s="1183"/>
    </row>
    <row r="231" spans="1:5">
      <c r="A231" s="1183"/>
      <c r="B231" s="1173"/>
      <c r="C231" s="1173"/>
      <c r="D231" s="1173"/>
      <c r="E231" s="1173"/>
    </row>
    <row r="232" spans="1:5">
      <c r="A232" s="1183"/>
      <c r="B232" s="1173"/>
      <c r="C232" s="1173"/>
      <c r="D232" s="1173"/>
      <c r="E232" s="1173"/>
    </row>
    <row r="233" spans="1:5">
      <c r="A233" s="1183"/>
      <c r="B233" s="1173"/>
      <c r="C233" s="1173"/>
      <c r="D233" s="1173"/>
      <c r="E233" s="1173"/>
    </row>
    <row r="234" spans="1:5">
      <c r="B234" s="1005" t="s">
        <v>1803</v>
      </c>
      <c r="C234" s="1005" t="s">
        <v>1804</v>
      </c>
    </row>
    <row r="235" spans="1:5">
      <c r="A235" s="1020" t="s">
        <v>1760</v>
      </c>
      <c r="B235" s="1197">
        <v>2</v>
      </c>
      <c r="C235" s="1197">
        <f>B235</f>
        <v>2</v>
      </c>
    </row>
    <row r="236" spans="1:5">
      <c r="A236" s="1020" t="s">
        <v>1761</v>
      </c>
      <c r="B236" s="1197">
        <v>3</v>
      </c>
      <c r="C236" s="1197">
        <f>B236+C235</f>
        <v>5</v>
      </c>
    </row>
    <row r="237" spans="1:5">
      <c r="A237" s="1020" t="s">
        <v>1762</v>
      </c>
      <c r="B237" s="1197">
        <v>9</v>
      </c>
      <c r="C237" s="1197">
        <f t="shared" ref="C237:C241" si="50">B237+C236</f>
        <v>14</v>
      </c>
    </row>
    <row r="238" spans="1:5">
      <c r="A238" s="1020" t="s">
        <v>1763</v>
      </c>
      <c r="B238" s="1197">
        <v>11</v>
      </c>
      <c r="C238" s="1197">
        <f t="shared" si="50"/>
        <v>25</v>
      </c>
    </row>
    <row r="239" spans="1:5">
      <c r="A239" s="1020" t="s">
        <v>1764</v>
      </c>
      <c r="B239" s="1197">
        <v>14</v>
      </c>
      <c r="C239" s="1197">
        <f t="shared" si="50"/>
        <v>39</v>
      </c>
    </row>
    <row r="240" spans="1:5">
      <c r="A240" s="1020" t="s">
        <v>1765</v>
      </c>
      <c r="B240" s="1197">
        <v>20</v>
      </c>
      <c r="C240" s="1197">
        <f t="shared" si="50"/>
        <v>59</v>
      </c>
    </row>
    <row r="241" spans="1:5">
      <c r="A241" s="1020" t="s">
        <v>1766</v>
      </c>
      <c r="B241" s="1197">
        <v>25</v>
      </c>
      <c r="C241" s="1197">
        <f t="shared" si="50"/>
        <v>84</v>
      </c>
    </row>
    <row r="242" spans="1:5">
      <c r="A242" s="1020" t="s">
        <v>1767</v>
      </c>
      <c r="B242" s="1197">
        <v>25.6</v>
      </c>
      <c r="C242" s="1197">
        <f>B242+C241</f>
        <v>109.6</v>
      </c>
      <c r="D242" s="1197"/>
    </row>
    <row r="251" spans="1:5">
      <c r="B251" s="1005" t="s">
        <v>1792</v>
      </c>
      <c r="C251" s="1005" t="s">
        <v>1793</v>
      </c>
      <c r="D251" s="1005" t="s">
        <v>1794</v>
      </c>
      <c r="E251" s="1005" t="s">
        <v>1795</v>
      </c>
    </row>
    <row r="252" spans="1:5">
      <c r="A252" s="1004" t="s">
        <v>1743</v>
      </c>
      <c r="B252" s="1005">
        <v>110</v>
      </c>
      <c r="C252" s="1005">
        <v>629</v>
      </c>
      <c r="D252" s="1005">
        <v>2031</v>
      </c>
      <c r="E252" s="1005">
        <v>2770</v>
      </c>
    </row>
    <row r="253" spans="1:5">
      <c r="A253" s="1004" t="s">
        <v>1744</v>
      </c>
      <c r="B253" s="1005">
        <v>202</v>
      </c>
      <c r="C253" s="1005">
        <v>957</v>
      </c>
      <c r="D253" s="1005">
        <v>1661</v>
      </c>
      <c r="E253" s="1005">
        <v>2820</v>
      </c>
    </row>
    <row r="254" spans="1:5">
      <c r="A254" s="1004" t="s">
        <v>1745</v>
      </c>
      <c r="B254" s="1005">
        <v>145</v>
      </c>
      <c r="C254" s="1005">
        <v>792</v>
      </c>
      <c r="D254" s="1005">
        <v>1665</v>
      </c>
      <c r="E254" s="1005">
        <v>2602</v>
      </c>
    </row>
    <row r="255" spans="1:5">
      <c r="A255" s="1004" t="s">
        <v>1746</v>
      </c>
      <c r="B255" s="1005">
        <v>178</v>
      </c>
      <c r="C255" s="1005">
        <v>1016</v>
      </c>
      <c r="D255" s="1005">
        <v>1915</v>
      </c>
      <c r="E255" s="1005">
        <v>3109</v>
      </c>
    </row>
    <row r="256" spans="1:5">
      <c r="A256" s="1004" t="s">
        <v>1747</v>
      </c>
      <c r="B256" s="1005">
        <v>136</v>
      </c>
      <c r="C256" s="1005">
        <v>1288</v>
      </c>
      <c r="D256" s="1005">
        <v>2580</v>
      </c>
      <c r="E256" s="1005">
        <v>4004</v>
      </c>
    </row>
    <row r="257" spans="1:5">
      <c r="A257" s="1004" t="s">
        <v>1748</v>
      </c>
      <c r="B257" s="1005">
        <v>150</v>
      </c>
      <c r="C257" s="1005">
        <v>1715</v>
      </c>
      <c r="D257" s="1005">
        <v>2965</v>
      </c>
      <c r="E257" s="1005">
        <v>4830</v>
      </c>
    </row>
    <row r="258" spans="1:5">
      <c r="A258" s="1004" t="s">
        <v>1749</v>
      </c>
      <c r="B258" s="1005">
        <v>182</v>
      </c>
      <c r="C258" s="1005">
        <v>411</v>
      </c>
      <c r="D258" s="1005">
        <v>3352</v>
      </c>
      <c r="E258" s="1005">
        <v>3945</v>
      </c>
    </row>
    <row r="259" spans="1:5">
      <c r="A259" s="1004" t="s">
        <v>1750</v>
      </c>
      <c r="B259" s="1005">
        <v>103</v>
      </c>
      <c r="C259" s="1005">
        <v>1471</v>
      </c>
      <c r="D259" s="1005">
        <v>17106</v>
      </c>
      <c r="E259" s="1005">
        <v>18680</v>
      </c>
    </row>
    <row r="260" spans="1:5">
      <c r="A260" s="1004" t="s">
        <v>1751</v>
      </c>
      <c r="B260" s="1005">
        <v>99</v>
      </c>
      <c r="C260" s="1005">
        <v>1813</v>
      </c>
      <c r="D260" s="1005">
        <v>14551</v>
      </c>
      <c r="E260" s="1005">
        <v>16463</v>
      </c>
    </row>
    <row r="261" spans="1:5">
      <c r="A261" s="1004" t="s">
        <v>1752</v>
      </c>
      <c r="B261" s="1005">
        <v>161</v>
      </c>
      <c r="C261" s="1005">
        <v>6640</v>
      </c>
      <c r="D261" s="1005">
        <v>9929</v>
      </c>
      <c r="E261" s="1005">
        <v>16730</v>
      </c>
    </row>
    <row r="262" spans="1:5">
      <c r="A262" s="1004" t="s">
        <v>1753</v>
      </c>
      <c r="B262" s="1005">
        <v>256</v>
      </c>
      <c r="C262" s="1005">
        <v>12649</v>
      </c>
      <c r="D262" s="1005">
        <v>30632</v>
      </c>
      <c r="E262" s="1005">
        <v>43537</v>
      </c>
    </row>
    <row r="263" spans="1:5">
      <c r="A263" s="1004" t="s">
        <v>1754</v>
      </c>
      <c r="B263" s="1005">
        <v>275</v>
      </c>
      <c r="C263" s="1005">
        <v>13288</v>
      </c>
      <c r="D263" s="1005">
        <v>28028</v>
      </c>
      <c r="E263" s="1005">
        <v>41591</v>
      </c>
    </row>
    <row r="264" spans="1:5">
      <c r="A264" s="1004" t="s">
        <v>1755</v>
      </c>
      <c r="B264" s="1005">
        <v>343</v>
      </c>
      <c r="C264" s="1005">
        <v>10837</v>
      </c>
      <c r="D264" s="1005">
        <v>28626</v>
      </c>
      <c r="E264" s="1005">
        <v>39806</v>
      </c>
    </row>
    <row r="265" spans="1:5">
      <c r="A265" s="1004" t="s">
        <v>1796</v>
      </c>
      <c r="B265" s="1005">
        <v>434</v>
      </c>
      <c r="C265" s="1005">
        <v>6192</v>
      </c>
      <c r="D265" s="1005">
        <v>14955</v>
      </c>
      <c r="E265" s="1005">
        <v>21581</v>
      </c>
    </row>
    <row r="266" spans="1:5">
      <c r="A266" s="1004" t="s">
        <v>1797</v>
      </c>
      <c r="B266" s="1005">
        <v>512</v>
      </c>
      <c r="C266" s="1005">
        <v>4394</v>
      </c>
      <c r="D266" s="1005">
        <v>17675</v>
      </c>
      <c r="E266" s="1005">
        <v>22581</v>
      </c>
    </row>
    <row r="267" spans="1:5">
      <c r="A267" s="1004" t="s">
        <v>1758</v>
      </c>
      <c r="B267" s="1005">
        <v>531</v>
      </c>
      <c r="C267" s="1005">
        <v>5904</v>
      </c>
      <c r="D267" s="1005">
        <v>21899</v>
      </c>
      <c r="E267" s="1005">
        <v>28334</v>
      </c>
    </row>
    <row r="268" spans="1:5">
      <c r="A268" s="1004" t="s">
        <v>1759</v>
      </c>
      <c r="B268" s="1005">
        <v>619</v>
      </c>
      <c r="C268" s="1005">
        <v>4696</v>
      </c>
      <c r="D268" s="1005">
        <v>26628</v>
      </c>
      <c r="E268" s="1005">
        <v>31943</v>
      </c>
    </row>
    <row r="269" spans="1:5">
      <c r="A269" s="1004" t="s">
        <v>1760</v>
      </c>
      <c r="B269" s="1005">
        <v>634</v>
      </c>
      <c r="C269" s="1005">
        <v>3768</v>
      </c>
      <c r="D269" s="1005">
        <v>18991</v>
      </c>
      <c r="E269" s="1005">
        <v>23393</v>
      </c>
    </row>
    <row r="270" spans="1:5">
      <c r="A270" s="1004" t="s">
        <v>1761</v>
      </c>
      <c r="B270" s="1005">
        <v>486</v>
      </c>
      <c r="C270" s="1005">
        <v>5816</v>
      </c>
      <c r="D270" s="1005">
        <v>15518</v>
      </c>
      <c r="E270" s="1005">
        <v>21820</v>
      </c>
    </row>
    <row r="271" spans="1:5">
      <c r="A271" s="1004" t="s">
        <v>1762</v>
      </c>
      <c r="B271" s="1147">
        <v>368</v>
      </c>
      <c r="C271" s="1147">
        <v>5933</v>
      </c>
      <c r="D271" s="1147">
        <v>15302</v>
      </c>
      <c r="E271" s="1147">
        <v>21603</v>
      </c>
    </row>
    <row r="272" spans="1:5">
      <c r="A272" s="1004" t="s">
        <v>1763</v>
      </c>
      <c r="B272" s="1005">
        <v>524</v>
      </c>
      <c r="C272" s="1005">
        <v>5600</v>
      </c>
      <c r="D272" s="1005">
        <v>16946</v>
      </c>
      <c r="E272" s="1005">
        <v>23070</v>
      </c>
    </row>
    <row r="273" spans="1:5">
      <c r="A273" s="1004" t="s">
        <v>1764</v>
      </c>
      <c r="B273" s="1005">
        <v>510</v>
      </c>
      <c r="C273" s="1005">
        <v>3834</v>
      </c>
      <c r="D273" s="1005">
        <v>17864</v>
      </c>
      <c r="E273" s="1005">
        <v>22208</v>
      </c>
    </row>
    <row r="274" spans="1:5">
      <c r="A274" s="1004" t="s">
        <v>1765</v>
      </c>
      <c r="B274" s="1005">
        <v>405</v>
      </c>
      <c r="C274" s="1005">
        <v>1661</v>
      </c>
      <c r="D274" s="1005">
        <v>18649</v>
      </c>
      <c r="E274" s="1005">
        <v>20715</v>
      </c>
    </row>
    <row r="275" spans="1:5">
      <c r="A275" s="1004" t="s">
        <v>1766</v>
      </c>
      <c r="B275" s="1005">
        <v>596</v>
      </c>
      <c r="C275" s="1005">
        <v>4598</v>
      </c>
      <c r="D275" s="1005">
        <v>20328</v>
      </c>
      <c r="E275" s="1005">
        <v>25522</v>
      </c>
    </row>
    <row r="276" spans="1:5">
      <c r="A276" s="1010" t="s">
        <v>1767</v>
      </c>
      <c r="B276" s="1147">
        <v>1214.6353333333309</v>
      </c>
      <c r="C276" s="1147">
        <v>5057.8</v>
      </c>
      <c r="D276" s="1147">
        <v>24393.599999999999</v>
      </c>
      <c r="E276" s="1147">
        <v>30666.03533333333</v>
      </c>
    </row>
  </sheetData>
  <phoneticPr fontId="4" type="noConversion"/>
  <pageMargins left="0.7" right="0.7" top="0.75" bottom="0.75" header="0.3" footer="0.3"/>
  <ignoredErrors>
    <ignoredError sqref="AD22 AE22 AF22 AG22 AH22 AD4:AG4 AD2:AG3 Z8 Z10 Z14:Z17" formulaRange="1"/>
  </ignoredErrors>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75EAA-B9F6-41B3-B7FA-A68DEAFA6E8B}">
  <dimension ref="A1:AE198"/>
  <sheetViews>
    <sheetView zoomScale="120" zoomScaleNormal="120" workbookViewId="0">
      <pane xSplit="2" ySplit="4" topLeftCell="E45" activePane="bottomRight" state="frozen"/>
      <selection pane="topRight"/>
      <selection pane="bottomLeft"/>
      <selection pane="bottomRight" activeCell="K19" sqref="K19"/>
    </sheetView>
  </sheetViews>
  <sheetFormatPr defaultColWidth="8.83203125" defaultRowHeight="13" outlineLevelCol="1"/>
  <cols>
    <col min="1" max="1" width="27.4140625" style="672" customWidth="1"/>
    <col min="2" max="2" width="11.1640625" style="679" hidden="1" customWidth="1"/>
    <col min="3" max="3" width="11.75" style="679" customWidth="1" outlineLevel="1"/>
    <col min="4" max="4" width="12" style="679" customWidth="1" outlineLevel="1"/>
    <col min="5" max="7" width="13.4140625" style="679" bestFit="1" customWidth="1"/>
    <col min="8" max="8" width="13.4140625" style="672" bestFit="1" customWidth="1"/>
    <col min="9" max="9" width="14.4140625" style="679" bestFit="1" customWidth="1"/>
    <col min="10" max="11" width="15" style="679" customWidth="1"/>
    <col min="12" max="12" width="14.83203125" style="679" customWidth="1"/>
    <col min="13" max="16" width="9" style="679"/>
    <col min="17" max="17" width="13" style="679" bestFit="1" customWidth="1"/>
    <col min="18" max="18" width="9.83203125" style="679" customWidth="1"/>
    <col min="19" max="19" width="10.75" style="679" customWidth="1"/>
    <col min="20" max="20" width="10.25" style="679" customWidth="1"/>
    <col min="21" max="22" width="10.75" style="679" customWidth="1"/>
    <col min="23" max="24" width="8.83203125" style="679"/>
    <col min="25" max="31" width="8.83203125" style="673"/>
    <col min="32" max="16384" width="8.83203125" style="679"/>
  </cols>
  <sheetData>
    <row r="1" spans="1:24">
      <c r="B1" s="673"/>
      <c r="C1" s="674"/>
      <c r="D1" s="674"/>
      <c r="E1" s="675"/>
      <c r="F1" s="676"/>
      <c r="G1" s="676"/>
      <c r="H1" s="677"/>
      <c r="I1" s="678"/>
      <c r="J1" s="678"/>
      <c r="K1" s="678"/>
      <c r="L1" s="678"/>
      <c r="M1" s="673"/>
      <c r="N1" s="673"/>
      <c r="O1" s="673"/>
      <c r="P1" s="673"/>
      <c r="Q1" s="673"/>
      <c r="R1" s="673"/>
      <c r="S1" s="673"/>
      <c r="T1" s="673"/>
      <c r="U1" s="673"/>
      <c r="V1" s="673"/>
      <c r="W1" s="673"/>
      <c r="X1" s="673"/>
    </row>
    <row r="2" spans="1:24">
      <c r="A2" s="680" t="s">
        <v>1805</v>
      </c>
      <c r="B2" s="681"/>
      <c r="C2" s="682"/>
      <c r="D2" s="682"/>
      <c r="E2" s="683"/>
      <c r="F2" s="684"/>
      <c r="G2" s="684"/>
      <c r="H2" s="685"/>
      <c r="I2" s="686"/>
      <c r="J2" s="686"/>
      <c r="K2" s="686"/>
      <c r="L2" s="687"/>
      <c r="M2" s="681"/>
      <c r="N2" s="681"/>
      <c r="O2" s="681"/>
      <c r="P2" s="681"/>
      <c r="Q2" s="681"/>
      <c r="R2" s="681"/>
      <c r="S2" s="681"/>
      <c r="T2" s="681"/>
      <c r="U2" s="681"/>
      <c r="V2" s="681"/>
      <c r="W2" s="681"/>
      <c r="X2" s="681"/>
    </row>
    <row r="3" spans="1:24">
      <c r="A3" s="688" t="s">
        <v>1806</v>
      </c>
      <c r="B3" s="674">
        <v>2015</v>
      </c>
      <c r="C3" s="689">
        <v>2016</v>
      </c>
      <c r="D3" s="689">
        <v>2017</v>
      </c>
      <c r="E3" s="689">
        <v>2018</v>
      </c>
      <c r="F3" s="689">
        <v>2019</v>
      </c>
      <c r="G3" s="689">
        <v>2020</v>
      </c>
      <c r="H3" s="689">
        <v>2021</v>
      </c>
      <c r="I3" s="689">
        <v>2022</v>
      </c>
      <c r="J3" s="690">
        <v>2023</v>
      </c>
      <c r="K3" s="690">
        <v>2024</v>
      </c>
      <c r="L3" s="690">
        <v>2025</v>
      </c>
      <c r="M3" s="673"/>
      <c r="N3" s="691"/>
      <c r="O3" s="689">
        <f t="shared" ref="O3:V4" si="0">E3</f>
        <v>2018</v>
      </c>
      <c r="P3" s="689">
        <f t="shared" si="0"/>
        <v>2019</v>
      </c>
      <c r="Q3" s="689">
        <f t="shared" si="0"/>
        <v>2020</v>
      </c>
      <c r="R3" s="689">
        <f t="shared" si="0"/>
        <v>2021</v>
      </c>
      <c r="S3" s="689">
        <f t="shared" si="0"/>
        <v>2022</v>
      </c>
      <c r="T3" s="692">
        <f t="shared" si="0"/>
        <v>2023</v>
      </c>
      <c r="U3" s="692">
        <f t="shared" si="0"/>
        <v>2024</v>
      </c>
      <c r="V3" s="692">
        <f t="shared" si="0"/>
        <v>2025</v>
      </c>
      <c r="W3" s="673"/>
      <c r="X3" s="673"/>
    </row>
    <row r="4" spans="1:24">
      <c r="A4" s="693" t="s">
        <v>1807</v>
      </c>
      <c r="B4" s="674" t="s">
        <v>1575</v>
      </c>
      <c r="C4" s="689" t="s">
        <v>1575</v>
      </c>
      <c r="D4" s="689" t="s">
        <v>1575</v>
      </c>
      <c r="E4" s="689" t="s">
        <v>1575</v>
      </c>
      <c r="F4" s="689" t="s">
        <v>1575</v>
      </c>
      <c r="G4" s="689" t="s">
        <v>1575</v>
      </c>
      <c r="H4" s="689" t="s">
        <v>1575</v>
      </c>
      <c r="I4" s="689" t="s">
        <v>1575</v>
      </c>
      <c r="J4" s="690" t="s">
        <v>1576</v>
      </c>
      <c r="K4" s="690" t="s">
        <v>1576</v>
      </c>
      <c r="L4" s="690" t="s">
        <v>1576</v>
      </c>
      <c r="M4" s="673"/>
      <c r="N4" s="694"/>
      <c r="O4" s="689" t="str">
        <f t="shared" si="0"/>
        <v>Actual</v>
      </c>
      <c r="P4" s="689" t="str">
        <f t="shared" si="0"/>
        <v>Actual</v>
      </c>
      <c r="Q4" s="689" t="str">
        <f t="shared" si="0"/>
        <v>Actual</v>
      </c>
      <c r="R4" s="689" t="str">
        <f t="shared" si="0"/>
        <v>Actual</v>
      </c>
      <c r="S4" s="689" t="str">
        <f t="shared" si="0"/>
        <v>Actual</v>
      </c>
      <c r="T4" s="692" t="str">
        <f t="shared" si="0"/>
        <v>Forecast</v>
      </c>
      <c r="U4" s="692" t="str">
        <f t="shared" si="0"/>
        <v>Forecast</v>
      </c>
      <c r="V4" s="692" t="str">
        <f t="shared" si="0"/>
        <v>Forecast</v>
      </c>
      <c r="W4" s="681"/>
      <c r="X4" s="673"/>
    </row>
    <row r="5" spans="1:24">
      <c r="A5" s="693"/>
      <c r="B5" s="695"/>
      <c r="C5" s="693"/>
      <c r="D5" s="693"/>
      <c r="E5" s="695"/>
      <c r="F5" s="695"/>
      <c r="G5" s="695"/>
      <c r="H5" s="696"/>
      <c r="I5" s="697"/>
      <c r="J5" s="697"/>
      <c r="K5" s="697"/>
      <c r="L5" s="697"/>
      <c r="M5" s="695"/>
      <c r="N5" s="673"/>
      <c r="O5" s="673"/>
      <c r="P5" s="673"/>
      <c r="Q5" s="673"/>
      <c r="R5" s="673"/>
      <c r="S5" s="673"/>
      <c r="T5" s="673"/>
      <c r="U5" s="673"/>
      <c r="V5" s="673"/>
      <c r="W5" s="673"/>
      <c r="X5" s="673"/>
    </row>
    <row r="6" spans="1:24">
      <c r="A6" s="698" t="s">
        <v>1577</v>
      </c>
      <c r="B6" s="699"/>
      <c r="C6" s="700"/>
      <c r="D6" s="700"/>
      <c r="E6" s="701"/>
      <c r="F6" s="701"/>
      <c r="G6" s="702"/>
      <c r="H6" s="703"/>
      <c r="I6" s="704"/>
      <c r="J6" s="705"/>
      <c r="K6" s="705"/>
      <c r="L6" s="705"/>
      <c r="M6" s="691"/>
      <c r="N6" s="694" t="s">
        <v>1613</v>
      </c>
      <c r="O6" s="691"/>
      <c r="P6" s="691"/>
      <c r="Q6" s="691"/>
      <c r="R6" s="691"/>
      <c r="S6" s="691"/>
      <c r="T6" s="691"/>
      <c r="U6" s="691"/>
      <c r="V6" s="691"/>
      <c r="W6" s="691"/>
      <c r="X6" s="691"/>
    </row>
    <row r="7" spans="1:24">
      <c r="A7" s="680" t="s">
        <v>508</v>
      </c>
      <c r="B7" s="681"/>
      <c r="C7" s="706">
        <f>SUM(C8,C9:C12)</f>
        <v>7000129</v>
      </c>
      <c r="D7" s="706">
        <f t="shared" ref="D7:G7" si="1">SUM(D8,D9:D12)</f>
        <v>11759210</v>
      </c>
      <c r="E7" s="706">
        <f>SUM(E8,E9:E12)</f>
        <v>21460800</v>
      </c>
      <c r="F7" s="706">
        <f t="shared" si="1"/>
        <v>24578000</v>
      </c>
      <c r="G7" s="706">
        <f t="shared" si="1"/>
        <v>31536000</v>
      </c>
      <c r="H7" s="706">
        <f>SUM(H8,H9:H12)</f>
        <v>53823000</v>
      </c>
      <c r="I7" s="706">
        <f t="shared" ref="I7" si="2">SUM(I8,I9:I12)</f>
        <v>81462000.00000003</v>
      </c>
      <c r="J7" s="706">
        <f>SUM(J8,J9:J13)</f>
        <v>98482974.651486948</v>
      </c>
      <c r="K7" s="706">
        <f t="shared" ref="K7:L7" si="3">SUM(K8,K9:K13)</f>
        <v>114567981.89971517</v>
      </c>
      <c r="L7" s="706">
        <f t="shared" si="3"/>
        <v>127036459.68507002</v>
      </c>
      <c r="M7" s="673"/>
      <c r="N7" s="681" t="s">
        <v>1631</v>
      </c>
      <c r="O7" s="707">
        <f>IFERROR(E7/D7-1,"")</f>
        <v>0.82502055835383503</v>
      </c>
      <c r="P7" s="707">
        <f t="shared" ref="P7:T11" si="4">IFERROR(F7/E7-1,"")</f>
        <v>0.14525087601580555</v>
      </c>
      <c r="Q7" s="707">
        <f t="shared" si="4"/>
        <v>0.28309870615998056</v>
      </c>
      <c r="R7" s="707">
        <f>IFERROR(H7/G7-1,"")</f>
        <v>0.70671613394216126</v>
      </c>
      <c r="S7" s="707">
        <f>IFERROR(I7/H7-1,"")</f>
        <v>0.51351652639206335</v>
      </c>
      <c r="T7" s="707">
        <f>IFERROR(J7/I7-1,"")</f>
        <v>0.20894373636157848</v>
      </c>
      <c r="U7" s="707">
        <f>IFERROR(K7/J7-1,"")</f>
        <v>0.16332779655722307</v>
      </c>
      <c r="V7" s="707">
        <f>IFERROR(L7/K7-1,"")</f>
        <v>0.10883038680273605</v>
      </c>
      <c r="W7" s="684"/>
      <c r="X7" s="673"/>
    </row>
    <row r="8" spans="1:24">
      <c r="A8" s="708" t="s">
        <v>1808</v>
      </c>
      <c r="B8" s="709"/>
      <c r="C8" s="710">
        <f>'Earning Forecast'!B5</f>
        <v>6350769</v>
      </c>
      <c r="D8" s="710">
        <f>'Earning Forecast'!C5</f>
        <v>9641750</v>
      </c>
      <c r="E8" s="710">
        <f>'Earning Forecast'!D5</f>
        <v>18514520</v>
      </c>
      <c r="F8" s="710">
        <f>'Earning Forecast'!E5</f>
        <v>20821000</v>
      </c>
      <c r="G8" s="710">
        <f>'Earning Forecast'!F5</f>
        <v>27236000</v>
      </c>
      <c r="H8" s="710">
        <f>'Earning Forecast'!G5</f>
        <v>47232000</v>
      </c>
      <c r="I8" s="710">
        <f>'Earning Forecast'!H5</f>
        <v>71462000.00000003</v>
      </c>
      <c r="J8" s="710">
        <f>'Earning Forecast'!I5</f>
        <v>83926771.802430227</v>
      </c>
      <c r="K8" s="710">
        <f>'Earning Forecast'!J5</f>
        <v>95277251.58928746</v>
      </c>
      <c r="L8" s="710">
        <f>'Earning Forecast'!K5</f>
        <v>102835026.77270603</v>
      </c>
      <c r="M8" s="695"/>
      <c r="N8" s="695" t="str">
        <f t="shared" ref="N8:N12" si="5">A8</f>
        <v>Automotive Sales&amp;Leasing</v>
      </c>
      <c r="O8" s="711">
        <f>IFERROR(E8/D8-1,"")</f>
        <v>0.92024476884383022</v>
      </c>
      <c r="P8" s="711">
        <f>IFERROR(F8/E8-1,"")</f>
        <v>0.1245768186266778</v>
      </c>
      <c r="Q8" s="711">
        <f t="shared" si="4"/>
        <v>0.30810239661879835</v>
      </c>
      <c r="R8" s="711">
        <f t="shared" si="4"/>
        <v>0.73417535614627694</v>
      </c>
      <c r="S8" s="711">
        <f t="shared" si="4"/>
        <v>0.512999661246613</v>
      </c>
      <c r="T8" s="711">
        <f>IFERROR(J8/I8-1,"")</f>
        <v>0.1744251742524725</v>
      </c>
      <c r="U8" s="711">
        <f>IFERROR(K8/J8-1,"")</f>
        <v>0.13524265908352939</v>
      </c>
      <c r="V8" s="711">
        <f>IFERROR(L8/K8-1,"")</f>
        <v>7.9324026011979631E-2</v>
      </c>
      <c r="W8" s="683"/>
      <c r="X8" s="695"/>
    </row>
    <row r="9" spans="1:24">
      <c r="A9" s="708" t="s">
        <v>515</v>
      </c>
      <c r="B9" s="709"/>
      <c r="C9" s="710">
        <f>'Earning Forecast'!B12</f>
        <v>467970</v>
      </c>
      <c r="D9" s="710">
        <f>'Earning Forecast'!C12</f>
        <v>1001190</v>
      </c>
      <c r="E9" s="710">
        <f>'Earning Forecast'!D12</f>
        <v>1391040</v>
      </c>
      <c r="F9" s="710">
        <f>'Earning Forecast'!E12</f>
        <v>2226000</v>
      </c>
      <c r="G9" s="710">
        <f>'Earning Forecast'!F12</f>
        <v>2306000</v>
      </c>
      <c r="H9" s="710">
        <f>'Earning Forecast'!G12</f>
        <v>3802000</v>
      </c>
      <c r="I9" s="710">
        <f>'Earning Forecast'!H12</f>
        <v>6091000</v>
      </c>
      <c r="J9" s="710">
        <f>'Earning Forecast'!I12</f>
        <v>7005024.5548287649</v>
      </c>
      <c r="K9" s="710">
        <f>'Earning Forecast'!J12</f>
        <v>7914246.0697092656</v>
      </c>
      <c r="L9" s="710">
        <f>'Earning Forecast'!K12</f>
        <v>8630102.4202933218</v>
      </c>
      <c r="M9" s="712"/>
      <c r="N9" s="695" t="str">
        <f t="shared" si="5"/>
        <v>Services &amp; Other</v>
      </c>
      <c r="O9" s="711">
        <f>IFERROR(E9/D9-1,"")</f>
        <v>0.38938662991040651</v>
      </c>
      <c r="P9" s="711">
        <f t="shared" si="4"/>
        <v>0.60024154589371981</v>
      </c>
      <c r="Q9" s="711">
        <f t="shared" si="4"/>
        <v>3.5938903863432126E-2</v>
      </c>
      <c r="R9" s="711">
        <f t="shared" si="4"/>
        <v>0.64874241110147435</v>
      </c>
      <c r="S9" s="711">
        <f t="shared" si="4"/>
        <v>0.60205155181483438</v>
      </c>
      <c r="T9" s="711">
        <f t="shared" si="4"/>
        <v>0.15006149315855599</v>
      </c>
      <c r="U9" s="711">
        <f>IFERROR(K9/J9-1,"")</f>
        <v>0.12979562138061995</v>
      </c>
      <c r="V9" s="711">
        <f>IFERROR(L9/K9-1,"")</f>
        <v>9.0451616525281109E-2</v>
      </c>
      <c r="W9" s="695"/>
      <c r="X9" s="695"/>
    </row>
    <row r="10" spans="1:24">
      <c r="A10" s="708" t="s">
        <v>520</v>
      </c>
      <c r="B10" s="709"/>
      <c r="C10" s="710">
        <f>'Earning Forecast'!B20</f>
        <v>181390</v>
      </c>
      <c r="D10" s="710">
        <f>'Earning Forecast'!C20</f>
        <v>1116270</v>
      </c>
      <c r="E10" s="710">
        <f>'Earning Forecast'!D20</f>
        <v>1555240</v>
      </c>
      <c r="F10" s="710">
        <f>'Earning Forecast'!E20</f>
        <v>1531000</v>
      </c>
      <c r="G10" s="710">
        <f>'Earning Forecast'!F20</f>
        <v>1994000</v>
      </c>
      <c r="H10" s="710">
        <f>'Earning Forecast'!G20</f>
        <v>2789000</v>
      </c>
      <c r="I10" s="710">
        <f>'Earning Forecast'!H20</f>
        <v>3909000</v>
      </c>
      <c r="J10" s="710">
        <f>'Earning Forecast'!I20</f>
        <v>5462564.4964076504</v>
      </c>
      <c r="K10" s="710">
        <f>'Earning Forecast'!J20</f>
        <v>7711269.0859590573</v>
      </c>
      <c r="L10" s="710">
        <f>'Earning Forecast'!K20</f>
        <v>10834524.7558553</v>
      </c>
      <c r="M10" s="695"/>
      <c r="N10" s="695" t="str">
        <f t="shared" si="5"/>
        <v>Energy Generation &amp; Storage</v>
      </c>
      <c r="O10" s="711">
        <f>IFERROR(E10/D10-1,"")</f>
        <v>0.39324715346645522</v>
      </c>
      <c r="P10" s="711">
        <f t="shared" si="4"/>
        <v>-1.5586018878115282E-2</v>
      </c>
      <c r="Q10" s="711">
        <f t="shared" si="4"/>
        <v>0.30241672109732209</v>
      </c>
      <c r="R10" s="711">
        <f t="shared" si="4"/>
        <v>0.3986960882647943</v>
      </c>
      <c r="S10" s="711">
        <f t="shared" si="4"/>
        <v>0.40157762638938688</v>
      </c>
      <c r="T10" s="711">
        <f t="shared" si="4"/>
        <v>0.39743271844657202</v>
      </c>
      <c r="U10" s="711">
        <f>IFERROR(K10/J10-1,"")</f>
        <v>0.41165730693527269</v>
      </c>
      <c r="V10" s="711">
        <f>IFERROR(L10/K10-1,"")</f>
        <v>0.40502485843519231</v>
      </c>
      <c r="W10" s="695"/>
      <c r="X10" s="695"/>
    </row>
    <row r="11" spans="1:24">
      <c r="A11" s="708" t="s">
        <v>1809</v>
      </c>
      <c r="B11" s="709"/>
      <c r="C11" s="713">
        <v>0</v>
      </c>
      <c r="D11" s="713">
        <v>0</v>
      </c>
      <c r="E11" s="713">
        <v>0</v>
      </c>
      <c r="F11" s="713">
        <v>0</v>
      </c>
      <c r="G11" s="713">
        <v>0</v>
      </c>
      <c r="H11" s="713">
        <v>0</v>
      </c>
      <c r="I11" s="713">
        <v>0</v>
      </c>
      <c r="J11" s="713">
        <v>0</v>
      </c>
      <c r="K11" s="713">
        <v>0</v>
      </c>
      <c r="L11" s="713">
        <v>0</v>
      </c>
      <c r="M11" s="712"/>
      <c r="N11" s="695" t="str">
        <f t="shared" si="5"/>
        <v>Other Revenue</v>
      </c>
      <c r="O11" s="714" t="str">
        <f>IFERROR(E11/D11-1,"")</f>
        <v/>
      </c>
      <c r="P11" s="714" t="str">
        <f t="shared" si="4"/>
        <v/>
      </c>
      <c r="Q11" s="714" t="str">
        <f t="shared" si="4"/>
        <v/>
      </c>
      <c r="R11" s="714" t="str">
        <f t="shared" si="4"/>
        <v/>
      </c>
      <c r="S11" s="714" t="str">
        <f t="shared" si="4"/>
        <v/>
      </c>
      <c r="T11" s="714" t="str">
        <f t="shared" si="4"/>
        <v/>
      </c>
      <c r="U11" s="715"/>
      <c r="V11" s="715"/>
      <c r="W11" s="695"/>
      <c r="X11" s="695"/>
    </row>
    <row r="12" spans="1:24">
      <c r="A12" s="708" t="s">
        <v>1629</v>
      </c>
      <c r="B12" s="709"/>
      <c r="C12" s="716">
        <v>0</v>
      </c>
      <c r="D12" s="716">
        <v>0</v>
      </c>
      <c r="E12" s="716">
        <v>0</v>
      </c>
      <c r="F12" s="716">
        <v>0</v>
      </c>
      <c r="G12" s="716">
        <v>0</v>
      </c>
      <c r="H12" s="716">
        <v>0</v>
      </c>
      <c r="I12" s="716">
        <v>0</v>
      </c>
      <c r="J12" s="716">
        <v>0</v>
      </c>
      <c r="K12" s="716">
        <v>0</v>
      </c>
      <c r="L12" s="716">
        <v>0</v>
      </c>
      <c r="M12" s="695"/>
      <c r="N12" s="695" t="str">
        <f t="shared" si="5"/>
        <v>Other/Manual Adjustments</v>
      </c>
      <c r="O12" s="714"/>
      <c r="P12" s="714"/>
      <c r="Q12" s="717" t="s">
        <v>1810</v>
      </c>
      <c r="R12" s="717" t="s">
        <v>1810</v>
      </c>
      <c r="S12" s="717" t="s">
        <v>1810</v>
      </c>
      <c r="T12" s="717" t="s">
        <v>1810</v>
      </c>
      <c r="U12" s="718" t="str">
        <f>T12</f>
        <v>($)</v>
      </c>
      <c r="V12" s="718" t="str">
        <f>U12</f>
        <v>($)</v>
      </c>
      <c r="W12" s="695"/>
      <c r="X12" s="695"/>
    </row>
    <row r="13" spans="1:24">
      <c r="A13" s="1195" t="s">
        <v>1425</v>
      </c>
      <c r="B13" s="719"/>
      <c r="C13" s="674"/>
      <c r="D13" s="674"/>
      <c r="E13" s="674"/>
      <c r="F13" s="720"/>
      <c r="G13" s="721"/>
      <c r="H13" s="722"/>
      <c r="I13" s="723"/>
      <c r="J13" s="1196">
        <f>'Earning Forecast'!I27</f>
        <v>2088613.7978203164</v>
      </c>
      <c r="K13" s="1196">
        <f>'Earning Forecast'!J27</f>
        <v>3665215.1547593819</v>
      </c>
      <c r="L13" s="1196">
        <f>'Earning Forecast'!K27</f>
        <v>4736805.7362153716</v>
      </c>
      <c r="M13" s="673"/>
      <c r="N13" s="725"/>
      <c r="O13" s="673"/>
      <c r="P13" s="673"/>
      <c r="Q13" s="673"/>
      <c r="R13" s="673"/>
      <c r="S13" s="673"/>
      <c r="T13" s="673"/>
      <c r="U13" s="673"/>
      <c r="V13" s="673"/>
      <c r="W13" s="673"/>
      <c r="X13" s="673"/>
    </row>
    <row r="14" spans="1:24">
      <c r="A14" s="680" t="s">
        <v>287</v>
      </c>
      <c r="B14" s="681"/>
      <c r="C14" s="706">
        <f>SUM(C15,C16:C19)</f>
        <v>5400872</v>
      </c>
      <c r="D14" s="706">
        <f t="shared" ref="D14:G14" si="6">SUM(D15,D16:D19)</f>
        <v>9536047</v>
      </c>
      <c r="E14" s="706">
        <f t="shared" si="6"/>
        <v>17367113</v>
      </c>
      <c r="F14" s="706">
        <f t="shared" si="6"/>
        <v>20509000</v>
      </c>
      <c r="G14" s="706">
        <f t="shared" si="6"/>
        <v>24906000</v>
      </c>
      <c r="H14" s="706">
        <f>SUM(H15,H16:H19)</f>
        <v>40216294</v>
      </c>
      <c r="I14" s="706">
        <f t="shared" ref="I14" si="7">SUM(I15,I16:I19)</f>
        <v>60557450.446945287</v>
      </c>
      <c r="J14" s="706">
        <f>SUM(J15,J16:J20)</f>
        <v>79924762.575856596</v>
      </c>
      <c r="K14" s="706">
        <f t="shared" ref="K14:L14" si="8">SUM(K15,K16:K20)</f>
        <v>92058697.052028477</v>
      </c>
      <c r="L14" s="706">
        <f t="shared" si="8"/>
        <v>99780871.7492771</v>
      </c>
      <c r="M14" s="673"/>
      <c r="N14" s="681" t="s">
        <v>1632</v>
      </c>
      <c r="O14" s="707">
        <f>IFERROR(E14/E$7,"")</f>
        <v>0.80924816409453515</v>
      </c>
      <c r="P14" s="707">
        <f t="shared" ref="P14:T18" si="9">IFERROR(F14/F$7,"")</f>
        <v>0.83444543901049717</v>
      </c>
      <c r="Q14" s="707">
        <f t="shared" si="9"/>
        <v>0.7897640791476408</v>
      </c>
      <c r="R14" s="707">
        <f>IFERROR(H14/H7,"")</f>
        <v>0.74719532541850142</v>
      </c>
      <c r="S14" s="707">
        <f t="shared" ref="S14:T14" si="10">IFERROR(I14/I7,"")</f>
        <v>0.74338280973883852</v>
      </c>
      <c r="T14" s="707">
        <f t="shared" si="10"/>
        <v>0.81155918430262253</v>
      </c>
      <c r="U14" s="707">
        <f>IFERROR(K14/K7,"")</f>
        <v>0.80352900981192321</v>
      </c>
      <c r="V14" s="707">
        <f>IFERROR(L14/L7,"")</f>
        <v>0.78545066508181238</v>
      </c>
      <c r="W14" s="673"/>
      <c r="X14" s="673"/>
    </row>
    <row r="15" spans="1:24">
      <c r="A15" s="708" t="s">
        <v>1808</v>
      </c>
      <c r="B15" s="709"/>
      <c r="C15" s="726">
        <f>'Earning Forecast'!B8</f>
        <v>4750084</v>
      </c>
      <c r="D15" s="726">
        <f>'Earning Forecast'!C8</f>
        <v>7432750</v>
      </c>
      <c r="E15" s="726">
        <f>'Earning Forecast'!D8</f>
        <v>14173520</v>
      </c>
      <c r="F15" s="726">
        <f>'Earning Forecast'!E8</f>
        <v>16398000</v>
      </c>
      <c r="G15" s="726">
        <f>'Earning Forecast'!F8</f>
        <v>20259000</v>
      </c>
      <c r="H15" s="726">
        <f>'Earning Forecast'!G8</f>
        <v>33393000</v>
      </c>
      <c r="I15" s="726">
        <f>'Earning Forecast'!H8</f>
        <v>51056450.446945287</v>
      </c>
      <c r="J15" s="726">
        <f>'Earning Forecast'!I8</f>
        <v>68269689.795095026</v>
      </c>
      <c r="K15" s="726">
        <f>'Earning Forecast'!J8</f>
        <v>77647023.874300972</v>
      </c>
      <c r="L15" s="726">
        <f>'Earning Forecast'!K8</f>
        <v>82145649.020641237</v>
      </c>
      <c r="M15" s="673"/>
      <c r="N15" s="727" t="str">
        <f t="shared" ref="N15:N19" si="11">A15</f>
        <v>Automotive Sales&amp;Leasing</v>
      </c>
      <c r="O15" s="711">
        <f>IFERROR(E15/E$7,"")</f>
        <v>0.66043763513009768</v>
      </c>
      <c r="P15" s="711">
        <f t="shared" si="9"/>
        <v>0.66718203271218157</v>
      </c>
      <c r="Q15" s="711">
        <f t="shared" si="9"/>
        <v>0.64240867579908678</v>
      </c>
      <c r="R15" s="711">
        <f>IFERROR(H15/H$7,"")</f>
        <v>0.62042249595897669</v>
      </c>
      <c r="S15" s="711">
        <f t="shared" si="9"/>
        <v>0.62675174249276067</v>
      </c>
      <c r="T15" s="711">
        <f t="shared" si="9"/>
        <v>0.69321311664974428</v>
      </c>
      <c r="U15" s="711">
        <f t="shared" ref="U15:V18" si="12">IFERROR(K15/K$7,"")</f>
        <v>0.67773755447894479</v>
      </c>
      <c r="V15" s="711">
        <f t="shared" si="12"/>
        <v>0.64663049666437933</v>
      </c>
      <c r="W15" s="673"/>
      <c r="X15" s="673" t="s">
        <v>1811</v>
      </c>
    </row>
    <row r="16" spans="1:24">
      <c r="A16" s="708" t="s">
        <v>515</v>
      </c>
      <c r="B16" s="709"/>
      <c r="C16" s="726">
        <f>'Earning Forecast'!B12-'Earning Forecast'!B15</f>
        <v>472460</v>
      </c>
      <c r="D16" s="726">
        <f>'Earning Forecast'!C12-'Earning Forecast'!C15</f>
        <v>1229027</v>
      </c>
      <c r="E16" s="726">
        <f>'Earning Forecast'!D12-'Earning Forecast'!D15</f>
        <v>1880353</v>
      </c>
      <c r="F16" s="726">
        <f>'Earning Forecast'!E12-'Earning Forecast'!E15</f>
        <v>2770000</v>
      </c>
      <c r="G16" s="726">
        <f>'Earning Forecast'!F12-'Earning Forecast'!F15</f>
        <v>2671000</v>
      </c>
      <c r="H16" s="726">
        <f>'Earning Forecast'!G12-'Earning Forecast'!G15</f>
        <v>3906000</v>
      </c>
      <c r="I16" s="726">
        <f>'Earning Forecast'!H12-'Earning Forecast'!H15</f>
        <v>5880000</v>
      </c>
      <c r="J16" s="726">
        <f>'Earning Forecast'!I12-'Earning Forecast'!I15</f>
        <v>6412110.3520308714</v>
      </c>
      <c r="K16" s="726">
        <f>'Earning Forecast'!J12-'Earning Forecast'!J15</f>
        <v>6848661.8960483614</v>
      </c>
      <c r="L16" s="726">
        <f>'Earning Forecast'!K12-'Earning Forecast'!K15</f>
        <v>7036629.3145663664</v>
      </c>
      <c r="M16" s="673"/>
      <c r="N16" s="695" t="str">
        <f t="shared" si="11"/>
        <v>Services &amp; Other</v>
      </c>
      <c r="O16" s="711">
        <f t="shared" ref="O16:O17" si="13">IFERROR(E16/E$7,"")</f>
        <v>8.7618029150823826E-2</v>
      </c>
      <c r="P16" s="711">
        <f t="shared" si="9"/>
        <v>0.11270241679550817</v>
      </c>
      <c r="Q16" s="711">
        <f t="shared" si="9"/>
        <v>8.4696854388635209E-2</v>
      </c>
      <c r="R16" s="711">
        <f>IFERROR(H16/H$7,"")</f>
        <v>7.2571205618415915E-2</v>
      </c>
      <c r="S16" s="711">
        <f t="shared" si="9"/>
        <v>7.2180894159239867E-2</v>
      </c>
      <c r="T16" s="711">
        <f t="shared" si="9"/>
        <v>6.5108820836516618E-2</v>
      </c>
      <c r="U16" s="711">
        <f t="shared" si="12"/>
        <v>5.9778149029832812E-2</v>
      </c>
      <c r="V16" s="711">
        <f t="shared" si="12"/>
        <v>5.5390628265385669E-2</v>
      </c>
      <c r="W16" s="673"/>
      <c r="X16" s="673" t="s">
        <v>1812</v>
      </c>
    </row>
    <row r="17" spans="1:24">
      <c r="A17" s="708" t="s">
        <v>520</v>
      </c>
      <c r="B17" s="709"/>
      <c r="C17" s="726">
        <f>'Earning Forecast'!B20-'Earning Forecast'!B22</f>
        <v>178328</v>
      </c>
      <c r="D17" s="726">
        <f>'Earning Forecast'!C20-'Earning Forecast'!C22</f>
        <v>874270</v>
      </c>
      <c r="E17" s="726">
        <f>'Earning Forecast'!D20-'Earning Forecast'!D22</f>
        <v>1313240</v>
      </c>
      <c r="F17" s="726">
        <f>'Earning Forecast'!E20-'Earning Forecast'!E22</f>
        <v>1341000</v>
      </c>
      <c r="G17" s="726">
        <f>'Earning Forecast'!F20-'Earning Forecast'!F22</f>
        <v>1976000</v>
      </c>
      <c r="H17" s="726">
        <f>'Earning Forecast'!G20-'Earning Forecast'!G22</f>
        <v>2917294</v>
      </c>
      <c r="I17" s="726">
        <f>'Earning Forecast'!H20-'Earning Forecast'!H22</f>
        <v>3621000</v>
      </c>
      <c r="J17" s="726">
        <f>'Earning Forecast'!I20-'Earning Forecast'!I22</f>
        <v>5242962.4287306909</v>
      </c>
      <c r="K17" s="726">
        <f>'Earning Forecast'!J20-'Earning Forecast'!J22</f>
        <v>7563011.2816791339</v>
      </c>
      <c r="L17" s="726">
        <f>'Earning Forecast'!K20-'Earning Forecast'!K22</f>
        <v>10598593.414069491</v>
      </c>
      <c r="M17" s="673"/>
      <c r="N17" s="695" t="str">
        <f t="shared" si="11"/>
        <v>Energy Generation &amp; Storage</v>
      </c>
      <c r="O17" s="711">
        <f t="shared" si="13"/>
        <v>6.119249981361366E-2</v>
      </c>
      <c r="P17" s="711">
        <f t="shared" si="9"/>
        <v>5.456098950280739E-2</v>
      </c>
      <c r="Q17" s="711">
        <f t="shared" si="9"/>
        <v>6.2658548959918819E-2</v>
      </c>
      <c r="R17" s="711">
        <f>IFERROR(H17/H$7,"")</f>
        <v>5.4201623841108819E-2</v>
      </c>
      <c r="S17" s="711">
        <f t="shared" si="9"/>
        <v>4.4450173086838018E-2</v>
      </c>
      <c r="T17" s="711">
        <f t="shared" si="9"/>
        <v>5.3237246816361571E-2</v>
      </c>
      <c r="U17" s="711">
        <f t="shared" si="12"/>
        <v>6.6013306303145558E-2</v>
      </c>
      <c r="V17" s="711">
        <f t="shared" si="12"/>
        <v>8.342954015204733E-2</v>
      </c>
      <c r="W17" s="673"/>
      <c r="X17" s="673" t="s">
        <v>1811</v>
      </c>
    </row>
    <row r="18" spans="1:24">
      <c r="A18" s="708" t="s">
        <v>1673</v>
      </c>
      <c r="B18" s="709"/>
      <c r="C18" s="716">
        <v>0</v>
      </c>
      <c r="D18" s="716">
        <v>0</v>
      </c>
      <c r="E18" s="716">
        <v>0</v>
      </c>
      <c r="F18" s="716">
        <v>0</v>
      </c>
      <c r="G18" s="716">
        <v>0</v>
      </c>
      <c r="H18" s="716">
        <v>0</v>
      </c>
      <c r="I18" s="716">
        <v>0</v>
      </c>
      <c r="J18" s="716">
        <v>0</v>
      </c>
      <c r="K18" s="716">
        <v>0</v>
      </c>
      <c r="L18" s="716">
        <v>0</v>
      </c>
      <c r="M18" s="673"/>
      <c r="N18" s="695" t="str">
        <f t="shared" si="11"/>
        <v>Implementation</v>
      </c>
      <c r="O18" s="711">
        <f>IFERROR(E18/E$7,"")</f>
        <v>0</v>
      </c>
      <c r="P18" s="711">
        <f t="shared" si="9"/>
        <v>0</v>
      </c>
      <c r="Q18" s="711">
        <f t="shared" si="9"/>
        <v>0</v>
      </c>
      <c r="R18" s="711">
        <f>IFERROR(H18/H$7,"")</f>
        <v>0</v>
      </c>
      <c r="S18" s="711">
        <f t="shared" si="9"/>
        <v>0</v>
      </c>
      <c r="T18" s="711">
        <f t="shared" si="9"/>
        <v>0</v>
      </c>
      <c r="U18" s="711">
        <f t="shared" si="12"/>
        <v>0</v>
      </c>
      <c r="V18" s="711">
        <f t="shared" si="12"/>
        <v>0</v>
      </c>
      <c r="W18" s="695"/>
      <c r="X18" s="673"/>
    </row>
    <row r="19" spans="1:24">
      <c r="A19" s="708" t="s">
        <v>1674</v>
      </c>
      <c r="B19" s="709"/>
      <c r="C19" s="716">
        <v>0</v>
      </c>
      <c r="D19" s="716">
        <v>0</v>
      </c>
      <c r="E19" s="716">
        <v>0</v>
      </c>
      <c r="F19" s="716">
        <v>0</v>
      </c>
      <c r="G19" s="716">
        <v>0</v>
      </c>
      <c r="H19" s="716">
        <v>0</v>
      </c>
      <c r="I19" s="716">
        <v>0</v>
      </c>
      <c r="J19" s="716">
        <v>0</v>
      </c>
      <c r="K19" s="716">
        <v>0</v>
      </c>
      <c r="L19" s="716">
        <v>0</v>
      </c>
      <c r="M19" s="673"/>
      <c r="N19" s="695" t="str">
        <f t="shared" si="11"/>
        <v>Fixed</v>
      </c>
      <c r="O19" s="714"/>
      <c r="P19" s="714"/>
      <c r="Q19" s="717" t="s">
        <v>1810</v>
      </c>
      <c r="R19" s="718">
        <v>0</v>
      </c>
      <c r="S19" s="718">
        <v>0</v>
      </c>
      <c r="T19" s="718">
        <v>0</v>
      </c>
      <c r="U19" s="718"/>
      <c r="V19" s="718"/>
      <c r="W19" s="673"/>
      <c r="X19" s="673"/>
    </row>
    <row r="20" spans="1:24">
      <c r="A20" s="708" t="s">
        <v>1425</v>
      </c>
      <c r="B20" s="729"/>
      <c r="C20" s="730"/>
      <c r="D20" s="730"/>
      <c r="E20" s="730"/>
      <c r="F20" s="731"/>
      <c r="G20" s="731"/>
      <c r="H20" s="732"/>
      <c r="I20" s="733"/>
      <c r="J20" s="733">
        <v>0</v>
      </c>
      <c r="K20" s="733">
        <v>0</v>
      </c>
      <c r="L20" s="733">
        <v>0</v>
      </c>
      <c r="M20" s="673"/>
      <c r="N20" s="673"/>
      <c r="O20" s="734"/>
      <c r="P20" s="734"/>
      <c r="Q20" s="734"/>
      <c r="R20" s="673"/>
      <c r="S20" s="673"/>
      <c r="T20" s="673"/>
      <c r="U20" s="673"/>
      <c r="V20" s="735"/>
      <c r="W20" s="673"/>
      <c r="X20" s="673"/>
    </row>
    <row r="21" spans="1:24">
      <c r="A21" s="680" t="s">
        <v>511</v>
      </c>
      <c r="B21" s="681"/>
      <c r="C21" s="706">
        <f>C7-C14</f>
        <v>1599257</v>
      </c>
      <c r="D21" s="706">
        <f>D7-D14</f>
        <v>2223163</v>
      </c>
      <c r="E21" s="706">
        <f>E7-E14</f>
        <v>4093687</v>
      </c>
      <c r="F21" s="706">
        <f t="shared" ref="F21:I21" si="14">F7-F14</f>
        <v>4069000</v>
      </c>
      <c r="G21" s="706">
        <f t="shared" si="14"/>
        <v>6630000</v>
      </c>
      <c r="H21" s="706">
        <f>H7-H14</f>
        <v>13606706</v>
      </c>
      <c r="I21" s="724">
        <f t="shared" si="14"/>
        <v>20904549.553054743</v>
      </c>
      <c r="J21" s="724">
        <f>J7-J14</f>
        <v>18558212.075630352</v>
      </c>
      <c r="K21" s="724">
        <f t="shared" ref="K21:L21" si="15">K7-K14</f>
        <v>22509284.847686693</v>
      </c>
      <c r="L21" s="724">
        <f t="shared" si="15"/>
        <v>27255587.935792923</v>
      </c>
      <c r="M21" s="673"/>
      <c r="N21" s="681" t="s">
        <v>1633</v>
      </c>
      <c r="O21" s="707">
        <f>IFERROR(E21/E7,"")</f>
        <v>0.19075183590546485</v>
      </c>
      <c r="P21" s="707">
        <f>IFERROR(F21/F7,"")</f>
        <v>0.1655545609895028</v>
      </c>
      <c r="Q21" s="707">
        <f>IFERROR(G21/G7,"")</f>
        <v>0.2102359208523592</v>
      </c>
      <c r="R21" s="707">
        <f>IFERROR(H21/H7,"")</f>
        <v>0.25280467458149863</v>
      </c>
      <c r="S21" s="707">
        <f t="shared" ref="S21:T21" si="16">IFERROR(I21/I7,"")</f>
        <v>0.25661719026116148</v>
      </c>
      <c r="T21" s="707">
        <f t="shared" si="16"/>
        <v>0.1884408156973775</v>
      </c>
      <c r="U21" s="707">
        <f>IFERROR(K21/K7,"")</f>
        <v>0.19647099018807673</v>
      </c>
      <c r="V21" s="707">
        <f>IFERROR(L21/L7,"")</f>
        <v>0.21454933491818759</v>
      </c>
      <c r="W21" s="673"/>
      <c r="X21" s="673"/>
    </row>
    <row r="22" spans="1:24">
      <c r="A22" s="728" t="s">
        <v>1581</v>
      </c>
      <c r="B22" s="729"/>
      <c r="C22" s="731"/>
      <c r="D22" s="731"/>
      <c r="E22" s="731"/>
      <c r="F22" s="731"/>
      <c r="G22" s="731"/>
      <c r="H22" s="732"/>
      <c r="I22" s="733"/>
      <c r="J22" s="733"/>
      <c r="K22" s="733"/>
      <c r="L22" s="733"/>
      <c r="M22" s="673"/>
      <c r="N22" s="673"/>
      <c r="O22" s="673"/>
      <c r="P22" s="673"/>
      <c r="Q22" s="673"/>
      <c r="R22" s="673"/>
      <c r="S22" s="735"/>
      <c r="T22" s="673"/>
      <c r="U22" s="673"/>
      <c r="V22" s="673"/>
      <c r="W22" s="673"/>
      <c r="X22" s="673"/>
    </row>
    <row r="23" spans="1:24">
      <c r="A23" s="680" t="s">
        <v>1582</v>
      </c>
      <c r="B23" s="681"/>
      <c r="C23" s="706">
        <f>SUM(,C24:C27)</f>
        <v>2266597</v>
      </c>
      <c r="D23" s="706">
        <f t="shared" ref="D23:H23" si="17">SUM(,D24:D27)</f>
        <v>3855249</v>
      </c>
      <c r="E23" s="706">
        <f t="shared" si="17"/>
        <v>4481760</v>
      </c>
      <c r="F23" s="706">
        <f t="shared" si="17"/>
        <v>4138000</v>
      </c>
      <c r="G23" s="706">
        <f t="shared" si="17"/>
        <v>4636000</v>
      </c>
      <c r="H23" s="706">
        <f t="shared" si="17"/>
        <v>7110000</v>
      </c>
      <c r="I23" s="706">
        <f>SUM(,I24:I27)</f>
        <v>7021000</v>
      </c>
      <c r="J23" s="706">
        <f>SUM(,J24:J27)</f>
        <v>7639194.5756951794</v>
      </c>
      <c r="K23" s="706">
        <f t="shared" ref="K23:L23" si="18">SUM(,K24:K27)</f>
        <v>7998199.6538938275</v>
      </c>
      <c r="L23" s="706">
        <f t="shared" si="18"/>
        <v>7981783.1364099933</v>
      </c>
      <c r="M23" s="673"/>
      <c r="N23" s="681" t="s">
        <v>1634</v>
      </c>
      <c r="O23" s="707">
        <f>IFERROR(E23/E$7,"")</f>
        <v>0.20883471259226125</v>
      </c>
      <c r="P23" s="707">
        <f t="shared" ref="P23:T26" si="19">IFERROR(F23/F$7,"")</f>
        <v>0.16836194971112378</v>
      </c>
      <c r="Q23" s="707">
        <f t="shared" si="19"/>
        <v>0.14700659563673263</v>
      </c>
      <c r="R23" s="707">
        <f>IFERROR(H23/H7,"")</f>
        <v>0.13209965999665571</v>
      </c>
      <c r="S23" s="707">
        <f t="shared" ref="S23:T23" si="20">IFERROR(I23/I7,"")</f>
        <v>8.6187424811568547E-2</v>
      </c>
      <c r="T23" s="707">
        <f t="shared" si="20"/>
        <v>7.7568682330411698E-2</v>
      </c>
      <c r="U23" s="707">
        <f>IFERROR(K23/K7,"")</f>
        <v>6.9811822825812664E-2</v>
      </c>
      <c r="V23" s="707">
        <f>IFERROR(L23/L7,"")</f>
        <v>6.2830648431145261E-2</v>
      </c>
      <c r="W23" s="673"/>
      <c r="X23" s="673"/>
    </row>
    <row r="24" spans="1:24">
      <c r="A24" s="708" t="s">
        <v>1583</v>
      </c>
      <c r="B24" s="709"/>
      <c r="C24" s="710">
        <f>'Earning Forecast'!B43</f>
        <v>1432189</v>
      </c>
      <c r="D24" s="710">
        <f>'Earning Forecast'!C43</f>
        <v>2476500</v>
      </c>
      <c r="E24" s="710">
        <f>'Earning Forecast'!D43</f>
        <v>2834491</v>
      </c>
      <c r="F24" s="710">
        <f>'Earning Forecast'!E43</f>
        <v>2795000</v>
      </c>
      <c r="G24" s="710">
        <f>'Earning Forecast'!F43</f>
        <v>3145000</v>
      </c>
      <c r="H24" s="710">
        <f>'Earning Forecast'!G43</f>
        <v>4517000</v>
      </c>
      <c r="I24" s="710">
        <f>'Earning Forecast'!H43</f>
        <v>3946000</v>
      </c>
      <c r="J24" s="710">
        <f>'Earning Forecast'!I43</f>
        <v>4293442.7853145106</v>
      </c>
      <c r="K24" s="710">
        <f>'Earning Forecast'!J43</f>
        <v>4495213.2015759926</v>
      </c>
      <c r="L24" s="710">
        <f>'Earning Forecast'!K43</f>
        <v>4485986.0937578455</v>
      </c>
      <c r="M24" s="673"/>
      <c r="N24" s="727" t="str">
        <f t="shared" ref="N24:N27" si="21">A24</f>
        <v>Selling General &amp; Admin Exp.</v>
      </c>
      <c r="O24" s="711">
        <f>IFERROR(E24/E$7,"")</f>
        <v>0.13207760195332885</v>
      </c>
      <c r="P24" s="711">
        <f t="shared" si="19"/>
        <v>0.11371958662218244</v>
      </c>
      <c r="Q24" s="711">
        <f t="shared" si="19"/>
        <v>9.9727295788939629E-2</v>
      </c>
      <c r="R24" s="711">
        <f>IFERROR(H24/H$7,"")</f>
        <v>8.3923229845976624E-2</v>
      </c>
      <c r="S24" s="711">
        <f t="shared" si="19"/>
        <v>4.843976332523138E-2</v>
      </c>
      <c r="T24" s="711">
        <f t="shared" si="19"/>
        <v>4.3595786992708246E-2</v>
      </c>
      <c r="U24" s="711">
        <f t="shared" ref="U24:V26" si="22">IFERROR(K24/K$7,"")</f>
        <v>3.9236208293437422E-2</v>
      </c>
      <c r="V24" s="711">
        <f t="shared" si="22"/>
        <v>3.531258746409368E-2</v>
      </c>
      <c r="W24" s="673"/>
      <c r="X24" s="673"/>
    </row>
    <row r="25" spans="1:24">
      <c r="A25" s="708" t="s">
        <v>770</v>
      </c>
      <c r="B25" s="709"/>
      <c r="C25" s="713">
        <v>0</v>
      </c>
      <c r="D25" s="713">
        <v>0</v>
      </c>
      <c r="E25" s="713">
        <v>0</v>
      </c>
      <c r="F25" s="713">
        <v>0</v>
      </c>
      <c r="G25" s="713">
        <v>0</v>
      </c>
      <c r="H25" s="713">
        <v>0</v>
      </c>
      <c r="I25" s="713">
        <v>0</v>
      </c>
      <c r="J25" s="713">
        <v>0</v>
      </c>
      <c r="K25" s="713">
        <v>1</v>
      </c>
      <c r="L25" s="713">
        <v>2</v>
      </c>
      <c r="M25" s="673"/>
      <c r="N25" s="695" t="str">
        <f t="shared" si="21"/>
        <v>Depreciation &amp; Amort.</v>
      </c>
      <c r="O25" s="711">
        <f t="shared" ref="O25:O26" si="23">IFERROR(E25/E$7,"")</f>
        <v>0</v>
      </c>
      <c r="P25" s="711">
        <f t="shared" si="19"/>
        <v>0</v>
      </c>
      <c r="Q25" s="711">
        <f t="shared" si="19"/>
        <v>0</v>
      </c>
      <c r="R25" s="711">
        <f>IFERROR(H25/H$7,"")</f>
        <v>0</v>
      </c>
      <c r="S25" s="711">
        <f t="shared" si="19"/>
        <v>0</v>
      </c>
      <c r="T25" s="711">
        <f t="shared" si="19"/>
        <v>0</v>
      </c>
      <c r="U25" s="711">
        <f t="shared" si="22"/>
        <v>8.728442130326869E-9</v>
      </c>
      <c r="V25" s="711">
        <f t="shared" si="22"/>
        <v>1.5743511783610027E-8</v>
      </c>
      <c r="W25" s="673"/>
      <c r="X25" s="673"/>
    </row>
    <row r="26" spans="1:24">
      <c r="A26" s="708" t="s">
        <v>1675</v>
      </c>
      <c r="B26" s="709"/>
      <c r="C26" s="710">
        <f>'Earning Forecast'!B45</f>
        <v>834408</v>
      </c>
      <c r="D26" s="710">
        <f>'Earning Forecast'!C45</f>
        <v>1378073</v>
      </c>
      <c r="E26" s="710">
        <f>'Earning Forecast'!D45</f>
        <v>1460370</v>
      </c>
      <c r="F26" s="710">
        <f>'Earning Forecast'!E45</f>
        <v>1343000</v>
      </c>
      <c r="G26" s="710">
        <f>'Earning Forecast'!F45</f>
        <v>1491000</v>
      </c>
      <c r="H26" s="710">
        <f>'Earning Forecast'!G45</f>
        <v>2593000</v>
      </c>
      <c r="I26" s="710">
        <f>'Earning Forecast'!H45</f>
        <v>3075000</v>
      </c>
      <c r="J26" s="710">
        <f>'Earning Forecast'!I45</f>
        <v>3345751.7903806688</v>
      </c>
      <c r="K26" s="710">
        <f>'Earning Forecast'!J45</f>
        <v>3502985.4523178348</v>
      </c>
      <c r="L26" s="710">
        <f>'Earning Forecast'!K45</f>
        <v>3495795.0426521478</v>
      </c>
      <c r="M26" s="673"/>
      <c r="N26" s="695" t="str">
        <f t="shared" si="21"/>
        <v>R&amp;D</v>
      </c>
      <c r="O26" s="711">
        <f t="shared" si="23"/>
        <v>6.8048255423842546E-2</v>
      </c>
      <c r="P26" s="711">
        <f t="shared" si="19"/>
        <v>5.4642363088941333E-2</v>
      </c>
      <c r="Q26" s="711">
        <f t="shared" si="19"/>
        <v>4.7279299847792999E-2</v>
      </c>
      <c r="R26" s="711">
        <f>IFERROR(H26/H$7,"")</f>
        <v>4.817643015067908E-2</v>
      </c>
      <c r="S26" s="711">
        <f t="shared" si="19"/>
        <v>3.7747661486337174E-2</v>
      </c>
      <c r="T26" s="711">
        <f t="shared" si="19"/>
        <v>3.3972895337703458E-2</v>
      </c>
      <c r="U26" s="711">
        <f t="shared" si="22"/>
        <v>3.0575605803933113E-2</v>
      </c>
      <c r="V26" s="711">
        <f t="shared" si="22"/>
        <v>2.7518045223539803E-2</v>
      </c>
      <c r="W26" s="673"/>
      <c r="X26" s="673"/>
    </row>
    <row r="27" spans="1:24">
      <c r="A27" s="708" t="s">
        <v>1584</v>
      </c>
      <c r="B27" s="709"/>
      <c r="C27" s="716">
        <v>0</v>
      </c>
      <c r="D27" s="716">
        <v>676</v>
      </c>
      <c r="E27" s="716">
        <v>186899</v>
      </c>
      <c r="F27" s="716">
        <v>0</v>
      </c>
      <c r="G27" s="716">
        <v>0</v>
      </c>
      <c r="H27" s="736">
        <f>R27</f>
        <v>0</v>
      </c>
      <c r="I27" s="737">
        <f t="shared" ref="I27:J27" si="24">S27</f>
        <v>0</v>
      </c>
      <c r="J27" s="737">
        <f t="shared" si="24"/>
        <v>0</v>
      </c>
      <c r="K27" s="737">
        <f t="shared" ref="K27" si="25">U27</f>
        <v>0</v>
      </c>
      <c r="L27" s="737">
        <f t="shared" ref="L27" si="26">V27</f>
        <v>0</v>
      </c>
      <c r="M27" s="673"/>
      <c r="N27" s="695" t="str">
        <f t="shared" si="21"/>
        <v>Manual Adjustments</v>
      </c>
      <c r="O27" s="711"/>
      <c r="P27" s="711"/>
      <c r="Q27" s="738" t="s">
        <v>1810</v>
      </c>
      <c r="R27" s="739">
        <v>0</v>
      </c>
      <c r="S27" s="739">
        <v>0</v>
      </c>
      <c r="T27" s="739">
        <v>0</v>
      </c>
      <c r="U27" s="718">
        <v>0</v>
      </c>
      <c r="V27" s="718">
        <v>0</v>
      </c>
      <c r="W27" s="673"/>
      <c r="X27" s="673"/>
    </row>
    <row r="28" spans="1:24">
      <c r="A28" s="728" t="s">
        <v>1581</v>
      </c>
      <c r="B28" s="729"/>
      <c r="C28" s="730"/>
      <c r="D28" s="730"/>
      <c r="E28" s="672"/>
      <c r="F28" s="672"/>
      <c r="G28" s="672"/>
      <c r="H28" s="732"/>
      <c r="I28" s="733"/>
      <c r="J28" s="733"/>
      <c r="K28" s="733"/>
      <c r="L28" s="733"/>
      <c r="M28" s="673"/>
      <c r="N28" s="673"/>
      <c r="O28" s="740"/>
      <c r="P28" s="740"/>
      <c r="Q28" s="740"/>
      <c r="R28" s="741"/>
      <c r="S28" s="741"/>
      <c r="T28" s="741"/>
      <c r="U28" s="735"/>
      <c r="V28" s="735"/>
      <c r="W28" s="673"/>
      <c r="X28" s="673"/>
    </row>
    <row r="29" spans="1:24">
      <c r="A29" s="680" t="s">
        <v>532</v>
      </c>
      <c r="B29" s="681"/>
      <c r="C29" s="706">
        <f>C21-C23</f>
        <v>-667340</v>
      </c>
      <c r="D29" s="706">
        <f>D21-D23</f>
        <v>-1632086</v>
      </c>
      <c r="E29" s="706">
        <f t="shared" ref="E29:I29" si="27">E21-E23</f>
        <v>-388073</v>
      </c>
      <c r="F29" s="706">
        <f t="shared" si="27"/>
        <v>-69000</v>
      </c>
      <c r="G29" s="706">
        <f t="shared" si="27"/>
        <v>1994000</v>
      </c>
      <c r="H29" s="706">
        <f t="shared" si="27"/>
        <v>6496706</v>
      </c>
      <c r="I29" s="724">
        <f t="shared" si="27"/>
        <v>13883549.553054743</v>
      </c>
      <c r="J29" s="724">
        <f>J21-J23</f>
        <v>10919017.499935172</v>
      </c>
      <c r="K29" s="724">
        <f t="shared" ref="K29:L29" si="28">K21-K23</f>
        <v>14511085.193792865</v>
      </c>
      <c r="L29" s="724">
        <f t="shared" si="28"/>
        <v>19273804.799382929</v>
      </c>
      <c r="M29" s="742"/>
      <c r="N29" s="681" t="s">
        <v>1635</v>
      </c>
      <c r="O29" s="707">
        <f t="shared" ref="O29:T29" si="29">IFERROR(E29/E7,"")</f>
        <v>-1.8082876686796392E-2</v>
      </c>
      <c r="P29" s="707">
        <f t="shared" si="29"/>
        <v>-2.8073887216209618E-3</v>
      </c>
      <c r="Q29" s="707">
        <f t="shared" si="29"/>
        <v>6.3229325215626589E-2</v>
      </c>
      <c r="R29" s="707">
        <f>IFERROR(H29/H7,"")</f>
        <v>0.12070501458484291</v>
      </c>
      <c r="S29" s="707">
        <f t="shared" si="29"/>
        <v>0.1704297654495929</v>
      </c>
      <c r="T29" s="707">
        <f t="shared" si="29"/>
        <v>0.11087213336696579</v>
      </c>
      <c r="U29" s="707">
        <f>IFERROR(K29/K7,"")</f>
        <v>0.12665916736226407</v>
      </c>
      <c r="V29" s="707">
        <f>IFERROR(L29/L7,"")</f>
        <v>0.15171868648704231</v>
      </c>
      <c r="W29" s="673"/>
      <c r="X29" s="673"/>
    </row>
    <row r="30" spans="1:24">
      <c r="A30" s="680" t="s">
        <v>1676</v>
      </c>
      <c r="B30" s="681"/>
      <c r="C30" s="710">
        <f>'Earning Forecast'!B49</f>
        <v>190280</v>
      </c>
      <c r="D30" s="710">
        <f>'Earning Forecast'!C49</f>
        <v>451573</v>
      </c>
      <c r="E30" s="710">
        <f>'Earning Forecast'!D49</f>
        <v>638538</v>
      </c>
      <c r="F30" s="710">
        <f>'Earning Forecast'!E49</f>
        <v>641000</v>
      </c>
      <c r="G30" s="710">
        <f>'Earning Forecast'!F49</f>
        <v>718000</v>
      </c>
      <c r="H30" s="710">
        <f>'Earning Forecast'!G49</f>
        <v>371000</v>
      </c>
      <c r="I30" s="710">
        <f>'Earning Forecast'!H49</f>
        <v>191000</v>
      </c>
      <c r="J30" s="710">
        <f>'Earning Forecast'!I49</f>
        <v>171900</v>
      </c>
      <c r="K30" s="710">
        <f>'Earning Forecast'!J49</f>
        <v>154710</v>
      </c>
      <c r="L30" s="710">
        <f>'Earning Forecast'!K49</f>
        <v>139239</v>
      </c>
      <c r="M30" s="673"/>
      <c r="N30" s="695" t="str">
        <f>A30</f>
        <v>Financial Cost</v>
      </c>
      <c r="O30" s="711">
        <f t="shared" ref="O30:T30" si="30">IFERROR(E30/E$7,"")</f>
        <v>2.9753690449563858E-2</v>
      </c>
      <c r="P30" s="711">
        <f t="shared" si="30"/>
        <v>2.6080234355928066E-2</v>
      </c>
      <c r="Q30" s="711">
        <f t="shared" si="30"/>
        <v>2.2767630644342972E-2</v>
      </c>
      <c r="R30" s="711">
        <f>IFERROR(H30/H$7,"")</f>
        <v>6.8929639745090388E-3</v>
      </c>
      <c r="S30" s="711">
        <f t="shared" si="30"/>
        <v>2.3446514939480978E-3</v>
      </c>
      <c r="T30" s="711">
        <f t="shared" si="30"/>
        <v>1.7454793644111821E-3</v>
      </c>
      <c r="U30" s="711">
        <f>IFERROR(K30/K$7,"")</f>
        <v>1.3503772819828698E-3</v>
      </c>
      <c r="V30" s="711">
        <f>IFERROR(L30/L$7,"")</f>
        <v>1.0960554186190382E-3</v>
      </c>
      <c r="W30" s="673"/>
      <c r="X30" s="673"/>
    </row>
    <row r="31" spans="1:24">
      <c r="A31" s="728" t="s">
        <v>1581</v>
      </c>
      <c r="B31" s="729"/>
      <c r="C31" s="731"/>
      <c r="D31" s="731"/>
      <c r="E31" s="731"/>
      <c r="F31" s="731"/>
      <c r="G31" s="731"/>
      <c r="H31" s="732"/>
      <c r="I31" s="733"/>
      <c r="J31" s="733"/>
      <c r="K31" s="733"/>
      <c r="L31" s="733"/>
      <c r="M31" s="673"/>
      <c r="N31" s="673"/>
      <c r="O31" s="673"/>
      <c r="P31" s="673"/>
      <c r="Q31" s="673"/>
      <c r="R31" s="673"/>
      <c r="S31" s="673"/>
      <c r="T31" s="673"/>
      <c r="U31" s="673"/>
      <c r="V31" s="673"/>
      <c r="W31" s="673"/>
      <c r="X31" s="673"/>
    </row>
    <row r="32" spans="1:24">
      <c r="A32" s="672" t="s">
        <v>1678</v>
      </c>
      <c r="B32" s="673"/>
      <c r="C32" s="710">
        <f>'Earning Forecast'!B55</f>
        <v>-111272</v>
      </c>
      <c r="D32" s="710">
        <f>'Earning Forecast'!C55</f>
        <v>125373</v>
      </c>
      <c r="E32" s="710">
        <f>'Earning Forecast'!D55</f>
        <v>-21866</v>
      </c>
      <c r="F32" s="710">
        <f>'Earning Forecast'!E55</f>
        <v>-45000</v>
      </c>
      <c r="G32" s="710">
        <f>'Earning Forecast'!F55</f>
        <v>122000</v>
      </c>
      <c r="H32" s="710">
        <f>'Earning Forecast'!G55</f>
        <v>-217000</v>
      </c>
      <c r="I32" s="710">
        <f>'Earning Forecast'!H55</f>
        <v>-76991</v>
      </c>
      <c r="J32" s="710">
        <f>'Earning Forecast'!I55</f>
        <v>-125625</v>
      </c>
      <c r="K32" s="710">
        <f>'Earning Forecast'!J55</f>
        <v>-125624</v>
      </c>
      <c r="L32" s="710">
        <f>'Earning Forecast'!K55</f>
        <v>-125623</v>
      </c>
      <c r="M32" s="673"/>
      <c r="N32" s="695" t="str">
        <f t="shared" ref="N32" si="31">A32</f>
        <v>Other income/(expense), net</v>
      </c>
      <c r="O32" s="743"/>
      <c r="P32" s="743"/>
      <c r="Q32" s="743"/>
      <c r="R32" s="718"/>
      <c r="S32" s="718"/>
      <c r="T32" s="718"/>
      <c r="U32" s="718"/>
      <c r="V32" s="718"/>
      <c r="W32" s="673"/>
      <c r="X32" s="729"/>
    </row>
    <row r="33" spans="1:24">
      <c r="A33" s="728" t="s">
        <v>1581</v>
      </c>
      <c r="B33" s="729"/>
      <c r="C33" s="730"/>
      <c r="D33" s="730"/>
      <c r="E33" s="730"/>
      <c r="F33" s="730"/>
      <c r="G33" s="744"/>
      <c r="H33" s="745"/>
      <c r="I33" s="746"/>
      <c r="J33" s="746"/>
      <c r="K33" s="746"/>
      <c r="L33" s="746"/>
      <c r="M33" s="673"/>
      <c r="N33" s="695"/>
      <c r="O33" s="743"/>
      <c r="P33" s="743"/>
      <c r="Q33" s="743"/>
      <c r="R33" s="743"/>
      <c r="S33" s="743"/>
      <c r="T33" s="743"/>
      <c r="U33" s="743"/>
      <c r="V33" s="743"/>
      <c r="W33" s="673"/>
      <c r="X33" s="673"/>
    </row>
    <row r="34" spans="1:24">
      <c r="A34" s="693" t="s">
        <v>1679</v>
      </c>
      <c r="B34" s="695"/>
      <c r="C34" s="747">
        <f>C29-C30-C32</f>
        <v>-746348</v>
      </c>
      <c r="D34" s="747">
        <f>D29-D30-D32</f>
        <v>-2209032</v>
      </c>
      <c r="E34" s="747">
        <f>E29-E30-E32</f>
        <v>-1004745</v>
      </c>
      <c r="F34" s="747">
        <f>F29-F30-F32</f>
        <v>-665000</v>
      </c>
      <c r="G34" s="747">
        <f t="shared" ref="G34:I34" si="32">G29-G30-G32</f>
        <v>1154000</v>
      </c>
      <c r="H34" s="747">
        <f>H29-H30-H32</f>
        <v>6342706</v>
      </c>
      <c r="I34" s="747">
        <f t="shared" si="32"/>
        <v>13769540.553054743</v>
      </c>
      <c r="J34" s="747">
        <f>J29-J30-J32</f>
        <v>10872742.499935172</v>
      </c>
      <c r="K34" s="747">
        <f t="shared" ref="K34:L34" si="33">K29-K30-K32</f>
        <v>14481999.193792865</v>
      </c>
      <c r="L34" s="747">
        <f t="shared" si="33"/>
        <v>19260188.799382929</v>
      </c>
      <c r="M34" s="673"/>
      <c r="N34" s="695" t="s">
        <v>1636</v>
      </c>
      <c r="O34" s="711" t="s">
        <v>1428</v>
      </c>
      <c r="P34" s="711" t="s">
        <v>1428</v>
      </c>
      <c r="Q34" s="711" t="s">
        <v>1428</v>
      </c>
      <c r="R34" s="711" t="s">
        <v>1428</v>
      </c>
      <c r="S34" s="711" t="s">
        <v>1428</v>
      </c>
      <c r="T34" s="711" t="s">
        <v>1428</v>
      </c>
      <c r="U34" s="714"/>
      <c r="V34" s="714"/>
      <c r="W34" s="673"/>
      <c r="X34" s="673"/>
    </row>
    <row r="35" spans="1:24">
      <c r="A35" s="748" t="s">
        <v>1680</v>
      </c>
      <c r="B35" s="727"/>
      <c r="C35" s="710">
        <f>'Earning Forecast'!B57</f>
        <v>26698</v>
      </c>
      <c r="D35" s="710">
        <f>'Earning Forecast'!C57</f>
        <v>31546</v>
      </c>
      <c r="E35" s="710">
        <f>'Earning Forecast'!D57</f>
        <v>57837</v>
      </c>
      <c r="F35" s="710">
        <f>'Earning Forecast'!E57</f>
        <v>110000</v>
      </c>
      <c r="G35" s="710">
        <f>'Earning Forecast'!F57</f>
        <v>292000</v>
      </c>
      <c r="H35" s="710">
        <f>'Earning Forecast'!G57</f>
        <v>699000</v>
      </c>
      <c r="I35" s="710">
        <f>'Earning Forecast'!H57</f>
        <v>1132000</v>
      </c>
      <c r="J35" s="710">
        <f>'Earning Forecast'!I57</f>
        <v>978546.8249941672</v>
      </c>
      <c r="K35" s="710">
        <f>'Earning Forecast'!J57</f>
        <v>1303380.0174413584</v>
      </c>
      <c r="L35" s="710">
        <f>'Earning Forecast'!K57</f>
        <v>1733417.1719444641</v>
      </c>
      <c r="M35" s="673"/>
      <c r="N35" s="695" t="s">
        <v>1637</v>
      </c>
      <c r="O35" s="711">
        <f t="shared" ref="O35:T35" si="34">IFERROR(E35/E34,"")</f>
        <v>-5.7563859486735439E-2</v>
      </c>
      <c r="P35" s="711">
        <f t="shared" si="34"/>
        <v>-0.16541353383458646</v>
      </c>
      <c r="Q35" s="711">
        <f t="shared" si="34"/>
        <v>0.2530329289428076</v>
      </c>
      <c r="R35" s="711">
        <f t="shared" si="34"/>
        <v>0.11020532876661791</v>
      </c>
      <c r="S35" s="711">
        <f t="shared" si="34"/>
        <v>8.2210440910380864E-2</v>
      </c>
      <c r="T35" s="711">
        <f t="shared" si="34"/>
        <v>9.0000000000000149E-2</v>
      </c>
      <c r="U35" s="711">
        <f>IFERROR(K35/K34,"")</f>
        <v>9.0000006214611628E-2</v>
      </c>
      <c r="V35" s="711">
        <f>IFERROR(L35/L34,"")</f>
        <v>9.0000009345702806E-2</v>
      </c>
      <c r="W35" s="673"/>
      <c r="X35" s="729"/>
    </row>
    <row r="36" spans="1:24">
      <c r="A36" s="728" t="s">
        <v>1581</v>
      </c>
      <c r="B36" s="729"/>
      <c r="C36" s="730"/>
      <c r="D36" s="730"/>
      <c r="E36" s="730"/>
      <c r="F36" s="730"/>
      <c r="G36" s="749"/>
      <c r="H36" s="726"/>
      <c r="I36" s="750"/>
      <c r="J36" s="750"/>
      <c r="K36" s="750"/>
      <c r="L36" s="750"/>
      <c r="M36" s="673"/>
      <c r="N36" s="673"/>
      <c r="O36" s="673"/>
      <c r="P36" s="673"/>
      <c r="Q36" s="673"/>
      <c r="R36" s="673"/>
      <c r="S36" s="673"/>
      <c r="T36" s="673"/>
      <c r="U36" s="673"/>
      <c r="V36" s="673"/>
      <c r="W36" s="673"/>
      <c r="X36" s="673"/>
    </row>
    <row r="37" spans="1:24">
      <c r="A37" s="693" t="s">
        <v>1681</v>
      </c>
      <c r="B37" s="695"/>
      <c r="C37" s="710">
        <f>-'Earning Forecast'!B60</f>
        <v>98132</v>
      </c>
      <c r="D37" s="710">
        <f>-'Earning Forecast'!C60</f>
        <v>279178</v>
      </c>
      <c r="E37" s="710">
        <f>-'Earning Forecast'!D60</f>
        <v>86491</v>
      </c>
      <c r="F37" s="710">
        <f>-'Earning Forecast'!E60</f>
        <v>-87000</v>
      </c>
      <c r="G37" s="710">
        <f>-'Earning Forecast'!F60</f>
        <v>-141000</v>
      </c>
      <c r="H37" s="710">
        <f>-'Earning Forecast'!G60</f>
        <v>-125000</v>
      </c>
      <c r="I37" s="710">
        <f>-'Earning Forecast'!H60</f>
        <v>-31000</v>
      </c>
      <c r="J37" s="710">
        <f>-'Earning Forecast'!I60</f>
        <v>-32944.471504307461</v>
      </c>
      <c r="K37" s="710">
        <f>-'Earning Forecast'!J60</f>
        <v>-33903.446229320514</v>
      </c>
      <c r="L37" s="710">
        <f>-'Earning Forecast'!K60</f>
        <v>-34968.994445023498</v>
      </c>
      <c r="M37" s="673"/>
      <c r="N37" s="695" t="str">
        <f>A37</f>
        <v>Minority interest+Prefered share dividend</v>
      </c>
      <c r="O37" s="743"/>
      <c r="P37" s="743"/>
      <c r="Q37" s="743"/>
      <c r="R37" s="718"/>
      <c r="S37" s="718"/>
      <c r="T37" s="718"/>
      <c r="U37" s="718">
        <v>0</v>
      </c>
      <c r="V37" s="718">
        <v>0</v>
      </c>
      <c r="W37" s="673"/>
      <c r="X37" s="673"/>
    </row>
    <row r="38" spans="1:24">
      <c r="A38" s="728" t="s">
        <v>1581</v>
      </c>
      <c r="B38" s="729"/>
      <c r="C38" s="730"/>
      <c r="D38" s="730"/>
      <c r="E38" s="730"/>
      <c r="F38" s="730"/>
      <c r="G38" s="730"/>
      <c r="H38" s="726"/>
      <c r="I38" s="750"/>
      <c r="J38" s="750"/>
      <c r="K38" s="750"/>
      <c r="L38" s="750"/>
      <c r="M38" s="673"/>
      <c r="N38" s="673"/>
      <c r="O38" s="673"/>
      <c r="P38" s="673"/>
      <c r="Q38" s="673"/>
      <c r="R38" s="673"/>
      <c r="S38" s="673"/>
      <c r="T38" s="673"/>
      <c r="U38" s="673"/>
      <c r="V38" s="673"/>
      <c r="W38" s="673"/>
      <c r="X38" s="673"/>
    </row>
    <row r="39" spans="1:24">
      <c r="A39" s="751" t="s">
        <v>1588</v>
      </c>
      <c r="B39" s="725"/>
      <c r="C39" s="752">
        <f>C34-C35+C37</f>
        <v>-674914</v>
      </c>
      <c r="D39" s="752">
        <f t="shared" ref="D39:H39" si="35">D34-D35+D37</f>
        <v>-1961400</v>
      </c>
      <c r="E39" s="752">
        <f>E34-E35+E37</f>
        <v>-976091</v>
      </c>
      <c r="F39" s="752">
        <f t="shared" si="35"/>
        <v>-862000</v>
      </c>
      <c r="G39" s="752">
        <f>G34-G35+G37</f>
        <v>721000</v>
      </c>
      <c r="H39" s="752">
        <f t="shared" si="35"/>
        <v>5518706</v>
      </c>
      <c r="I39" s="753">
        <f>I34-I35+I37</f>
        <v>12606540.553054743</v>
      </c>
      <c r="J39" s="753">
        <f>J34-J35+J37</f>
        <v>9861251.2034366969</v>
      </c>
      <c r="K39" s="753">
        <f t="shared" ref="K39:L39" si="36">K34-K35+K37</f>
        <v>13144715.730122186</v>
      </c>
      <c r="L39" s="753">
        <f t="shared" si="36"/>
        <v>17491802.632993441</v>
      </c>
      <c r="M39" s="681"/>
      <c r="N39" s="695" t="s">
        <v>1638</v>
      </c>
      <c r="O39" s="711">
        <f t="shared" ref="O39:T39" si="37">E39/E$7</f>
        <v>-4.5482507641840003E-2</v>
      </c>
      <c r="P39" s="711">
        <f t="shared" si="37"/>
        <v>-3.5072015623728539E-2</v>
      </c>
      <c r="Q39" s="711">
        <f t="shared" si="37"/>
        <v>2.2862760020294266E-2</v>
      </c>
      <c r="R39" s="711">
        <f>H39/H$7</f>
        <v>0.10253434405365736</v>
      </c>
      <c r="S39" s="711">
        <f t="shared" si="37"/>
        <v>0.15475363424731456</v>
      </c>
      <c r="T39" s="711">
        <f t="shared" si="37"/>
        <v>0.10013153276831699</v>
      </c>
      <c r="U39" s="711">
        <f>K39/K$7</f>
        <v>0.1147328905699688</v>
      </c>
      <c r="V39" s="711">
        <f>L39/L$7</f>
        <v>0.13769120043455657</v>
      </c>
      <c r="W39" s="711"/>
      <c r="X39" s="681"/>
    </row>
    <row r="40" spans="1:24">
      <c r="A40" s="728" t="s">
        <v>1581</v>
      </c>
      <c r="B40" s="729"/>
      <c r="C40" s="730"/>
      <c r="D40" s="730"/>
      <c r="E40" s="730"/>
      <c r="F40" s="754"/>
      <c r="G40" s="754"/>
      <c r="H40" s="732"/>
      <c r="I40" s="733"/>
      <c r="J40" s="733"/>
      <c r="K40" s="733"/>
      <c r="L40" s="733"/>
      <c r="M40" s="673"/>
      <c r="N40" s="673"/>
      <c r="O40" s="673"/>
      <c r="P40" s="673"/>
      <c r="Q40" s="673"/>
      <c r="R40" s="673"/>
      <c r="S40" s="673"/>
      <c r="T40" s="673"/>
      <c r="U40" s="673"/>
      <c r="V40" s="673"/>
      <c r="W40" s="673"/>
      <c r="X40" s="673"/>
    </row>
    <row r="41" spans="1:24">
      <c r="A41" s="698" t="s">
        <v>1590</v>
      </c>
      <c r="B41" s="699"/>
      <c r="C41" s="700"/>
      <c r="D41" s="700"/>
      <c r="E41" s="700"/>
      <c r="F41" s="700"/>
      <c r="G41" s="700"/>
      <c r="H41" s="755"/>
      <c r="I41" s="705"/>
      <c r="J41" s="705"/>
      <c r="K41" s="705"/>
      <c r="L41" s="705"/>
      <c r="M41" s="691"/>
      <c r="N41" s="694" t="s">
        <v>1613</v>
      </c>
      <c r="O41" s="691"/>
      <c r="P41" s="691"/>
      <c r="Q41" s="691"/>
      <c r="R41" s="691"/>
      <c r="S41" s="691"/>
      <c r="T41" s="691"/>
      <c r="U41" s="691"/>
      <c r="V41" s="691"/>
      <c r="W41" s="691"/>
      <c r="X41" s="691"/>
    </row>
    <row r="42" spans="1:24">
      <c r="A42" s="693" t="s">
        <v>1813</v>
      </c>
      <c r="B42" s="756">
        <f>1196908</f>
        <v>1196908</v>
      </c>
      <c r="C42" s="710">
        <f>'Fin Sta as rep'!C44</f>
        <v>3393216</v>
      </c>
      <c r="D42" s="710">
        <f>'Fin Sta as rep'!D44</f>
        <v>3367914</v>
      </c>
      <c r="E42" s="710">
        <f>'Fin Sta as rep'!E44</f>
        <v>3686000</v>
      </c>
      <c r="F42" s="710">
        <f>'Fin Sta as rep'!F44</f>
        <v>6268000</v>
      </c>
      <c r="G42" s="710">
        <f>'Fin Sta as rep'!G44</f>
        <v>19384000</v>
      </c>
      <c r="H42" s="710">
        <f>'Fin Sta as rep'!I44</f>
        <v>17707000</v>
      </c>
      <c r="I42" s="710">
        <f>'Fin Sta as rep'!J44</f>
        <v>22185000</v>
      </c>
      <c r="J42" s="757">
        <f>J106</f>
        <v>25468266.887940317</v>
      </c>
      <c r="K42" s="757">
        <f t="shared" ref="K42" si="38">K106</f>
        <v>33191968.61748438</v>
      </c>
      <c r="L42" s="757">
        <f>L106</f>
        <v>45366093.515685201</v>
      </c>
      <c r="M42" s="673"/>
      <c r="N42" s="758" t="s">
        <v>1591</v>
      </c>
      <c r="O42" s="673"/>
      <c r="P42" s="673"/>
      <c r="Q42" s="673"/>
      <c r="R42" s="673"/>
      <c r="S42" s="673"/>
      <c r="T42" s="673"/>
      <c r="U42" s="673"/>
      <c r="V42" s="673"/>
      <c r="W42" s="673"/>
      <c r="X42" s="673"/>
    </row>
    <row r="43" spans="1:24">
      <c r="A43" s="693" t="s">
        <v>788</v>
      </c>
      <c r="B43" s="695"/>
      <c r="C43" s="710">
        <f>'Fin Sta as rep'!C45</f>
        <v>499142</v>
      </c>
      <c r="D43" s="710">
        <f>'Fin Sta as rep'!D45</f>
        <v>515381</v>
      </c>
      <c r="E43" s="710">
        <f>'Fin Sta as rep'!E45</f>
        <v>949000</v>
      </c>
      <c r="F43" s="710">
        <f>'Fin Sta as rep'!F45</f>
        <v>1324000</v>
      </c>
      <c r="G43" s="710">
        <f>'Fin Sta as rep'!G45</f>
        <v>1886000</v>
      </c>
      <c r="H43" s="710">
        <f>'Fin Sta as rep'!I45</f>
        <v>1913000</v>
      </c>
      <c r="I43" s="710">
        <f>'Fin Sta as rep'!J45</f>
        <v>2952000</v>
      </c>
      <c r="J43" s="1304">
        <f>I43*(J7/I7)</f>
        <v>3568801.9097393798</v>
      </c>
      <c r="K43" s="759">
        <f t="shared" ref="K43:L43" si="39">J43*(K7/J7)</f>
        <v>4151686.4620063226</v>
      </c>
      <c r="L43" s="759">
        <f t="shared" si="39"/>
        <v>4603516.1055501532</v>
      </c>
      <c r="M43" s="673"/>
      <c r="N43" s="758" t="s">
        <v>1592</v>
      </c>
      <c r="O43" s="760"/>
      <c r="P43" s="673"/>
      <c r="Q43" s="673"/>
      <c r="R43" s="673"/>
      <c r="S43" s="673"/>
      <c r="T43" s="673"/>
      <c r="U43" s="673"/>
      <c r="V43" s="673"/>
      <c r="W43" s="673"/>
      <c r="X43" s="673"/>
    </row>
    <row r="44" spans="1:24">
      <c r="A44" s="693" t="s">
        <v>696</v>
      </c>
      <c r="B44" s="695"/>
      <c r="C44" s="710">
        <f>'Fin Sta as rep'!C46</f>
        <v>2067454</v>
      </c>
      <c r="D44" s="710">
        <f>'Fin Sta as rep'!D46</f>
        <v>2263537</v>
      </c>
      <c r="E44" s="710">
        <f>'Fin Sta as rep'!E46</f>
        <v>3113000</v>
      </c>
      <c r="F44" s="710">
        <f>'Fin Sta as rep'!F46</f>
        <v>3552000</v>
      </c>
      <c r="G44" s="710">
        <f>'Fin Sta as rep'!G46</f>
        <v>4101000</v>
      </c>
      <c r="H44" s="710">
        <f>'Fin Sta as rep'!I46</f>
        <v>5757000</v>
      </c>
      <c r="I44" s="710">
        <f>'Fin Sta as rep'!J46</f>
        <v>12839000</v>
      </c>
      <c r="J44" s="1304">
        <f>I44*(J14/I14)</f>
        <v>16945132.582991451</v>
      </c>
      <c r="K44" s="759">
        <f>J44*(K14/J14)</f>
        <v>19517691.097092982</v>
      </c>
      <c r="L44" s="759">
        <f t="shared" ref="L44" si="40">K44*(L14/K14)</f>
        <v>21154896.762229703</v>
      </c>
      <c r="M44" s="673"/>
      <c r="N44" s="758" t="s">
        <v>1593</v>
      </c>
      <c r="O44" s="673"/>
      <c r="P44" s="673"/>
      <c r="Q44" s="673"/>
      <c r="R44" s="673"/>
      <c r="S44" s="673"/>
      <c r="T44" s="673"/>
      <c r="U44" s="673"/>
      <c r="V44" s="673"/>
      <c r="W44" s="673"/>
      <c r="X44" s="673"/>
    </row>
    <row r="45" spans="1:24">
      <c r="A45" s="693" t="s">
        <v>1069</v>
      </c>
      <c r="B45" s="695"/>
      <c r="C45" s="710">
        <f>SUM('Fin Sta as rep'!C47:C48)</f>
        <v>299984</v>
      </c>
      <c r="D45" s="710">
        <f>SUM('Fin Sta as rep'!D47:D48)</f>
        <v>423688</v>
      </c>
      <c r="E45" s="710">
        <f>SUM('Fin Sta as rep'!E47:E48)</f>
        <v>559000</v>
      </c>
      <c r="F45" s="710">
        <f>SUM('Fin Sta as rep'!F47:F48)</f>
        <v>959000</v>
      </c>
      <c r="G45" s="710">
        <f>SUM('Fin Sta as rep'!G47:G48)</f>
        <v>1346000</v>
      </c>
      <c r="H45" s="710">
        <f>SUM('Fin Sta as rep'!I47:I48)</f>
        <v>1723000</v>
      </c>
      <c r="I45" s="710">
        <f>SUM('Fin Sta as rep'!J47:J48)</f>
        <v>2941000</v>
      </c>
      <c r="J45" s="1305">
        <f>I45*(J23/I23)</f>
        <v>3199953.1757754628</v>
      </c>
      <c r="K45" s="761">
        <f>J45*(K23/J23)</f>
        <v>3350335.4482412399</v>
      </c>
      <c r="L45" s="761">
        <f>K45*(L23/K23)</f>
        <v>3343458.7956390525</v>
      </c>
      <c r="M45" s="673"/>
      <c r="N45" s="758" t="s">
        <v>1594</v>
      </c>
      <c r="O45" s="673"/>
      <c r="P45" s="673"/>
      <c r="Q45" s="673"/>
      <c r="R45" s="673"/>
      <c r="S45" s="673"/>
      <c r="T45" s="673"/>
      <c r="U45" s="673"/>
      <c r="V45" s="673"/>
      <c r="W45" s="673"/>
      <c r="X45" s="673"/>
    </row>
    <row r="46" spans="1:24">
      <c r="A46" s="751" t="s">
        <v>1071</v>
      </c>
      <c r="B46" s="725"/>
      <c r="C46" s="762">
        <f t="shared" ref="C46:L46" si="41">SUM(C42:C45)</f>
        <v>6259796</v>
      </c>
      <c r="D46" s="762">
        <f t="shared" si="41"/>
        <v>6570520</v>
      </c>
      <c r="E46" s="762">
        <f t="shared" si="41"/>
        <v>8307000</v>
      </c>
      <c r="F46" s="762">
        <f t="shared" si="41"/>
        <v>12103000</v>
      </c>
      <c r="G46" s="762">
        <f t="shared" si="41"/>
        <v>26717000</v>
      </c>
      <c r="H46" s="762">
        <f t="shared" si="41"/>
        <v>27100000</v>
      </c>
      <c r="I46" s="763">
        <f t="shared" si="41"/>
        <v>40917000</v>
      </c>
      <c r="J46" s="763">
        <f>SUM(J42:J45)</f>
        <v>49182154.556446604</v>
      </c>
      <c r="K46" s="763">
        <f t="shared" si="41"/>
        <v>60211681.624824919</v>
      </c>
      <c r="L46" s="763">
        <f t="shared" si="41"/>
        <v>74467965.179104105</v>
      </c>
      <c r="M46" s="673"/>
      <c r="N46" s="673"/>
      <c r="O46" s="673"/>
      <c r="P46" s="673"/>
      <c r="Q46" s="673"/>
      <c r="R46" s="673"/>
      <c r="S46" s="673"/>
      <c r="T46" s="673"/>
      <c r="U46" s="673"/>
      <c r="V46" s="673"/>
      <c r="W46" s="673"/>
      <c r="X46" s="673"/>
    </row>
    <row r="47" spans="1:24">
      <c r="A47" s="728" t="s">
        <v>1581</v>
      </c>
      <c r="B47" s="729"/>
      <c r="C47" s="730"/>
      <c r="D47" s="730"/>
      <c r="E47" s="730"/>
      <c r="F47" s="731"/>
      <c r="G47" s="731"/>
      <c r="H47" s="732"/>
      <c r="I47" s="733"/>
      <c r="J47" s="733"/>
      <c r="K47" s="733"/>
      <c r="L47" s="733"/>
      <c r="M47" s="673"/>
      <c r="N47" s="673"/>
      <c r="O47" s="673"/>
      <c r="P47" s="673"/>
      <c r="Q47" s="673"/>
      <c r="R47" s="673"/>
      <c r="S47" s="673"/>
      <c r="T47" s="673"/>
      <c r="U47" s="673"/>
      <c r="V47" s="673"/>
      <c r="W47" s="673"/>
      <c r="X47" s="673"/>
    </row>
    <row r="48" spans="1:24">
      <c r="A48" s="693" t="s">
        <v>1076</v>
      </c>
      <c r="B48" s="695"/>
      <c r="C48" s="710">
        <f>SUM('Fin Sta as rep'!C51,'Fin Sta as rep'!C52,'Fin Sta as rep'!C57)</f>
        <v>11902837</v>
      </c>
      <c r="D48" s="710">
        <f>SUM('Fin Sta as rep'!D51,'Fin Sta as rep'!D52,'Fin Sta as rep'!D57)</f>
        <v>16375012</v>
      </c>
      <c r="E48" s="710">
        <f>SUM('Fin Sta as rep'!E51,'Fin Sta as rep'!E52,'Fin Sta as rep'!E57)</f>
        <v>17601000</v>
      </c>
      <c r="F48" s="710">
        <f>SUM('Fin Sta as rep'!F51,'Fin Sta as rep'!F52,'Fin Sta as rep'!F57)</f>
        <v>17752000</v>
      </c>
      <c r="G48" s="710">
        <f>SUM('Fin Sta as rep'!G51,'Fin Sta as rep'!G52,'Fin Sta as rep'!G57)</f>
        <v>20284000</v>
      </c>
      <c r="H48" s="710">
        <f>SUM('Fin Sta as rep'!I51,'Fin Sta as rep'!I52,'Fin Sta as rep'!I57)</f>
        <v>26665000</v>
      </c>
      <c r="I48" s="710">
        <f>SUM('Fin Sta as rep'!J51,'Fin Sta as rep'!J52,'Fin Sta as rep'!J57)</f>
        <v>31600000</v>
      </c>
      <c r="J48" s="1306">
        <f>I48-J76-J91</f>
        <v>35084840.76724907</v>
      </c>
      <c r="K48" s="733">
        <f t="shared" ref="K48:L48" si="42">J48-K76-K91</f>
        <v>38483137.479385473</v>
      </c>
      <c r="L48" s="733">
        <f t="shared" si="42"/>
        <v>41610780.473565578</v>
      </c>
      <c r="M48" s="673"/>
      <c r="N48" s="758" t="s">
        <v>1595</v>
      </c>
      <c r="O48" s="673"/>
      <c r="P48" s="673"/>
      <c r="Q48" s="673"/>
      <c r="R48" s="673"/>
      <c r="S48" s="673"/>
      <c r="T48" s="673"/>
      <c r="U48" s="673"/>
      <c r="V48" s="673"/>
      <c r="W48" s="673"/>
      <c r="X48" s="673"/>
    </row>
    <row r="49" spans="1:24">
      <c r="A49" s="764" t="s">
        <v>1596</v>
      </c>
      <c r="B49" s="695"/>
      <c r="C49" s="710">
        <v>-1417000</v>
      </c>
      <c r="D49" s="710">
        <v>-1416999</v>
      </c>
      <c r="E49" s="710">
        <v>-1416998</v>
      </c>
      <c r="F49" s="710">
        <v>-1416997</v>
      </c>
      <c r="G49" s="710">
        <v>-1416996</v>
      </c>
      <c r="H49" s="710">
        <v>-1416995</v>
      </c>
      <c r="I49" s="710">
        <v>-1416994</v>
      </c>
      <c r="J49" s="733">
        <f>I49-J79</f>
        <v>-5720410.571139493</v>
      </c>
      <c r="K49" s="733">
        <f t="shared" ref="K49" si="43">J49-K79</f>
        <v>-10476380.482642462</v>
      </c>
      <c r="L49" s="733">
        <f t="shared" ref="L49" si="44">K49-L79</f>
        <v>-15486266.241406772</v>
      </c>
      <c r="M49" s="673"/>
      <c r="N49" s="758" t="s">
        <v>1597</v>
      </c>
      <c r="O49" s="673"/>
      <c r="P49" s="673"/>
      <c r="Q49" s="673"/>
      <c r="R49" s="673"/>
      <c r="S49" s="673"/>
      <c r="T49" s="673"/>
      <c r="U49" s="673"/>
      <c r="V49" s="673"/>
      <c r="W49" s="673"/>
      <c r="X49" s="673"/>
    </row>
    <row r="50" spans="1:24">
      <c r="A50" s="765" t="s">
        <v>1682</v>
      </c>
      <c r="B50" s="766"/>
      <c r="C50" s="710">
        <f>'Fin Sta as rep'!C55</f>
        <v>3134080</v>
      </c>
      <c r="D50" s="710">
        <f>'Fin Sta as rep'!D55</f>
        <v>4116604</v>
      </c>
      <c r="E50" s="710">
        <f>'Fin Sta as rep'!E55</f>
        <v>2090000</v>
      </c>
      <c r="F50" s="710">
        <f>'Fin Sta as rep'!F55</f>
        <v>2447000</v>
      </c>
      <c r="G50" s="710">
        <f>'Fin Sta as rep'!G55</f>
        <v>3091000</v>
      </c>
      <c r="H50" s="710">
        <f>'Fin Sta as rep'!I55</f>
        <v>4511000</v>
      </c>
      <c r="I50" s="710">
        <f>'Fin Sta as rep'!J55</f>
        <v>5035000</v>
      </c>
      <c r="J50" s="1306">
        <f>I50-J85</f>
        <v>6620333.333333333</v>
      </c>
      <c r="K50" s="733">
        <f t="shared" ref="K50:L50" si="45">J50-K85</f>
        <v>8376777.7777777771</v>
      </c>
      <c r="L50" s="733">
        <f t="shared" si="45"/>
        <v>10014037.037037035</v>
      </c>
      <c r="M50" s="673"/>
      <c r="N50" s="758" t="s">
        <v>1599</v>
      </c>
      <c r="O50" s="673"/>
      <c r="P50" s="673"/>
      <c r="Q50" s="673"/>
      <c r="R50" s="673"/>
      <c r="S50" s="673"/>
      <c r="T50" s="673"/>
      <c r="U50" s="673"/>
      <c r="V50" s="673"/>
      <c r="W50" s="673"/>
      <c r="X50" s="673"/>
    </row>
    <row r="51" spans="1:24">
      <c r="A51" s="693" t="s">
        <v>713</v>
      </c>
      <c r="B51" s="695"/>
      <c r="C51" s="710">
        <f>'Fin Sta as rep'!C59</f>
        <v>0</v>
      </c>
      <c r="D51" s="710">
        <f>'Fin Sta as rep'!D59</f>
        <v>60237</v>
      </c>
      <c r="E51" s="710">
        <f>'Fin Sta as rep'!E59</f>
        <v>68000</v>
      </c>
      <c r="F51" s="710">
        <f>'Fin Sta as rep'!F59</f>
        <v>198000</v>
      </c>
      <c r="G51" s="710">
        <f>'Fin Sta as rep'!G59</f>
        <v>207000</v>
      </c>
      <c r="H51" s="710">
        <f>'Fin Sta as rep'!I59</f>
        <v>200000</v>
      </c>
      <c r="I51" s="710">
        <f>'Fin Sta as rep'!J59</f>
        <v>194000</v>
      </c>
      <c r="J51" s="1307">
        <f>I51</f>
        <v>194000</v>
      </c>
      <c r="K51" s="767">
        <f t="shared" ref="K51:L51" si="46">J51</f>
        <v>194000</v>
      </c>
      <c r="L51" s="767">
        <f t="shared" si="46"/>
        <v>194000</v>
      </c>
      <c r="M51" s="673"/>
      <c r="N51" s="758" t="s">
        <v>1600</v>
      </c>
      <c r="O51" s="673"/>
      <c r="P51" s="673"/>
      <c r="Q51" s="673"/>
      <c r="R51" s="673"/>
      <c r="S51" s="673"/>
      <c r="T51" s="673"/>
      <c r="U51" s="673"/>
      <c r="V51" s="673"/>
      <c r="W51" s="673"/>
      <c r="X51" s="673"/>
    </row>
    <row r="52" spans="1:24">
      <c r="A52" s="693" t="s">
        <v>902</v>
      </c>
      <c r="B52" s="695"/>
      <c r="C52" s="710">
        <f>'Fin Sta as rep'!C61+'Fin Sta as rep'!C60</f>
        <v>376145</v>
      </c>
      <c r="D52" s="710">
        <f>'Fin Sta as rep'!D61+'Fin Sta as rep'!D60</f>
        <v>361502</v>
      </c>
      <c r="E52" s="710">
        <f>'Fin Sta as rep'!E61+'Fin Sta as rep'!E60</f>
        <v>282000</v>
      </c>
      <c r="F52" s="710">
        <f>'Fin Sta as rep'!F61+'Fin Sta as rep'!F60</f>
        <v>339000</v>
      </c>
      <c r="G52" s="710">
        <f>'Fin Sta as rep'!G61+'Fin Sta as rep'!G60</f>
        <v>313000</v>
      </c>
      <c r="H52" s="710">
        <f>'Fin Sta as rep'!I61+'Fin Sta as rep'!I60</f>
        <v>1517000</v>
      </c>
      <c r="I52" s="710">
        <f>'Fin Sta as rep'!J61+'Fin Sta as rep'!J60</f>
        <v>399000</v>
      </c>
      <c r="J52" s="1306">
        <f>I52-J77</f>
        <v>399000</v>
      </c>
      <c r="K52" s="733">
        <f t="shared" ref="K52:L52" si="47">J52-K77</f>
        <v>399000</v>
      </c>
      <c r="L52" s="733">
        <f t="shared" si="47"/>
        <v>399000</v>
      </c>
      <c r="M52" s="673"/>
      <c r="N52" s="758" t="s">
        <v>1601</v>
      </c>
      <c r="O52" s="673"/>
      <c r="P52" s="673"/>
      <c r="Q52" s="673"/>
      <c r="R52" s="673"/>
      <c r="S52" s="673"/>
      <c r="T52" s="673"/>
      <c r="U52" s="673"/>
      <c r="V52" s="673"/>
      <c r="W52" s="673"/>
      <c r="X52" s="673"/>
    </row>
    <row r="53" spans="1:24">
      <c r="A53" s="693" t="s">
        <v>1081</v>
      </c>
      <c r="B53" s="695"/>
      <c r="C53" s="710">
        <f>SUM('Fin Sta as rep'!C64,'Fin Sta as rep'!C62)</f>
        <v>484916</v>
      </c>
      <c r="D53" s="710">
        <f>SUM('Fin Sta as rep'!D64,'Fin Sta as rep'!D62)</f>
        <v>714845</v>
      </c>
      <c r="E53" s="710">
        <f>SUM('Fin Sta as rep'!E64,'Fin Sta as rep'!E62)</f>
        <v>970000</v>
      </c>
      <c r="F53" s="710">
        <f>SUM('Fin Sta as rep'!F64,'Fin Sta as rep'!F62)</f>
        <v>1077000</v>
      </c>
      <c r="G53" s="710">
        <f>SUM('Fin Sta as rep'!G64,'Fin Sta as rep'!G62)</f>
        <v>1536000</v>
      </c>
      <c r="H53" s="710">
        <f>SUM('Fin Sta as rep'!I64,'Fin Sta as rep'!I62)</f>
        <v>2138000</v>
      </c>
      <c r="I53" s="710">
        <f>SUM('Fin Sta as rep'!J64,'Fin Sta as rep'!J62)</f>
        <v>4193000</v>
      </c>
      <c r="J53" s="1313">
        <f>I53*(J7/I7)</f>
        <v>5069101.0865640985</v>
      </c>
      <c r="K53" s="759">
        <f>J53*(K7/J7)</f>
        <v>5897026.1975584384</v>
      </c>
      <c r="L53" s="759">
        <f>K53*(L7/K7)</f>
        <v>6538801.8396245912</v>
      </c>
      <c r="M53" s="673"/>
      <c r="N53" s="758" t="s">
        <v>1592</v>
      </c>
      <c r="O53" s="673"/>
      <c r="P53" s="673"/>
      <c r="Q53" s="673"/>
      <c r="R53" s="673"/>
      <c r="S53" s="673"/>
      <c r="T53" s="673"/>
      <c r="U53" s="673"/>
      <c r="V53" s="673"/>
      <c r="W53" s="673"/>
      <c r="X53" s="673"/>
    </row>
    <row r="54" spans="1:24">
      <c r="A54" s="748" t="s">
        <v>711</v>
      </c>
      <c r="B54" s="727"/>
      <c r="C54" s="710">
        <f>'Fin Sta as rep'!C58</f>
        <v>506302</v>
      </c>
      <c r="D54" s="710">
        <f>'Fin Sta as rep'!D58</f>
        <v>456652</v>
      </c>
      <c r="E54" s="710">
        <f>'Fin Sta as rep'!E58</f>
        <v>422000</v>
      </c>
      <c r="F54" s="710">
        <f>'Fin Sta as rep'!F58</f>
        <v>393000</v>
      </c>
      <c r="G54" s="710">
        <f>'Fin Sta as rep'!G58</f>
        <v>0</v>
      </c>
      <c r="H54" s="710">
        <f>'Fin Sta as rep'!I58</f>
        <v>0</v>
      </c>
      <c r="I54" s="710">
        <f>'Fin Sta as rep'!J58</f>
        <v>0</v>
      </c>
      <c r="J54" s="733">
        <f>I54-J93</f>
        <v>0</v>
      </c>
      <c r="K54" s="733">
        <f t="shared" ref="K54:L54" si="48">J54-K93</f>
        <v>0</v>
      </c>
      <c r="L54" s="733">
        <f t="shared" si="48"/>
        <v>0</v>
      </c>
      <c r="M54" s="673"/>
      <c r="N54" s="758" t="s">
        <v>1600</v>
      </c>
      <c r="O54" s="673"/>
      <c r="P54" s="673"/>
      <c r="Q54" s="673"/>
      <c r="R54" s="673"/>
      <c r="S54" s="673"/>
      <c r="T54" s="673"/>
      <c r="U54" s="673"/>
      <c r="V54" s="673"/>
      <c r="W54" s="673"/>
      <c r="X54" s="673"/>
    </row>
    <row r="55" spans="1:24">
      <c r="A55" s="768" t="s">
        <v>1085</v>
      </c>
      <c r="B55" s="769"/>
      <c r="C55" s="762">
        <f>SUM(C54,C53,C52,C51,C50,C48,C46)</f>
        <v>22664076</v>
      </c>
      <c r="D55" s="762">
        <f t="shared" ref="D55:I55" si="49">SUM(D54,D53,D52,D51,D50,D48,D46)</f>
        <v>28655372</v>
      </c>
      <c r="E55" s="762">
        <f t="shared" si="49"/>
        <v>29740000</v>
      </c>
      <c r="F55" s="762">
        <f t="shared" si="49"/>
        <v>34309000</v>
      </c>
      <c r="G55" s="762">
        <f t="shared" si="49"/>
        <v>52148000</v>
      </c>
      <c r="H55" s="762">
        <f>SUM(H54,H53,H52,H51,H50,H48,H46)</f>
        <v>62131000</v>
      </c>
      <c r="I55" s="763">
        <f t="shared" si="49"/>
        <v>82338000</v>
      </c>
      <c r="J55" s="763">
        <f>SUM(J54,J53,J52,J51,J50,J48,J46)</f>
        <v>96549429.743593097</v>
      </c>
      <c r="K55" s="763">
        <f t="shared" ref="K55:L55" si="50">SUM(K54,K53,K52,K51,K50,K48,K46)</f>
        <v>113561623.0795466</v>
      </c>
      <c r="L55" s="763">
        <f t="shared" si="50"/>
        <v>133224584.52933131</v>
      </c>
      <c r="M55" s="673"/>
      <c r="N55" s="770"/>
      <c r="O55" s="673"/>
      <c r="P55" s="673"/>
      <c r="Q55" s="673"/>
      <c r="R55" s="673"/>
      <c r="S55" s="673"/>
      <c r="T55" s="673"/>
      <c r="U55" s="673"/>
      <c r="V55" s="673"/>
      <c r="W55" s="673"/>
      <c r="X55" s="673"/>
    </row>
    <row r="56" spans="1:24">
      <c r="A56" s="728" t="s">
        <v>1581</v>
      </c>
      <c r="B56" s="729"/>
      <c r="C56" s="730"/>
      <c r="D56" s="730"/>
      <c r="E56" s="730"/>
      <c r="F56" s="754"/>
      <c r="G56" s="754"/>
      <c r="H56" s="732"/>
      <c r="I56" s="733"/>
      <c r="J56" s="733"/>
      <c r="K56" s="733"/>
      <c r="L56" s="733"/>
      <c r="M56" s="673"/>
      <c r="N56" s="673"/>
      <c r="O56" s="673"/>
      <c r="P56" s="673"/>
      <c r="Q56" s="673"/>
      <c r="R56" s="673"/>
      <c r="S56" s="673"/>
      <c r="T56" s="673"/>
      <c r="U56" s="673"/>
      <c r="V56" s="673"/>
      <c r="W56" s="673"/>
      <c r="X56" s="673"/>
    </row>
    <row r="57" spans="1:24">
      <c r="A57" s="693" t="s">
        <v>791</v>
      </c>
      <c r="B57" s="695"/>
      <c r="C57" s="757">
        <f>'Fin Sta as rep'!C69</f>
        <v>1860341</v>
      </c>
      <c r="D57" s="757">
        <f>'Fin Sta as rep'!D69</f>
        <v>2390250</v>
      </c>
      <c r="E57" s="757">
        <f>'Fin Sta as rep'!E69</f>
        <v>3405000</v>
      </c>
      <c r="F57" s="757">
        <f>'Fin Sta as rep'!F69</f>
        <v>3771000</v>
      </c>
      <c r="G57" s="757">
        <f>'Fin Sta as rep'!G69</f>
        <v>6051000</v>
      </c>
      <c r="H57" s="757">
        <f>'Fin Sta as rep'!I69</f>
        <v>10025000</v>
      </c>
      <c r="I57" s="757">
        <f>'Fin Sta as rep'!J69</f>
        <v>15255000</v>
      </c>
      <c r="J57" s="1305">
        <f>I57*(J23/I23)</f>
        <v>16598193.028376294</v>
      </c>
      <c r="K57" s="761">
        <f>J57*(K23/J23)</f>
        <v>17378227.563046619</v>
      </c>
      <c r="L57" s="761">
        <f>K57*(L23/K23)</f>
        <v>17342558.288838401</v>
      </c>
      <c r="M57" s="673"/>
      <c r="N57" s="758" t="s">
        <v>1594</v>
      </c>
      <c r="O57" s="673"/>
      <c r="P57" s="673"/>
      <c r="Q57" s="673"/>
      <c r="R57" s="673"/>
      <c r="S57" s="673"/>
      <c r="T57" s="673"/>
      <c r="U57" s="673"/>
      <c r="V57" s="673"/>
      <c r="W57" s="673"/>
      <c r="X57" s="673"/>
    </row>
    <row r="58" spans="1:24">
      <c r="A58" s="693" t="s">
        <v>729</v>
      </c>
      <c r="B58" s="695"/>
      <c r="C58" s="733">
        <f>SUM('Fin Sta as rep'!C72,'Fin Sta as rep'!C73,'Fin Sta as rep'!C74,'Fin Sta as rep'!C75)</f>
        <v>1158931</v>
      </c>
      <c r="D58" s="733">
        <f>SUM('Fin Sta as rep'!D72,'Fin Sta as rep'!D73,'Fin Sta as rep'!D74,'Fin Sta as rep'!D75)</f>
        <v>896619</v>
      </c>
      <c r="E58" s="733">
        <f>SUM('Fin Sta as rep'!E72,'Fin Sta as rep'!E73,'Fin Sta as rep'!E74,'Fin Sta as rep'!E75)</f>
        <v>2568000</v>
      </c>
      <c r="F58" s="733">
        <f>SUM('Fin Sta as rep'!F72,'Fin Sta as rep'!F73,'Fin Sta as rep'!F74,'Fin Sta as rep'!F75)</f>
        <v>1785000</v>
      </c>
      <c r="G58" s="733">
        <f>SUM('Fin Sta as rep'!G72,'Fin Sta as rep'!G73,'Fin Sta as rep'!G74,'Fin Sta as rep'!G75)</f>
        <v>2132000</v>
      </c>
      <c r="H58" s="733">
        <f>SUM('Fin Sta as rep'!I72,'Fin Sta as rep'!I73,'Fin Sta as rep'!I74,'Fin Sta as rep'!I75)</f>
        <v>1589000</v>
      </c>
      <c r="I58" s="733">
        <f>SUM('Fin Sta as rep'!J72,'Fin Sta as rep'!J73,'Fin Sta as rep'!J74,'Fin Sta as rep'!J75)</f>
        <v>1502000</v>
      </c>
      <c r="J58" s="1305">
        <f>I58*(J23/I23)</f>
        <v>1634250.1428135822</v>
      </c>
      <c r="K58" s="761">
        <f>J58*(K23/J23)</f>
        <v>1711051.9698260261</v>
      </c>
      <c r="L58" s="761">
        <f>K58*(L23/K23)</f>
        <v>1707539.9901563609</v>
      </c>
      <c r="M58" s="673"/>
      <c r="N58" s="758" t="s">
        <v>1594</v>
      </c>
      <c r="O58" s="673"/>
      <c r="P58" s="673"/>
      <c r="Q58" s="673"/>
      <c r="R58" s="673"/>
      <c r="S58" s="673"/>
      <c r="T58" s="673"/>
      <c r="U58" s="673"/>
      <c r="V58" s="673"/>
      <c r="W58" s="673"/>
      <c r="X58" s="673"/>
    </row>
    <row r="59" spans="1:24">
      <c r="A59" s="693" t="s">
        <v>1091</v>
      </c>
      <c r="B59" s="695"/>
      <c r="C59" s="733">
        <f>SUM('Fin Sta as rep'!C70,'Fin Sta as rep'!C77,'Fin Sta as rep'!C78,'Fin Sta as rep'!C79)</f>
        <v>2816517</v>
      </c>
      <c r="D59" s="733">
        <f>SUM('Fin Sta as rep'!D70,'Fin Sta as rep'!D77,'Fin Sta as rep'!D78,'Fin Sta as rep'!D79)</f>
        <v>4387871</v>
      </c>
      <c r="E59" s="733">
        <f>SUM('Fin Sta as rep'!E70,'Fin Sta as rep'!E77,'Fin Sta as rep'!E78,'Fin Sta as rep'!E79)</f>
        <v>4020000</v>
      </c>
      <c r="F59" s="733">
        <f>SUM('Fin Sta as rep'!F70,'Fin Sta as rep'!F77,'Fin Sta as rep'!F78,'Fin Sta as rep'!F79)</f>
        <v>5111000</v>
      </c>
      <c r="G59" s="733">
        <f>SUM('Fin Sta as rep'!G70,'Fin Sta as rep'!G77,'Fin Sta as rep'!G78,'Fin Sta as rep'!G79)</f>
        <v>6065000</v>
      </c>
      <c r="H59" s="733">
        <f>SUM('Fin Sta as rep'!I70,'Fin Sta as rep'!I77,'Fin Sta as rep'!I78,'Fin Sta as rep'!I79)</f>
        <v>8091000</v>
      </c>
      <c r="I59" s="733">
        <f>SUM('Fin Sta as rep'!J70,'Fin Sta as rep'!J77,'Fin Sta as rep'!J78,'Fin Sta as rep'!J79)</f>
        <v>9952000</v>
      </c>
      <c r="J59" s="1314">
        <f>I59*(J23/I23)</f>
        <v>10828267.257843388</v>
      </c>
      <c r="K59" s="761">
        <f>J59*(K23/J23)</f>
        <v>11337143.278101604</v>
      </c>
      <c r="L59" s="761">
        <f>K59*(L23/K23)</f>
        <v>11313873.490037352</v>
      </c>
      <c r="M59" s="673"/>
      <c r="N59" s="758" t="s">
        <v>1594</v>
      </c>
      <c r="O59" s="673"/>
      <c r="P59" s="673"/>
      <c r="Q59" s="673"/>
      <c r="R59" s="673"/>
      <c r="S59" s="673"/>
      <c r="T59" s="673"/>
      <c r="U59" s="673"/>
      <c r="V59" s="673"/>
      <c r="W59" s="673"/>
      <c r="X59" s="673"/>
    </row>
    <row r="60" spans="1:24">
      <c r="A60" s="751" t="s">
        <v>1099</v>
      </c>
      <c r="B60" s="725"/>
      <c r="C60" s="762">
        <f t="shared" ref="C60:J60" si="51">SUM(C57:C59)</f>
        <v>5835789</v>
      </c>
      <c r="D60" s="762">
        <f t="shared" si="51"/>
        <v>7674740</v>
      </c>
      <c r="E60" s="762">
        <f t="shared" si="51"/>
        <v>9993000</v>
      </c>
      <c r="F60" s="762">
        <f t="shared" si="51"/>
        <v>10667000</v>
      </c>
      <c r="G60" s="762">
        <f t="shared" si="51"/>
        <v>14248000</v>
      </c>
      <c r="H60" s="762">
        <f t="shared" si="51"/>
        <v>19705000</v>
      </c>
      <c r="I60" s="763">
        <f t="shared" si="51"/>
        <v>26709000</v>
      </c>
      <c r="J60" s="763">
        <f t="shared" si="51"/>
        <v>29060710.429033265</v>
      </c>
      <c r="K60" s="763">
        <f t="shared" ref="K60:L60" si="52">SUM(K57:K59)</f>
        <v>30426422.810974251</v>
      </c>
      <c r="L60" s="763">
        <f t="shared" si="52"/>
        <v>30363971.769032113</v>
      </c>
      <c r="M60" s="673"/>
      <c r="N60" s="770"/>
      <c r="O60" s="673"/>
      <c r="P60" s="673"/>
      <c r="Q60" s="673"/>
      <c r="R60" s="673"/>
      <c r="S60" s="673"/>
      <c r="T60" s="673"/>
      <c r="U60" s="673"/>
      <c r="V60" s="673"/>
      <c r="W60" s="673"/>
      <c r="X60" s="673"/>
    </row>
    <row r="61" spans="1:24">
      <c r="A61" s="728" t="s">
        <v>1581</v>
      </c>
      <c r="B61" s="729"/>
      <c r="C61" s="730"/>
      <c r="D61" s="730"/>
      <c r="E61" s="730"/>
      <c r="F61" s="731"/>
      <c r="G61" s="731"/>
      <c r="H61" s="732"/>
      <c r="I61" s="733"/>
      <c r="J61" s="733"/>
      <c r="K61" s="733"/>
      <c r="L61" s="733"/>
      <c r="M61" s="673"/>
      <c r="N61" s="673"/>
      <c r="O61" s="673"/>
      <c r="P61" s="673"/>
      <c r="Q61" s="673"/>
      <c r="R61" s="673"/>
      <c r="S61" s="673"/>
      <c r="T61" s="673"/>
      <c r="U61" s="673"/>
      <c r="V61" s="673"/>
      <c r="W61" s="673"/>
      <c r="X61" s="673"/>
    </row>
    <row r="62" spans="1:24">
      <c r="A62" s="693" t="s">
        <v>740</v>
      </c>
      <c r="B62" s="695"/>
      <c r="C62" s="733">
        <f>SUM('Fin Sta as rep'!C83:C87)</f>
        <v>5969500</v>
      </c>
      <c r="D62" s="733">
        <f>SUM('Fin Sta as rep'!D83:D87)</f>
        <v>9418319</v>
      </c>
      <c r="E62" s="733">
        <f>SUM('Fin Sta as rep'!E83:E87)</f>
        <v>9404000</v>
      </c>
      <c r="F62" s="733">
        <f>SUM('Fin Sta as rep'!F83:F87)</f>
        <v>11634000</v>
      </c>
      <c r="G62" s="733">
        <f>SUM('Fin Sta as rep'!G83:G87)</f>
        <v>9607000</v>
      </c>
      <c r="H62" s="733">
        <f>SUM('Fin Sta as rep'!I83:I87)</f>
        <v>5245000</v>
      </c>
      <c r="I62" s="733">
        <f>SUM('Fin Sta as rep'!J83:J87)</f>
        <v>1597000</v>
      </c>
      <c r="J62" s="1304">
        <f>T62</f>
        <v>1437300</v>
      </c>
      <c r="K62" s="759">
        <f t="shared" ref="K62:L62" si="53">U62</f>
        <v>1293570</v>
      </c>
      <c r="L62" s="759">
        <f t="shared" si="53"/>
        <v>1164213</v>
      </c>
      <c r="M62" s="673"/>
      <c r="N62" s="771" t="s">
        <v>740</v>
      </c>
      <c r="O62" s="743"/>
      <c r="P62" s="772"/>
      <c r="Q62" s="772"/>
      <c r="R62" s="773">
        <f>H62</f>
        <v>5245000</v>
      </c>
      <c r="S62" s="773">
        <f>I62</f>
        <v>1597000</v>
      </c>
      <c r="T62" s="718">
        <f>S62*0.9</f>
        <v>1437300</v>
      </c>
      <c r="U62" s="718">
        <f t="shared" ref="U62:V62" si="54">T62*0.9</f>
        <v>1293570</v>
      </c>
      <c r="V62" s="718">
        <f t="shared" si="54"/>
        <v>1164213</v>
      </c>
      <c r="W62" s="673"/>
      <c r="X62" s="673" t="s">
        <v>1814</v>
      </c>
    </row>
    <row r="63" spans="1:24">
      <c r="A63" s="693" t="s">
        <v>745</v>
      </c>
      <c r="B63" s="695"/>
      <c r="C63" s="733">
        <f>SUM('Fin Sta as rep'!C88,'Fin Sta as rep'!C90:C91)+'Fin Sta as rep'!C96</f>
        <v>5320701</v>
      </c>
      <c r="D63" s="733">
        <f>SUM('Fin Sta as rep'!D88,'Fin Sta as rep'!D90:D91)+'Fin Sta as rep'!D96</f>
        <v>6327725</v>
      </c>
      <c r="E63" s="733">
        <f>SUM('Fin Sta as rep'!E88,'Fin Sta as rep'!E90:E91)+'Fin Sta as rep'!E96</f>
        <v>4586000</v>
      </c>
      <c r="F63" s="733">
        <f>SUM('Fin Sta as rep'!F88,'Fin Sta as rep'!F90:F91)+'Fin Sta as rep'!F96</f>
        <v>4541000</v>
      </c>
      <c r="G63" s="733">
        <f>SUM('Fin Sta as rep'!G88,'Fin Sta as rep'!G90:G91)+'Fin Sta as rep'!G96</f>
        <v>5218000</v>
      </c>
      <c r="H63" s="733">
        <f>SUM('Fin Sta as rep'!I88,'Fin Sta as rep'!I90:I91)+'Fin Sta as rep'!I96</f>
        <v>6166000</v>
      </c>
      <c r="I63" s="733">
        <f>SUM('Fin Sta as rep'!J88,'Fin Sta as rep'!J90:J91)+'Fin Sta as rep'!J96</f>
        <v>8543000</v>
      </c>
      <c r="J63" s="1312">
        <f>I63+J53-I53</f>
        <v>9419101.0865640976</v>
      </c>
      <c r="K63" s="733">
        <f t="shared" ref="K63:L63" si="55">J63+K53-J53</f>
        <v>10247026.197558437</v>
      </c>
      <c r="L63" s="733">
        <f t="shared" si="55"/>
        <v>10888801.839624589</v>
      </c>
      <c r="M63" s="673"/>
      <c r="N63" s="758" t="s">
        <v>1639</v>
      </c>
      <c r="O63" s="673"/>
      <c r="P63" s="673"/>
      <c r="Q63" s="673"/>
      <c r="R63" s="673"/>
      <c r="S63" s="673"/>
      <c r="T63" s="673"/>
      <c r="U63" s="673"/>
      <c r="V63" s="673"/>
      <c r="W63" s="673"/>
      <c r="X63" s="673"/>
    </row>
    <row r="64" spans="1:24">
      <c r="A64" s="751" t="s">
        <v>1108</v>
      </c>
      <c r="B64" s="725"/>
      <c r="C64" s="762">
        <f t="shared" ref="C64:I64" si="56">SUM(C63,C62,C60)</f>
        <v>17125990</v>
      </c>
      <c r="D64" s="762">
        <f t="shared" si="56"/>
        <v>23420784</v>
      </c>
      <c r="E64" s="762">
        <f t="shared" si="56"/>
        <v>23983000</v>
      </c>
      <c r="F64" s="762">
        <f t="shared" si="56"/>
        <v>26842000</v>
      </c>
      <c r="G64" s="762">
        <f t="shared" si="56"/>
        <v>29073000</v>
      </c>
      <c r="H64" s="762">
        <f t="shared" si="56"/>
        <v>31116000</v>
      </c>
      <c r="I64" s="762">
        <f t="shared" si="56"/>
        <v>36849000</v>
      </c>
      <c r="J64" s="763">
        <f t="shared" ref="J64" si="57">SUM(J63,J62,J60)</f>
        <v>39917111.515597358</v>
      </c>
      <c r="K64" s="763">
        <f t="shared" ref="K64:L64" si="58">SUM(K63,K62,K60)</f>
        <v>41967019.008532688</v>
      </c>
      <c r="L64" s="763">
        <f t="shared" si="58"/>
        <v>42416986.608656704</v>
      </c>
      <c r="M64" s="673"/>
      <c r="N64" s="770"/>
      <c r="O64" s="673"/>
      <c r="P64" s="673"/>
      <c r="Q64" s="673"/>
      <c r="R64" s="673"/>
      <c r="S64" s="673"/>
      <c r="T64" s="673"/>
      <c r="U64" s="673"/>
      <c r="V64" s="673"/>
      <c r="W64" s="673"/>
      <c r="X64" s="673"/>
    </row>
    <row r="65" spans="1:24">
      <c r="A65" s="728" t="s">
        <v>1581</v>
      </c>
      <c r="B65" s="729"/>
      <c r="C65" s="730"/>
      <c r="D65" s="730"/>
      <c r="E65" s="730"/>
      <c r="F65" s="731"/>
      <c r="G65" s="731"/>
      <c r="H65" s="732"/>
      <c r="I65" s="733"/>
      <c r="J65" s="733"/>
      <c r="K65" s="733"/>
      <c r="L65" s="733"/>
      <c r="M65" s="673"/>
      <c r="N65" s="673"/>
      <c r="O65" s="673"/>
      <c r="P65" s="673"/>
      <c r="Q65" s="673"/>
      <c r="R65" s="673"/>
      <c r="S65" s="673"/>
      <c r="T65" s="673"/>
      <c r="U65" s="673"/>
      <c r="V65" s="673"/>
      <c r="W65" s="673"/>
      <c r="X65" s="673"/>
    </row>
    <row r="66" spans="1:24">
      <c r="A66" s="693" t="s">
        <v>755</v>
      </c>
      <c r="B66" s="695"/>
      <c r="C66" s="733">
        <f>SUM('Fin Sta as rep'!C98:C99)</f>
        <v>7773888</v>
      </c>
      <c r="D66" s="733">
        <f>SUM('Fin Sta as rep'!D98:D99)</f>
        <v>9178193</v>
      </c>
      <c r="E66" s="733">
        <f>SUM('Fin Sta as rep'!E98:E99)</f>
        <v>10249000</v>
      </c>
      <c r="F66" s="733">
        <f>SUM('Fin Sta as rep'!F98:F99)</f>
        <v>12737000</v>
      </c>
      <c r="G66" s="733">
        <f>SUM('Fin Sta as rep'!G98:G99)</f>
        <v>27261000</v>
      </c>
      <c r="H66" s="733">
        <f>SUM('Fin Sta as rep'!I98:I99)</f>
        <v>29806000</v>
      </c>
      <c r="I66" s="733">
        <f>SUM('Fin Sta as rep'!J98:J99)</f>
        <v>32180000</v>
      </c>
      <c r="J66" s="1306">
        <f>I66+SUM(J86:J87)</f>
        <v>33985000</v>
      </c>
      <c r="K66" s="733">
        <f t="shared" ref="K66" si="59">J66+SUM(K86:K87)</f>
        <v>35813666.666666664</v>
      </c>
      <c r="L66" s="733">
        <f t="shared" ref="L66" si="60">K66+SUM(L86:L87)</f>
        <v>37544888.888888888</v>
      </c>
      <c r="M66" s="673"/>
      <c r="N66" s="758" t="s">
        <v>1604</v>
      </c>
      <c r="O66" s="673"/>
      <c r="P66" s="673"/>
      <c r="Q66" s="673"/>
      <c r="R66" s="673"/>
      <c r="S66" s="673"/>
      <c r="T66" s="673"/>
      <c r="U66" s="673"/>
      <c r="V66" s="673"/>
      <c r="W66" s="673"/>
      <c r="X66" s="673"/>
    </row>
    <row r="67" spans="1:24">
      <c r="A67" s="693" t="s">
        <v>1125</v>
      </c>
      <c r="B67" s="695"/>
      <c r="C67" s="713">
        <v>0</v>
      </c>
      <c r="D67" s="713">
        <v>0</v>
      </c>
      <c r="E67" s="713">
        <v>0</v>
      </c>
      <c r="F67" s="713">
        <v>0</v>
      </c>
      <c r="G67" s="713">
        <v>0</v>
      </c>
      <c r="H67" s="713">
        <v>0</v>
      </c>
      <c r="I67" s="713">
        <v>0</v>
      </c>
      <c r="J67" s="1306">
        <f>I67+J100/2</f>
        <v>-22500</v>
      </c>
      <c r="K67" s="733">
        <f>J67+K100/2</f>
        <v>-45000</v>
      </c>
      <c r="L67" s="733">
        <f>K67+L100/2</f>
        <v>-67500</v>
      </c>
      <c r="M67" s="673"/>
      <c r="N67" s="758" t="s">
        <v>1605</v>
      </c>
      <c r="O67" s="673"/>
      <c r="P67" s="673"/>
      <c r="Q67" s="673"/>
      <c r="R67" s="673"/>
      <c r="S67" s="673"/>
      <c r="T67" s="673"/>
      <c r="U67" s="673"/>
      <c r="V67" s="673"/>
      <c r="W67" s="673"/>
      <c r="X67" s="673"/>
    </row>
    <row r="68" spans="1:24">
      <c r="A68" s="693" t="s">
        <v>758</v>
      </c>
      <c r="B68" s="695"/>
      <c r="C68" s="710">
        <f>'Fin Sta as rep'!C100+'Fin Sta as rep'!C103</f>
        <v>-2997237</v>
      </c>
      <c r="D68" s="710">
        <f>'Fin Sta as rep'!D100+'Fin Sta as rep'!D103</f>
        <v>-4974299</v>
      </c>
      <c r="E68" s="710">
        <f>'Fin Sta as rep'!E100+'Fin Sta as rep'!E103</f>
        <v>-5318000</v>
      </c>
      <c r="F68" s="710">
        <f>'Fin Sta as rep'!F100+'Fin Sta as rep'!F103</f>
        <v>-6083000</v>
      </c>
      <c r="G68" s="710">
        <f>'Fin Sta as rep'!G100+'Fin Sta as rep'!G103</f>
        <v>-5399000</v>
      </c>
      <c r="H68" s="710">
        <f>'Fin Sta as rep'!I100+'Fin Sta as rep'!I103</f>
        <v>329000</v>
      </c>
      <c r="I68" s="710">
        <f>'Fin Sta as rep'!J100+'Fin Sta as rep'!J103</f>
        <v>12885000</v>
      </c>
      <c r="J68" s="1306">
        <f>I68+J75+J98+J88</f>
        <v>23412055.674941003</v>
      </c>
      <c r="K68" s="733">
        <f t="shared" ref="K68:L68" si="61">J68+K75+K98+K88</f>
        <v>36590674.851292506</v>
      </c>
      <c r="L68" s="733">
        <f t="shared" si="61"/>
        <v>54117446.478730969</v>
      </c>
      <c r="M68" s="673"/>
      <c r="N68" s="758" t="s">
        <v>1606</v>
      </c>
      <c r="O68" s="673"/>
      <c r="P68" s="673"/>
      <c r="Q68" s="673"/>
      <c r="R68" s="673"/>
      <c r="S68" s="673"/>
      <c r="T68" s="673"/>
      <c r="U68" s="673"/>
      <c r="V68" s="673"/>
      <c r="W68" s="673"/>
      <c r="X68" s="673"/>
    </row>
    <row r="69" spans="1:24">
      <c r="A69" s="693" t="s">
        <v>765</v>
      </c>
      <c r="B69" s="695"/>
      <c r="C69" s="757">
        <f>'Fin Sta as rep'!C105</f>
        <v>785175</v>
      </c>
      <c r="D69" s="757">
        <f>'Fin Sta as rep'!D105</f>
        <v>997346</v>
      </c>
      <c r="E69" s="757">
        <f>'Fin Sta as rep'!E105</f>
        <v>834000</v>
      </c>
      <c r="F69" s="757">
        <f>'Fin Sta as rep'!F105</f>
        <v>849000</v>
      </c>
      <c r="G69" s="757">
        <f>'Fin Sta as rep'!G105</f>
        <v>850000</v>
      </c>
      <c r="H69" s="757">
        <f>'Fin Sta as rep'!I105</f>
        <v>826000</v>
      </c>
      <c r="I69" s="757">
        <f>'Fin Sta as rep'!J105</f>
        <v>785000</v>
      </c>
      <c r="J69" s="733">
        <f t="shared" ref="J69" si="62">I69+J99</f>
        <v>785000</v>
      </c>
      <c r="K69" s="733">
        <f t="shared" ref="K69" si="63">J69+K99</f>
        <v>785000</v>
      </c>
      <c r="L69" s="733">
        <f t="shared" ref="L69" si="64">K69+L99</f>
        <v>785000</v>
      </c>
      <c r="M69" s="673"/>
      <c r="N69" s="758" t="s">
        <v>1607</v>
      </c>
      <c r="O69" s="673"/>
      <c r="P69" s="673"/>
      <c r="Q69" s="673"/>
      <c r="R69" s="673"/>
      <c r="S69" s="673"/>
      <c r="T69" s="673"/>
      <c r="U69" s="673"/>
      <c r="V69" s="673"/>
      <c r="W69" s="673"/>
      <c r="X69" s="673"/>
    </row>
    <row r="70" spans="1:24">
      <c r="A70" s="693" t="s">
        <v>760</v>
      </c>
      <c r="B70" s="695"/>
      <c r="C70" s="710">
        <f>'Fin Sta as rep'!C101</f>
        <v>-23740</v>
      </c>
      <c r="D70" s="710">
        <f>'Fin Sta as rep'!D101</f>
        <v>33348</v>
      </c>
      <c r="E70" s="710">
        <f>'Fin Sta as rep'!E101</f>
        <v>-8000</v>
      </c>
      <c r="F70" s="710">
        <f>'Fin Sta as rep'!F101</f>
        <v>-36000</v>
      </c>
      <c r="G70" s="710">
        <f>'Fin Sta as rep'!G101</f>
        <v>363000</v>
      </c>
      <c r="H70" s="710">
        <f>'Fin Sta as rep'!I101</f>
        <v>54000</v>
      </c>
      <c r="I70" s="710">
        <f>'Fin Sta as rep'!J101</f>
        <v>-361000</v>
      </c>
      <c r="J70" s="733">
        <f t="shared" ref="J70" si="65">I70+J100/2+J102</f>
        <v>-383500</v>
      </c>
      <c r="K70" s="733">
        <f t="shared" ref="K70" si="66">J70+K100/2+K102</f>
        <v>-406000</v>
      </c>
      <c r="L70" s="733">
        <f t="shared" ref="L70" si="67">K70+L100/2+L102</f>
        <v>-428500</v>
      </c>
      <c r="M70" s="673"/>
      <c r="N70" s="758" t="s">
        <v>1608</v>
      </c>
      <c r="O70" s="673"/>
      <c r="P70" s="673"/>
      <c r="Q70" s="673"/>
      <c r="R70" s="673"/>
      <c r="S70" s="673"/>
      <c r="T70" s="673"/>
      <c r="U70" s="673"/>
      <c r="V70" s="673"/>
      <c r="W70" s="673"/>
      <c r="X70" s="673"/>
    </row>
    <row r="71" spans="1:24">
      <c r="A71" s="751" t="s">
        <v>1610</v>
      </c>
      <c r="B71" s="725"/>
      <c r="C71" s="762">
        <f>SUM(C66:C70)</f>
        <v>5538086</v>
      </c>
      <c r="D71" s="762">
        <f>SUM(D66:D70)</f>
        <v>5234588</v>
      </c>
      <c r="E71" s="762">
        <f t="shared" ref="E71:J71" si="68">SUM(E66:E70)</f>
        <v>5757000</v>
      </c>
      <c r="F71" s="762">
        <f t="shared" si="68"/>
        <v>7467000</v>
      </c>
      <c r="G71" s="762">
        <f t="shared" si="68"/>
        <v>23075000</v>
      </c>
      <c r="H71" s="762">
        <f t="shared" si="68"/>
        <v>31015000</v>
      </c>
      <c r="I71" s="763">
        <f t="shared" si="68"/>
        <v>45489000</v>
      </c>
      <c r="J71" s="763">
        <f t="shared" si="68"/>
        <v>57776055.674941003</v>
      </c>
      <c r="K71" s="763">
        <f t="shared" ref="K71:L71" si="69">SUM(K66:K70)</f>
        <v>72738341.517959177</v>
      </c>
      <c r="L71" s="763">
        <f t="shared" si="69"/>
        <v>91951335.367619857</v>
      </c>
      <c r="M71" s="673"/>
      <c r="N71" s="770"/>
      <c r="O71" s="673"/>
      <c r="P71" s="673"/>
      <c r="Q71" s="673"/>
      <c r="R71" s="673"/>
      <c r="S71" s="673"/>
      <c r="T71" s="673"/>
      <c r="U71" s="673"/>
      <c r="V71" s="673"/>
      <c r="W71" s="673"/>
      <c r="X71" s="673"/>
    </row>
    <row r="72" spans="1:24">
      <c r="A72" s="751" t="s">
        <v>1611</v>
      </c>
      <c r="B72" s="725"/>
      <c r="C72" s="706">
        <f>SUM(C71,C64)</f>
        <v>22664076</v>
      </c>
      <c r="D72" s="706">
        <f>SUM(D71,D64)</f>
        <v>28655372</v>
      </c>
      <c r="E72" s="706">
        <f t="shared" ref="E72:J72" si="70">SUM(E71,E64)</f>
        <v>29740000</v>
      </c>
      <c r="F72" s="706">
        <f t="shared" si="70"/>
        <v>34309000</v>
      </c>
      <c r="G72" s="706">
        <f t="shared" si="70"/>
        <v>52148000</v>
      </c>
      <c r="H72" s="706">
        <f t="shared" si="70"/>
        <v>62131000</v>
      </c>
      <c r="I72" s="724">
        <f t="shared" si="70"/>
        <v>82338000</v>
      </c>
      <c r="J72" s="724">
        <f t="shared" si="70"/>
        <v>97693167.190538362</v>
      </c>
      <c r="K72" s="724">
        <f t="shared" ref="K72:L72" si="71">SUM(K71,K64)</f>
        <v>114705360.52649187</v>
      </c>
      <c r="L72" s="724">
        <f t="shared" si="71"/>
        <v>134368321.97627658</v>
      </c>
      <c r="M72" s="673"/>
      <c r="N72" s="770"/>
      <c r="O72" s="673"/>
      <c r="P72" s="673"/>
      <c r="Q72" s="673"/>
      <c r="R72" s="673"/>
      <c r="S72" s="673"/>
      <c r="T72" s="673"/>
      <c r="U72" s="673"/>
      <c r="V72" s="673"/>
      <c r="W72" s="673"/>
      <c r="X72" s="673"/>
    </row>
    <row r="73" spans="1:24">
      <c r="A73" s="728" t="s">
        <v>1581</v>
      </c>
      <c r="B73" s="729"/>
      <c r="C73" s="774">
        <f t="shared" ref="C73:K73" si="72">ROUND(C72-C55,1)</f>
        <v>0</v>
      </c>
      <c r="D73" s="774">
        <f t="shared" si="72"/>
        <v>0</v>
      </c>
      <c r="E73" s="774">
        <f t="shared" si="72"/>
        <v>0</v>
      </c>
      <c r="F73" s="774">
        <f>ROUND(F72-F55,1)</f>
        <v>0</v>
      </c>
      <c r="G73" s="774">
        <f t="shared" si="72"/>
        <v>0</v>
      </c>
      <c r="H73" s="726">
        <f>ROUND(H72-H55,1)</f>
        <v>0</v>
      </c>
      <c r="I73" s="750">
        <f t="shared" si="72"/>
        <v>0</v>
      </c>
      <c r="J73" s="750">
        <f>ROUND(J72-J55,1)</f>
        <v>1143737.3999999999</v>
      </c>
      <c r="K73" s="750">
        <f t="shared" si="72"/>
        <v>1143737.3999999999</v>
      </c>
      <c r="L73" s="750">
        <f>ROUND(L72-L55,1)</f>
        <v>1143737.3999999999</v>
      </c>
      <c r="M73" s="673"/>
      <c r="N73" s="673"/>
      <c r="O73" s="673"/>
      <c r="P73" s="673"/>
      <c r="Q73" s="673"/>
      <c r="R73" s="673"/>
      <c r="S73" s="673"/>
      <c r="T73" s="673"/>
      <c r="U73" s="673"/>
      <c r="V73" s="673"/>
      <c r="W73" s="673"/>
      <c r="X73" s="673"/>
    </row>
    <row r="74" spans="1:24">
      <c r="A74" s="698" t="s">
        <v>1612</v>
      </c>
      <c r="B74" s="699"/>
      <c r="C74" s="700"/>
      <c r="D74" s="700"/>
      <c r="E74" s="700"/>
      <c r="F74" s="700"/>
      <c r="G74" s="700"/>
      <c r="H74" s="755"/>
      <c r="I74" s="705"/>
      <c r="J74" s="705"/>
      <c r="K74" s="705"/>
      <c r="L74" s="705"/>
      <c r="M74" s="691"/>
      <c r="N74" s="694" t="s">
        <v>1613</v>
      </c>
      <c r="O74" s="691"/>
      <c r="P74" s="691"/>
      <c r="Q74" s="691"/>
      <c r="R74" s="691"/>
      <c r="S74" s="691"/>
      <c r="T74" s="691"/>
      <c r="U74" s="691"/>
      <c r="V74" s="691"/>
      <c r="W74" s="691"/>
      <c r="X74" s="681"/>
    </row>
    <row r="75" spans="1:24">
      <c r="A75" s="693" t="s">
        <v>543</v>
      </c>
      <c r="B75" s="695"/>
      <c r="C75" s="710">
        <f t="shared" ref="C75:L75" si="73">C39-C37</f>
        <v>-773046</v>
      </c>
      <c r="D75" s="710">
        <f t="shared" si="73"/>
        <v>-2240578</v>
      </c>
      <c r="E75" s="710">
        <f t="shared" si="73"/>
        <v>-1062582</v>
      </c>
      <c r="F75" s="710">
        <f t="shared" si="73"/>
        <v>-775000</v>
      </c>
      <c r="G75" s="710">
        <f t="shared" si="73"/>
        <v>862000</v>
      </c>
      <c r="H75" s="710">
        <f t="shared" si="73"/>
        <v>5643706</v>
      </c>
      <c r="I75" s="710">
        <f t="shared" si="73"/>
        <v>12637540.553054743</v>
      </c>
      <c r="J75" s="1311">
        <f t="shared" si="73"/>
        <v>9894195.6749410052</v>
      </c>
      <c r="K75" s="710">
        <f t="shared" si="73"/>
        <v>13178619.176351506</v>
      </c>
      <c r="L75" s="710">
        <f t="shared" si="73"/>
        <v>17526771.627438463</v>
      </c>
      <c r="M75" s="673"/>
      <c r="N75" s="770"/>
      <c r="O75" s="673"/>
      <c r="P75" s="673"/>
      <c r="Q75" s="673"/>
      <c r="R75" s="673"/>
      <c r="S75" s="673"/>
      <c r="T75" s="673"/>
      <c r="U75" s="673"/>
      <c r="V75" s="673"/>
      <c r="W75" s="673"/>
      <c r="X75" s="673"/>
    </row>
    <row r="76" spans="1:24">
      <c r="A76" s="775" t="s">
        <v>770</v>
      </c>
      <c r="B76" s="776"/>
      <c r="C76" s="710">
        <f>'Fin Sta as rep'!C117</f>
        <v>947099</v>
      </c>
      <c r="D76" s="710">
        <f>'Fin Sta as rep'!D117</f>
        <v>1636003</v>
      </c>
      <c r="E76" s="710">
        <f>'Fin Sta as rep'!E117</f>
        <v>1901050</v>
      </c>
      <c r="F76" s="710">
        <f>'Fin Sta as rep'!F117</f>
        <v>2154000</v>
      </c>
      <c r="G76" s="710">
        <f>'Fin Sta as rep'!G117</f>
        <v>2322000</v>
      </c>
      <c r="H76" s="710">
        <f>'Fin Sta as rep'!I117</f>
        <v>2911000</v>
      </c>
      <c r="I76" s="710">
        <f>'Fin Sta as rep'!J117</f>
        <v>3747000</v>
      </c>
      <c r="J76" s="1304">
        <f>J7*T76</f>
        <v>4303416.571139493</v>
      </c>
      <c r="K76" s="759">
        <f>K7*U76</f>
        <v>4755969.9115029695</v>
      </c>
      <c r="L76" s="759">
        <f>L7*V76</f>
        <v>5009885.7587643107</v>
      </c>
      <c r="M76" s="673"/>
      <c r="N76" s="760" t="s">
        <v>1615</v>
      </c>
      <c r="O76" s="777">
        <f>E79/E7</f>
        <v>9.597871467978826E-2</v>
      </c>
      <c r="P76" s="777">
        <f>F79/F7</f>
        <v>9.5288469362844824E-2</v>
      </c>
      <c r="Q76" s="777">
        <f>G79/G7</f>
        <v>7.9337899543378998E-2</v>
      </c>
      <c r="R76" s="777">
        <f>H79/H7</f>
        <v>5.4084684985972541E-2</v>
      </c>
      <c r="S76" s="777">
        <f>I79/I7</f>
        <v>4.5996906533107444E-2</v>
      </c>
      <c r="T76" s="715">
        <f>S76*0.95</f>
        <v>4.3697061206452073E-2</v>
      </c>
      <c r="U76" s="715">
        <f>T76*0.95</f>
        <v>4.1512208146129465E-2</v>
      </c>
      <c r="V76" s="715">
        <f>U76*0.95</f>
        <v>3.9436597738822993E-2</v>
      </c>
      <c r="W76" s="673"/>
      <c r="X76" s="673" t="s">
        <v>1815</v>
      </c>
    </row>
    <row r="77" spans="1:24">
      <c r="A77" s="708" t="s">
        <v>951</v>
      </c>
      <c r="B77" s="709"/>
      <c r="C77" s="730">
        <v>0</v>
      </c>
      <c r="D77" s="730"/>
      <c r="E77" s="730"/>
      <c r="F77" s="730"/>
      <c r="G77" s="730"/>
      <c r="H77" s="732">
        <f>R77</f>
        <v>0</v>
      </c>
      <c r="I77" s="733">
        <f t="shared" ref="I77:J77" si="74">S77</f>
        <v>0</v>
      </c>
      <c r="J77" s="1306">
        <f t="shared" si="74"/>
        <v>0</v>
      </c>
      <c r="K77" s="733">
        <f t="shared" ref="K77" si="75">U77</f>
        <v>0</v>
      </c>
      <c r="L77" s="733">
        <f t="shared" ref="L77" si="76">V77</f>
        <v>0</v>
      </c>
      <c r="M77" s="673"/>
      <c r="N77" s="673" t="s">
        <v>951</v>
      </c>
      <c r="O77" s="673"/>
      <c r="P77" s="673"/>
      <c r="Q77" s="673"/>
      <c r="R77" s="718">
        <v>0</v>
      </c>
      <c r="S77" s="718">
        <v>0</v>
      </c>
      <c r="T77" s="718">
        <v>0</v>
      </c>
      <c r="U77" s="718">
        <v>0</v>
      </c>
      <c r="V77" s="718">
        <v>0</v>
      </c>
      <c r="W77" s="673"/>
      <c r="X77" s="673"/>
    </row>
    <row r="78" spans="1:24">
      <c r="A78" s="708" t="s">
        <v>771</v>
      </c>
      <c r="B78" s="709"/>
      <c r="C78" s="710">
        <f>'Fin Sta as rep'!C118</f>
        <v>94690</v>
      </c>
      <c r="D78" s="710">
        <f>'Fin Sta as rep'!D118</f>
        <v>91037</v>
      </c>
      <c r="E78" s="710">
        <f>'Fin Sta as rep'!E118</f>
        <v>158730</v>
      </c>
      <c r="F78" s="710">
        <f>'Fin Sta as rep'!F118</f>
        <v>188000</v>
      </c>
      <c r="G78" s="710">
        <f>'Fin Sta as rep'!G118</f>
        <v>180000</v>
      </c>
      <c r="H78" s="710">
        <f>'Fin Sta as rep'!I118</f>
        <v>0</v>
      </c>
      <c r="I78" s="710">
        <f>'Fin Sta as rep'!J118</f>
        <v>0</v>
      </c>
      <c r="J78" s="733">
        <f>T78*J7</f>
        <v>0</v>
      </c>
      <c r="K78" s="733">
        <f>U78*K7</f>
        <v>0</v>
      </c>
      <c r="L78" s="733">
        <f>V78*L7</f>
        <v>0</v>
      </c>
      <c r="M78" s="673"/>
      <c r="N78" s="673" t="s">
        <v>1683</v>
      </c>
      <c r="O78" s="673"/>
      <c r="P78" s="673"/>
      <c r="Q78" s="673"/>
      <c r="R78" s="715">
        <v>0</v>
      </c>
      <c r="S78" s="715">
        <v>0</v>
      </c>
      <c r="T78" s="715">
        <v>0</v>
      </c>
      <c r="U78" s="715">
        <v>0</v>
      </c>
      <c r="V78" s="715">
        <v>0</v>
      </c>
      <c r="W78" s="673"/>
      <c r="X78" s="673"/>
    </row>
    <row r="79" spans="1:24">
      <c r="A79" s="748" t="s">
        <v>1139</v>
      </c>
      <c r="B79" s="727"/>
      <c r="C79" s="750">
        <f>SUM(C76:C78)</f>
        <v>1041789</v>
      </c>
      <c r="D79" s="750">
        <f>SUM(D76:D78)</f>
        <v>1727040</v>
      </c>
      <c r="E79" s="750">
        <f t="shared" ref="E79:G79" si="77">SUM(E76:E78)</f>
        <v>2059780</v>
      </c>
      <c r="F79" s="750">
        <f t="shared" si="77"/>
        <v>2342000</v>
      </c>
      <c r="G79" s="750">
        <f t="shared" si="77"/>
        <v>2502000</v>
      </c>
      <c r="H79" s="726">
        <f>SUM(H76:H78)</f>
        <v>2911000</v>
      </c>
      <c r="I79" s="750">
        <f>SUM(I76:I78)</f>
        <v>3747000</v>
      </c>
      <c r="J79" s="750">
        <f>SUM(J76:J78)</f>
        <v>4303416.571139493</v>
      </c>
      <c r="K79" s="750">
        <f>SUM(K76:K78)</f>
        <v>4755969.9115029695</v>
      </c>
      <c r="L79" s="750">
        <f t="shared" ref="L79" si="78">SUM(L76:L78)</f>
        <v>5009885.7587643107</v>
      </c>
      <c r="M79" s="673"/>
      <c r="N79" s="770"/>
      <c r="O79" s="673"/>
      <c r="P79" s="673"/>
      <c r="Q79" s="673"/>
      <c r="R79" s="673"/>
      <c r="S79" s="673"/>
      <c r="T79" s="673"/>
      <c r="U79" s="673"/>
      <c r="V79" s="673"/>
      <c r="W79" s="673"/>
      <c r="X79" s="673"/>
    </row>
    <row r="80" spans="1:24">
      <c r="A80" s="693" t="s">
        <v>788</v>
      </c>
      <c r="B80" s="695"/>
      <c r="C80" s="710">
        <f>'Fin Sta as rep'!C133</f>
        <v>-216565</v>
      </c>
      <c r="D80" s="710">
        <f>'Fin Sta as rep'!D133</f>
        <v>-24635</v>
      </c>
      <c r="E80" s="710">
        <f>'Fin Sta as rep'!E133</f>
        <v>-496732</v>
      </c>
      <c r="F80" s="710">
        <f>'Fin Sta as rep'!F133</f>
        <v>-367000</v>
      </c>
      <c r="G80" s="710">
        <f>'Fin Sta as rep'!G133</f>
        <v>-652000</v>
      </c>
      <c r="H80" s="710">
        <f>'Fin Sta as rep'!I133</f>
        <v>-130000</v>
      </c>
      <c r="I80" s="710">
        <f>'Fin Sta as rep'!J133</f>
        <v>-1124000</v>
      </c>
      <c r="J80" s="1306">
        <f t="shared" ref="J80:L81" si="79">-(J43-I43)</f>
        <v>-616801.90973937977</v>
      </c>
      <c r="K80" s="733">
        <f>-(K43-J43)</f>
        <v>-582884.5522669428</v>
      </c>
      <c r="L80" s="733">
        <f t="shared" si="79"/>
        <v>-451829.64354383061</v>
      </c>
      <c r="M80" s="673"/>
      <c r="N80" s="758" t="s">
        <v>1617</v>
      </c>
      <c r="O80" s="673"/>
      <c r="P80" s="673"/>
      <c r="Q80" s="673"/>
      <c r="R80" s="673"/>
      <c r="S80" s="673"/>
      <c r="T80" s="673"/>
      <c r="U80" s="673"/>
      <c r="V80" s="673"/>
      <c r="W80" s="673"/>
      <c r="X80" s="673"/>
    </row>
    <row r="81" spans="1:24">
      <c r="A81" s="693" t="s">
        <v>696</v>
      </c>
      <c r="B81" s="695"/>
      <c r="C81" s="710">
        <f>'Fin Sta as rep'!C135</f>
        <v>-632867</v>
      </c>
      <c r="D81" s="710">
        <f>'Fin Sta as rep'!D135</f>
        <v>-178850</v>
      </c>
      <c r="E81" s="710">
        <f>'Fin Sta as rep'!E135</f>
        <v>-1023264</v>
      </c>
      <c r="F81" s="710">
        <f>'Fin Sta as rep'!F135</f>
        <v>-429000</v>
      </c>
      <c r="G81" s="710">
        <f>'Fin Sta as rep'!G135</f>
        <v>-422000</v>
      </c>
      <c r="H81" s="710">
        <f>'Fin Sta as rep'!I135</f>
        <v>-1709000</v>
      </c>
      <c r="I81" s="710">
        <f>'Fin Sta as rep'!J135</f>
        <v>-6465000</v>
      </c>
      <c r="J81" s="1306">
        <f t="shared" si="79"/>
        <v>-4106132.582991451</v>
      </c>
      <c r="K81" s="733">
        <f t="shared" si="79"/>
        <v>-2572558.5141015314</v>
      </c>
      <c r="L81" s="733">
        <f t="shared" si="79"/>
        <v>-1637205.665136721</v>
      </c>
      <c r="M81" s="673"/>
      <c r="N81" s="758" t="s">
        <v>1617</v>
      </c>
      <c r="O81" s="673"/>
      <c r="P81" s="673"/>
      <c r="Q81" s="673"/>
      <c r="R81" s="673"/>
      <c r="S81" s="673"/>
      <c r="T81" s="673"/>
      <c r="U81" s="673"/>
      <c r="V81" s="673"/>
      <c r="W81" s="673"/>
      <c r="X81" s="673"/>
    </row>
    <row r="82" spans="1:24">
      <c r="A82" s="693" t="s">
        <v>1069</v>
      </c>
      <c r="B82" s="766"/>
      <c r="C82" s="710">
        <f t="shared" ref="C82:I82" si="80">C45</f>
        <v>299984</v>
      </c>
      <c r="D82" s="710">
        <f t="shared" si="80"/>
        <v>423688</v>
      </c>
      <c r="E82" s="710">
        <f t="shared" si="80"/>
        <v>559000</v>
      </c>
      <c r="F82" s="710">
        <f t="shared" si="80"/>
        <v>959000</v>
      </c>
      <c r="G82" s="710">
        <f t="shared" si="80"/>
        <v>1346000</v>
      </c>
      <c r="H82" s="710">
        <f t="shared" si="80"/>
        <v>1723000</v>
      </c>
      <c r="I82" s="710">
        <f t="shared" si="80"/>
        <v>2941000</v>
      </c>
      <c r="J82" s="1306">
        <f t="shared" ref="J82" si="81">-(J45-I45)</f>
        <v>-258953.17577546276</v>
      </c>
      <c r="K82" s="733">
        <f t="shared" ref="K82" si="82">-(K45-J45)</f>
        <v>-150382.27246577712</v>
      </c>
      <c r="L82" s="733">
        <f t="shared" ref="L82" si="83">-(L45-K45)</f>
        <v>6876.6526021873578</v>
      </c>
      <c r="M82" s="673"/>
      <c r="N82" s="758" t="s">
        <v>1617</v>
      </c>
      <c r="O82" s="673"/>
      <c r="P82" s="673"/>
      <c r="Q82" s="673"/>
      <c r="R82" s="673"/>
      <c r="S82" s="673"/>
      <c r="T82" s="673"/>
      <c r="U82" s="673"/>
      <c r="V82" s="673"/>
      <c r="W82" s="673"/>
      <c r="X82" s="673"/>
    </row>
    <row r="83" spans="1:24">
      <c r="A83" s="693" t="s">
        <v>791</v>
      </c>
      <c r="B83" s="695"/>
      <c r="C83" s="710">
        <f>'Fin Sta as rep'!C136</f>
        <v>750640</v>
      </c>
      <c r="D83" s="710">
        <f>'Fin Sta as rep'!D136</f>
        <v>388206</v>
      </c>
      <c r="E83" s="710">
        <f>'Fin Sta as rep'!E136</f>
        <v>1722850</v>
      </c>
      <c r="F83" s="710">
        <f>'Fin Sta as rep'!F136</f>
        <v>646000</v>
      </c>
      <c r="G83" s="710">
        <f>'Fin Sta as rep'!G136</f>
        <v>2102000</v>
      </c>
      <c r="H83" s="710">
        <f>'Fin Sta as rep'!I136</f>
        <v>4578000</v>
      </c>
      <c r="I83" s="710">
        <f>'Fin Sta as rep'!J136</f>
        <v>6029000</v>
      </c>
      <c r="J83" s="1306">
        <f>J57-I57</f>
        <v>1343193.0283762943</v>
      </c>
      <c r="K83" s="733">
        <f>K57-J57</f>
        <v>780034.534670325</v>
      </c>
      <c r="L83" s="733">
        <f t="shared" ref="L83" si="84">L57-K57</f>
        <v>-35669.274208217859</v>
      </c>
      <c r="M83" s="673"/>
      <c r="N83" s="758" t="s">
        <v>1617</v>
      </c>
      <c r="O83" s="673"/>
      <c r="P83" s="673"/>
      <c r="Q83" s="673"/>
      <c r="R83" s="673"/>
      <c r="S83" s="673"/>
      <c r="T83" s="673"/>
      <c r="U83" s="673"/>
      <c r="V83" s="673"/>
      <c r="W83" s="673"/>
      <c r="X83" s="673"/>
    </row>
    <row r="84" spans="1:24">
      <c r="A84" s="693" t="s">
        <v>775</v>
      </c>
      <c r="B84" s="695"/>
      <c r="C84" s="710">
        <f>SUM('Fin Sta as rep'!C120)</f>
        <v>-88727</v>
      </c>
      <c r="D84" s="710">
        <f>SUM('Fin Sta as rep'!D120)</f>
        <v>57746</v>
      </c>
      <c r="E84" s="716">
        <f>SUM('Fin Sta as rep'!E120)</f>
        <v>0</v>
      </c>
      <c r="F84" s="716">
        <f>SUM('Fin Sta as rep'!F120)</f>
        <v>0</v>
      </c>
      <c r="G84" s="716">
        <f>SUM('Fin Sta as rep'!G120)</f>
        <v>0</v>
      </c>
      <c r="H84" s="716">
        <f>SUM('Fin Sta as rep'!I120)</f>
        <v>0</v>
      </c>
      <c r="I84" s="716">
        <f>SUM('Fin Sta as rep'!J120)</f>
        <v>0</v>
      </c>
      <c r="J84" s="1310">
        <f t="shared" ref="J84" si="85">J59-I59</f>
        <v>876267.25784338824</v>
      </c>
      <c r="K84" s="733">
        <f t="shared" ref="K84" si="86">K59-J59</f>
        <v>508876.02025821619</v>
      </c>
      <c r="L84" s="733">
        <f t="shared" ref="L84" si="87">L59-K59</f>
        <v>-23269.788064252585</v>
      </c>
      <c r="M84" s="673"/>
      <c r="N84" s="758" t="s">
        <v>1617</v>
      </c>
      <c r="O84" s="673"/>
      <c r="P84" s="673"/>
      <c r="Q84" s="673"/>
      <c r="R84" s="673"/>
      <c r="S84" s="673"/>
      <c r="T84" s="673"/>
      <c r="U84" s="673"/>
      <c r="V84" s="673"/>
      <c r="W84" s="673"/>
      <c r="X84" s="673"/>
    </row>
    <row r="85" spans="1:24">
      <c r="A85" s="778" t="s">
        <v>707</v>
      </c>
      <c r="B85" s="695"/>
      <c r="C85" s="710">
        <f>'Fin Sta as rep'!C128</f>
        <v>-1832836</v>
      </c>
      <c r="D85" s="710">
        <f>'Fin Sta as rep'!D128</f>
        <v>-1522573</v>
      </c>
      <c r="E85" s="710">
        <f>'Fin Sta as rep'!E128</f>
        <v>-214747</v>
      </c>
      <c r="F85" s="710">
        <f>'Fin Sta as rep'!F128</f>
        <v>-764000</v>
      </c>
      <c r="G85" s="710">
        <f>'Fin Sta as rep'!G128</f>
        <v>-1072000</v>
      </c>
      <c r="H85" s="710">
        <f>'Fin Sta as rep'!I128</f>
        <v>-2114000</v>
      </c>
      <c r="I85" s="710">
        <f>'Fin Sta as rep'!J128</f>
        <v>-1570000</v>
      </c>
      <c r="J85" s="1304">
        <f t="shared" ref="J85" si="88">T85</f>
        <v>-1585333.3333333333</v>
      </c>
      <c r="K85" s="1309">
        <f t="shared" ref="K85" si="89">U85</f>
        <v>-1756444.4444444443</v>
      </c>
      <c r="L85" s="1309">
        <f t="shared" ref="L85" si="90">V85</f>
        <v>-1637259.2592592591</v>
      </c>
      <c r="M85" s="673"/>
      <c r="N85" s="758"/>
      <c r="O85" s="673"/>
      <c r="P85" s="673"/>
      <c r="Q85" s="779">
        <f t="shared" ref="Q85:S86" si="91">G85</f>
        <v>-1072000</v>
      </c>
      <c r="R85" s="779">
        <f t="shared" si="91"/>
        <v>-2114000</v>
      </c>
      <c r="S85" s="779">
        <f t="shared" si="91"/>
        <v>-1570000</v>
      </c>
      <c r="T85" s="718">
        <f t="shared" ref="T85:V86" si="92">AVERAGE(Q85:S85)</f>
        <v>-1585333.3333333333</v>
      </c>
      <c r="U85" s="718">
        <f t="shared" si="92"/>
        <v>-1756444.4444444443</v>
      </c>
      <c r="V85" s="718">
        <f t="shared" si="92"/>
        <v>-1637259.2592592591</v>
      </c>
      <c r="W85" s="673"/>
      <c r="X85" s="673" t="s">
        <v>229</v>
      </c>
    </row>
    <row r="86" spans="1:24">
      <c r="A86" s="672" t="s">
        <v>778</v>
      </c>
      <c r="B86" s="673"/>
      <c r="C86" s="710">
        <f>'Fin Sta as rep'!C122</f>
        <v>334225</v>
      </c>
      <c r="D86" s="710">
        <f>'Fin Sta as rep'!D122</f>
        <v>466760</v>
      </c>
      <c r="E86" s="710">
        <f>'Fin Sta as rep'!E122</f>
        <v>749024</v>
      </c>
      <c r="F86" s="710">
        <f>'Fin Sta as rep'!F122</f>
        <v>898000</v>
      </c>
      <c r="G86" s="710">
        <f>'Fin Sta as rep'!G122</f>
        <v>1734000</v>
      </c>
      <c r="H86" s="710">
        <f>'Fin Sta as rep'!I122</f>
        <v>2121000</v>
      </c>
      <c r="I86" s="710">
        <f>'Fin Sta as rep'!J122</f>
        <v>1560000</v>
      </c>
      <c r="J86" s="1304">
        <f t="shared" ref="J86" si="93">T86</f>
        <v>1805000</v>
      </c>
      <c r="K86" s="759">
        <f t="shared" ref="K86" si="94">U86</f>
        <v>1828666.6666666667</v>
      </c>
      <c r="L86" s="759">
        <f t="shared" ref="L86" si="95">V86</f>
        <v>1731222.2222222222</v>
      </c>
      <c r="M86" s="673"/>
      <c r="N86" s="695" t="s">
        <v>1619</v>
      </c>
      <c r="O86" s="673"/>
      <c r="P86" s="673"/>
      <c r="Q86" s="779">
        <f t="shared" si="91"/>
        <v>1734000</v>
      </c>
      <c r="R86" s="779">
        <f t="shared" si="91"/>
        <v>2121000</v>
      </c>
      <c r="S86" s="779">
        <f t="shared" si="91"/>
        <v>1560000</v>
      </c>
      <c r="T86" s="718">
        <f t="shared" si="92"/>
        <v>1805000</v>
      </c>
      <c r="U86" s="718">
        <f t="shared" si="92"/>
        <v>1828666.6666666667</v>
      </c>
      <c r="V86" s="718">
        <f t="shared" si="92"/>
        <v>1731222.2222222222</v>
      </c>
      <c r="W86" s="673"/>
      <c r="X86" s="673" t="s">
        <v>229</v>
      </c>
    </row>
    <row r="87" spans="1:24">
      <c r="A87" s="693" t="s">
        <v>773</v>
      </c>
      <c r="B87" s="695"/>
      <c r="C87" s="710">
        <f>'Fin Sta as rep'!C119</f>
        <v>34633</v>
      </c>
      <c r="D87" s="710">
        <f>'Fin Sta as rep'!D119</f>
        <v>105770</v>
      </c>
      <c r="E87" s="710">
        <f>'Fin Sta as rep'!E119</f>
        <v>161361</v>
      </c>
      <c r="F87" s="710">
        <f>'Fin Sta as rep'!F119</f>
        <v>146000</v>
      </c>
      <c r="G87" s="710">
        <f>'Fin Sta as rep'!G119</f>
        <v>117000</v>
      </c>
      <c r="H87" s="710">
        <f>'Fin Sta as rep'!I119</f>
        <v>0</v>
      </c>
      <c r="I87" s="710">
        <f>'Fin Sta as rep'!J119</f>
        <v>0</v>
      </c>
      <c r="J87" s="1306">
        <f>I87</f>
        <v>0</v>
      </c>
      <c r="K87" s="733">
        <f t="shared" ref="K87" si="96">J87</f>
        <v>0</v>
      </c>
      <c r="L87" s="733">
        <f t="shared" ref="L87" si="97">K87</f>
        <v>0</v>
      </c>
      <c r="M87" s="673"/>
      <c r="N87" s="758" t="s">
        <v>1600</v>
      </c>
      <c r="O87" s="673"/>
      <c r="P87" s="673"/>
      <c r="Q87" s="673"/>
      <c r="R87" s="673"/>
      <c r="S87" s="673"/>
      <c r="T87" s="673"/>
      <c r="U87" s="673"/>
      <c r="V87" s="673"/>
      <c r="W87" s="673"/>
      <c r="X87" s="673"/>
    </row>
    <row r="88" spans="1:24">
      <c r="A88" s="693" t="s">
        <v>780</v>
      </c>
      <c r="B88" s="695"/>
      <c r="C88" s="780">
        <f>SUM('Fin Sta as rep'!C123:C132,'Fin Sta as rep'!C137:C140)-'Fin Sta as rep'!C128</f>
        <v>1258925</v>
      </c>
      <c r="D88" s="780">
        <f>SUM('Fin Sta as rep'!D123:D132,'Fin Sta as rep'!D137:D140)-'Fin Sta as rep'!D128</f>
        <v>1160460</v>
      </c>
      <c r="E88" s="780">
        <f>SUM('Fin Sta as rep'!E123:E132,'Fin Sta as rep'!E137:E140)-'Fin Sta as rep'!E128</f>
        <v>202112</v>
      </c>
      <c r="F88" s="780">
        <f>SUM('Fin Sta as rep'!F123:F132,'Fin Sta as rep'!F137:F140)-'Fin Sta as rep'!F128</f>
        <v>708000</v>
      </c>
      <c r="G88" s="780">
        <f>SUM('Fin Sta as rep'!G123:G132,'Fin Sta as rep'!G137:G140)-'Fin Sta as rep'!G128</f>
        <v>772000</v>
      </c>
      <c r="H88" s="780">
        <f>SUM('Fin Sta as rep'!I123:I132,'Fin Sta as rep'!I137:I140)-'Fin Sta as rep'!I128</f>
        <v>196000</v>
      </c>
      <c r="I88" s="780">
        <f>SUM('Fin Sta as rep'!J123:J132,'Fin Sta as rep'!J137:J140)-'Fin Sta as rep'!J128</f>
        <v>-40000</v>
      </c>
      <c r="J88" s="1304">
        <f>T88</f>
        <v>632860</v>
      </c>
      <c r="K88" s="1309">
        <f t="shared" ref="K88" si="98">U88</f>
        <v>0</v>
      </c>
      <c r="L88" s="1309">
        <f t="shared" ref="L88" si="99">V88</f>
        <v>0</v>
      </c>
      <c r="M88" s="673"/>
      <c r="N88" s="695" t="s">
        <v>807</v>
      </c>
      <c r="O88" s="673"/>
      <c r="P88" s="673"/>
      <c r="Q88" s="779">
        <f>G88</f>
        <v>772000</v>
      </c>
      <c r="R88" s="779">
        <f>H88</f>
        <v>196000</v>
      </c>
      <c r="S88" s="779">
        <f>I88</f>
        <v>-40000</v>
      </c>
      <c r="T88" s="718">
        <v>632860</v>
      </c>
      <c r="U88" s="718"/>
      <c r="V88" s="718"/>
      <c r="W88" s="673"/>
      <c r="X88" s="673"/>
    </row>
    <row r="89" spans="1:24">
      <c r="A89" s="751" t="s">
        <v>1620</v>
      </c>
      <c r="B89" s="725"/>
      <c r="C89" s="706">
        <f>SUM(C79:C81,C83:C88,C75)</f>
        <v>-123829</v>
      </c>
      <c r="D89" s="706">
        <f>SUM(D79:D81,D83:D88,D75)</f>
        <v>-60654</v>
      </c>
      <c r="E89" s="706">
        <f t="shared" ref="E89:G89" si="100">SUM(E79:E81,E83:E88,E75)</f>
        <v>2097802</v>
      </c>
      <c r="F89" s="706">
        <f t="shared" si="100"/>
        <v>2405000</v>
      </c>
      <c r="G89" s="706">
        <f t="shared" si="100"/>
        <v>5943000</v>
      </c>
      <c r="H89" s="1308">
        <f>SUM(H79:H88,H75)</f>
        <v>13219706</v>
      </c>
      <c r="I89" s="1308">
        <f>SUM(I79:I88,I75)</f>
        <v>17715540.553054743</v>
      </c>
      <c r="J89" s="763">
        <f>SUM(J79:J88,J75)</f>
        <v>12287711.530460555</v>
      </c>
      <c r="K89" s="763">
        <f>SUM(K79:K88,K75)</f>
        <v>15989896.526170988</v>
      </c>
      <c r="L89" s="763">
        <f t="shared" ref="L89" si="101">SUM(L79:L88,L75)</f>
        <v>20489522.630814902</v>
      </c>
      <c r="M89" s="673"/>
      <c r="N89" s="770"/>
      <c r="O89" s="673"/>
      <c r="P89" s="673"/>
      <c r="Q89" s="673"/>
      <c r="R89" s="673"/>
      <c r="S89" s="673"/>
      <c r="T89" s="1301"/>
      <c r="U89" s="673"/>
      <c r="V89" s="673"/>
      <c r="W89" s="673"/>
      <c r="X89" s="673"/>
    </row>
    <row r="90" spans="1:24">
      <c r="A90" s="728" t="s">
        <v>1581</v>
      </c>
      <c r="B90" s="729"/>
      <c r="C90" s="730"/>
      <c r="D90" s="730"/>
      <c r="E90" s="730"/>
      <c r="F90" s="730"/>
      <c r="G90" s="731"/>
      <c r="H90" s="732"/>
      <c r="I90" s="733"/>
      <c r="J90" s="733"/>
      <c r="K90" s="733"/>
      <c r="L90" s="733"/>
      <c r="M90" s="673"/>
      <c r="N90" s="673"/>
      <c r="O90" s="673"/>
      <c r="P90" s="673"/>
      <c r="Q90" s="673"/>
      <c r="R90" s="673"/>
      <c r="S90" s="673"/>
      <c r="T90" s="673"/>
      <c r="U90" s="673"/>
      <c r="V90" s="673"/>
      <c r="W90" s="673"/>
      <c r="X90" s="673"/>
    </row>
    <row r="91" spans="1:24">
      <c r="A91" s="693" t="s">
        <v>797</v>
      </c>
      <c r="B91" s="695"/>
      <c r="C91" s="781">
        <f>SUM('Fin Sta as rep'!C145)</f>
        <v>-1280802</v>
      </c>
      <c r="D91" s="781">
        <f>SUM('Fin Sta as rep'!D145)</f>
        <v>-3414814</v>
      </c>
      <c r="E91" s="781">
        <f>SUM('Fin Sta as rep'!E145)</f>
        <v>-2101000</v>
      </c>
      <c r="F91" s="781">
        <f>SUM('Fin Sta as rep'!F145)</f>
        <v>-1327000</v>
      </c>
      <c r="G91" s="781">
        <f>SUM('Fin Sta as rep'!G145)</f>
        <v>-3157000</v>
      </c>
      <c r="H91" s="781">
        <f>SUM('Fin Sta as rep'!I145)</f>
        <v>-6482000</v>
      </c>
      <c r="I91" s="781">
        <f>SUM('Fin Sta as rep'!J145)</f>
        <v>-7158000</v>
      </c>
      <c r="J91" s="1305">
        <f>-T91*J7</f>
        <v>-7788257.3383885613</v>
      </c>
      <c r="K91" s="761">
        <f>-U91*K7</f>
        <v>-8154266.6236393694</v>
      </c>
      <c r="L91" s="761">
        <f>-V91*L7</f>
        <v>-8137528.7529444145</v>
      </c>
      <c r="M91" s="673"/>
      <c r="N91" s="695" t="s">
        <v>1621</v>
      </c>
      <c r="O91" s="777">
        <f t="shared" ref="O91:S92" si="102">-E91/E7</f>
        <v>9.789942593006784E-2</v>
      </c>
      <c r="P91" s="777">
        <f t="shared" si="102"/>
        <v>5.3991374399869806E-2</v>
      </c>
      <c r="Q91" s="777">
        <f t="shared" si="102"/>
        <v>0.1001078132927448</v>
      </c>
      <c r="R91" s="777">
        <f t="shared" si="102"/>
        <v>0.12043178566783717</v>
      </c>
      <c r="S91" s="777">
        <f t="shared" si="102"/>
        <v>8.7869190542829753E-2</v>
      </c>
      <c r="T91" s="715">
        <f>S91*$W91</f>
        <v>7.9082271488546782E-2</v>
      </c>
      <c r="U91" s="715">
        <f t="shared" ref="U91:V91" si="103">T91*$W91</f>
        <v>7.11740443396921E-2</v>
      </c>
      <c r="V91" s="715">
        <f t="shared" si="103"/>
        <v>6.4056639905722898E-2</v>
      </c>
      <c r="W91" s="782">
        <v>0.9</v>
      </c>
      <c r="X91" s="673" t="s">
        <v>1816</v>
      </c>
    </row>
    <row r="92" spans="1:24">
      <c r="A92" s="783" t="s">
        <v>1169</v>
      </c>
      <c r="B92" s="766"/>
      <c r="C92" s="784">
        <f>SUM('Fin Sta as rep'!C147)</f>
        <v>-159669</v>
      </c>
      <c r="D92" s="784">
        <f>SUM('Fin Sta as rep'!D147)</f>
        <v>-666540</v>
      </c>
      <c r="E92" s="784">
        <f>SUM('Fin Sta as rep'!E147)</f>
        <v>-218000</v>
      </c>
      <c r="F92" s="784">
        <f>SUM('Fin Sta as rep'!F147)</f>
        <v>-105000</v>
      </c>
      <c r="G92" s="784">
        <f>SUM('Fin Sta as rep'!G147)</f>
        <v>-75000</v>
      </c>
      <c r="H92" s="784">
        <f>SUM('Fin Sta as rep'!I147)</f>
        <v>-32000</v>
      </c>
      <c r="I92" s="784">
        <f>SUM('Fin Sta as rep'!J147)</f>
        <v>-5000</v>
      </c>
      <c r="J92" s="785">
        <f>-T92*J7</f>
        <v>0</v>
      </c>
      <c r="K92" s="785">
        <f>-U92*K7</f>
        <v>0</v>
      </c>
      <c r="L92" s="785">
        <f>-V92*L7</f>
        <v>0</v>
      </c>
      <c r="M92" s="673"/>
      <c r="N92" s="695" t="s">
        <v>1642</v>
      </c>
      <c r="O92" s="777">
        <f t="shared" si="102"/>
        <v>1.1774542359186195E-2</v>
      </c>
      <c r="P92" s="777">
        <f t="shared" si="102"/>
        <v>5.0429854473848521E-3</v>
      </c>
      <c r="Q92" s="777">
        <f t="shared" si="102"/>
        <v>2.7537083272139813E-3</v>
      </c>
      <c r="R92" s="777">
        <f t="shared" si="102"/>
        <v>6.7750677506775068E-4</v>
      </c>
      <c r="S92" s="777">
        <f t="shared" si="102"/>
        <v>6.9967255324508107E-5</v>
      </c>
      <c r="T92" s="715">
        <v>0</v>
      </c>
      <c r="U92" s="715"/>
      <c r="V92" s="715"/>
      <c r="W92" s="673"/>
      <c r="X92" s="673"/>
    </row>
    <row r="93" spans="1:24">
      <c r="A93" s="693" t="s">
        <v>804</v>
      </c>
      <c r="B93" s="695"/>
      <c r="C93" s="781">
        <f>SUM('Fin Sta as rep'!C151)</f>
        <v>213523</v>
      </c>
      <c r="D93" s="781">
        <f>SUM('Fin Sta as rep'!D151)</f>
        <v>-114523</v>
      </c>
      <c r="E93" s="781">
        <f>SUM('Fin Sta as rep'!E151)</f>
        <v>-18000</v>
      </c>
      <c r="F93" s="781">
        <f>SUM('Fin Sta as rep'!F151)</f>
        <v>-45000</v>
      </c>
      <c r="G93" s="781">
        <f>SUM('Fin Sta as rep'!G151)</f>
        <v>-13000</v>
      </c>
      <c r="H93" s="781">
        <f>SUM('Fin Sta as rep'!I151)</f>
        <v>0</v>
      </c>
      <c r="I93" s="781">
        <f>SUM('Fin Sta as rep'!J151)</f>
        <v>0</v>
      </c>
      <c r="J93" s="1315">
        <f>-(J51-I51)</f>
        <v>0</v>
      </c>
      <c r="K93" s="1315">
        <f t="shared" ref="K93:L93" si="104">-(K51-J51)</f>
        <v>0</v>
      </c>
      <c r="L93" s="1315">
        <f t="shared" si="104"/>
        <v>0</v>
      </c>
      <c r="N93" s="896" t="s">
        <v>804</v>
      </c>
      <c r="O93" s="673"/>
      <c r="P93" s="673"/>
      <c r="Q93" s="673"/>
      <c r="R93" s="718">
        <v>-100000</v>
      </c>
      <c r="S93" s="718">
        <v>-100000</v>
      </c>
      <c r="T93" s="718">
        <v>0</v>
      </c>
      <c r="U93" s="718">
        <v>0</v>
      </c>
      <c r="V93" s="718">
        <v>0</v>
      </c>
      <c r="W93" s="673"/>
      <c r="X93" s="673"/>
    </row>
    <row r="94" spans="1:24">
      <c r="A94" s="693" t="s">
        <v>807</v>
      </c>
      <c r="B94" s="766"/>
      <c r="C94" s="785">
        <f>SUM('Fin Sta as rep'!C153:C158)+SUM('Fin Sta as rep'!C149:'Fin Sta as rep'!C150)</f>
        <v>-189482</v>
      </c>
      <c r="D94" s="785">
        <f>SUM('Fin Sta as rep'!D153:D158)+SUM('Fin Sta as rep'!D149:'Fin Sta as rep'!D150)</f>
        <v>-223090</v>
      </c>
      <c r="E94" s="785">
        <f>SUM('Fin Sta as rep'!E153:E158)+SUM('Fin Sta as rep'!E149:'Fin Sta as rep'!E150)</f>
        <v>0</v>
      </c>
      <c r="F94" s="785">
        <f>SUM('Fin Sta as rep'!F153:F158)+SUM('Fin Sta as rep'!F149:'Fin Sta as rep'!F150)</f>
        <v>41000</v>
      </c>
      <c r="G94" s="785">
        <f>SUM('Fin Sta as rep'!G153:G158)+SUM('Fin Sta as rep'!G149:'Fin Sta as rep'!G150)</f>
        <v>113000</v>
      </c>
      <c r="H94" s="785">
        <f>SUM('Fin Sta as rep'!I153:I158)+SUM('Fin Sta as rep'!I149:'Fin Sta as rep'!I150)</f>
        <v>-1354000</v>
      </c>
      <c r="I94" s="785">
        <f>SUM('Fin Sta as rep'!J153:J158)+SUM('Fin Sta as rep'!J149:'Fin Sta as rep'!J150)</f>
        <v>-4810000</v>
      </c>
      <c r="J94" s="733"/>
      <c r="K94" s="733"/>
      <c r="L94" s="733"/>
      <c r="M94" s="673"/>
      <c r="N94" s="758"/>
      <c r="O94" s="673"/>
      <c r="P94" s="673"/>
      <c r="Q94" s="673"/>
      <c r="R94" s="718">
        <v>0</v>
      </c>
      <c r="S94" s="718">
        <v>0</v>
      </c>
      <c r="T94" s="718">
        <v>0</v>
      </c>
      <c r="U94" s="718">
        <v>0</v>
      </c>
      <c r="V94" s="718">
        <v>0</v>
      </c>
      <c r="W94" s="673"/>
      <c r="X94" s="673"/>
    </row>
    <row r="95" spans="1:24">
      <c r="A95" s="751" t="s">
        <v>1684</v>
      </c>
      <c r="B95" s="725"/>
      <c r="C95" s="762">
        <f t="shared" ref="C95:J95" si="105">SUM(C91:C94)</f>
        <v>-1416430</v>
      </c>
      <c r="D95" s="762">
        <f>SUM(D91:D94)</f>
        <v>-4418967</v>
      </c>
      <c r="E95" s="762">
        <f t="shared" si="105"/>
        <v>-2337000</v>
      </c>
      <c r="F95" s="762">
        <f t="shared" si="105"/>
        <v>-1436000</v>
      </c>
      <c r="G95" s="762">
        <f t="shared" si="105"/>
        <v>-3132000</v>
      </c>
      <c r="H95" s="762">
        <f t="shared" si="105"/>
        <v>-7868000</v>
      </c>
      <c r="I95" s="763">
        <f t="shared" si="105"/>
        <v>-11973000</v>
      </c>
      <c r="J95" s="763">
        <f t="shared" si="105"/>
        <v>-7788257.3383885613</v>
      </c>
      <c r="K95" s="763">
        <f>SUM(K91:K94)</f>
        <v>-8154266.6236393694</v>
      </c>
      <c r="L95" s="763">
        <f t="shared" ref="L95" si="106">SUM(L91:L94)</f>
        <v>-8137528.7529444145</v>
      </c>
      <c r="M95" s="673"/>
      <c r="N95" s="770"/>
      <c r="O95" s="673"/>
      <c r="P95" s="673"/>
      <c r="Q95" s="673"/>
      <c r="R95" s="673"/>
      <c r="S95" s="673"/>
      <c r="T95" s="673"/>
      <c r="U95" s="673"/>
      <c r="V95" s="673"/>
      <c r="W95" s="673"/>
      <c r="X95" s="673"/>
    </row>
    <row r="96" spans="1:24">
      <c r="A96" s="728" t="s">
        <v>1581</v>
      </c>
      <c r="B96" s="729"/>
      <c r="C96" s="730"/>
      <c r="D96" s="730"/>
      <c r="E96" s="730"/>
      <c r="F96" s="731"/>
      <c r="G96" s="731"/>
      <c r="H96" s="732"/>
      <c r="I96" s="733"/>
      <c r="J96" s="733"/>
      <c r="K96" s="733"/>
      <c r="L96" s="733"/>
      <c r="M96" s="673"/>
      <c r="N96" s="673"/>
      <c r="O96" s="673"/>
      <c r="P96" s="673"/>
      <c r="Q96" s="673"/>
      <c r="R96" s="673"/>
      <c r="S96" s="673"/>
      <c r="T96" s="673"/>
      <c r="U96" s="673"/>
      <c r="V96" s="673"/>
      <c r="W96" s="673"/>
      <c r="X96" s="673"/>
    </row>
    <row r="97" spans="1:24">
      <c r="A97" s="693" t="s">
        <v>816</v>
      </c>
      <c r="B97" s="695"/>
      <c r="C97" s="785">
        <f>SUM('Fin Sta as rep'!C162:C169,'Fin Sta as rep'!C177)</f>
        <v>1718190</v>
      </c>
      <c r="D97" s="785">
        <f>SUM('Fin Sta as rep'!D162:D169,'Fin Sta as rep'!D177)</f>
        <v>3385588</v>
      </c>
      <c r="E97" s="785">
        <f>SUM('Fin Sta as rep'!E162:E169,'Fin Sta as rep'!E177)</f>
        <v>74000</v>
      </c>
      <c r="F97" s="785">
        <f>SUM('Fin Sta as rep'!F162:F169,'Fin Sta as rep'!F177)</f>
        <v>761000</v>
      </c>
      <c r="G97" s="785">
        <f>SUM('Fin Sta as rep'!G162:G169,'Fin Sta as rep'!G177)</f>
        <v>-2494000</v>
      </c>
      <c r="H97" s="785">
        <f>SUM('Fin Sta as rep'!I162:I169,'Fin Sta as rep'!I177)</f>
        <v>-5741000</v>
      </c>
      <c r="I97" s="785">
        <f>SUM('Fin Sta as rep'!J162:J169,'Fin Sta as rep'!J177)</f>
        <v>-3866000</v>
      </c>
      <c r="J97" s="1306">
        <f t="shared" ref="J97" si="107">J58-I58+J62-I62</f>
        <v>-27449.857186417794</v>
      </c>
      <c r="K97" s="733">
        <f t="shared" ref="K97" si="108">K58-J58+K62-J62</f>
        <v>-66928.172987556085</v>
      </c>
      <c r="L97" s="733">
        <f t="shared" ref="L97" si="109">L58-K58+L62-K62</f>
        <v>-132868.97966966522</v>
      </c>
      <c r="M97" s="673"/>
      <c r="N97" s="758" t="s">
        <v>1644</v>
      </c>
      <c r="O97" s="673"/>
      <c r="P97" s="673"/>
      <c r="Q97" s="673"/>
      <c r="R97" s="673"/>
      <c r="S97" s="673"/>
      <c r="T97" s="673"/>
      <c r="U97" s="673"/>
      <c r="V97" s="673"/>
      <c r="W97" s="673"/>
      <c r="X97" s="673"/>
    </row>
    <row r="98" spans="1:24">
      <c r="A98" s="786" t="s">
        <v>825</v>
      </c>
      <c r="B98" s="787"/>
      <c r="C98" s="785">
        <f>SUM('Fin Sta as rep'!C170:C176,'Fin Sta as rep'!C181)</f>
        <v>2025786</v>
      </c>
      <c r="D98" s="785">
        <f>SUM('Fin Sta as rep'!D170:D176,'Fin Sta as rep'!D181)</f>
        <v>1124040</v>
      </c>
      <c r="E98" s="785">
        <f>SUM('Fin Sta as rep'!E170:E176,'Fin Sta as rep'!E181)</f>
        <v>506000</v>
      </c>
      <c r="F98" s="785">
        <f>SUM('Fin Sta as rep'!F170:F176,'Fin Sta as rep'!F181)</f>
        <v>1079000</v>
      </c>
      <c r="G98" s="785">
        <f>SUM('Fin Sta as rep'!G170:G176,'Fin Sta as rep'!G181)</f>
        <v>12502000</v>
      </c>
      <c r="H98" s="785">
        <f>SUM('Fin Sta as rep'!I170:I176,'Fin Sta as rep'!I181)</f>
        <v>548000</v>
      </c>
      <c r="I98" s="785">
        <f>SUM('Fin Sta as rep'!J170:J176,'Fin Sta as rep'!J181)</f>
        <v>384000</v>
      </c>
      <c r="J98" s="1306">
        <f t="shared" ref="J98:J99" si="110">T98</f>
        <v>0</v>
      </c>
      <c r="K98" s="733">
        <f t="shared" ref="K98:K100" si="111">U98</f>
        <v>0</v>
      </c>
      <c r="L98" s="733">
        <f t="shared" ref="L98:L100" si="112">V98</f>
        <v>0</v>
      </c>
      <c r="M98" s="673"/>
      <c r="N98" s="787" t="s">
        <v>825</v>
      </c>
      <c r="O98" s="673"/>
      <c r="P98" s="673"/>
      <c r="Q98" s="673"/>
      <c r="R98" s="779">
        <f t="shared" ref="R98:S100" si="113">H98</f>
        <v>548000</v>
      </c>
      <c r="S98" s="779">
        <f t="shared" si="113"/>
        <v>384000</v>
      </c>
      <c r="T98" s="718">
        <v>0</v>
      </c>
      <c r="U98" s="718">
        <v>0</v>
      </c>
      <c r="V98" s="718">
        <v>0</v>
      </c>
      <c r="W98" s="673"/>
      <c r="X98" s="729" t="s">
        <v>1817</v>
      </c>
    </row>
    <row r="99" spans="1:24">
      <c r="A99" s="786" t="s">
        <v>834</v>
      </c>
      <c r="B99" s="787"/>
      <c r="C99" s="785">
        <f>SUM('Fin Sta as rep'!C178:C179)</f>
        <v>0</v>
      </c>
      <c r="D99" s="785">
        <f>SUM('Fin Sta as rep'!D178:D179)</f>
        <v>-177502</v>
      </c>
      <c r="E99" s="785">
        <f>SUM('Fin Sta as rep'!E178:E179)</f>
        <v>0</v>
      </c>
      <c r="F99" s="785">
        <f>SUM('Fin Sta as rep'!F178:F179)</f>
        <v>174000</v>
      </c>
      <c r="G99" s="716">
        <f>SUM('Fin Sta as rep'!G178:G179)</f>
        <v>0</v>
      </c>
      <c r="H99" s="716">
        <f>SUM('Fin Sta as rep'!I178:I179)</f>
        <v>0</v>
      </c>
      <c r="I99" s="716">
        <f>SUM('Fin Sta as rep'!J178:J179)</f>
        <v>0</v>
      </c>
      <c r="J99" s="733">
        <f t="shared" si="110"/>
        <v>0</v>
      </c>
      <c r="K99" s="733">
        <f t="shared" si="111"/>
        <v>0</v>
      </c>
      <c r="L99" s="733">
        <f t="shared" si="112"/>
        <v>0</v>
      </c>
      <c r="M99" s="673"/>
      <c r="N99" s="787" t="s">
        <v>1645</v>
      </c>
      <c r="O99" s="673"/>
      <c r="P99" s="673"/>
      <c r="Q99" s="673"/>
      <c r="R99" s="779">
        <f t="shared" si="113"/>
        <v>0</v>
      </c>
      <c r="S99" s="779">
        <f t="shared" si="113"/>
        <v>0</v>
      </c>
      <c r="T99" s="718">
        <f>S99</f>
        <v>0</v>
      </c>
      <c r="U99" s="718"/>
      <c r="V99" s="718"/>
      <c r="W99" s="673"/>
      <c r="X99" s="673"/>
    </row>
    <row r="100" spans="1:24">
      <c r="A100" s="693" t="s">
        <v>837</v>
      </c>
      <c r="B100" s="695"/>
      <c r="C100" s="785">
        <f>SUM('Fin Sta as rep'!C180,'Fin Sta as rep'!C182:C183)</f>
        <v>0</v>
      </c>
      <c r="D100" s="785">
        <f>SUM('Fin Sta as rep'!D180,'Fin Sta as rep'!D182:D183)</f>
        <v>82738</v>
      </c>
      <c r="E100" s="785">
        <f>SUM('Fin Sta as rep'!E180,'Fin Sta as rep'!E182:E183)</f>
        <v>-6000</v>
      </c>
      <c r="F100" s="785">
        <f>SUM('Fin Sta as rep'!F180,'Fin Sta as rep'!F182:F183)</f>
        <v>-485000</v>
      </c>
      <c r="G100" s="785">
        <f>SUM('Fin Sta as rep'!G180,'Fin Sta as rep'!G182:G183)</f>
        <v>-35000</v>
      </c>
      <c r="H100" s="785">
        <f>SUM('Fin Sta as rep'!I180,'Fin Sta as rep'!I182:I183)</f>
        <v>-10000</v>
      </c>
      <c r="I100" s="785">
        <f>SUM('Fin Sta as rep'!J180,'Fin Sta as rep'!J182:J183)</f>
        <v>-45000</v>
      </c>
      <c r="J100" s="1304">
        <f>T100</f>
        <v>-45000</v>
      </c>
      <c r="K100" s="759">
        <f t="shared" si="111"/>
        <v>-45000</v>
      </c>
      <c r="L100" s="759">
        <f t="shared" si="112"/>
        <v>-45000</v>
      </c>
      <c r="M100" s="673"/>
      <c r="N100" s="695" t="s">
        <v>807</v>
      </c>
      <c r="O100" s="673"/>
      <c r="P100" s="673"/>
      <c r="Q100" s="673"/>
      <c r="R100" s="779">
        <f t="shared" si="113"/>
        <v>-10000</v>
      </c>
      <c r="S100" s="779">
        <f t="shared" si="113"/>
        <v>-45000</v>
      </c>
      <c r="T100" s="718">
        <f>S100</f>
        <v>-45000</v>
      </c>
      <c r="U100" s="718">
        <f>T100</f>
        <v>-45000</v>
      </c>
      <c r="V100" s="718">
        <f>U100</f>
        <v>-45000</v>
      </c>
      <c r="W100" s="673"/>
      <c r="X100" s="673" t="s">
        <v>1818</v>
      </c>
    </row>
    <row r="101" spans="1:24">
      <c r="A101" s="751" t="s">
        <v>1623</v>
      </c>
      <c r="B101" s="725"/>
      <c r="C101" s="762">
        <f>SUM(C97:C100)</f>
        <v>3743976</v>
      </c>
      <c r="D101" s="762">
        <f t="shared" ref="D101:J101" si="114">SUM(D97:D100)</f>
        <v>4414864</v>
      </c>
      <c r="E101" s="762">
        <f t="shared" si="114"/>
        <v>574000</v>
      </c>
      <c r="F101" s="762">
        <f t="shared" si="114"/>
        <v>1529000</v>
      </c>
      <c r="G101" s="762">
        <f t="shared" si="114"/>
        <v>9973000</v>
      </c>
      <c r="H101" s="762">
        <f t="shared" si="114"/>
        <v>-5203000</v>
      </c>
      <c r="I101" s="763">
        <f>SUM(I97:I100)</f>
        <v>-3527000</v>
      </c>
      <c r="J101" s="763">
        <f t="shared" si="114"/>
        <v>-72449.857186417794</v>
      </c>
      <c r="K101" s="763">
        <f t="shared" ref="K101:L101" si="115">SUM(K97:K100)</f>
        <v>-111928.17298755608</v>
      </c>
      <c r="L101" s="763">
        <f t="shared" si="115"/>
        <v>-177868.97966966522</v>
      </c>
      <c r="M101" s="673"/>
      <c r="N101" s="770"/>
      <c r="O101" s="673"/>
      <c r="P101" s="673"/>
      <c r="Q101" s="673"/>
      <c r="R101" s="673"/>
      <c r="S101" s="673"/>
      <c r="T101" s="673"/>
      <c r="U101" s="673"/>
      <c r="V101" s="673"/>
      <c r="W101" s="673"/>
      <c r="X101" s="673"/>
    </row>
    <row r="102" spans="1:24">
      <c r="A102" s="693" t="s">
        <v>1624</v>
      </c>
      <c r="B102" s="695"/>
      <c r="C102" s="785">
        <f>SUM('Fin Sta as rep'!C187)</f>
        <v>-7409</v>
      </c>
      <c r="D102" s="785">
        <f>SUM('Fin Sta as rep'!D187)</f>
        <v>39455</v>
      </c>
      <c r="E102" s="785">
        <f>SUM('Fin Sta as rep'!E187)</f>
        <v>-22700</v>
      </c>
      <c r="F102" s="785">
        <f>SUM('Fin Sta as rep'!F187)</f>
        <v>8000</v>
      </c>
      <c r="G102" s="785">
        <f>SUM('Fin Sta as rep'!G187)</f>
        <v>334000</v>
      </c>
      <c r="H102" s="785">
        <f>SUM('Fin Sta as rep'!I187)</f>
        <v>-183000</v>
      </c>
      <c r="I102" s="785">
        <f>SUM('Fin Sta as rep'!J187)</f>
        <v>-444000</v>
      </c>
      <c r="J102" s="733">
        <f t="shared" ref="J102" si="116">T102</f>
        <v>0</v>
      </c>
      <c r="K102" s="733">
        <f t="shared" ref="K102" si="117">U102</f>
        <v>0</v>
      </c>
      <c r="L102" s="733">
        <f t="shared" ref="L102" si="118">V102</f>
        <v>0</v>
      </c>
      <c r="M102" s="673"/>
      <c r="N102" s="695" t="s">
        <v>1624</v>
      </c>
      <c r="O102" s="673"/>
      <c r="P102" s="673"/>
      <c r="Q102" s="673"/>
      <c r="R102" s="718">
        <v>0</v>
      </c>
      <c r="S102" s="718">
        <v>0</v>
      </c>
      <c r="T102" s="718">
        <v>0</v>
      </c>
      <c r="U102" s="718">
        <v>0</v>
      </c>
      <c r="V102" s="718">
        <v>0</v>
      </c>
      <c r="W102" s="673"/>
      <c r="X102" s="673"/>
    </row>
    <row r="103" spans="1:24">
      <c r="A103" s="751" t="s">
        <v>1625</v>
      </c>
      <c r="B103" s="725"/>
      <c r="C103" s="762">
        <f>C89+C95+C101+C102</f>
        <v>2196308</v>
      </c>
      <c r="D103" s="762">
        <f t="shared" ref="D103:I103" si="119">D89+D95+D101+D102</f>
        <v>-25302</v>
      </c>
      <c r="E103" s="762">
        <f t="shared" si="119"/>
        <v>312102</v>
      </c>
      <c r="F103" s="762">
        <f t="shared" si="119"/>
        <v>2506000</v>
      </c>
      <c r="G103" s="762">
        <f t="shared" si="119"/>
        <v>13118000</v>
      </c>
      <c r="H103" s="762">
        <f t="shared" si="119"/>
        <v>-34294</v>
      </c>
      <c r="I103" s="762">
        <f t="shared" si="119"/>
        <v>1771540.5530547425</v>
      </c>
      <c r="J103" s="763">
        <f t="shared" ref="J103" si="120">J89+J95+J101+J102</f>
        <v>4427004.3348855758</v>
      </c>
      <c r="K103" s="763">
        <f>K89+K95+K101+K102</f>
        <v>7723701.7295440622</v>
      </c>
      <c r="L103" s="763">
        <f>L89+L95+L101+L102</f>
        <v>12174124.898200823</v>
      </c>
      <c r="M103" s="673"/>
      <c r="N103" s="770"/>
      <c r="O103" s="673"/>
      <c r="P103" s="673"/>
      <c r="Q103" s="673"/>
      <c r="R103" s="673"/>
      <c r="S103" s="673"/>
      <c r="T103" s="673"/>
      <c r="U103" s="673"/>
      <c r="V103" s="673"/>
      <c r="W103" s="673"/>
      <c r="X103" s="673"/>
    </row>
    <row r="104" spans="1:24">
      <c r="A104" s="728" t="s">
        <v>1581</v>
      </c>
      <c r="B104" s="729"/>
      <c r="C104" s="726"/>
      <c r="D104" s="726"/>
      <c r="E104" s="743"/>
      <c r="F104" s="772"/>
      <c r="G104" s="772"/>
      <c r="H104" s="732"/>
      <c r="I104" s="733"/>
      <c r="J104" s="733"/>
      <c r="K104" s="733"/>
      <c r="L104" s="733"/>
      <c r="M104" s="673"/>
      <c r="N104" s="673"/>
      <c r="O104" s="673"/>
      <c r="P104" s="673"/>
      <c r="Q104" s="673"/>
      <c r="R104" s="673"/>
      <c r="S104" s="673"/>
      <c r="T104" s="673"/>
      <c r="U104" s="673"/>
      <c r="V104" s="673"/>
      <c r="W104" s="673"/>
      <c r="X104" s="673"/>
    </row>
    <row r="105" spans="1:24">
      <c r="A105" s="693" t="s">
        <v>1626</v>
      </c>
      <c r="B105" s="695"/>
      <c r="C105" s="726">
        <f>B42</f>
        <v>1196908</v>
      </c>
      <c r="D105" s="726">
        <f>C106</f>
        <v>3393216</v>
      </c>
      <c r="E105" s="726">
        <f t="shared" ref="E105:L105" si="121">D106</f>
        <v>3367914</v>
      </c>
      <c r="F105" s="726">
        <f t="shared" si="121"/>
        <v>3680016</v>
      </c>
      <c r="G105" s="726">
        <f t="shared" si="121"/>
        <v>6186016</v>
      </c>
      <c r="H105" s="726">
        <f t="shared" si="121"/>
        <v>19304016</v>
      </c>
      <c r="I105" s="726">
        <f t="shared" si="121"/>
        <v>19269722</v>
      </c>
      <c r="J105" s="726">
        <f>I106</f>
        <v>21041262.553054743</v>
      </c>
      <c r="K105" s="726">
        <f>J106</f>
        <v>25468266.887940317</v>
      </c>
      <c r="L105" s="726">
        <f t="shared" si="121"/>
        <v>33191968.61748438</v>
      </c>
      <c r="M105" s="673"/>
      <c r="N105" s="770"/>
      <c r="O105" s="673"/>
      <c r="P105" s="673"/>
      <c r="Q105" s="673"/>
      <c r="R105" s="673"/>
      <c r="S105" s="673"/>
      <c r="T105" s="673"/>
      <c r="U105" s="673"/>
      <c r="V105" s="673"/>
      <c r="W105" s="673"/>
      <c r="X105" s="673"/>
    </row>
    <row r="106" spans="1:24">
      <c r="A106" s="693" t="s">
        <v>1627</v>
      </c>
      <c r="B106" s="695"/>
      <c r="C106" s="726">
        <f>SUM(C105,C103)</f>
        <v>3393216</v>
      </c>
      <c r="D106" s="726">
        <f t="shared" ref="D106" si="122">SUM(D105,D103)</f>
        <v>3367914</v>
      </c>
      <c r="E106" s="726">
        <f t="shared" ref="E106:H106" si="123">SUM(E105,E103)</f>
        <v>3680016</v>
      </c>
      <c r="F106" s="726">
        <f t="shared" si="123"/>
        <v>6186016</v>
      </c>
      <c r="G106" s="726">
        <f t="shared" si="123"/>
        <v>19304016</v>
      </c>
      <c r="H106" s="726">
        <f t="shared" si="123"/>
        <v>19269722</v>
      </c>
      <c r="I106" s="726">
        <f>SUM(I105,I103)</f>
        <v>21041262.553054743</v>
      </c>
      <c r="J106" s="726">
        <f>SUM(J105,J103)</f>
        <v>25468266.887940317</v>
      </c>
      <c r="K106" s="726">
        <f>SUM(K105,K103)</f>
        <v>33191968.61748438</v>
      </c>
      <c r="L106" s="726">
        <f>SUM(L105,L103)</f>
        <v>45366093.515685201</v>
      </c>
      <c r="M106" s="673"/>
      <c r="N106" s="770"/>
      <c r="O106" s="673"/>
      <c r="P106" s="673"/>
      <c r="Q106" s="673"/>
      <c r="R106" s="673"/>
      <c r="S106" s="673"/>
      <c r="T106" s="673"/>
      <c r="U106" s="673"/>
      <c r="V106" s="673"/>
      <c r="W106" s="673"/>
      <c r="X106" s="673"/>
    </row>
    <row r="107" spans="1:24">
      <c r="A107" s="728" t="s">
        <v>1581</v>
      </c>
      <c r="B107" s="729"/>
      <c r="C107" s="730"/>
      <c r="D107" s="730"/>
      <c r="E107" s="743"/>
      <c r="F107" s="772"/>
      <c r="G107" s="772"/>
      <c r="H107" s="732"/>
      <c r="I107" s="733"/>
      <c r="J107" s="733"/>
      <c r="K107" s="733"/>
      <c r="L107" s="733"/>
      <c r="M107" s="673"/>
      <c r="N107" s="673"/>
      <c r="O107" s="673"/>
      <c r="P107" s="673"/>
      <c r="Q107" s="673"/>
      <c r="R107" s="673"/>
      <c r="S107" s="673"/>
      <c r="T107" s="673"/>
      <c r="U107" s="673"/>
      <c r="V107" s="673"/>
      <c r="W107" s="673"/>
      <c r="X107" s="673"/>
    </row>
    <row r="108" spans="1:24">
      <c r="A108" s="698" t="s">
        <v>1819</v>
      </c>
      <c r="B108" s="699"/>
      <c r="C108" s="788"/>
      <c r="D108" s="788"/>
      <c r="E108" s="789"/>
      <c r="F108" s="789"/>
      <c r="G108" s="789"/>
      <c r="H108" s="755"/>
      <c r="I108" s="705"/>
      <c r="J108" s="705"/>
      <c r="K108" s="705"/>
      <c r="L108" s="705"/>
      <c r="M108" s="790"/>
      <c r="N108" s="790"/>
      <c r="O108" s="790"/>
      <c r="P108" s="790"/>
      <c r="Q108" s="790"/>
      <c r="R108" s="790"/>
      <c r="S108" s="790"/>
      <c r="T108" s="790"/>
      <c r="U108" s="790"/>
      <c r="V108" s="790"/>
      <c r="W108" s="790"/>
      <c r="X108" s="790"/>
    </row>
    <row r="109" spans="1:24">
      <c r="A109" s="791" t="s">
        <v>1581</v>
      </c>
      <c r="B109" s="792"/>
      <c r="C109" s="793"/>
      <c r="D109" s="793"/>
      <c r="E109" s="794"/>
      <c r="F109" s="794"/>
      <c r="G109" s="794"/>
      <c r="H109" s="726"/>
      <c r="I109" s="750"/>
      <c r="J109" s="750"/>
      <c r="K109" s="750"/>
      <c r="L109" s="750"/>
      <c r="M109" s="795"/>
      <c r="N109" s="795"/>
      <c r="O109" s="795"/>
      <c r="P109" s="795"/>
      <c r="Q109" s="795"/>
      <c r="R109" s="795"/>
      <c r="S109" s="795"/>
      <c r="T109" s="795"/>
      <c r="U109" s="795"/>
      <c r="V109" s="795"/>
      <c r="W109" s="795"/>
      <c r="X109" s="795"/>
    </row>
    <row r="110" spans="1:24">
      <c r="A110" s="751" t="s">
        <v>508</v>
      </c>
      <c r="B110" s="725"/>
      <c r="C110" s="826">
        <f t="shared" ref="C110:J110" si="124">IFERROR(C7/C7,"")</f>
        <v>1</v>
      </c>
      <c r="D110" s="826">
        <f t="shared" si="124"/>
        <v>1</v>
      </c>
      <c r="E110" s="825">
        <f t="shared" si="124"/>
        <v>1</v>
      </c>
      <c r="F110" s="825">
        <f t="shared" si="124"/>
        <v>1</v>
      </c>
      <c r="G110" s="825">
        <f t="shared" si="124"/>
        <v>1</v>
      </c>
      <c r="H110" s="824">
        <f t="shared" si="124"/>
        <v>1</v>
      </c>
      <c r="I110" s="825">
        <f t="shared" si="124"/>
        <v>1</v>
      </c>
      <c r="J110" s="825">
        <f t="shared" si="124"/>
        <v>1</v>
      </c>
      <c r="K110" s="825"/>
      <c r="L110" s="825"/>
      <c r="M110" s="795"/>
      <c r="N110" s="795"/>
      <c r="O110" s="795"/>
      <c r="P110" s="795"/>
      <c r="Q110" s="795"/>
      <c r="R110" s="795"/>
      <c r="S110" s="795"/>
      <c r="T110" s="795"/>
      <c r="U110" s="795"/>
      <c r="V110" s="795"/>
      <c r="W110" s="795"/>
      <c r="X110" s="795"/>
    </row>
    <row r="111" spans="1:24">
      <c r="A111" s="751" t="s">
        <v>1632</v>
      </c>
      <c r="B111" s="725"/>
      <c r="C111" s="796">
        <f t="shared" ref="C111:J111" si="125">IFERROR(C14/C7,"")</f>
        <v>0.77153892449696282</v>
      </c>
      <c r="D111" s="796">
        <f t="shared" si="125"/>
        <v>0.8109428269416058</v>
      </c>
      <c r="E111" s="797">
        <f t="shared" si="125"/>
        <v>0.80924816409453515</v>
      </c>
      <c r="F111" s="797">
        <f t="shared" si="125"/>
        <v>0.83444543901049717</v>
      </c>
      <c r="G111" s="797">
        <f t="shared" si="125"/>
        <v>0.7897640791476408</v>
      </c>
      <c r="H111" s="798">
        <f t="shared" si="125"/>
        <v>0.74719532541850142</v>
      </c>
      <c r="I111" s="797">
        <f t="shared" si="125"/>
        <v>0.74338280973883852</v>
      </c>
      <c r="J111" s="797">
        <f t="shared" si="125"/>
        <v>0.81155918430262253</v>
      </c>
      <c r="K111" s="797"/>
      <c r="L111" s="797"/>
      <c r="M111" s="795"/>
      <c r="N111" s="795"/>
      <c r="O111" s="795"/>
      <c r="P111" s="795"/>
      <c r="Q111" s="795"/>
      <c r="R111" s="795"/>
      <c r="S111" s="795"/>
      <c r="T111" s="795"/>
      <c r="U111" s="795"/>
      <c r="V111" s="795"/>
      <c r="W111" s="795"/>
      <c r="X111" s="795"/>
    </row>
    <row r="112" spans="1:24">
      <c r="A112" s="751" t="s">
        <v>1820</v>
      </c>
      <c r="B112" s="725"/>
      <c r="C112" s="796">
        <f t="shared" ref="C112:J112" si="126">IFERROR(C21/C7,"")</f>
        <v>0.22846107550303715</v>
      </c>
      <c r="D112" s="796">
        <f t="shared" si="126"/>
        <v>0.18905717305839423</v>
      </c>
      <c r="E112" s="797">
        <f t="shared" si="126"/>
        <v>0.19075183590546485</v>
      </c>
      <c r="F112" s="797">
        <f t="shared" si="126"/>
        <v>0.1655545609895028</v>
      </c>
      <c r="G112" s="797">
        <f t="shared" si="126"/>
        <v>0.2102359208523592</v>
      </c>
      <c r="H112" s="798">
        <f t="shared" si="126"/>
        <v>0.25280467458149863</v>
      </c>
      <c r="I112" s="797">
        <f t="shared" si="126"/>
        <v>0.25661719026116148</v>
      </c>
      <c r="J112" s="797">
        <f t="shared" si="126"/>
        <v>0.1884408156973775</v>
      </c>
      <c r="K112" s="797"/>
      <c r="L112" s="797"/>
      <c r="M112" s="795"/>
      <c r="N112" s="795"/>
      <c r="O112" s="795"/>
      <c r="P112" s="795"/>
      <c r="Q112" s="795"/>
      <c r="R112" s="795"/>
      <c r="S112" s="795"/>
      <c r="T112" s="795"/>
      <c r="U112" s="795"/>
      <c r="V112" s="795"/>
      <c r="W112" s="795"/>
      <c r="X112" s="795"/>
    </row>
    <row r="113" spans="1:31">
      <c r="A113" s="751" t="s">
        <v>1821</v>
      </c>
      <c r="B113" s="725"/>
      <c r="C113" s="796">
        <f t="shared" ref="C113:J113" si="127">IFERROR(C23/C7,"")</f>
        <v>0.3237936043750051</v>
      </c>
      <c r="D113" s="796">
        <f t="shared" si="127"/>
        <v>0.32784931980974913</v>
      </c>
      <c r="E113" s="797">
        <f t="shared" si="127"/>
        <v>0.20883471259226125</v>
      </c>
      <c r="F113" s="797">
        <f t="shared" si="127"/>
        <v>0.16836194971112378</v>
      </c>
      <c r="G113" s="797">
        <f t="shared" si="127"/>
        <v>0.14700659563673263</v>
      </c>
      <c r="H113" s="798">
        <f t="shared" si="127"/>
        <v>0.13209965999665571</v>
      </c>
      <c r="I113" s="797">
        <f t="shared" si="127"/>
        <v>8.6187424811568547E-2</v>
      </c>
      <c r="J113" s="797">
        <f t="shared" si="127"/>
        <v>7.7568682330411698E-2</v>
      </c>
      <c r="K113" s="797"/>
      <c r="L113" s="797"/>
      <c r="M113" s="795"/>
      <c r="N113" s="795"/>
      <c r="O113" s="795"/>
      <c r="P113" s="795"/>
      <c r="Q113" s="795"/>
      <c r="R113" s="795"/>
      <c r="S113" s="795"/>
      <c r="T113" s="795"/>
      <c r="U113" s="795"/>
      <c r="V113" s="795"/>
      <c r="W113" s="795"/>
      <c r="X113" s="795"/>
    </row>
    <row r="114" spans="1:31">
      <c r="A114" s="751" t="s">
        <v>1822</v>
      </c>
      <c r="B114" s="725"/>
      <c r="C114" s="796">
        <f t="shared" ref="C114:J114" si="128">IFERROR(C29/C7,"")</f>
        <v>-9.5332528871967928E-2</v>
      </c>
      <c r="D114" s="796">
        <f t="shared" si="128"/>
        <v>-0.1387921467513549</v>
      </c>
      <c r="E114" s="797">
        <f t="shared" si="128"/>
        <v>-1.8082876686796392E-2</v>
      </c>
      <c r="F114" s="797">
        <f t="shared" si="128"/>
        <v>-2.8073887216209618E-3</v>
      </c>
      <c r="G114" s="797">
        <f t="shared" si="128"/>
        <v>6.3229325215626589E-2</v>
      </c>
      <c r="H114" s="798">
        <f t="shared" si="128"/>
        <v>0.12070501458484291</v>
      </c>
      <c r="I114" s="797">
        <f t="shared" si="128"/>
        <v>0.1704297654495929</v>
      </c>
      <c r="J114" s="797">
        <f t="shared" si="128"/>
        <v>0.11087213336696579</v>
      </c>
      <c r="K114" s="797"/>
      <c r="L114" s="797"/>
      <c r="M114" s="795"/>
      <c r="N114" s="795"/>
      <c r="O114" s="795"/>
      <c r="P114" s="795"/>
      <c r="Q114" s="795"/>
      <c r="R114" s="795"/>
      <c r="S114" s="795"/>
      <c r="T114" s="795"/>
      <c r="U114" s="795"/>
      <c r="V114" s="795"/>
      <c r="W114" s="795"/>
      <c r="X114" s="795"/>
    </row>
    <row r="115" spans="1:31">
      <c r="A115" s="693" t="s">
        <v>1823</v>
      </c>
      <c r="B115" s="695"/>
      <c r="C115" s="799">
        <f t="shared" ref="C115:J115" si="129">IFERROR(C35/C34,"")</f>
        <v>-3.5771516772336767E-2</v>
      </c>
      <c r="D115" s="799">
        <f t="shared" si="129"/>
        <v>-1.4280463116876533E-2</v>
      </c>
      <c r="E115" s="800">
        <f t="shared" si="129"/>
        <v>-5.7563859486735439E-2</v>
      </c>
      <c r="F115" s="800">
        <f t="shared" si="129"/>
        <v>-0.16541353383458646</v>
      </c>
      <c r="G115" s="800">
        <f t="shared" si="129"/>
        <v>0.2530329289428076</v>
      </c>
      <c r="H115" s="801">
        <f t="shared" si="129"/>
        <v>0.11020532876661791</v>
      </c>
      <c r="I115" s="800">
        <f t="shared" si="129"/>
        <v>8.2210440910380864E-2</v>
      </c>
      <c r="J115" s="800">
        <f t="shared" si="129"/>
        <v>9.0000000000000149E-2</v>
      </c>
      <c r="K115" s="800"/>
      <c r="L115" s="800"/>
      <c r="M115" s="795"/>
      <c r="N115" s="795"/>
      <c r="O115" s="795"/>
      <c r="P115" s="795"/>
      <c r="Q115" s="795"/>
      <c r="R115" s="795"/>
      <c r="S115" s="795"/>
      <c r="T115" s="795"/>
      <c r="U115" s="795"/>
      <c r="V115" s="795"/>
      <c r="W115" s="795"/>
      <c r="X115" s="795"/>
    </row>
    <row r="116" spans="1:31">
      <c r="A116" s="751" t="s">
        <v>1824</v>
      </c>
      <c r="B116" s="725"/>
      <c r="C116" s="802">
        <f t="shared" ref="C116:J116" si="130">C39/C7</f>
        <v>-9.6414508932621101E-2</v>
      </c>
      <c r="D116" s="802">
        <f t="shared" si="130"/>
        <v>-0.16679691918079531</v>
      </c>
      <c r="E116" s="723">
        <f t="shared" si="130"/>
        <v>-4.5482507641840003E-2</v>
      </c>
      <c r="F116" s="723">
        <f t="shared" si="130"/>
        <v>-3.5072015623728539E-2</v>
      </c>
      <c r="G116" s="803">
        <f t="shared" si="130"/>
        <v>2.2862760020294266E-2</v>
      </c>
      <c r="H116" s="722">
        <f t="shared" si="130"/>
        <v>0.10253434405365736</v>
      </c>
      <c r="I116" s="723">
        <f t="shared" si="130"/>
        <v>0.15475363424731456</v>
      </c>
      <c r="J116" s="723">
        <f t="shared" si="130"/>
        <v>0.10013153276831699</v>
      </c>
      <c r="K116" s="723"/>
      <c r="L116" s="723"/>
      <c r="M116" s="795"/>
      <c r="N116" s="795"/>
      <c r="O116" s="795"/>
      <c r="P116" s="795"/>
      <c r="Q116" s="795"/>
      <c r="R116" s="795"/>
      <c r="S116" s="795"/>
      <c r="T116" s="795"/>
      <c r="U116" s="795"/>
      <c r="V116" s="795"/>
      <c r="W116" s="795"/>
      <c r="X116" s="795"/>
    </row>
    <row r="117" spans="1:31">
      <c r="A117" s="698" t="s">
        <v>1825</v>
      </c>
      <c r="B117" s="699"/>
      <c r="C117" s="804"/>
      <c r="D117" s="804"/>
      <c r="E117" s="705"/>
      <c r="F117" s="705"/>
      <c r="G117" s="705"/>
      <c r="H117" s="755"/>
      <c r="I117" s="705"/>
      <c r="J117" s="705"/>
      <c r="K117" s="705"/>
      <c r="L117" s="705"/>
      <c r="M117" s="790"/>
      <c r="N117" s="790"/>
      <c r="O117" s="790"/>
      <c r="P117" s="790"/>
      <c r="Q117" s="790"/>
      <c r="R117" s="790"/>
      <c r="S117" s="790"/>
      <c r="T117" s="790"/>
      <c r="U117" s="790"/>
      <c r="V117" s="790"/>
      <c r="W117" s="790"/>
      <c r="X117" s="790"/>
    </row>
    <row r="118" spans="1:31">
      <c r="A118" s="751" t="s">
        <v>508</v>
      </c>
      <c r="B118" s="725"/>
      <c r="C118" s="797" t="str">
        <f t="shared" ref="C118:J118" si="131">IFERROR(C7/B7-1,"")</f>
        <v/>
      </c>
      <c r="D118" s="797">
        <f t="shared" si="131"/>
        <v>0.67985618550743854</v>
      </c>
      <c r="E118" s="797">
        <f t="shared" si="131"/>
        <v>0.82502055835383503</v>
      </c>
      <c r="F118" s="797">
        <f t="shared" si="131"/>
        <v>0.14525087601580555</v>
      </c>
      <c r="G118" s="803">
        <f t="shared" si="131"/>
        <v>0.28309870615998056</v>
      </c>
      <c r="H118" s="798">
        <f t="shared" si="131"/>
        <v>0.70671613394216126</v>
      </c>
      <c r="I118" s="797">
        <f t="shared" si="131"/>
        <v>0.51351652639206335</v>
      </c>
      <c r="J118" s="797">
        <f t="shared" si="131"/>
        <v>0.20894373636157848</v>
      </c>
      <c r="K118" s="797"/>
      <c r="L118" s="797"/>
      <c r="M118" s="795"/>
      <c r="N118" s="795"/>
      <c r="O118" s="795"/>
      <c r="P118" s="795"/>
      <c r="Q118" s="795"/>
      <c r="R118" s="795"/>
      <c r="S118" s="795"/>
      <c r="T118" s="795"/>
      <c r="U118" s="795"/>
      <c r="V118" s="795"/>
      <c r="W118" s="795"/>
      <c r="X118" s="795"/>
    </row>
    <row r="119" spans="1:31">
      <c r="A119" s="751" t="s">
        <v>287</v>
      </c>
      <c r="B119" s="725"/>
      <c r="C119" s="797" t="str">
        <f t="shared" ref="C119:J119" si="132">IFERROR(C14/B14-1,"")</f>
        <v/>
      </c>
      <c r="D119" s="797">
        <f t="shared" si="132"/>
        <v>0.76564950993098901</v>
      </c>
      <c r="E119" s="797">
        <f t="shared" si="132"/>
        <v>0.82120673272688349</v>
      </c>
      <c r="F119" s="797">
        <f t="shared" si="132"/>
        <v>0.18091014896949198</v>
      </c>
      <c r="G119" s="797">
        <f t="shared" si="132"/>
        <v>0.21439368082305332</v>
      </c>
      <c r="H119" s="798">
        <f t="shared" si="132"/>
        <v>0.61472311892716625</v>
      </c>
      <c r="I119" s="797">
        <f t="shared" si="132"/>
        <v>0.50579390649335543</v>
      </c>
      <c r="J119" s="797">
        <f t="shared" si="132"/>
        <v>0.31981716512122849</v>
      </c>
      <c r="K119" s="797"/>
      <c r="L119" s="797"/>
      <c r="M119" s="795"/>
      <c r="N119" s="795"/>
      <c r="O119" s="795"/>
      <c r="P119" s="795"/>
      <c r="Q119" s="795"/>
      <c r="R119" s="795"/>
      <c r="S119" s="795"/>
      <c r="T119" s="795"/>
      <c r="U119" s="795"/>
      <c r="V119" s="795"/>
      <c r="W119" s="795"/>
      <c r="X119" s="795"/>
    </row>
    <row r="120" spans="1:31">
      <c r="A120" s="751" t="s">
        <v>511</v>
      </c>
      <c r="B120" s="725"/>
      <c r="C120" s="797" t="str">
        <f t="shared" ref="C120:J120" si="133">IFERROR(C21/B21-1,"")</f>
        <v/>
      </c>
      <c r="D120" s="797">
        <f t="shared" si="133"/>
        <v>0.39012241309558116</v>
      </c>
      <c r="E120" s="797">
        <f t="shared" si="133"/>
        <v>0.84137960194551642</v>
      </c>
      <c r="F120" s="797">
        <f t="shared" si="133"/>
        <v>-6.0305050190696541E-3</v>
      </c>
      <c r="G120" s="803">
        <f t="shared" si="133"/>
        <v>0.62939297124600646</v>
      </c>
      <c r="H120" s="798">
        <f>IFERROR(H21/G21-1,"")</f>
        <v>1.0522935143288086</v>
      </c>
      <c r="I120" s="797">
        <f t="shared" si="133"/>
        <v>0.53634167983454217</v>
      </c>
      <c r="J120" s="797">
        <f t="shared" si="133"/>
        <v>-0.11224051833642712</v>
      </c>
      <c r="K120" s="797"/>
      <c r="L120" s="797"/>
      <c r="M120" s="795"/>
      <c r="N120" s="795"/>
      <c r="O120" s="795"/>
      <c r="P120" s="795"/>
      <c r="Q120" s="795"/>
      <c r="R120" s="795"/>
      <c r="S120" s="795"/>
      <c r="T120" s="795"/>
      <c r="U120" s="795"/>
      <c r="V120" s="795"/>
      <c r="W120" s="795"/>
      <c r="X120" s="795"/>
    </row>
    <row r="121" spans="1:31">
      <c r="A121" s="751" t="s">
        <v>1582</v>
      </c>
      <c r="B121" s="725"/>
      <c r="C121" s="797" t="str">
        <f t="shared" ref="C121:J121" si="134">IFERROR(C23/B23-1,"")</f>
        <v/>
      </c>
      <c r="D121" s="797">
        <f t="shared" si="134"/>
        <v>0.7008974246414339</v>
      </c>
      <c r="E121" s="797">
        <f t="shared" si="134"/>
        <v>0.16250856948539516</v>
      </c>
      <c r="F121" s="797">
        <f t="shared" si="134"/>
        <v>-7.6702009924672465E-2</v>
      </c>
      <c r="G121" s="797">
        <f t="shared" si="134"/>
        <v>0.12034799420009668</v>
      </c>
      <c r="H121" s="798">
        <f t="shared" si="134"/>
        <v>0.53364969801553053</v>
      </c>
      <c r="I121" s="797">
        <f t="shared" si="134"/>
        <v>-1.2517580872011269E-2</v>
      </c>
      <c r="J121" s="797">
        <f t="shared" si="134"/>
        <v>8.8049362725420854E-2</v>
      </c>
      <c r="K121" s="797"/>
      <c r="L121" s="797"/>
      <c r="M121" s="795"/>
      <c r="N121" s="795"/>
      <c r="O121" s="795"/>
      <c r="P121" s="795"/>
      <c r="Q121" s="795"/>
      <c r="R121" s="795"/>
      <c r="S121" s="795"/>
      <c r="T121" s="795"/>
      <c r="U121" s="795"/>
      <c r="V121" s="795"/>
      <c r="W121" s="795"/>
      <c r="X121" s="795"/>
    </row>
    <row r="122" spans="1:31">
      <c r="A122" s="751" t="s">
        <v>532</v>
      </c>
      <c r="B122" s="725"/>
      <c r="C122" s="797" t="str">
        <f t="shared" ref="C122:J122" si="135">IFERROR(C29/B29-1,"")</f>
        <v/>
      </c>
      <c r="D122" s="797">
        <f t="shared" si="135"/>
        <v>1.4456588845266283</v>
      </c>
      <c r="E122" s="797">
        <f t="shared" si="135"/>
        <v>-0.76222270149979843</v>
      </c>
      <c r="F122" s="797">
        <f t="shared" si="135"/>
        <v>-0.82219840081634121</v>
      </c>
      <c r="G122" s="797">
        <f t="shared" si="135"/>
        <v>-29.89855072463768</v>
      </c>
      <c r="H122" s="798">
        <f t="shared" si="135"/>
        <v>2.2581273821464394</v>
      </c>
      <c r="I122" s="797">
        <f t="shared" si="135"/>
        <v>1.1370136732452942</v>
      </c>
      <c r="J122" s="797">
        <f t="shared" si="135"/>
        <v>-0.21352839501100751</v>
      </c>
      <c r="K122" s="797"/>
      <c r="L122" s="797"/>
      <c r="M122" s="795"/>
      <c r="N122" s="795"/>
      <c r="O122" s="795"/>
      <c r="P122" s="795"/>
      <c r="Q122" s="795"/>
      <c r="R122" s="795"/>
      <c r="S122" s="795"/>
      <c r="T122" s="795"/>
      <c r="U122" s="795"/>
      <c r="V122" s="795"/>
      <c r="W122" s="795"/>
      <c r="X122" s="795"/>
    </row>
    <row r="123" spans="1:31">
      <c r="A123" s="672" t="s">
        <v>1678</v>
      </c>
      <c r="B123" s="673"/>
      <c r="C123" s="805" t="str">
        <f t="shared" ref="C123:J123" si="136">IFERROR(C32/B32-1,"")</f>
        <v/>
      </c>
      <c r="D123" s="805">
        <f t="shared" si="136"/>
        <v>-2.1267255014738655</v>
      </c>
      <c r="E123" s="805">
        <f t="shared" si="136"/>
        <v>-1.1744075678176322</v>
      </c>
      <c r="F123" s="805">
        <f t="shared" si="136"/>
        <v>1.057989572852831</v>
      </c>
      <c r="G123" s="805">
        <f t="shared" si="136"/>
        <v>-3.7111111111111112</v>
      </c>
      <c r="H123" s="806">
        <f t="shared" si="136"/>
        <v>-2.778688524590164</v>
      </c>
      <c r="I123" s="805">
        <f t="shared" si="136"/>
        <v>-0.6452027649769585</v>
      </c>
      <c r="J123" s="805">
        <f t="shared" si="136"/>
        <v>0.63168422283124004</v>
      </c>
      <c r="K123" s="805"/>
      <c r="L123" s="805"/>
      <c r="M123" s="795"/>
      <c r="N123" s="795"/>
      <c r="O123" s="795"/>
      <c r="P123" s="795"/>
      <c r="Q123" s="795"/>
      <c r="R123" s="795"/>
      <c r="S123" s="795"/>
      <c r="T123" s="795"/>
      <c r="U123" s="795"/>
      <c r="V123" s="795"/>
      <c r="W123" s="795"/>
      <c r="X123" s="795"/>
    </row>
    <row r="124" spans="1:31">
      <c r="A124" s="693" t="s">
        <v>1679</v>
      </c>
      <c r="B124" s="695"/>
      <c r="C124" s="805" t="str">
        <f t="shared" ref="C124:J125" si="137">IFERROR(C34/B34-1,"")</f>
        <v/>
      </c>
      <c r="D124" s="805">
        <f t="shared" si="137"/>
        <v>1.9597881953190739</v>
      </c>
      <c r="E124" s="805">
        <f t="shared" si="137"/>
        <v>-0.54516503156133544</v>
      </c>
      <c r="F124" s="805">
        <f t="shared" si="137"/>
        <v>-0.33814052321733379</v>
      </c>
      <c r="G124" s="805">
        <f t="shared" si="137"/>
        <v>-2.7353383458646618</v>
      </c>
      <c r="H124" s="806">
        <f t="shared" si="137"/>
        <v>4.4962790294627384</v>
      </c>
      <c r="I124" s="805">
        <f t="shared" si="137"/>
        <v>1.170925241222712</v>
      </c>
      <c r="J124" s="805">
        <f t="shared" si="137"/>
        <v>-0.21037724838806782</v>
      </c>
      <c r="K124" s="805"/>
      <c r="L124" s="805"/>
      <c r="M124" s="795"/>
      <c r="N124" s="795"/>
      <c r="O124" s="795"/>
      <c r="P124" s="795"/>
      <c r="Q124" s="795"/>
      <c r="R124" s="795"/>
      <c r="S124" s="795"/>
      <c r="T124" s="795"/>
      <c r="U124" s="795"/>
      <c r="V124" s="795"/>
      <c r="W124" s="795"/>
      <c r="X124" s="795"/>
    </row>
    <row r="125" spans="1:31">
      <c r="A125" s="748" t="s">
        <v>1680</v>
      </c>
      <c r="B125" s="727"/>
      <c r="C125" s="805" t="str">
        <f t="shared" si="137"/>
        <v/>
      </c>
      <c r="D125" s="805">
        <f t="shared" si="137"/>
        <v>0.18158663570304889</v>
      </c>
      <c r="E125" s="805">
        <f t="shared" si="137"/>
        <v>0.83341786597349898</v>
      </c>
      <c r="F125" s="805">
        <f t="shared" si="137"/>
        <v>0.90189670971869229</v>
      </c>
      <c r="G125" s="805">
        <f t="shared" si="137"/>
        <v>1.6545454545454548</v>
      </c>
      <c r="H125" s="806">
        <f t="shared" si="137"/>
        <v>1.3938356164383561</v>
      </c>
      <c r="I125" s="805">
        <f t="shared" si="137"/>
        <v>0.61945636623748213</v>
      </c>
      <c r="J125" s="805">
        <f t="shared" si="137"/>
        <v>-0.13555934187794416</v>
      </c>
      <c r="K125" s="805"/>
      <c r="L125" s="805"/>
      <c r="M125" s="695"/>
      <c r="N125" s="695"/>
      <c r="O125" s="695"/>
      <c r="P125" s="695"/>
      <c r="Q125" s="695"/>
      <c r="R125" s="695"/>
      <c r="S125" s="695"/>
      <c r="T125" s="695"/>
      <c r="U125" s="695"/>
      <c r="V125" s="695"/>
      <c r="W125" s="695"/>
      <c r="X125" s="695"/>
    </row>
    <row r="126" spans="1:31">
      <c r="A126" s="693" t="s">
        <v>1826</v>
      </c>
      <c r="B126" s="695"/>
      <c r="C126" s="805" t="str">
        <f t="shared" ref="C126:J126" si="138">IFERROR(C37/B37-1,"")</f>
        <v/>
      </c>
      <c r="D126" s="805">
        <f t="shared" si="138"/>
        <v>1.8449231647169118</v>
      </c>
      <c r="E126" s="805">
        <f t="shared" si="138"/>
        <v>-0.69019406973328845</v>
      </c>
      <c r="F126" s="805">
        <f t="shared" si="138"/>
        <v>-2.0058850053762818</v>
      </c>
      <c r="G126" s="805">
        <f t="shared" si="138"/>
        <v>0.6206896551724137</v>
      </c>
      <c r="H126" s="806">
        <f t="shared" si="138"/>
        <v>-0.11347517730496459</v>
      </c>
      <c r="I126" s="805">
        <f t="shared" si="138"/>
        <v>-0.752</v>
      </c>
      <c r="J126" s="805">
        <f t="shared" si="138"/>
        <v>6.2724887235724447E-2</v>
      </c>
      <c r="K126" s="805"/>
      <c r="L126" s="805"/>
      <c r="M126" s="695"/>
      <c r="N126" s="695"/>
      <c r="O126" s="695"/>
      <c r="P126" s="695"/>
      <c r="Q126" s="695"/>
      <c r="R126" s="695"/>
      <c r="S126" s="695"/>
      <c r="T126" s="695"/>
      <c r="U126" s="695"/>
      <c r="V126" s="695"/>
      <c r="W126" s="695"/>
      <c r="X126" s="695"/>
    </row>
    <row r="127" spans="1:31">
      <c r="A127" s="693" t="s">
        <v>543</v>
      </c>
      <c r="B127" s="695"/>
      <c r="C127" s="723" t="str">
        <f t="shared" ref="C127:J127" si="139">IFERROR(C39/B39-1,"")</f>
        <v/>
      </c>
      <c r="D127" s="723">
        <f t="shared" si="139"/>
        <v>1.9061480425654231</v>
      </c>
      <c r="E127" s="723">
        <f t="shared" si="139"/>
        <v>-0.50234985214642602</v>
      </c>
      <c r="F127" s="723">
        <f t="shared" si="139"/>
        <v>-0.11688561824665933</v>
      </c>
      <c r="G127" s="797">
        <f t="shared" si="139"/>
        <v>-1.8364269141531322</v>
      </c>
      <c r="H127" s="722">
        <f t="shared" si="139"/>
        <v>6.654238557558946</v>
      </c>
      <c r="I127" s="723">
        <f t="shared" si="139"/>
        <v>1.2843290715350197</v>
      </c>
      <c r="J127" s="723">
        <f t="shared" si="139"/>
        <v>-0.21776706607688845</v>
      </c>
      <c r="K127" s="723"/>
      <c r="L127" s="723"/>
      <c r="M127" s="695"/>
      <c r="N127" s="695"/>
      <c r="O127" s="695"/>
      <c r="P127" s="695"/>
      <c r="Q127" s="695"/>
      <c r="R127" s="695"/>
      <c r="S127" s="695"/>
      <c r="T127" s="695"/>
      <c r="U127" s="695"/>
      <c r="V127" s="695"/>
      <c r="W127" s="695"/>
      <c r="X127" s="695"/>
    </row>
    <row r="128" spans="1:31" s="813" customFormat="1">
      <c r="A128" s="807" t="s">
        <v>1827</v>
      </c>
      <c r="B128" s="808"/>
      <c r="C128" s="809"/>
      <c r="D128" s="809"/>
      <c r="E128" s="809"/>
      <c r="F128" s="810">
        <f>F129/E129-1</f>
        <v>0.30597164772499097</v>
      </c>
      <c r="G128" s="810">
        <f>G129/F129-1</f>
        <v>1.0541205412054122</v>
      </c>
      <c r="H128" s="811">
        <f>H129/G129-1</f>
        <v>1.5238640718562873</v>
      </c>
      <c r="I128" s="810">
        <f>I129/H129-1</f>
        <v>0.93998943178501637</v>
      </c>
      <c r="J128" s="810">
        <f>J129/I129-1</f>
        <v>-8.0264302178281288E-2</v>
      </c>
      <c r="K128" s="812"/>
      <c r="L128" s="812"/>
      <c r="M128" s="808"/>
      <c r="N128" s="808"/>
      <c r="O128" s="808"/>
      <c r="P128" s="808"/>
      <c r="Q128" s="808"/>
      <c r="R128" s="808"/>
      <c r="S128" s="808"/>
      <c r="T128" s="808"/>
      <c r="U128" s="808"/>
      <c r="V128" s="808"/>
      <c r="W128" s="808"/>
      <c r="X128" s="808"/>
      <c r="Y128" s="808"/>
      <c r="Z128" s="808"/>
      <c r="AA128" s="808"/>
      <c r="AB128" s="808"/>
      <c r="AC128" s="808"/>
      <c r="AD128" s="808"/>
      <c r="AE128" s="808"/>
    </row>
    <row r="129" spans="1:24">
      <c r="A129" s="672" t="s">
        <v>1827</v>
      </c>
      <c r="B129" s="673"/>
      <c r="C129" s="750">
        <f t="shared" ref="C129:J129" si="140">C39+C79+C87+C84</f>
        <v>312781</v>
      </c>
      <c r="D129" s="750">
        <f t="shared" si="140"/>
        <v>-70844</v>
      </c>
      <c r="E129" s="750">
        <f t="shared" si="140"/>
        <v>1245050</v>
      </c>
      <c r="F129" s="750">
        <f t="shared" si="140"/>
        <v>1626000</v>
      </c>
      <c r="G129" s="750">
        <f t="shared" si="140"/>
        <v>3340000</v>
      </c>
      <c r="H129" s="726">
        <f t="shared" si="140"/>
        <v>8429706</v>
      </c>
      <c r="I129" s="750">
        <f t="shared" si="140"/>
        <v>16353540.553054743</v>
      </c>
      <c r="J129" s="750">
        <f t="shared" si="140"/>
        <v>15040935.032419579</v>
      </c>
      <c r="K129" s="678"/>
      <c r="L129" s="678"/>
      <c r="M129" s="673"/>
      <c r="N129" s="673"/>
      <c r="O129" s="673"/>
      <c r="P129" s="673"/>
      <c r="Q129" s="673"/>
      <c r="R129" s="673"/>
      <c r="S129" s="673"/>
      <c r="T129" s="673"/>
      <c r="U129" s="673"/>
      <c r="V129" s="673"/>
      <c r="W129" s="673"/>
      <c r="X129" s="673"/>
    </row>
    <row r="130" spans="1:24">
      <c r="A130" s="814" t="s">
        <v>1828</v>
      </c>
      <c r="B130" s="815"/>
      <c r="C130" s="705"/>
      <c r="D130" s="705"/>
      <c r="E130" s="705"/>
      <c r="F130" s="705"/>
      <c r="G130" s="705"/>
      <c r="H130" s="705"/>
      <c r="I130" s="705"/>
      <c r="J130" s="705"/>
      <c r="K130" s="705"/>
      <c r="L130" s="705"/>
      <c r="M130" s="673"/>
      <c r="N130" s="673"/>
      <c r="O130" s="673"/>
      <c r="P130" s="673"/>
      <c r="Q130" s="673"/>
      <c r="R130" s="673"/>
      <c r="S130" s="673"/>
      <c r="T130" s="673"/>
      <c r="U130" s="673"/>
      <c r="V130" s="673"/>
      <c r="W130" s="673"/>
      <c r="X130" s="673"/>
    </row>
    <row r="131" spans="1:24">
      <c r="A131" s="672" t="s">
        <v>1829</v>
      </c>
      <c r="B131" s="673"/>
      <c r="C131" s="816">
        <f t="shared" ref="C131:J131" si="141">C7</f>
        <v>7000129</v>
      </c>
      <c r="D131" s="816">
        <f t="shared" si="141"/>
        <v>11759210</v>
      </c>
      <c r="E131" s="816">
        <f t="shared" si="141"/>
        <v>21460800</v>
      </c>
      <c r="F131" s="816">
        <f t="shared" si="141"/>
        <v>24578000</v>
      </c>
      <c r="G131" s="816">
        <f t="shared" si="141"/>
        <v>31536000</v>
      </c>
      <c r="H131" s="816">
        <f t="shared" si="141"/>
        <v>53823000</v>
      </c>
      <c r="I131" s="816">
        <f t="shared" si="141"/>
        <v>81462000.00000003</v>
      </c>
      <c r="J131" s="816">
        <f t="shared" si="141"/>
        <v>98482974.651486948</v>
      </c>
      <c r="K131" s="678"/>
      <c r="L131" s="678"/>
      <c r="M131" s="673"/>
      <c r="N131" s="673"/>
      <c r="O131" s="673"/>
      <c r="P131" s="673"/>
      <c r="Q131" s="673"/>
      <c r="R131" s="673"/>
      <c r="S131" s="673"/>
      <c r="T131" s="673"/>
      <c r="U131" s="673"/>
      <c r="V131" s="673"/>
      <c r="W131" s="673"/>
      <c r="X131" s="673"/>
    </row>
    <row r="132" spans="1:24">
      <c r="A132" s="672" t="s">
        <v>1830</v>
      </c>
      <c r="B132" s="673"/>
      <c r="C132" s="816">
        <f>C37</f>
        <v>98132</v>
      </c>
      <c r="D132" s="816">
        <f>D37</f>
        <v>279178</v>
      </c>
      <c r="E132" s="816">
        <f>E37</f>
        <v>86491</v>
      </c>
      <c r="F132" s="816">
        <f t="shared" ref="F132:J132" si="142">F129</f>
        <v>1626000</v>
      </c>
      <c r="G132" s="816">
        <f t="shared" si="142"/>
        <v>3340000</v>
      </c>
      <c r="H132" s="816">
        <f t="shared" si="142"/>
        <v>8429706</v>
      </c>
      <c r="I132" s="816">
        <f t="shared" si="142"/>
        <v>16353540.553054743</v>
      </c>
      <c r="J132" s="816">
        <f t="shared" si="142"/>
        <v>15040935.032419579</v>
      </c>
      <c r="K132" s="678"/>
      <c r="L132" s="678"/>
      <c r="M132" s="673"/>
      <c r="N132" s="673"/>
      <c r="O132" s="673"/>
      <c r="P132" s="673"/>
      <c r="Q132" s="673"/>
      <c r="R132" s="673"/>
      <c r="S132" s="673"/>
      <c r="T132" s="673"/>
      <c r="U132" s="673"/>
      <c r="V132" s="673"/>
      <c r="W132" s="673"/>
      <c r="X132" s="673"/>
    </row>
    <row r="133" spans="1:24">
      <c r="A133" s="672" t="s">
        <v>1831</v>
      </c>
      <c r="B133" s="673"/>
      <c r="C133" s="819">
        <f>'Earning Forecast'!B63</f>
        <v>3387000</v>
      </c>
      <c r="D133" s="819">
        <f>'Earning Forecast'!C63</f>
        <v>3387000</v>
      </c>
      <c r="E133" s="819">
        <f>'Earning Forecast'!D63</f>
        <v>2559000</v>
      </c>
      <c r="F133" s="819">
        <f>'Earning Forecast'!E63</f>
        <v>2661000</v>
      </c>
      <c r="G133" s="819">
        <f>'Earning Forecast'!F63</f>
        <v>3249000</v>
      </c>
      <c r="H133" s="819">
        <f>'Earning Forecast'!G63</f>
        <v>3387000</v>
      </c>
      <c r="I133" s="819">
        <f>'Earning Forecast'!H63</f>
        <v>3475000</v>
      </c>
      <c r="J133" s="819">
        <f>'Earning Forecast'!I63</f>
        <v>3377534.1243042601</v>
      </c>
      <c r="K133" s="819">
        <f>'Earning Forecast'!J63</f>
        <v>3377534.1243042601</v>
      </c>
      <c r="L133" s="819">
        <f>'Earning Forecast'!K63</f>
        <v>3377534.1243042601</v>
      </c>
      <c r="M133" s="673"/>
      <c r="N133" s="673"/>
      <c r="O133" s="673"/>
      <c r="P133" s="673"/>
      <c r="Q133" s="673"/>
      <c r="R133" s="673"/>
      <c r="S133" s="673"/>
      <c r="T133" s="673"/>
      <c r="U133" s="673"/>
      <c r="V133" s="673"/>
      <c r="W133" s="673"/>
      <c r="X133" s="673"/>
    </row>
    <row r="134" spans="1:24">
      <c r="A134" s="672" t="s">
        <v>1832</v>
      </c>
      <c r="B134" s="673"/>
      <c r="C134" s="817" t="e">
        <f>'Earning Forecast'!#REF!</f>
        <v>#REF!</v>
      </c>
      <c r="D134" s="817" t="str">
        <f>'Earning Forecast'!A65</f>
        <v>EPS($)</v>
      </c>
      <c r="E134" s="817">
        <f>'Earning Forecast'!B65</f>
        <v>-0.19926601712429878</v>
      </c>
      <c r="F134" s="817">
        <f>'Earning Forecast'!C65</f>
        <v>-0.57889695896073223</v>
      </c>
      <c r="G134" s="817">
        <f>'Earning Forecast'!D65</f>
        <v>-0.30839859320046892</v>
      </c>
      <c r="H134" s="817">
        <f>'Earning Forecast'!E65</f>
        <v>-0.32393836903419765</v>
      </c>
      <c r="I134" s="817">
        <f>'Earning Forecast'!F65</f>
        <v>0.22191443521083409</v>
      </c>
      <c r="J134" s="817">
        <f>'Earning Forecast'!G65</f>
        <v>1.6293788012990846</v>
      </c>
      <c r="K134" s="817">
        <f>'Earning Forecast'!H65</f>
        <v>3.6277814541164726</v>
      </c>
      <c r="L134" s="817">
        <f>'Earning Forecast'!I65</f>
        <v>2.9196599769271137</v>
      </c>
      <c r="M134" s="673"/>
      <c r="N134" s="673"/>
      <c r="O134" s="673"/>
      <c r="P134" s="673"/>
      <c r="Q134" s="673"/>
      <c r="R134" s="673"/>
      <c r="S134" s="673"/>
      <c r="T134" s="673"/>
      <c r="U134" s="673"/>
      <c r="V134" s="673"/>
      <c r="W134" s="673"/>
      <c r="X134" s="673"/>
    </row>
    <row r="135" spans="1:24">
      <c r="A135" s="672" t="s">
        <v>1833</v>
      </c>
      <c r="B135" s="673"/>
      <c r="C135" s="820">
        <f t="shared" ref="C135:L135" si="143">(C71-C69)/C133</f>
        <v>1.4032804842043105</v>
      </c>
      <c r="D135" s="820">
        <f t="shared" si="143"/>
        <v>1.2510310008857395</v>
      </c>
      <c r="E135" s="820">
        <f t="shared" si="143"/>
        <v>1.9237983587338805</v>
      </c>
      <c r="F135" s="820">
        <f t="shared" si="143"/>
        <v>2.4870349492671928</v>
      </c>
      <c r="G135" s="820">
        <f t="shared" si="143"/>
        <v>6.8405663281009543</v>
      </c>
      <c r="H135" s="820">
        <f t="shared" si="143"/>
        <v>8.91319751992914</v>
      </c>
      <c r="I135" s="820">
        <f t="shared" si="143"/>
        <v>12.864460431654676</v>
      </c>
      <c r="J135" s="820">
        <f t="shared" si="143"/>
        <v>16.873569171319808</v>
      </c>
      <c r="K135" s="820">
        <f t="shared" si="143"/>
        <v>21.30351282025341</v>
      </c>
      <c r="L135" s="820">
        <f t="shared" si="143"/>
        <v>26.991980543319976</v>
      </c>
      <c r="M135" s="673"/>
      <c r="N135" s="673"/>
      <c r="O135" s="673"/>
      <c r="P135" s="673"/>
      <c r="Q135" s="673"/>
      <c r="R135" s="673"/>
      <c r="S135" s="673"/>
      <c r="T135" s="673"/>
      <c r="U135" s="673"/>
      <c r="V135" s="673"/>
      <c r="W135" s="673"/>
      <c r="X135" s="673"/>
    </row>
    <row r="136" spans="1:24">
      <c r="A136" s="672" t="s">
        <v>1834</v>
      </c>
      <c r="B136" s="673"/>
      <c r="C136" s="818">
        <f t="shared" ref="C136:L136" si="144">C39/(C71-C69)</f>
        <v>-0.1420001342335255</v>
      </c>
      <c r="D136" s="818">
        <f t="shared" si="144"/>
        <v>-0.46289544000555077</v>
      </c>
      <c r="E136" s="818">
        <f t="shared" si="144"/>
        <v>-0.1982715823684745</v>
      </c>
      <c r="F136" s="818">
        <f t="shared" si="144"/>
        <v>-0.13025083106678756</v>
      </c>
      <c r="G136" s="818">
        <f t="shared" si="144"/>
        <v>3.2440944881889762E-2</v>
      </c>
      <c r="H136" s="818">
        <f t="shared" si="144"/>
        <v>0.18280519394481434</v>
      </c>
      <c r="I136" s="818">
        <f t="shared" si="144"/>
        <v>0.28200028080383732</v>
      </c>
      <c r="J136" s="818">
        <f t="shared" si="144"/>
        <v>0.17303155884113047</v>
      </c>
      <c r="K136" s="818">
        <f t="shared" si="144"/>
        <v>0.1826838817046646</v>
      </c>
      <c r="L136" s="818">
        <f t="shared" si="144"/>
        <v>0.19186690528317671</v>
      </c>
      <c r="M136" s="673"/>
      <c r="N136" s="673"/>
      <c r="O136" s="673"/>
      <c r="P136" s="673"/>
      <c r="Q136" s="673"/>
      <c r="R136" s="673"/>
      <c r="S136" s="673"/>
      <c r="T136" s="673"/>
      <c r="U136" s="673"/>
      <c r="V136" s="673"/>
      <c r="W136" s="673"/>
      <c r="X136" s="673"/>
    </row>
    <row r="137" spans="1:24">
      <c r="A137" s="672" t="s">
        <v>1835</v>
      </c>
      <c r="B137" s="673"/>
      <c r="C137" s="818"/>
      <c r="D137" s="818"/>
      <c r="E137" s="827"/>
      <c r="F137" s="827"/>
      <c r="G137" s="827"/>
      <c r="H137" s="827"/>
      <c r="I137" s="827"/>
      <c r="J137" s="828">
        <v>196</v>
      </c>
      <c r="K137" s="828">
        <v>196</v>
      </c>
      <c r="L137" s="828">
        <v>196</v>
      </c>
      <c r="M137" s="673"/>
      <c r="N137" s="673"/>
      <c r="O137" s="673"/>
      <c r="P137" s="673"/>
      <c r="Q137" s="673"/>
      <c r="R137" s="673"/>
      <c r="S137" s="673"/>
      <c r="T137" s="673"/>
      <c r="U137" s="673"/>
      <c r="V137" s="673"/>
      <c r="W137" s="673"/>
      <c r="X137" s="673"/>
    </row>
    <row r="138" spans="1:24">
      <c r="A138" s="672" t="s">
        <v>1836</v>
      </c>
      <c r="B138" s="673"/>
      <c r="C138" s="821">
        <v>-47.46</v>
      </c>
      <c r="D138" s="821">
        <v>-26.67</v>
      </c>
      <c r="E138" s="821">
        <v>-58.56</v>
      </c>
      <c r="F138" s="821">
        <v>-87.47</v>
      </c>
      <c r="G138" s="822">
        <v>927.75</v>
      </c>
      <c r="H138" s="821">
        <v>192.3</v>
      </c>
      <c r="I138" s="821">
        <v>30.98</v>
      </c>
      <c r="J138" s="817">
        <f>Valuation!F4</f>
        <v>62.551804471496908</v>
      </c>
      <c r="K138" s="817">
        <f>Valuation!G4</f>
        <v>46.926766836150207</v>
      </c>
      <c r="L138" s="817">
        <f>Valuation!H4</f>
        <v>35.26446070396824</v>
      </c>
      <c r="M138" s="673"/>
      <c r="N138" s="673"/>
      <c r="O138" s="673"/>
      <c r="P138" s="673"/>
      <c r="Q138" s="673"/>
      <c r="R138" s="673"/>
      <c r="S138" s="673"/>
      <c r="T138" s="673"/>
      <c r="U138" s="673"/>
      <c r="V138" s="673"/>
      <c r="W138" s="673"/>
      <c r="X138" s="673"/>
    </row>
    <row r="139" spans="1:24">
      <c r="A139" s="672" t="s">
        <v>1837</v>
      </c>
      <c r="C139" s="822">
        <v>6.74</v>
      </c>
      <c r="D139" s="822">
        <v>12.35</v>
      </c>
      <c r="E139" s="822">
        <v>11.61</v>
      </c>
      <c r="F139" s="822">
        <v>11.39</v>
      </c>
      <c r="G139" s="823">
        <v>30.1</v>
      </c>
      <c r="H139" s="822">
        <v>35.159999999999997</v>
      </c>
      <c r="I139" s="823">
        <v>8.6999999999999993</v>
      </c>
      <c r="J139" s="820">
        <f>J137/J135</f>
        <v>11.615799716703883</v>
      </c>
      <c r="K139" s="820">
        <f>K137/K135</f>
        <v>9.2003606003260323</v>
      </c>
      <c r="L139" s="820">
        <f>L137/L135</f>
        <v>7.2614160226381177</v>
      </c>
      <c r="M139" s="673"/>
      <c r="N139" s="673"/>
      <c r="O139" s="673"/>
      <c r="P139" s="673"/>
      <c r="Q139" s="673"/>
      <c r="R139" s="673"/>
      <c r="S139" s="673"/>
      <c r="T139" s="673"/>
      <c r="U139" s="673"/>
      <c r="V139" s="673"/>
      <c r="W139" s="673"/>
      <c r="X139" s="673"/>
    </row>
    <row r="140" spans="1:24">
      <c r="C140" s="673"/>
      <c r="D140" s="673"/>
      <c r="E140" s="673"/>
      <c r="F140" s="673"/>
      <c r="G140" s="673"/>
      <c r="H140" s="673"/>
      <c r="I140" s="673"/>
      <c r="J140" s="673"/>
      <c r="K140" s="673"/>
      <c r="L140" s="673"/>
      <c r="M140" s="673"/>
      <c r="N140" s="673"/>
      <c r="O140" s="673"/>
      <c r="P140" s="673"/>
      <c r="Q140" s="673"/>
      <c r="R140" s="673"/>
      <c r="S140" s="673"/>
      <c r="T140" s="673"/>
      <c r="U140" s="673"/>
      <c r="V140" s="673"/>
      <c r="W140" s="673"/>
      <c r="X140" s="673"/>
    </row>
    <row r="141" spans="1:24">
      <c r="C141" s="673"/>
      <c r="D141" s="673"/>
      <c r="E141" s="673"/>
      <c r="F141" s="673"/>
      <c r="G141" s="673"/>
      <c r="H141" s="673"/>
      <c r="I141" s="673"/>
      <c r="J141" s="673"/>
      <c r="K141" s="673"/>
      <c r="L141" s="673"/>
      <c r="M141" s="673"/>
      <c r="N141" s="673"/>
      <c r="O141" s="673"/>
      <c r="P141" s="673"/>
      <c r="Q141" s="673"/>
      <c r="R141" s="673"/>
      <c r="S141" s="673"/>
      <c r="T141" s="673"/>
      <c r="U141" s="673"/>
      <c r="V141" s="673"/>
      <c r="W141" s="673"/>
      <c r="X141" s="673"/>
    </row>
    <row r="142" spans="1:24">
      <c r="C142" s="673"/>
      <c r="D142" s="673"/>
      <c r="E142" s="673"/>
      <c r="F142" s="673"/>
      <c r="G142" s="673"/>
      <c r="H142" s="673"/>
      <c r="I142" s="673"/>
      <c r="J142" s="673"/>
      <c r="K142" s="673"/>
      <c r="L142" s="673"/>
      <c r="M142" s="673"/>
      <c r="N142" s="673"/>
      <c r="O142" s="673"/>
      <c r="P142" s="673"/>
      <c r="Q142" s="673"/>
      <c r="R142" s="673"/>
      <c r="S142" s="673"/>
      <c r="T142" s="673"/>
      <c r="U142" s="673"/>
      <c r="V142" s="673"/>
      <c r="W142" s="673"/>
      <c r="X142" s="673"/>
    </row>
    <row r="143" spans="1:24">
      <c r="C143" s="673"/>
      <c r="D143" s="673"/>
      <c r="E143" s="673"/>
      <c r="F143" s="673"/>
      <c r="G143" s="673"/>
      <c r="H143" s="673"/>
      <c r="I143" s="673"/>
      <c r="J143" s="673"/>
      <c r="K143" s="673"/>
      <c r="L143" s="673"/>
      <c r="M143" s="673"/>
      <c r="N143" s="673"/>
      <c r="O143" s="673"/>
      <c r="P143" s="673"/>
      <c r="Q143" s="673"/>
      <c r="R143" s="673"/>
      <c r="S143" s="673"/>
      <c r="T143" s="673"/>
      <c r="U143" s="673"/>
      <c r="V143" s="673"/>
      <c r="W143" s="673"/>
      <c r="X143" s="673"/>
    </row>
    <row r="144" spans="1:24">
      <c r="C144" s="673"/>
      <c r="D144" s="673"/>
      <c r="E144" s="673"/>
      <c r="F144" s="673"/>
      <c r="G144" s="673"/>
      <c r="H144" s="673"/>
      <c r="I144" s="673"/>
      <c r="J144" s="673"/>
      <c r="K144" s="673"/>
      <c r="L144" s="673"/>
      <c r="M144" s="673"/>
      <c r="N144" s="673"/>
      <c r="O144" s="673"/>
      <c r="P144" s="673"/>
      <c r="Q144" s="673"/>
      <c r="R144" s="673"/>
      <c r="S144" s="673"/>
      <c r="T144" s="673"/>
      <c r="U144" s="673"/>
      <c r="V144" s="673"/>
      <c r="W144" s="673"/>
      <c r="X144" s="673"/>
    </row>
    <row r="145" spans="3:24">
      <c r="C145" s="673"/>
      <c r="D145" s="673"/>
      <c r="E145" s="673"/>
      <c r="F145" s="673"/>
      <c r="G145" s="673"/>
      <c r="H145" s="673"/>
      <c r="I145" s="673"/>
      <c r="J145" s="673"/>
      <c r="K145" s="673"/>
      <c r="L145" s="673"/>
      <c r="M145" s="673"/>
      <c r="N145" s="673"/>
      <c r="O145" s="673"/>
      <c r="P145" s="673"/>
      <c r="Q145" s="673"/>
      <c r="R145" s="673"/>
      <c r="S145" s="673"/>
      <c r="T145" s="673"/>
      <c r="U145" s="673"/>
      <c r="V145" s="673"/>
      <c r="W145" s="673"/>
      <c r="X145" s="673"/>
    </row>
    <row r="146" spans="3:24">
      <c r="C146" s="673"/>
      <c r="D146" s="673"/>
      <c r="E146" s="673"/>
      <c r="F146" s="673"/>
      <c r="G146" s="673"/>
      <c r="H146" s="673"/>
      <c r="I146" s="673"/>
      <c r="J146" s="673"/>
      <c r="K146" s="673"/>
      <c r="L146" s="673"/>
      <c r="M146" s="673"/>
      <c r="N146" s="673"/>
      <c r="O146" s="673"/>
      <c r="P146" s="673"/>
      <c r="Q146" s="673"/>
      <c r="R146" s="673"/>
      <c r="S146" s="673"/>
      <c r="T146" s="673"/>
      <c r="U146" s="673"/>
      <c r="V146" s="673"/>
      <c r="W146" s="673"/>
      <c r="X146" s="673"/>
    </row>
    <row r="147" spans="3:24">
      <c r="C147" s="673"/>
      <c r="D147" s="673"/>
      <c r="E147" s="673"/>
      <c r="F147" s="673"/>
      <c r="G147" s="673"/>
      <c r="H147" s="673"/>
      <c r="I147" s="673"/>
      <c r="J147" s="673"/>
      <c r="K147" s="673"/>
      <c r="L147" s="673"/>
      <c r="M147" s="673"/>
      <c r="N147" s="673"/>
      <c r="O147" s="673"/>
      <c r="P147" s="673"/>
      <c r="Q147" s="673"/>
      <c r="R147" s="673"/>
      <c r="S147" s="673"/>
      <c r="T147" s="673"/>
      <c r="U147" s="673"/>
      <c r="V147" s="673"/>
      <c r="W147" s="673"/>
      <c r="X147" s="673"/>
    </row>
    <row r="148" spans="3:24">
      <c r="C148" s="673"/>
      <c r="D148" s="673"/>
      <c r="E148" s="673"/>
      <c r="F148" s="673"/>
      <c r="G148" s="673"/>
      <c r="H148" s="673"/>
      <c r="I148" s="673"/>
      <c r="J148" s="673"/>
      <c r="K148" s="673"/>
      <c r="L148" s="673"/>
      <c r="M148" s="673"/>
      <c r="N148" s="673"/>
      <c r="O148" s="673"/>
      <c r="P148" s="673"/>
      <c r="Q148" s="673"/>
      <c r="R148" s="673"/>
      <c r="S148" s="673"/>
      <c r="T148" s="673"/>
      <c r="U148" s="673"/>
      <c r="V148" s="673"/>
      <c r="W148" s="673"/>
      <c r="X148" s="673"/>
    </row>
    <row r="149" spans="3:24">
      <c r="C149" s="673"/>
      <c r="D149" s="673"/>
      <c r="E149" s="673"/>
      <c r="F149" s="673"/>
      <c r="G149" s="673"/>
      <c r="H149" s="673"/>
      <c r="I149" s="673"/>
      <c r="J149" s="673"/>
      <c r="K149" s="673"/>
      <c r="L149" s="673"/>
      <c r="M149" s="673"/>
      <c r="N149" s="673"/>
      <c r="O149" s="673"/>
      <c r="P149" s="673"/>
      <c r="Q149" s="673"/>
      <c r="R149" s="673"/>
      <c r="S149" s="673"/>
      <c r="T149" s="673"/>
      <c r="U149" s="673"/>
      <c r="V149" s="673"/>
      <c r="W149" s="673"/>
      <c r="X149" s="673"/>
    </row>
    <row r="150" spans="3:24">
      <c r="C150" s="673"/>
      <c r="D150" s="673"/>
      <c r="E150" s="673"/>
      <c r="F150" s="673"/>
      <c r="G150" s="673"/>
      <c r="H150" s="673"/>
      <c r="I150" s="673"/>
      <c r="J150" s="673"/>
      <c r="K150" s="673"/>
      <c r="L150" s="673"/>
      <c r="M150" s="673"/>
      <c r="N150" s="673"/>
      <c r="O150" s="673"/>
      <c r="P150" s="673"/>
      <c r="Q150" s="673"/>
      <c r="R150" s="673"/>
      <c r="S150" s="673"/>
      <c r="T150" s="673"/>
      <c r="U150" s="673"/>
      <c r="V150" s="673"/>
      <c r="W150" s="673"/>
      <c r="X150" s="673"/>
    </row>
    <row r="151" spans="3:24">
      <c r="C151" s="673"/>
      <c r="D151" s="673"/>
      <c r="E151" s="673"/>
      <c r="F151" s="673"/>
      <c r="G151" s="673"/>
      <c r="H151" s="673"/>
      <c r="I151" s="673"/>
      <c r="J151" s="673"/>
      <c r="K151" s="673"/>
      <c r="L151" s="673"/>
      <c r="M151" s="673"/>
      <c r="N151" s="673"/>
      <c r="O151" s="673"/>
      <c r="P151" s="673"/>
      <c r="Q151" s="673"/>
      <c r="R151" s="673"/>
      <c r="S151" s="673"/>
      <c r="T151" s="673"/>
      <c r="U151" s="673"/>
      <c r="V151" s="673"/>
      <c r="W151" s="673"/>
      <c r="X151" s="673"/>
    </row>
    <row r="152" spans="3:24">
      <c r="C152" s="673"/>
      <c r="D152" s="673"/>
      <c r="E152" s="673"/>
      <c r="F152" s="673"/>
      <c r="G152" s="673"/>
      <c r="H152" s="673"/>
      <c r="I152" s="673"/>
      <c r="J152" s="673"/>
      <c r="K152" s="673"/>
      <c r="L152" s="673"/>
      <c r="M152" s="673"/>
      <c r="N152" s="673"/>
      <c r="O152" s="673"/>
      <c r="P152" s="673"/>
      <c r="Q152" s="673"/>
      <c r="R152" s="673"/>
      <c r="S152" s="673"/>
      <c r="T152" s="673"/>
      <c r="U152" s="673"/>
      <c r="V152" s="673"/>
      <c r="W152" s="673"/>
      <c r="X152" s="673"/>
    </row>
    <row r="153" spans="3:24">
      <c r="C153" s="673"/>
      <c r="D153" s="673"/>
      <c r="E153" s="673"/>
      <c r="F153" s="673"/>
      <c r="G153" s="673"/>
      <c r="H153" s="673"/>
      <c r="I153" s="673"/>
      <c r="J153" s="673"/>
      <c r="K153" s="673"/>
      <c r="L153" s="673"/>
      <c r="M153" s="673"/>
      <c r="N153" s="673"/>
      <c r="O153" s="673"/>
      <c r="P153" s="673"/>
      <c r="Q153" s="673"/>
      <c r="R153" s="673"/>
      <c r="S153" s="673"/>
      <c r="T153" s="673"/>
      <c r="U153" s="673"/>
      <c r="V153" s="673"/>
      <c r="W153" s="673"/>
      <c r="X153" s="673"/>
    </row>
    <row r="154" spans="3:24">
      <c r="C154" s="673"/>
      <c r="D154" s="673"/>
      <c r="E154" s="673"/>
      <c r="F154" s="673"/>
      <c r="G154" s="673"/>
      <c r="H154" s="673"/>
      <c r="I154" s="673"/>
      <c r="J154" s="673"/>
      <c r="K154" s="673"/>
      <c r="L154" s="673"/>
      <c r="M154" s="673"/>
      <c r="N154" s="673"/>
      <c r="O154" s="673"/>
      <c r="P154" s="673"/>
      <c r="Q154" s="673"/>
      <c r="R154" s="673"/>
      <c r="S154" s="673"/>
      <c r="T154" s="673"/>
      <c r="U154" s="673"/>
      <c r="V154" s="673"/>
      <c r="W154" s="673"/>
      <c r="X154" s="673"/>
    </row>
    <row r="155" spans="3:24">
      <c r="C155" s="673"/>
      <c r="D155" s="673"/>
      <c r="E155" s="673"/>
      <c r="F155" s="673"/>
      <c r="G155" s="673"/>
      <c r="H155" s="673"/>
      <c r="I155" s="673"/>
      <c r="J155" s="673"/>
      <c r="K155" s="673"/>
      <c r="L155" s="673"/>
      <c r="M155" s="673"/>
      <c r="N155" s="673"/>
      <c r="O155" s="673"/>
      <c r="P155" s="673"/>
      <c r="Q155" s="673"/>
      <c r="R155" s="673"/>
      <c r="S155" s="673"/>
      <c r="T155" s="673"/>
      <c r="U155" s="673"/>
      <c r="V155" s="673"/>
      <c r="W155" s="673"/>
      <c r="X155" s="673"/>
    </row>
    <row r="156" spans="3:24">
      <c r="C156" s="673"/>
      <c r="D156" s="673"/>
      <c r="E156" s="673"/>
      <c r="F156" s="673"/>
      <c r="G156" s="673"/>
      <c r="H156" s="673"/>
      <c r="I156" s="673"/>
      <c r="J156" s="673"/>
      <c r="K156" s="673"/>
      <c r="L156" s="673"/>
      <c r="M156" s="673"/>
      <c r="N156" s="673"/>
      <c r="O156" s="673"/>
      <c r="P156" s="673"/>
      <c r="Q156" s="673"/>
      <c r="R156" s="673"/>
      <c r="S156" s="673"/>
      <c r="T156" s="673"/>
      <c r="U156" s="673"/>
      <c r="V156" s="673"/>
      <c r="W156" s="673"/>
      <c r="X156" s="673"/>
    </row>
    <row r="157" spans="3:24">
      <c r="C157" s="673"/>
      <c r="D157" s="673"/>
      <c r="E157" s="673"/>
      <c r="F157" s="673"/>
      <c r="G157" s="673"/>
      <c r="H157" s="673"/>
      <c r="I157" s="673"/>
      <c r="J157" s="673"/>
      <c r="K157" s="673"/>
      <c r="L157" s="673"/>
      <c r="M157" s="673"/>
      <c r="N157" s="673"/>
      <c r="O157" s="673"/>
      <c r="P157" s="673"/>
      <c r="Q157" s="673"/>
      <c r="R157" s="673"/>
      <c r="S157" s="673"/>
      <c r="T157" s="673"/>
      <c r="U157" s="673"/>
      <c r="V157" s="673"/>
      <c r="W157" s="673"/>
      <c r="X157" s="673"/>
    </row>
    <row r="158" spans="3:24">
      <c r="C158" s="673"/>
      <c r="D158" s="673"/>
      <c r="E158" s="673"/>
      <c r="F158" s="673"/>
      <c r="G158" s="673"/>
      <c r="H158" s="673"/>
      <c r="I158" s="673"/>
      <c r="J158" s="673"/>
      <c r="K158" s="673"/>
      <c r="L158" s="673"/>
      <c r="M158" s="673"/>
      <c r="N158" s="673"/>
      <c r="O158" s="673"/>
      <c r="P158" s="673"/>
      <c r="Q158" s="673"/>
      <c r="R158" s="673"/>
      <c r="S158" s="673"/>
      <c r="T158" s="673"/>
      <c r="U158" s="673"/>
      <c r="V158" s="673"/>
      <c r="W158" s="673"/>
      <c r="X158" s="673"/>
    </row>
    <row r="159" spans="3:24">
      <c r="C159" s="673"/>
      <c r="D159" s="673"/>
      <c r="E159" s="673"/>
      <c r="F159" s="673"/>
      <c r="G159" s="673"/>
      <c r="H159" s="673"/>
      <c r="I159" s="673"/>
      <c r="J159" s="673"/>
      <c r="K159" s="673"/>
      <c r="L159" s="673"/>
      <c r="M159" s="673"/>
      <c r="N159" s="673"/>
      <c r="O159" s="673"/>
      <c r="P159" s="673"/>
      <c r="Q159" s="673"/>
      <c r="R159" s="673"/>
      <c r="S159" s="673"/>
      <c r="T159" s="673"/>
      <c r="U159" s="673"/>
      <c r="V159" s="673"/>
      <c r="W159" s="673"/>
      <c r="X159" s="673"/>
    </row>
    <row r="160" spans="3:24">
      <c r="C160" s="673"/>
      <c r="D160" s="673"/>
      <c r="E160" s="673"/>
      <c r="F160" s="673"/>
      <c r="G160" s="673"/>
      <c r="H160" s="673"/>
      <c r="I160" s="673"/>
      <c r="J160" s="673"/>
      <c r="K160" s="673"/>
      <c r="L160" s="673"/>
      <c r="M160" s="673"/>
      <c r="N160" s="673"/>
      <c r="O160" s="673"/>
      <c r="P160" s="673"/>
      <c r="Q160" s="673"/>
      <c r="R160" s="673"/>
      <c r="S160" s="673"/>
      <c r="T160" s="673"/>
      <c r="U160" s="673"/>
      <c r="V160" s="673"/>
      <c r="W160" s="673"/>
      <c r="X160" s="673"/>
    </row>
    <row r="161" spans="3:24">
      <c r="C161" s="673"/>
      <c r="D161" s="673"/>
      <c r="E161" s="673"/>
      <c r="F161" s="673"/>
      <c r="G161" s="673"/>
      <c r="H161" s="673"/>
      <c r="I161" s="673"/>
      <c r="J161" s="673"/>
      <c r="K161" s="673"/>
      <c r="L161" s="673"/>
      <c r="M161" s="673"/>
      <c r="N161" s="673"/>
      <c r="O161" s="673"/>
      <c r="P161" s="673"/>
      <c r="Q161" s="673"/>
      <c r="R161" s="673"/>
      <c r="S161" s="673"/>
      <c r="T161" s="673"/>
      <c r="U161" s="673"/>
      <c r="V161" s="673"/>
      <c r="W161" s="673"/>
      <c r="X161" s="673"/>
    </row>
    <row r="162" spans="3:24">
      <c r="C162" s="673"/>
      <c r="D162" s="673"/>
      <c r="E162" s="673"/>
      <c r="F162" s="673"/>
      <c r="G162" s="673"/>
      <c r="H162" s="673"/>
      <c r="I162" s="673"/>
      <c r="J162" s="673"/>
      <c r="K162" s="673"/>
      <c r="L162" s="673"/>
      <c r="M162" s="673"/>
      <c r="N162" s="673"/>
      <c r="O162" s="673"/>
      <c r="P162" s="673"/>
      <c r="Q162" s="673"/>
      <c r="R162" s="673"/>
      <c r="S162" s="673"/>
      <c r="T162" s="673"/>
      <c r="U162" s="673"/>
      <c r="V162" s="673"/>
      <c r="W162" s="673"/>
      <c r="X162" s="673"/>
    </row>
    <row r="163" spans="3:24">
      <c r="C163" s="673"/>
      <c r="D163" s="673"/>
      <c r="E163" s="673"/>
      <c r="F163" s="673"/>
      <c r="G163" s="673"/>
      <c r="H163" s="673"/>
      <c r="I163" s="673"/>
      <c r="J163" s="673"/>
      <c r="K163" s="673"/>
      <c r="L163" s="673"/>
      <c r="M163" s="673"/>
      <c r="N163" s="673"/>
      <c r="O163" s="673"/>
      <c r="P163" s="673"/>
      <c r="Q163" s="673"/>
      <c r="R163" s="673"/>
      <c r="S163" s="673"/>
      <c r="T163" s="673"/>
      <c r="U163" s="673"/>
      <c r="V163" s="673"/>
      <c r="W163" s="673"/>
      <c r="X163" s="673"/>
    </row>
    <row r="164" spans="3:24">
      <c r="C164" s="673"/>
      <c r="D164" s="673"/>
      <c r="E164" s="673"/>
      <c r="F164" s="673"/>
      <c r="G164" s="673"/>
      <c r="H164" s="673"/>
      <c r="I164" s="673"/>
      <c r="J164" s="673"/>
      <c r="K164" s="673"/>
      <c r="L164" s="673"/>
      <c r="M164" s="673"/>
      <c r="N164" s="673"/>
      <c r="O164" s="673"/>
      <c r="P164" s="673"/>
      <c r="Q164" s="673"/>
      <c r="R164" s="673"/>
      <c r="S164" s="673"/>
      <c r="T164" s="673"/>
      <c r="U164" s="673"/>
      <c r="V164" s="673"/>
      <c r="W164" s="673"/>
      <c r="X164" s="673"/>
    </row>
    <row r="165" spans="3:24">
      <c r="C165" s="673"/>
      <c r="D165" s="673"/>
      <c r="E165" s="673"/>
      <c r="F165" s="673"/>
      <c r="G165" s="673"/>
      <c r="H165" s="673"/>
      <c r="I165" s="673"/>
      <c r="J165" s="673"/>
      <c r="K165" s="673"/>
      <c r="L165" s="673"/>
      <c r="M165" s="673"/>
      <c r="N165" s="673"/>
      <c r="O165" s="673"/>
      <c r="P165" s="673"/>
      <c r="Q165" s="673"/>
      <c r="R165" s="673"/>
      <c r="S165" s="673"/>
      <c r="T165" s="673"/>
      <c r="U165" s="673"/>
      <c r="V165" s="673"/>
      <c r="W165" s="673"/>
      <c r="X165" s="673"/>
    </row>
    <row r="166" spans="3:24">
      <c r="C166" s="673"/>
      <c r="D166" s="673"/>
      <c r="E166" s="673"/>
      <c r="F166" s="673"/>
      <c r="G166" s="673"/>
      <c r="H166" s="673"/>
      <c r="I166" s="673"/>
      <c r="J166" s="673"/>
      <c r="K166" s="673"/>
      <c r="L166" s="673"/>
      <c r="M166" s="673"/>
      <c r="N166" s="673"/>
      <c r="O166" s="673"/>
      <c r="P166" s="673"/>
      <c r="Q166" s="673"/>
      <c r="R166" s="673"/>
      <c r="S166" s="673"/>
      <c r="T166" s="673"/>
      <c r="U166" s="673"/>
      <c r="V166" s="673"/>
      <c r="W166" s="673"/>
      <c r="X166" s="673"/>
    </row>
    <row r="167" spans="3:24">
      <c r="C167" s="673"/>
      <c r="D167" s="673"/>
      <c r="E167" s="673"/>
      <c r="F167" s="673"/>
      <c r="G167" s="673"/>
      <c r="H167" s="673"/>
      <c r="I167" s="673"/>
      <c r="J167" s="673"/>
      <c r="K167" s="673"/>
      <c r="L167" s="673"/>
      <c r="M167" s="673"/>
      <c r="N167" s="673"/>
      <c r="O167" s="673"/>
      <c r="P167" s="673"/>
      <c r="Q167" s="673"/>
      <c r="R167" s="673"/>
      <c r="S167" s="673"/>
      <c r="T167" s="673"/>
      <c r="U167" s="673"/>
      <c r="V167" s="673"/>
      <c r="W167" s="673"/>
      <c r="X167" s="673"/>
    </row>
    <row r="168" spans="3:24">
      <c r="C168" s="673"/>
      <c r="D168" s="673"/>
      <c r="E168" s="673"/>
      <c r="F168" s="673"/>
      <c r="G168" s="673"/>
      <c r="H168" s="673"/>
      <c r="I168" s="673"/>
      <c r="J168" s="673"/>
      <c r="K168" s="673"/>
      <c r="L168" s="673"/>
      <c r="M168" s="673"/>
      <c r="N168" s="673"/>
      <c r="O168" s="673"/>
      <c r="P168" s="673"/>
      <c r="Q168" s="673"/>
      <c r="R168" s="673"/>
      <c r="S168" s="673"/>
      <c r="T168" s="673"/>
      <c r="U168" s="673"/>
      <c r="V168" s="673"/>
      <c r="W168" s="673"/>
      <c r="X168" s="673"/>
    </row>
    <row r="169" spans="3:24">
      <c r="C169" s="673"/>
      <c r="D169" s="673"/>
      <c r="E169" s="673"/>
      <c r="F169" s="673"/>
      <c r="G169" s="673"/>
      <c r="H169" s="673"/>
      <c r="I169" s="673"/>
      <c r="J169" s="673"/>
      <c r="K169" s="673"/>
      <c r="L169" s="673"/>
      <c r="M169" s="673"/>
      <c r="N169" s="673"/>
      <c r="O169" s="673"/>
      <c r="P169" s="673"/>
      <c r="Q169" s="673"/>
      <c r="R169" s="673"/>
      <c r="S169" s="673"/>
      <c r="T169" s="673"/>
      <c r="U169" s="673"/>
      <c r="V169" s="673"/>
      <c r="W169" s="673"/>
      <c r="X169" s="673"/>
    </row>
    <row r="170" spans="3:24">
      <c r="C170" s="673"/>
      <c r="D170" s="673"/>
      <c r="E170" s="673"/>
      <c r="F170" s="673"/>
      <c r="G170" s="673"/>
      <c r="H170" s="673"/>
      <c r="I170" s="673"/>
      <c r="J170" s="673"/>
      <c r="K170" s="673"/>
      <c r="L170" s="673"/>
      <c r="M170" s="673"/>
      <c r="N170" s="673"/>
      <c r="O170" s="673"/>
      <c r="P170" s="673"/>
      <c r="Q170" s="673"/>
      <c r="R170" s="673"/>
      <c r="S170" s="673"/>
      <c r="T170" s="673"/>
      <c r="U170" s="673"/>
      <c r="V170" s="673"/>
      <c r="W170" s="673"/>
      <c r="X170" s="673"/>
    </row>
    <row r="171" spans="3:24">
      <c r="C171" s="673"/>
      <c r="D171" s="673"/>
      <c r="E171" s="673"/>
      <c r="F171" s="673"/>
      <c r="G171" s="673"/>
      <c r="H171" s="673"/>
      <c r="I171" s="673"/>
      <c r="J171" s="673"/>
      <c r="K171" s="673"/>
      <c r="L171" s="673"/>
      <c r="M171" s="673"/>
      <c r="N171" s="673"/>
      <c r="O171" s="673"/>
      <c r="P171" s="673"/>
      <c r="Q171" s="673"/>
      <c r="R171" s="673"/>
      <c r="S171" s="673"/>
      <c r="T171" s="673"/>
      <c r="U171" s="673"/>
      <c r="V171" s="673"/>
      <c r="W171" s="673"/>
      <c r="X171" s="673"/>
    </row>
    <row r="172" spans="3:24">
      <c r="C172" s="673"/>
      <c r="D172" s="673"/>
      <c r="E172" s="673"/>
      <c r="F172" s="673"/>
      <c r="G172" s="673"/>
      <c r="H172" s="673"/>
      <c r="I172" s="673"/>
      <c r="J172" s="673"/>
      <c r="K172" s="673"/>
      <c r="L172" s="673"/>
      <c r="M172" s="673"/>
      <c r="N172" s="673"/>
      <c r="O172" s="673"/>
      <c r="P172" s="673"/>
      <c r="Q172" s="673"/>
      <c r="R172" s="673"/>
      <c r="S172" s="673"/>
      <c r="T172" s="673"/>
      <c r="U172" s="673"/>
      <c r="V172" s="673"/>
      <c r="W172" s="673"/>
      <c r="X172" s="673"/>
    </row>
    <row r="173" spans="3:24">
      <c r="C173" s="673"/>
      <c r="D173" s="673"/>
      <c r="E173" s="673"/>
      <c r="F173" s="673"/>
      <c r="G173" s="673"/>
      <c r="H173" s="673"/>
      <c r="I173" s="673"/>
      <c r="J173" s="673"/>
      <c r="K173" s="673"/>
      <c r="L173" s="673"/>
      <c r="M173" s="673"/>
      <c r="N173" s="673"/>
      <c r="O173" s="673"/>
      <c r="P173" s="673"/>
      <c r="Q173" s="673"/>
      <c r="R173" s="673"/>
      <c r="S173" s="673"/>
      <c r="T173" s="673"/>
      <c r="U173" s="673"/>
      <c r="V173" s="673"/>
      <c r="W173" s="673"/>
      <c r="X173" s="673"/>
    </row>
    <row r="174" spans="3:24">
      <c r="C174" s="673"/>
      <c r="D174" s="673"/>
      <c r="E174" s="673"/>
      <c r="F174" s="673"/>
      <c r="G174" s="673"/>
      <c r="H174" s="673"/>
      <c r="I174" s="673"/>
      <c r="J174" s="673"/>
      <c r="K174" s="673"/>
      <c r="L174" s="673"/>
      <c r="M174" s="673"/>
      <c r="N174" s="673"/>
      <c r="O174" s="673"/>
      <c r="P174" s="673"/>
      <c r="Q174" s="673"/>
      <c r="R174" s="673"/>
      <c r="S174" s="673"/>
      <c r="T174" s="673"/>
      <c r="U174" s="673"/>
      <c r="V174" s="673"/>
      <c r="W174" s="673"/>
      <c r="X174" s="673"/>
    </row>
    <row r="175" spans="3:24">
      <c r="C175" s="673"/>
      <c r="D175" s="673"/>
      <c r="E175" s="673"/>
      <c r="F175" s="673"/>
      <c r="G175" s="673"/>
      <c r="H175" s="673"/>
      <c r="I175" s="673"/>
      <c r="J175" s="673"/>
      <c r="K175" s="673"/>
      <c r="L175" s="673"/>
      <c r="M175" s="673"/>
      <c r="N175" s="673"/>
      <c r="O175" s="673"/>
      <c r="P175" s="673"/>
      <c r="Q175" s="673"/>
      <c r="R175" s="673"/>
      <c r="S175" s="673"/>
      <c r="T175" s="673"/>
      <c r="U175" s="673"/>
      <c r="V175" s="673"/>
      <c r="W175" s="673"/>
      <c r="X175" s="673"/>
    </row>
    <row r="176" spans="3:24">
      <c r="C176" s="673"/>
      <c r="D176" s="673"/>
      <c r="E176" s="673"/>
      <c r="F176" s="673"/>
      <c r="G176" s="673"/>
      <c r="H176" s="673"/>
      <c r="I176" s="673"/>
      <c r="J176" s="673"/>
      <c r="K176" s="673"/>
      <c r="L176" s="673"/>
      <c r="M176" s="673"/>
      <c r="N176" s="673"/>
      <c r="O176" s="673"/>
      <c r="P176" s="673"/>
      <c r="Q176" s="673"/>
      <c r="R176" s="673"/>
      <c r="S176" s="673"/>
      <c r="T176" s="673"/>
      <c r="U176" s="673"/>
      <c r="V176" s="673"/>
      <c r="W176" s="673"/>
      <c r="X176" s="673"/>
    </row>
    <row r="177" spans="3:24">
      <c r="C177" s="673"/>
      <c r="D177" s="673"/>
      <c r="E177" s="673"/>
      <c r="F177" s="673"/>
      <c r="G177" s="673"/>
      <c r="H177" s="673"/>
      <c r="I177" s="673"/>
      <c r="J177" s="673"/>
      <c r="K177" s="673"/>
      <c r="L177" s="673"/>
      <c r="M177" s="673"/>
      <c r="N177" s="673"/>
      <c r="O177" s="673"/>
      <c r="P177" s="673"/>
      <c r="Q177" s="673"/>
      <c r="R177" s="673"/>
      <c r="S177" s="673"/>
      <c r="T177" s="673"/>
      <c r="U177" s="673"/>
      <c r="V177" s="673"/>
      <c r="W177" s="673"/>
      <c r="X177" s="673"/>
    </row>
    <row r="178" spans="3:24">
      <c r="C178" s="673"/>
      <c r="D178" s="673"/>
      <c r="E178" s="673"/>
      <c r="F178" s="673"/>
      <c r="G178" s="673"/>
      <c r="H178" s="673"/>
      <c r="I178" s="673"/>
      <c r="J178" s="673"/>
      <c r="K178" s="673"/>
      <c r="L178" s="673"/>
      <c r="M178" s="673"/>
      <c r="N178" s="673"/>
      <c r="O178" s="673"/>
      <c r="P178" s="673"/>
      <c r="Q178" s="673"/>
      <c r="R178" s="673"/>
      <c r="S178" s="673"/>
      <c r="T178" s="673"/>
      <c r="U178" s="673"/>
      <c r="V178" s="673"/>
      <c r="W178" s="673"/>
      <c r="X178" s="673"/>
    </row>
    <row r="179" spans="3:24">
      <c r="C179" s="673"/>
      <c r="D179" s="673"/>
      <c r="E179" s="673"/>
      <c r="F179" s="673"/>
      <c r="G179" s="673"/>
      <c r="H179" s="673"/>
      <c r="I179" s="673"/>
      <c r="J179" s="673"/>
      <c r="K179" s="673"/>
      <c r="L179" s="673"/>
      <c r="M179" s="673"/>
      <c r="N179" s="673"/>
      <c r="O179" s="673"/>
      <c r="P179" s="673"/>
      <c r="Q179" s="673"/>
      <c r="R179" s="673"/>
      <c r="S179" s="673"/>
      <c r="T179" s="673"/>
      <c r="U179" s="673"/>
      <c r="V179" s="673"/>
      <c r="W179" s="673"/>
      <c r="X179" s="673"/>
    </row>
    <row r="180" spans="3:24">
      <c r="C180" s="673"/>
      <c r="D180" s="673"/>
      <c r="E180" s="673"/>
      <c r="F180" s="673"/>
      <c r="G180" s="673"/>
      <c r="H180" s="673"/>
      <c r="I180" s="673"/>
      <c r="J180" s="673"/>
      <c r="K180" s="673"/>
      <c r="L180" s="673"/>
      <c r="M180" s="673"/>
      <c r="N180" s="673"/>
      <c r="O180" s="673"/>
      <c r="P180" s="673"/>
      <c r="Q180" s="673"/>
      <c r="R180" s="673"/>
      <c r="S180" s="673"/>
      <c r="T180" s="673"/>
      <c r="U180" s="673"/>
      <c r="V180" s="673"/>
      <c r="W180" s="673"/>
      <c r="X180" s="673"/>
    </row>
    <row r="181" spans="3:24">
      <c r="C181" s="673"/>
      <c r="D181" s="673"/>
      <c r="E181" s="673"/>
      <c r="F181" s="673"/>
      <c r="G181" s="673"/>
      <c r="H181" s="673"/>
      <c r="I181" s="673"/>
      <c r="J181" s="673"/>
      <c r="K181" s="673"/>
      <c r="L181" s="673"/>
      <c r="M181" s="673"/>
      <c r="N181" s="673"/>
      <c r="O181" s="673"/>
      <c r="P181" s="673"/>
      <c r="Q181" s="673"/>
      <c r="R181" s="673"/>
      <c r="S181" s="673"/>
      <c r="T181" s="673"/>
      <c r="U181" s="673"/>
      <c r="V181" s="673"/>
      <c r="W181" s="673"/>
      <c r="X181" s="673"/>
    </row>
    <row r="182" spans="3:24">
      <c r="C182" s="673"/>
      <c r="D182" s="673"/>
      <c r="E182" s="673"/>
      <c r="F182" s="673"/>
      <c r="G182" s="673"/>
      <c r="H182" s="673"/>
      <c r="I182" s="673"/>
      <c r="J182" s="673"/>
      <c r="K182" s="673"/>
      <c r="L182" s="673"/>
      <c r="M182" s="673"/>
      <c r="N182" s="673"/>
      <c r="O182" s="673"/>
      <c r="P182" s="673"/>
      <c r="Q182" s="673"/>
      <c r="R182" s="673"/>
      <c r="S182" s="673"/>
      <c r="T182" s="673"/>
      <c r="U182" s="673"/>
      <c r="V182" s="673"/>
      <c r="W182" s="673"/>
      <c r="X182" s="673"/>
    </row>
    <row r="183" spans="3:24">
      <c r="C183" s="673"/>
      <c r="D183" s="673"/>
      <c r="E183" s="673"/>
      <c r="F183" s="673"/>
      <c r="G183" s="673"/>
      <c r="H183" s="673"/>
      <c r="I183" s="673"/>
      <c r="J183" s="673"/>
      <c r="K183" s="673"/>
      <c r="L183" s="673"/>
      <c r="M183" s="673"/>
      <c r="N183" s="673"/>
      <c r="O183" s="673"/>
      <c r="P183" s="673"/>
      <c r="Q183" s="673"/>
      <c r="R183" s="673"/>
      <c r="S183" s="673"/>
      <c r="T183" s="673"/>
      <c r="U183" s="673"/>
      <c r="V183" s="673"/>
      <c r="W183" s="673"/>
      <c r="X183" s="673"/>
    </row>
    <row r="184" spans="3:24">
      <c r="C184" s="673"/>
      <c r="D184" s="673"/>
      <c r="E184" s="673"/>
      <c r="F184" s="673"/>
      <c r="G184" s="673"/>
      <c r="H184" s="673"/>
      <c r="I184" s="673"/>
      <c r="J184" s="673"/>
      <c r="K184" s="673"/>
      <c r="L184" s="673"/>
      <c r="M184" s="673"/>
      <c r="N184" s="673"/>
      <c r="O184" s="673"/>
      <c r="P184" s="673"/>
      <c r="Q184" s="673"/>
      <c r="R184" s="673"/>
      <c r="S184" s="673"/>
      <c r="T184" s="673"/>
      <c r="U184" s="673"/>
      <c r="V184" s="673"/>
      <c r="W184" s="673"/>
      <c r="X184" s="673"/>
    </row>
    <row r="185" spans="3:24">
      <c r="C185" s="673"/>
      <c r="D185" s="673"/>
      <c r="E185" s="673"/>
      <c r="F185" s="673"/>
      <c r="G185" s="673"/>
      <c r="H185" s="673"/>
      <c r="I185" s="673"/>
      <c r="J185" s="673"/>
      <c r="K185" s="673"/>
      <c r="L185" s="673"/>
      <c r="M185" s="673"/>
      <c r="N185" s="673"/>
      <c r="O185" s="673"/>
      <c r="P185" s="673"/>
      <c r="Q185" s="673"/>
      <c r="R185" s="673"/>
      <c r="S185" s="673"/>
      <c r="T185" s="673"/>
      <c r="U185" s="673"/>
      <c r="V185" s="673"/>
      <c r="W185" s="673"/>
      <c r="X185" s="673"/>
    </row>
    <row r="186" spans="3:24">
      <c r="C186" s="673"/>
      <c r="D186" s="673"/>
      <c r="E186" s="673"/>
      <c r="F186" s="673"/>
      <c r="G186" s="673"/>
      <c r="H186" s="673"/>
      <c r="I186" s="673"/>
      <c r="J186" s="673"/>
      <c r="K186" s="673"/>
      <c r="L186" s="673"/>
      <c r="M186" s="673"/>
      <c r="N186" s="673"/>
      <c r="O186" s="673"/>
      <c r="P186" s="673"/>
      <c r="Q186" s="673"/>
      <c r="R186" s="673"/>
      <c r="S186" s="673"/>
      <c r="T186" s="673"/>
      <c r="U186" s="673"/>
      <c r="V186" s="673"/>
      <c r="W186" s="673"/>
      <c r="X186" s="673"/>
    </row>
    <row r="187" spans="3:24">
      <c r="C187" s="673"/>
      <c r="D187" s="673"/>
      <c r="E187" s="673"/>
      <c r="F187" s="673"/>
      <c r="G187" s="673"/>
      <c r="H187" s="673"/>
      <c r="I187" s="673"/>
      <c r="J187" s="673"/>
      <c r="K187" s="673"/>
      <c r="L187" s="673"/>
      <c r="M187" s="673"/>
      <c r="N187" s="673"/>
      <c r="O187" s="673"/>
      <c r="P187" s="673"/>
      <c r="Q187" s="673"/>
      <c r="R187" s="673"/>
      <c r="S187" s="673"/>
      <c r="T187" s="673"/>
      <c r="U187" s="673"/>
      <c r="V187" s="673"/>
      <c r="W187" s="673"/>
      <c r="X187" s="673"/>
    </row>
    <row r="188" spans="3:24">
      <c r="C188" s="673"/>
      <c r="D188" s="673"/>
      <c r="E188" s="673"/>
      <c r="F188" s="673"/>
      <c r="G188" s="673"/>
      <c r="H188" s="673"/>
      <c r="I188" s="673"/>
      <c r="J188" s="673"/>
      <c r="K188" s="673"/>
      <c r="L188" s="673"/>
      <c r="M188" s="673"/>
      <c r="N188" s="673"/>
      <c r="O188" s="673"/>
      <c r="P188" s="673"/>
      <c r="Q188" s="673"/>
      <c r="R188" s="673"/>
      <c r="S188" s="673"/>
      <c r="T188" s="673"/>
      <c r="U188" s="673"/>
      <c r="V188" s="673"/>
      <c r="W188" s="673"/>
      <c r="X188" s="673"/>
    </row>
    <row r="189" spans="3:24">
      <c r="C189" s="673"/>
      <c r="D189" s="673"/>
      <c r="E189" s="673"/>
      <c r="F189" s="673"/>
      <c r="G189" s="673"/>
      <c r="H189" s="673"/>
      <c r="I189" s="673"/>
      <c r="J189" s="673"/>
      <c r="K189" s="673"/>
      <c r="L189" s="673"/>
      <c r="M189" s="673"/>
      <c r="N189" s="673"/>
      <c r="O189" s="673"/>
      <c r="P189" s="673"/>
      <c r="Q189" s="673"/>
      <c r="R189" s="673"/>
      <c r="S189" s="673"/>
      <c r="T189" s="673"/>
      <c r="U189" s="673"/>
      <c r="V189" s="673"/>
      <c r="W189" s="673"/>
      <c r="X189" s="673"/>
    </row>
    <row r="190" spans="3:24">
      <c r="C190" s="673"/>
      <c r="D190" s="673"/>
      <c r="E190" s="673"/>
      <c r="F190" s="673"/>
      <c r="G190" s="673"/>
      <c r="H190" s="673"/>
      <c r="I190" s="673"/>
      <c r="J190" s="673"/>
      <c r="K190" s="673"/>
      <c r="L190" s="673"/>
      <c r="M190" s="673"/>
      <c r="N190" s="673"/>
      <c r="O190" s="673"/>
      <c r="P190" s="673"/>
      <c r="Q190" s="673"/>
      <c r="R190" s="673"/>
      <c r="S190" s="673"/>
      <c r="T190" s="673"/>
      <c r="U190" s="673"/>
      <c r="V190" s="673"/>
      <c r="W190" s="673"/>
      <c r="X190" s="673"/>
    </row>
    <row r="191" spans="3:24">
      <c r="C191" s="673"/>
      <c r="D191" s="673"/>
      <c r="E191" s="673"/>
      <c r="F191" s="673"/>
      <c r="G191" s="673"/>
      <c r="H191" s="673"/>
      <c r="I191" s="673"/>
      <c r="J191" s="673"/>
      <c r="K191" s="673"/>
      <c r="L191" s="673"/>
      <c r="M191" s="673"/>
      <c r="N191" s="673"/>
      <c r="O191" s="673"/>
      <c r="P191" s="673"/>
      <c r="Q191" s="673"/>
      <c r="R191" s="673"/>
      <c r="S191" s="673"/>
      <c r="T191" s="673"/>
      <c r="U191" s="673"/>
      <c r="V191" s="673"/>
      <c r="W191" s="673"/>
      <c r="X191" s="673"/>
    </row>
    <row r="192" spans="3:24">
      <c r="C192" s="673"/>
      <c r="D192" s="673"/>
      <c r="E192" s="673"/>
      <c r="F192" s="673"/>
      <c r="G192" s="673"/>
      <c r="H192" s="673"/>
      <c r="I192" s="673"/>
      <c r="J192" s="673"/>
      <c r="K192" s="673"/>
      <c r="L192" s="673"/>
      <c r="M192" s="673"/>
      <c r="N192" s="673"/>
      <c r="O192" s="673"/>
      <c r="P192" s="673"/>
      <c r="Q192" s="673"/>
      <c r="R192" s="673"/>
      <c r="S192" s="673"/>
      <c r="T192" s="673"/>
      <c r="U192" s="673"/>
      <c r="V192" s="673"/>
      <c r="W192" s="673"/>
      <c r="X192" s="673"/>
    </row>
    <row r="193" spans="3:24">
      <c r="C193" s="673"/>
      <c r="D193" s="673"/>
      <c r="E193" s="673"/>
      <c r="F193" s="673"/>
      <c r="G193" s="673"/>
      <c r="H193" s="673"/>
      <c r="I193" s="673"/>
      <c r="J193" s="673"/>
      <c r="K193" s="673"/>
      <c r="L193" s="673"/>
      <c r="M193" s="673"/>
      <c r="N193" s="673"/>
      <c r="O193" s="673"/>
      <c r="P193" s="673"/>
      <c r="Q193" s="673"/>
      <c r="R193" s="673"/>
      <c r="S193" s="673"/>
      <c r="T193" s="673"/>
      <c r="U193" s="673"/>
      <c r="V193" s="673"/>
      <c r="W193" s="673"/>
      <c r="X193" s="673"/>
    </row>
    <row r="194" spans="3:24">
      <c r="C194" s="673"/>
      <c r="D194" s="673"/>
      <c r="E194" s="673"/>
      <c r="F194" s="673"/>
      <c r="G194" s="673"/>
      <c r="H194" s="673"/>
      <c r="I194" s="673"/>
      <c r="J194" s="673"/>
      <c r="K194" s="673"/>
      <c r="L194" s="673"/>
      <c r="M194" s="673"/>
      <c r="N194" s="673"/>
      <c r="O194" s="673"/>
      <c r="P194" s="673"/>
      <c r="Q194" s="673"/>
      <c r="R194" s="673"/>
      <c r="S194" s="673"/>
      <c r="T194" s="673"/>
      <c r="U194" s="673"/>
      <c r="V194" s="673"/>
      <c r="W194" s="673"/>
      <c r="X194" s="673"/>
    </row>
    <row r="195" spans="3:24">
      <c r="C195" s="673"/>
      <c r="D195" s="673"/>
      <c r="E195" s="673"/>
      <c r="F195" s="673"/>
      <c r="G195" s="673"/>
      <c r="H195" s="673"/>
      <c r="I195" s="673"/>
      <c r="J195" s="673"/>
      <c r="K195" s="673"/>
      <c r="L195" s="673"/>
      <c r="M195" s="673"/>
      <c r="N195" s="673"/>
      <c r="O195" s="673"/>
      <c r="P195" s="673"/>
      <c r="Q195" s="673"/>
      <c r="R195" s="673"/>
      <c r="S195" s="673"/>
      <c r="T195" s="673"/>
      <c r="U195" s="673"/>
      <c r="V195" s="673"/>
      <c r="W195" s="673"/>
      <c r="X195" s="673"/>
    </row>
    <row r="196" spans="3:24">
      <c r="C196" s="673"/>
      <c r="D196" s="673"/>
      <c r="E196" s="673"/>
      <c r="F196" s="673"/>
      <c r="G196" s="673"/>
      <c r="H196" s="673"/>
      <c r="I196" s="673"/>
      <c r="J196" s="673"/>
      <c r="K196" s="673"/>
      <c r="L196" s="673"/>
      <c r="M196" s="673"/>
      <c r="N196" s="673"/>
      <c r="O196" s="673"/>
      <c r="P196" s="673"/>
      <c r="Q196" s="673"/>
      <c r="R196" s="673"/>
      <c r="S196" s="673"/>
      <c r="T196" s="673"/>
      <c r="U196" s="673"/>
      <c r="V196" s="673"/>
      <c r="W196" s="673"/>
      <c r="X196" s="673"/>
    </row>
    <row r="197" spans="3:24">
      <c r="C197" s="673"/>
      <c r="D197" s="673"/>
      <c r="E197" s="673"/>
      <c r="F197" s="673"/>
      <c r="G197" s="673"/>
      <c r="H197" s="673"/>
      <c r="I197" s="673"/>
      <c r="J197" s="673"/>
      <c r="K197" s="673"/>
      <c r="L197" s="673"/>
      <c r="M197" s="673"/>
      <c r="N197" s="673"/>
      <c r="O197" s="673"/>
      <c r="P197" s="673"/>
      <c r="Q197" s="673"/>
      <c r="R197" s="673"/>
      <c r="S197" s="673"/>
      <c r="T197" s="673"/>
      <c r="U197" s="673"/>
      <c r="V197" s="673"/>
      <c r="W197" s="673"/>
      <c r="X197" s="673"/>
    </row>
    <row r="198" spans="3:24">
      <c r="C198" s="673"/>
      <c r="D198" s="673"/>
      <c r="E198" s="673"/>
      <c r="F198" s="673"/>
      <c r="G198" s="673"/>
      <c r="H198" s="673"/>
      <c r="I198" s="673"/>
      <c r="J198" s="673"/>
      <c r="K198" s="673"/>
      <c r="L198" s="673"/>
      <c r="M198" s="673"/>
      <c r="N198" s="673"/>
      <c r="O198" s="673"/>
      <c r="P198" s="673"/>
      <c r="Q198" s="673"/>
      <c r="R198" s="673"/>
      <c r="S198" s="673"/>
      <c r="T198" s="673"/>
      <c r="U198" s="673"/>
      <c r="V198" s="673"/>
      <c r="W198" s="673"/>
      <c r="X198" s="673"/>
    </row>
  </sheetData>
  <phoneticPr fontId="4" type="noConversion"/>
  <conditionalFormatting sqref="C73:L73">
    <cfRule type="cellIs" dxfId="3" priority="1" operator="notEqual">
      <formula>0</formula>
    </cfRule>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E2254-AA3F-4352-8455-494ACA9EB96A}">
  <sheetPr>
    <pageSetUpPr fitToPage="1"/>
  </sheetPr>
  <dimension ref="A1:N61"/>
  <sheetViews>
    <sheetView showGridLines="0" topLeftCell="B44" zoomScale="150" zoomScaleNormal="100" workbookViewId="0">
      <selection activeCell="J54" sqref="J54"/>
    </sheetView>
  </sheetViews>
  <sheetFormatPr defaultColWidth="10.83203125" defaultRowHeight="15.5"/>
  <cols>
    <col min="1" max="1" width="9" style="667" bestFit="1" customWidth="1"/>
    <col min="2" max="2" width="25.83203125" style="670" customWidth="1"/>
    <col min="3" max="7" width="9.75" style="667" customWidth="1"/>
    <col min="8" max="8" width="11.1640625" style="667" bestFit="1" customWidth="1"/>
    <col min="9" max="9" width="26.75" style="670" customWidth="1"/>
    <col min="10" max="14" width="9.75" style="667" customWidth="1"/>
    <col min="15" max="16384" width="10.83203125" style="396"/>
  </cols>
  <sheetData>
    <row r="1" spans="2:14">
      <c r="B1" s="668"/>
    </row>
    <row r="2" spans="2:14">
      <c r="B2" s="668" t="s">
        <v>1474</v>
      </c>
      <c r="C2" s="1974" t="s">
        <v>1475</v>
      </c>
      <c r="D2" s="1974"/>
      <c r="E2" s="1974"/>
      <c r="F2" s="1974"/>
      <c r="G2" s="1974"/>
    </row>
    <row r="3" spans="2:14">
      <c r="B3" s="668" t="s">
        <v>1476</v>
      </c>
      <c r="C3" s="671">
        <v>2021</v>
      </c>
      <c r="D3" s="671">
        <v>2022</v>
      </c>
      <c r="E3" s="671" t="s">
        <v>11</v>
      </c>
      <c r="F3" s="671" t="s">
        <v>12</v>
      </c>
      <c r="G3" s="671" t="s">
        <v>13</v>
      </c>
      <c r="I3" s="668" t="s">
        <v>1477</v>
      </c>
      <c r="J3" s="671">
        <v>2021</v>
      </c>
      <c r="K3" s="671">
        <v>2022</v>
      </c>
      <c r="L3" s="671" t="s">
        <v>11</v>
      </c>
      <c r="M3" s="671" t="s">
        <v>12</v>
      </c>
      <c r="N3" s="671" t="s">
        <v>13</v>
      </c>
    </row>
    <row r="4" spans="2:14">
      <c r="B4" s="668" t="s">
        <v>1478</v>
      </c>
      <c r="C4" s="1210">
        <f>'Model 22A Li'!D45/1000</f>
        <v>52380.413999999997</v>
      </c>
      <c r="D4" s="1210">
        <f>'Model 22A Li'!E45/1000</f>
        <v>66992.486999999994</v>
      </c>
      <c r="E4" s="1210">
        <f>'Model 22A Li'!F45/1000</f>
        <v>81351.930126733132</v>
      </c>
      <c r="F4" s="1210">
        <f>'Model 22A Li'!G45/1000</f>
        <v>101399.44816770396</v>
      </c>
      <c r="G4" s="1210">
        <f>'Model 22A Li'!H45/1000</f>
        <v>116786.92400528654</v>
      </c>
      <c r="I4" s="669" t="s">
        <v>1479</v>
      </c>
      <c r="J4" s="1210">
        <f>'Model 22A Li'!D76/1000</f>
        <v>-321.45499999999998</v>
      </c>
      <c r="K4" s="1210">
        <f>'Model 22A Li'!E76/1000</f>
        <v>-2032.348</v>
      </c>
      <c r="L4" s="1210">
        <f>'Model 22A Li'!F76/1000</f>
        <v>6787.1994944120215</v>
      </c>
      <c r="M4" s="1210">
        <f>'Model 22A Li'!G76/1000</f>
        <v>11802.665200713989</v>
      </c>
      <c r="N4" s="1210">
        <f>'Model 22A Li'!H76/1000</f>
        <v>22467.892169112652</v>
      </c>
    </row>
    <row r="5" spans="2:14">
      <c r="B5" s="669" t="s">
        <v>1480</v>
      </c>
      <c r="C5" s="1210">
        <f>'Model 22A Li'!D41/1000</f>
        <v>50161.303</v>
      </c>
      <c r="D5" s="1210">
        <f>'Model 22A Li'!E41/1000</f>
        <v>58449.553</v>
      </c>
      <c r="E5" s="1210">
        <f>'Model 22A Li'!F41/1000</f>
        <v>61506.679807538421</v>
      </c>
      <c r="F5" s="1210">
        <f>'Model 22A Li'!G41/1000</f>
        <v>71142.451320349719</v>
      </c>
      <c r="G5" s="1210">
        <f>'Model 22A Li'!H41/1000</f>
        <v>79119.230642096387</v>
      </c>
      <c r="I5" s="669" t="s">
        <v>1481</v>
      </c>
      <c r="J5" s="1210">
        <f>'Model 22A Li'!D78/1000</f>
        <v>579.09699999999998</v>
      </c>
      <c r="K5" s="1210">
        <f>'Model 22A Li'!E78/1000</f>
        <v>1194.7429999999999</v>
      </c>
      <c r="L5" s="1210">
        <f>'Model 22A Li'!F78/1000</f>
        <v>1968.9597920297063</v>
      </c>
      <c r="M5" s="1210">
        <f>'Model 22A Li'!G78/1000</f>
        <v>3035.0237720214031</v>
      </c>
      <c r="N5" s="1210">
        <f>'Model 22A Li'!H78/1000</f>
        <v>3906.9039498684078</v>
      </c>
    </row>
    <row r="6" spans="2:14">
      <c r="B6" s="669" t="s">
        <v>1482</v>
      </c>
      <c r="C6" s="1210">
        <f>'Model 22A Li'!D42/1000</f>
        <v>120.541</v>
      </c>
      <c r="D6" s="1210">
        <f>'Model 22A Li'!E42/1000</f>
        <v>48.381</v>
      </c>
      <c r="E6" s="1210">
        <f>'Model 22A Li'!F42/1000</f>
        <v>125.64427239616158</v>
      </c>
      <c r="F6" s="1210">
        <f>'Model 22A Li'!G42/1000</f>
        <v>193.20988299392772</v>
      </c>
      <c r="G6" s="1210">
        <f>'Model 22A Li'!H42/1000</f>
        <v>248.66948374280415</v>
      </c>
      <c r="I6" s="669" t="s">
        <v>1483</v>
      </c>
      <c r="J6" s="1210">
        <f>'Model 22A Li'!D82/1000</f>
        <v>-5.4589999999999996</v>
      </c>
      <c r="K6" s="1210">
        <f>'Model 22A Li'!E82/1000</f>
        <v>72.210999999999999</v>
      </c>
      <c r="L6" s="1210">
        <f>'Model 22A Li'!F82/1000</f>
        <v>-77.263272396161582</v>
      </c>
      <c r="M6" s="1210">
        <f>'Model 22A Li'!G82/1000</f>
        <v>-67.565610597766138</v>
      </c>
      <c r="N6" s="1210">
        <f>'Model 22A Li'!H82/1000</f>
        <v>-55.459600748876433</v>
      </c>
    </row>
    <row r="7" spans="2:14">
      <c r="B7" s="669" t="s">
        <v>1484</v>
      </c>
      <c r="C7" s="1210">
        <f>'Model 22A Li'!D43/1000</f>
        <v>1617.89</v>
      </c>
      <c r="D7" s="1210">
        <f>'Model 22A Li'!E43/1000</f>
        <v>6804.6930000000002</v>
      </c>
      <c r="E7" s="1210">
        <f>'Model 22A Li'!F43/1000</f>
        <v>17084.683878049058</v>
      </c>
      <c r="F7" s="1210">
        <f>'Model 22A Li'!G43/1000</f>
        <v>26410.973765529267</v>
      </c>
      <c r="G7" s="1210">
        <f>'Model 22A Li'!H43/1000</f>
        <v>33657.960901563274</v>
      </c>
      <c r="I7" s="669" t="s">
        <v>1484</v>
      </c>
      <c r="J7" s="1210">
        <f>'Model 22A Li'!D83/1000</f>
        <v>-611.55700000000002</v>
      </c>
      <c r="K7" s="1210">
        <f>'Model 22A Li'!E83/1000</f>
        <v>-5920.1819999999998</v>
      </c>
      <c r="L7" s="1210">
        <f>'Model 22A Li'!F83/1000</f>
        <v>-10279.990878049057</v>
      </c>
      <c r="M7" s="1210">
        <f>'Model 22A Li'!G83/1000</f>
        <v>-9326.2898874802104</v>
      </c>
      <c r="N7" s="1210">
        <f>'Model 22A Li'!H83/1000</f>
        <v>-7246.9871360340048</v>
      </c>
    </row>
    <row r="8" spans="2:14">
      <c r="B8" s="669" t="s">
        <v>1485</v>
      </c>
      <c r="C8" s="1210">
        <f>'Model 22A Li'!D44/1000</f>
        <v>480.68</v>
      </c>
      <c r="D8" s="1210">
        <f>'Model 22A Li'!E44/1000</f>
        <v>1689.86</v>
      </c>
      <c r="E8" s="1210">
        <f>'Model 22A Li'!F44/1000</f>
        <v>2634.9221687494996</v>
      </c>
      <c r="F8" s="1210">
        <f>'Model 22A Li'!G44/1000</f>
        <v>3652.8131988310529</v>
      </c>
      <c r="G8" s="1210">
        <f>'Model 22A Li'!H44/1000</f>
        <v>3761.062977884073</v>
      </c>
      <c r="I8" s="669" t="s">
        <v>1485</v>
      </c>
      <c r="J8" s="1210">
        <f>'Model 22A Li'!D84/1000</f>
        <v>-99.421000000000006</v>
      </c>
      <c r="K8" s="1210">
        <f>'Model 22A Li'!E84/1000</f>
        <v>-1172.0640000000001</v>
      </c>
      <c r="L8" s="1210">
        <f>'Model 22A Li'!F84/1000</f>
        <v>-945.06216874949962</v>
      </c>
      <c r="M8" s="1210">
        <f>'Model 22A Li'!G84/1000</f>
        <v>-1017.8910300815534</v>
      </c>
      <c r="N8" s="1210">
        <f>'Model 22A Li'!H84/1000</f>
        <v>-108.24977905301982</v>
      </c>
    </row>
    <row r="9" spans="2:14">
      <c r="B9" s="668" t="s">
        <v>1486</v>
      </c>
      <c r="C9" s="1210">
        <f>('Model 22A Li'!D54-'Model 22A Li'!D45)/1000</f>
        <v>9468.4989999999998</v>
      </c>
      <c r="D9" s="1210">
        <f>('Model 22A Li'!E54-'Model 22A Li'!E45)/1000</f>
        <v>19545.464</v>
      </c>
      <c r="E9" s="1210">
        <f>('Model 22A Li'!F54-'Model 22A Li'!F45)/1000</f>
        <v>31684.186737474844</v>
      </c>
      <c r="F9" s="1210">
        <f>('Model 22A Li'!G54-'Model 22A Li'!G45)/1000</f>
        <v>44223.138013649164</v>
      </c>
      <c r="G9" s="1210">
        <f>('Model 22A Li'!H54-'Model 22A Li'!H45)/1000</f>
        <v>56901.984131273253</v>
      </c>
      <c r="I9" s="669" t="s">
        <v>1487</v>
      </c>
      <c r="J9" s="1210">
        <f>'Model 22A Li'!D85/1000</f>
        <v>6162.009</v>
      </c>
      <c r="K9" s="1210">
        <f>'Model 22A Li'!E85/1000</f>
        <v>10593.584000000001</v>
      </c>
      <c r="L9" s="1210">
        <f>'Model 22A Li'!F85/1000</f>
        <v>11198.700361268684</v>
      </c>
      <c r="M9" s="1210">
        <f>'Model 22A Li'!G85/1000</f>
        <v>12061.700302097164</v>
      </c>
      <c r="N9" s="1210">
        <f>'Model 22A Li'!H85/1000</f>
        <v>1282.727083861962</v>
      </c>
    </row>
    <row r="10" spans="2:14">
      <c r="B10" s="669" t="s">
        <v>1488</v>
      </c>
      <c r="C10" s="1210">
        <f>'Model 22A Li'!D47/1000</f>
        <v>4498.2690000000002</v>
      </c>
      <c r="D10" s="1210">
        <f>'Model 22A Li'!E47/1000</f>
        <v>11187.897999999999</v>
      </c>
      <c r="E10" s="1210">
        <f>'Model 22A Li'!F47/1000</f>
        <v>12923.613905701917</v>
      </c>
      <c r="F10" s="1210">
        <f>'Model 22A Li'!G47/1000</f>
        <v>15585.467073938411</v>
      </c>
      <c r="G10" s="1210">
        <f>'Model 22A Li'!H47/1000</f>
        <v>19010.69037205731</v>
      </c>
      <c r="I10" s="669" t="s">
        <v>1489</v>
      </c>
      <c r="J10" s="1210">
        <f>'Model 22A Li'!D86/1000</f>
        <v>13.88</v>
      </c>
      <c r="K10" s="1210">
        <f>'Model 22A Li'!E86/1000</f>
        <v>19.887</v>
      </c>
      <c r="L10" s="1210">
        <f>'Model 22A Li'!F86/1000</f>
        <v>19.887</v>
      </c>
      <c r="M10" s="1210">
        <f>'Model 22A Li'!G86/1000</f>
        <v>19.887</v>
      </c>
      <c r="N10" s="1210">
        <f>'Model 22A Li'!H86/1000</f>
        <v>19.887</v>
      </c>
    </row>
    <row r="11" spans="2:14">
      <c r="B11" s="669" t="s">
        <v>1490</v>
      </c>
      <c r="C11" s="1210"/>
      <c r="D11" s="1210"/>
      <c r="E11" s="1210"/>
      <c r="F11" s="1210"/>
      <c r="G11" s="1210"/>
      <c r="I11" s="669" t="s">
        <v>1491</v>
      </c>
      <c r="J11" s="1210">
        <f>'Model 22A Li'!D87/1000</f>
        <v>-675.322</v>
      </c>
      <c r="K11" s="1210">
        <f>'Model 22A Li'!E87/1000</f>
        <v>-766.68100000000004</v>
      </c>
      <c r="L11" s="1210">
        <f>'Model 22A Li'!F87/1000</f>
        <v>-736.26066666666668</v>
      </c>
      <c r="M11" s="1210">
        <f>'Model 22A Li'!G87/1000</f>
        <v>-726.08788888888887</v>
      </c>
      <c r="N11" s="1210">
        <f>'Model 22A Li'!H87/1000</f>
        <v>-743.00985185185175</v>
      </c>
    </row>
    <row r="12" spans="2:14">
      <c r="B12" s="669" t="s">
        <v>1492</v>
      </c>
      <c r="C12" s="1210">
        <f>'Model 22A Li'!D49/1000</f>
        <v>2061.4920000000002</v>
      </c>
      <c r="D12" s="1210">
        <f>'Model 22A Li'!E49/1000</f>
        <v>3538.9110000000001</v>
      </c>
      <c r="E12" s="1210">
        <f>'Model 22A Li'!F49/1000</f>
        <v>4275.1716666666671</v>
      </c>
      <c r="F12" s="1210">
        <f>'Model 22A Li'!G49/1000</f>
        <v>5001.2595555555563</v>
      </c>
      <c r="G12" s="1210">
        <f>'Model 22A Li'!H49/1000</f>
        <v>5744.2694074074079</v>
      </c>
      <c r="I12" s="669" t="s">
        <v>1493</v>
      </c>
      <c r="J12" s="1210">
        <f>'Model 22A Li'!D88/1000</f>
        <v>1101.356</v>
      </c>
      <c r="K12" s="1210">
        <f>'Model 22A Li'!E88/1000</f>
        <v>2053.165</v>
      </c>
      <c r="L12" s="1210">
        <f>'Model 22A Li'!F88/1000</f>
        <v>1099.1053333333332</v>
      </c>
      <c r="M12" s="1210">
        <f>'Model 22A Li'!G88/1000</f>
        <v>1417.8754444444442</v>
      </c>
      <c r="N12" s="1210">
        <f>'Model 22A Li'!H88/1000</f>
        <v>1523.3819259259255</v>
      </c>
    </row>
    <row r="13" spans="2:14">
      <c r="B13" s="669" t="s">
        <v>1494</v>
      </c>
      <c r="C13" s="1210">
        <f>'Model 22A Li'!D50/1000</f>
        <v>156.30600000000001</v>
      </c>
      <c r="D13" s="1210">
        <f>'Model 22A Li'!E50/1000</f>
        <v>1484.491</v>
      </c>
      <c r="E13" s="1210">
        <f>'Model 22A Li'!F50/1000</f>
        <v>7207.2403333333332</v>
      </c>
      <c r="F13" s="1210">
        <f>'Model 22A Li'!G50/1000</f>
        <v>12929.989666666666</v>
      </c>
      <c r="G13" s="1210">
        <f>'Model 22A Li'!H50/1000</f>
        <v>18652.739000000001</v>
      </c>
      <c r="I13" s="669" t="s">
        <v>1497</v>
      </c>
      <c r="J13" s="1210">
        <f>'Model 22A Li'!D91/1000</f>
        <v>958.16899999999998</v>
      </c>
      <c r="K13" s="1210">
        <f>'Model 22A Li'!E91/1000</f>
        <v>2121.2579999999998</v>
      </c>
      <c r="L13" s="1210">
        <f>'Model 22A Li'!F91/1000</f>
        <v>240.53892500000001</v>
      </c>
      <c r="M13" s="1210">
        <f>'Model 22A Li'!G91/1000</f>
        <v>222.92512697437755</v>
      </c>
      <c r="N13" s="1210">
        <f>'Model 22A Li'!H91/1000</f>
        <v>208.0400400954729</v>
      </c>
    </row>
    <row r="14" spans="2:14">
      <c r="B14" s="669" t="s">
        <v>1496</v>
      </c>
      <c r="C14" s="1217">
        <f>'Model 22A Li'!D51/1000</f>
        <v>0</v>
      </c>
      <c r="D14" s="1217">
        <f>'Model 22A Li'!E51/1000</f>
        <v>5.484</v>
      </c>
      <c r="E14" s="1217">
        <f>'Model 22A Li'!F51/1000</f>
        <v>5.484</v>
      </c>
      <c r="F14" s="1217">
        <f>'Model 22A Li'!G51/1000</f>
        <v>5.484</v>
      </c>
      <c r="G14" s="1217">
        <f>'Model 22A Li'!H51/1000</f>
        <v>5.484</v>
      </c>
      <c r="I14" s="668" t="s">
        <v>1499</v>
      </c>
      <c r="J14" s="1210">
        <f>'Model 22A Li'!D92/1000</f>
        <v>8340.3850000000002</v>
      </c>
      <c r="K14" s="1210">
        <f>'Model 22A Li'!E92/1000</f>
        <v>7380.2659999999996</v>
      </c>
      <c r="L14" s="1210">
        <f>'Model 22A Li'!F92/1000</f>
        <v>13208.990759628279</v>
      </c>
      <c r="M14" s="1210">
        <f>'Model 22A Li'!G92/1000</f>
        <v>21670.688261558713</v>
      </c>
      <c r="N14" s="1210">
        <f>'Model 22A Li'!H92/1000</f>
        <v>21774.207438421497</v>
      </c>
    </row>
    <row r="15" spans="2:14">
      <c r="B15" s="669" t="s">
        <v>1498</v>
      </c>
      <c r="C15" s="1210">
        <f>'Model 22A Li'!D52/1000</f>
        <v>751.46</v>
      </c>
      <c r="D15" s="1210">
        <f>'Model 22A Li'!E52/1000</f>
        <v>832.62</v>
      </c>
      <c r="E15" s="1210">
        <f>'Model 22A Li'!F52/1000</f>
        <v>790.47012754682453</v>
      </c>
      <c r="F15" s="1210">
        <f>'Model 22A Li'!G52/1000</f>
        <v>732.90356057108409</v>
      </c>
      <c r="G15" s="1210">
        <f>'Model 22A Li'!H52/1000</f>
        <v>659.50986153209658</v>
      </c>
      <c r="I15" s="669" t="s">
        <v>1501</v>
      </c>
      <c r="J15" s="1210">
        <f>'Model 22A Li'!D96/1000</f>
        <v>-3444.5729999999999</v>
      </c>
      <c r="K15" s="1210">
        <f>'Model 22A Li'!E96/1000</f>
        <v>-5127.8990000000003</v>
      </c>
      <c r="L15" s="1210">
        <f>'Model 22A Li'!F96/1000</f>
        <v>-3704.6756977316245</v>
      </c>
      <c r="M15" s="1210">
        <f>'Model 22A Li'!G96/1000</f>
        <v>-5696.8769402578964</v>
      </c>
      <c r="N15" s="1210">
        <f>'Model 22A Li'!H96/1000</f>
        <v>-7332.1272479873069</v>
      </c>
    </row>
    <row r="16" spans="2:14">
      <c r="B16" s="669" t="s">
        <v>1500</v>
      </c>
      <c r="C16" s="1210">
        <f>'Model 22A Li'!D53/1000</f>
        <v>2000.972</v>
      </c>
      <c r="D16" s="1210">
        <f>'Model 22A Li'!E53/1000</f>
        <v>2496.06</v>
      </c>
      <c r="E16" s="1210">
        <f>'Model 22A Li'!F53/1000</f>
        <v>6482.2067042261024</v>
      </c>
      <c r="F16" s="1210">
        <f>'Model 22A Li'!G53/1000</f>
        <v>9968.0341569174525</v>
      </c>
      <c r="G16" s="1210">
        <f>'Model 22A Li'!H53/1000</f>
        <v>12829.291490276428</v>
      </c>
      <c r="I16" s="669" t="s">
        <v>1503</v>
      </c>
      <c r="J16" s="1210">
        <f>'Model 22A Li'!D97/1000</f>
        <v>-630.69799999999998</v>
      </c>
      <c r="K16" s="1210">
        <f>'Model 22A Li'!E97/1000</f>
        <v>2.0939999999999999</v>
      </c>
      <c r="L16" s="1210">
        <f>'Model 22A Li'!F97/1000</f>
        <v>0</v>
      </c>
      <c r="M16" s="1210">
        <f>'Model 22A Li'!G97/1000</f>
        <v>0</v>
      </c>
      <c r="N16" s="1210">
        <f>'Model 22A Li'!H97/1000</f>
        <v>0</v>
      </c>
    </row>
    <row r="17" spans="2:14">
      <c r="B17" s="668" t="s">
        <v>1502</v>
      </c>
      <c r="C17" s="1210">
        <f>'Model 22A Li'!D54/1000</f>
        <v>61848.913</v>
      </c>
      <c r="D17" s="1210">
        <f>'Model 22A Li'!E54/1000</f>
        <v>86537.951000000001</v>
      </c>
      <c r="E17" s="1210">
        <f>'Model 22A Li'!F54/1000</f>
        <v>113036.11686420799</v>
      </c>
      <c r="F17" s="1210">
        <f>'Model 22A Li'!G54/1000</f>
        <v>145622.58618135311</v>
      </c>
      <c r="G17" s="1210">
        <f>'Model 22A Li'!H54/1000</f>
        <v>173688.9081365598</v>
      </c>
      <c r="I17" s="669" t="s">
        <v>1505</v>
      </c>
      <c r="J17" s="1210">
        <f>'Model 22A Li'!D98/1000</f>
        <v>-504.488</v>
      </c>
      <c r="K17" s="1210">
        <f>'Model 22A Li'!E98/1000</f>
        <v>921.86</v>
      </c>
      <c r="L17" s="1210">
        <f>'Model 22A Li'!F98/1000</f>
        <v>-5742.6363333333329</v>
      </c>
      <c r="M17" s="1210">
        <f>'Model 22A Li'!G98/1000</f>
        <v>-5742.6363333333329</v>
      </c>
      <c r="N17" s="1210">
        <f>'Model 22A Li'!H98/1000</f>
        <v>-5742.6363333333329</v>
      </c>
    </row>
    <row r="18" spans="2:14">
      <c r="B18" s="668" t="s">
        <v>1504</v>
      </c>
      <c r="C18" s="1210">
        <f>'Model 22A Li'!D59/1000</f>
        <v>12108.252</v>
      </c>
      <c r="D18" s="1210">
        <f>'Model 22A Li'!E59/1000</f>
        <v>27372.600999999999</v>
      </c>
      <c r="E18" s="1210">
        <f>'Model 22A Li'!F59/1000</f>
        <v>42680.857107236538</v>
      </c>
      <c r="F18" s="1210">
        <f>'Model 22A Li'!G59/1000</f>
        <v>59168.805829557525</v>
      </c>
      <c r="G18" s="1210">
        <f>'Model 22A Li'!H59/1000</f>
        <v>60922.251683271126</v>
      </c>
      <c r="I18" s="669" t="s">
        <v>1506</v>
      </c>
      <c r="J18" s="1210">
        <f>'Model 22A Li'!D99/1000</f>
        <v>322.51499999999999</v>
      </c>
      <c r="K18" s="1210">
        <f>'Model 22A Li'!E99/1000</f>
        <v>-160.71600000000001</v>
      </c>
      <c r="L18" s="1210">
        <f>'Model 22A Li'!F99/1000</f>
        <v>0</v>
      </c>
      <c r="M18" s="1210">
        <f>'Model 22A Li'!G99/1000</f>
        <v>0</v>
      </c>
      <c r="N18" s="1210">
        <f>'Model 22A Li'!H99/1000</f>
        <v>0</v>
      </c>
    </row>
    <row r="19" spans="2:14">
      <c r="B19" s="669" t="s">
        <v>1487</v>
      </c>
      <c r="C19" s="1210">
        <f>'Model 22A Li'!D56/1000</f>
        <v>9376.0499999999993</v>
      </c>
      <c r="D19" s="1210">
        <f>'Model 22A Li'!E56/1000</f>
        <v>20024.329000000002</v>
      </c>
      <c r="E19" s="1210">
        <f>'Model 22A Li'!F56/1000</f>
        <v>31223.029361268684</v>
      </c>
      <c r="F19" s="1210">
        <f>'Model 22A Li'!G56/1000</f>
        <v>43284.729663365848</v>
      </c>
      <c r="G19" s="1210">
        <f>'Model 22A Li'!H56/1000</f>
        <v>44567.456747227807</v>
      </c>
      <c r="I19" s="668" t="s">
        <v>1508</v>
      </c>
      <c r="J19" s="1210">
        <f>'Model 22A Li'!D100/1000</f>
        <v>-4257.2439999999997</v>
      </c>
      <c r="K19" s="1210">
        <f>'Model 22A Li'!E100/1000</f>
        <v>-4364.6610000000001</v>
      </c>
      <c r="L19" s="1210">
        <f>'Model 22A Li'!F100/1000</f>
        <v>-9447.3120310649574</v>
      </c>
      <c r="M19" s="1210">
        <f>'Model 22A Li'!G100/1000</f>
        <v>-11439.51327359123</v>
      </c>
      <c r="N19" s="1210">
        <f>'Model 22A Li'!H100/1000</f>
        <v>-13074.76358132064</v>
      </c>
    </row>
    <row r="20" spans="2:14">
      <c r="B20" s="669" t="s">
        <v>1507</v>
      </c>
      <c r="C20" s="1210">
        <f>'Model 22A Li'!D57/1000</f>
        <v>37.042000000000002</v>
      </c>
      <c r="D20" s="1210">
        <f>'Model 22A Li'!E57/1000</f>
        <v>390.75</v>
      </c>
      <c r="E20" s="1210">
        <f>'Model 22A Li'!F57/1000</f>
        <v>609.27877897510268</v>
      </c>
      <c r="F20" s="1210">
        <f>'Model 22A Li'!G57/1000</f>
        <v>844.64793381891627</v>
      </c>
      <c r="G20" s="1210">
        <f>'Model 22A Li'!H57/1000</f>
        <v>869.67876546471393</v>
      </c>
      <c r="I20" s="669" t="s">
        <v>1509</v>
      </c>
      <c r="J20" s="1210">
        <f>'Model 22A Li'!D104/1000</f>
        <v>6133.2380000000003</v>
      </c>
      <c r="K20" s="1210">
        <f>'Model 22A Li'!E104/1000</f>
        <v>3080.364</v>
      </c>
      <c r="L20" s="1210">
        <f>'Model 22A Li'!F104/1000</f>
        <v>-704.55192102489809</v>
      </c>
      <c r="M20" s="1210">
        <f>'Model 22A Li'!G104/1000</f>
        <v>-595.40347515618612</v>
      </c>
      <c r="N20" s="1210">
        <f>'Model 22A Li'!H104/1000</f>
        <v>-722.66453535420169</v>
      </c>
    </row>
    <row r="21" spans="2:14">
      <c r="B21" s="669" t="s">
        <v>1495</v>
      </c>
      <c r="C21" s="1210">
        <f>'Model 22A Li'!D58/1000</f>
        <v>2695.16</v>
      </c>
      <c r="D21" s="1210">
        <f>'Model 22A Li'!E58/1000</f>
        <v>6957.5219999999999</v>
      </c>
      <c r="E21" s="1210">
        <f>'Model 22A Li'!F58/1000</f>
        <v>10848.548966992743</v>
      </c>
      <c r="F21" s="1210">
        <f>'Model 22A Li'!G58/1000</f>
        <v>15039.428232372757</v>
      </c>
      <c r="G21" s="1210">
        <f>'Model 22A Li'!H58/1000</f>
        <v>15485.1161705786</v>
      </c>
      <c r="I21" s="669" t="s">
        <v>1838</v>
      </c>
      <c r="J21" s="1376">
        <f>'Model 22A Li'!D106/1000</f>
        <v>0</v>
      </c>
      <c r="K21" s="1376">
        <f>'Model 22A Li'!E106/1000</f>
        <v>0</v>
      </c>
      <c r="L21" s="1376">
        <f>'Model 22A Li'!F106/1000</f>
        <v>0</v>
      </c>
      <c r="M21" s="1376">
        <f>'Model 22A Li'!G106/1000</f>
        <v>0</v>
      </c>
      <c r="N21" s="1376">
        <f>'Model 22A Li'!H106/1000</f>
        <v>0</v>
      </c>
    </row>
    <row r="22" spans="2:14">
      <c r="B22" s="668" t="s">
        <v>1510</v>
      </c>
      <c r="C22" s="1210">
        <f>('Model 22A Li'!D63-'Model 22A Li'!D59)/1000</f>
        <v>8676.3590000000004</v>
      </c>
      <c r="D22" s="1210">
        <f>('Model 22A Li'!E63-'Model 22A Li'!E59)/1000</f>
        <v>13979.043</v>
      </c>
      <c r="E22" s="1210">
        <f>('Model 22A Li'!F63-'Model 22A Li'!F59)/1000</f>
        <v>17042.109004226102</v>
      </c>
      <c r="F22" s="1210">
        <f>('Model 22A Li'!G63-'Model 22A Li'!G59)/1000</f>
        <v>19697.163826917455</v>
      </c>
      <c r="G22" s="1210">
        <f>('Model 22A Li'!H63-'Model 22A Li'!H59)/1000</f>
        <v>21810.72579327643</v>
      </c>
      <c r="I22" s="669" t="s">
        <v>1513</v>
      </c>
      <c r="J22" s="1376">
        <f>'Model 22A Li'!D1072/1000</f>
        <v>0</v>
      </c>
      <c r="K22" s="1376">
        <f>'Model 22A Li'!E1072/1000</f>
        <v>0</v>
      </c>
      <c r="L22" s="1376">
        <f>'Model 22A Li'!F1072/1000</f>
        <v>0</v>
      </c>
      <c r="M22" s="1376">
        <f>'Model 22A Li'!G1072/1000</f>
        <v>0</v>
      </c>
      <c r="N22" s="1376">
        <f>'Model 22A Li'!H1072/1000</f>
        <v>0</v>
      </c>
    </row>
    <row r="23" spans="2:14">
      <c r="B23" s="669" t="s">
        <v>1512</v>
      </c>
      <c r="C23" s="1210">
        <f>'Model 22A Li'!D61/1000</f>
        <v>5960.8990000000003</v>
      </c>
      <c r="D23" s="1210">
        <f>'Model 22A Li'!E61/1000</f>
        <v>9230.8070000000007</v>
      </c>
      <c r="E23" s="1210">
        <f>'Model 22A Li'!F61/1000</f>
        <v>8307.7263000000003</v>
      </c>
      <c r="F23" s="1210">
        <f>'Model 22A Li'!G61/1000</f>
        <v>7476.9536699999999</v>
      </c>
      <c r="G23" s="1210">
        <f>'Model 22A Li'!H61/1000</f>
        <v>6729.2583030000005</v>
      </c>
      <c r="I23" s="668" t="s">
        <v>1517</v>
      </c>
      <c r="J23" s="1210">
        <f>'Model 22A Li'!D109/1000</f>
        <v>16709.532999999999</v>
      </c>
      <c r="K23" s="1210">
        <f>'Model 22A Li'!E109/1000</f>
        <v>5639.3919999999998</v>
      </c>
      <c r="L23" s="1210">
        <f>'Model 22A Li'!F109/1000</f>
        <v>-704.55192102489809</v>
      </c>
      <c r="M23" s="1210">
        <f>'Model 22A Li'!G109/1000</f>
        <v>-595.40347515618612</v>
      </c>
      <c r="N23" s="1210">
        <f>'Model 22A Li'!H109/1000</f>
        <v>-722.66453535420169</v>
      </c>
    </row>
    <row r="24" spans="2:14">
      <c r="B24" s="669" t="s">
        <v>1514</v>
      </c>
      <c r="C24" s="1210">
        <f>'Model 22A Li'!D62/1000</f>
        <v>2715.46</v>
      </c>
      <c r="D24" s="1210">
        <f>'Model 22A Li'!E62/1000</f>
        <v>4748.2359999999999</v>
      </c>
      <c r="E24" s="1210">
        <f>'Model 22A Li'!F62/1000</f>
        <v>8734.3827042261019</v>
      </c>
      <c r="F24" s="1210">
        <f>'Model 22A Li'!G62/1000</f>
        <v>12220.210156917452</v>
      </c>
      <c r="G24" s="1210">
        <f>'Model 22A Li'!H62/1000</f>
        <v>15081.467490276425</v>
      </c>
      <c r="I24" s="669" t="s">
        <v>1519</v>
      </c>
      <c r="J24" s="1210">
        <f>'Model 22A Li'!D110/1000</f>
        <v>-472.12900000000002</v>
      </c>
      <c r="K24" s="1210">
        <f>'Model 22A Li'!E110/1000</f>
        <v>1270.097</v>
      </c>
      <c r="L24" s="1210">
        <f>'Model 22A Li'!F110/1000</f>
        <v>0</v>
      </c>
      <c r="M24" s="1210">
        <f>'Model 22A Li'!G110/1000</f>
        <v>0</v>
      </c>
      <c r="N24" s="1210">
        <f>'Model 22A Li'!H110/1000</f>
        <v>0</v>
      </c>
    </row>
    <row r="25" spans="2:14">
      <c r="B25" s="668" t="s">
        <v>1516</v>
      </c>
      <c r="C25" s="1210">
        <f>'Model 22A Li'!D63/1000</f>
        <v>20784.611000000001</v>
      </c>
      <c r="D25" s="1210">
        <f>'Model 22A Li'!E63/1000</f>
        <v>41351.644</v>
      </c>
      <c r="E25" s="1210">
        <f>'Model 22A Li'!F63/1000</f>
        <v>59722.966111462636</v>
      </c>
      <c r="F25" s="1210">
        <f>'Model 22A Li'!G63/1000</f>
        <v>78865.969656474976</v>
      </c>
      <c r="G25" s="1210">
        <f>'Model 22A Li'!H63/1000</f>
        <v>82732.977476547559</v>
      </c>
      <c r="I25" s="668" t="s">
        <v>1521</v>
      </c>
      <c r="J25" s="1210">
        <f>'Model 22A Li'!D111/1000</f>
        <v>20320.544999999998</v>
      </c>
      <c r="K25" s="1210">
        <f>'Model 22A Li'!E111/1000</f>
        <v>9925.0939999999991</v>
      </c>
      <c r="L25" s="1210">
        <f>'Model 22A Li'!F111/1000</f>
        <v>3057.1268075384237</v>
      </c>
      <c r="M25" s="1210">
        <f>'Model 22A Li'!G111/1000</f>
        <v>9635.7715128112959</v>
      </c>
      <c r="N25" s="1210">
        <f>'Model 22A Li'!H111/1000</f>
        <v>7976.7793217466588</v>
      </c>
    </row>
    <row r="26" spans="2:14">
      <c r="B26" s="669" t="s">
        <v>1518</v>
      </c>
      <c r="C26" s="1210">
        <f>'Model 22A Li'!D65/1000</f>
        <v>49391.896999999997</v>
      </c>
      <c r="D26" s="1210">
        <f>'Model 22A Li'!E65/1000</f>
        <v>53870.745000000003</v>
      </c>
      <c r="E26" s="1210">
        <f>'Model 22A Li'!F65/1000</f>
        <v>54969.850333333336</v>
      </c>
      <c r="F26" s="1210">
        <f>'Model 22A Li'!G65/1000</f>
        <v>56387.725777777785</v>
      </c>
      <c r="G26" s="1210">
        <f>'Model 22A Li'!H65/1000</f>
        <v>57911.10770370371</v>
      </c>
      <c r="I26" s="668" t="s">
        <v>1523</v>
      </c>
      <c r="J26" s="1210">
        <f>'Model 22A Li'!D113/1000</f>
        <v>10172.519</v>
      </c>
      <c r="K26" s="1210">
        <f>'Model 22A Li'!E113/1000</f>
        <v>30493.063999999998</v>
      </c>
      <c r="L26" s="1210">
        <f>'Model 22A Li'!F113/1000</f>
        <v>40418.158000000003</v>
      </c>
      <c r="M26" s="1210">
        <f>'Model 22A Li'!G113/1000</f>
        <v>43475.284807538417</v>
      </c>
      <c r="N26" s="1210">
        <f>'Model 22A Li'!H113/1000</f>
        <v>53111.056320349715</v>
      </c>
    </row>
    <row r="27" spans="2:14">
      <c r="B27" s="669" t="s">
        <v>1520</v>
      </c>
      <c r="C27" s="1210">
        <f>'Model 22A Li'!D66/1000</f>
        <v>-8.8999999999999996E-2</v>
      </c>
      <c r="D27" s="1210">
        <f>'Model 22A Li'!E66/1000</f>
        <v>-8.4000000000000005E-2</v>
      </c>
      <c r="E27" s="1210">
        <f>'Model 22A Li'!F66/1000</f>
        <v>-8.4000000000000005E-2</v>
      </c>
      <c r="F27" s="1210">
        <f>'Model 22A Li'!G66/1000</f>
        <v>-8.4000000000000005E-2</v>
      </c>
      <c r="G27" s="1210">
        <f>'Model 22A Li'!H66/1000</f>
        <v>-8.4000000000000005E-2</v>
      </c>
      <c r="I27" s="668" t="s">
        <v>1525</v>
      </c>
      <c r="J27" s="1217">
        <f>'Model 22A Li'!D114/1000</f>
        <v>30493.063999999998</v>
      </c>
      <c r="K27" s="1217">
        <f>'Model 22A Li'!E114/1000</f>
        <v>40418.158000000003</v>
      </c>
      <c r="L27" s="1217">
        <f>'Model 22A Li'!F114/1000</f>
        <v>43475.284807538417</v>
      </c>
      <c r="M27" s="1217">
        <f>'Model 22A Li'!G114/1000</f>
        <v>53111.056320349715</v>
      </c>
      <c r="N27" s="1217">
        <f>'Model 22A Li'!H114/1000</f>
        <v>61087.835642096368</v>
      </c>
    </row>
    <row r="28" spans="2:14">
      <c r="B28" s="669" t="s">
        <v>1522</v>
      </c>
      <c r="C28" s="1210">
        <f>'Model 22A Li'!D67/1000</f>
        <v>-6805.6350000000002</v>
      </c>
      <c r="D28" s="1210">
        <f>'Model 22A Li'!E67/1000</f>
        <v>-8817.85</v>
      </c>
      <c r="E28" s="1210">
        <f>'Model 22A Li'!F67/1000</f>
        <v>-1790.1115805879783</v>
      </c>
      <c r="F28" s="1210">
        <f>'Model 22A Li'!G67/1000</f>
        <v>10235.478747100389</v>
      </c>
      <c r="G28" s="1210">
        <f>'Model 22A Li'!H67/1000</f>
        <v>32911.410956308515</v>
      </c>
      <c r="I28" s="833"/>
      <c r="J28" s="832"/>
      <c r="K28" s="832"/>
      <c r="L28" s="832"/>
      <c r="M28" s="832"/>
      <c r="N28" s="832"/>
    </row>
    <row r="29" spans="2:14">
      <c r="B29" s="669" t="s">
        <v>1524</v>
      </c>
      <c r="C29" s="1210">
        <f>'Model 22A Li'!D68/1000</f>
        <v>0</v>
      </c>
      <c r="D29" s="1210">
        <f>'Model 22A Li'!E68/1000</f>
        <v>327.60599999999999</v>
      </c>
      <c r="E29" s="1210">
        <f>'Model 22A Li'!F68/1000</f>
        <v>327.60599999999999</v>
      </c>
      <c r="F29" s="1210">
        <f>'Model 22A Li'!G68/1000</f>
        <v>327.60599999999999</v>
      </c>
      <c r="G29" s="1210">
        <f>'Model 22A Li'!H68/1000</f>
        <v>327.60599999999999</v>
      </c>
      <c r="I29" s="834" t="s">
        <v>1528</v>
      </c>
      <c r="J29" s="830">
        <v>2021</v>
      </c>
      <c r="K29" s="830">
        <v>2022</v>
      </c>
      <c r="L29" s="830" t="s">
        <v>11</v>
      </c>
      <c r="M29" s="830" t="s">
        <v>12</v>
      </c>
      <c r="N29" s="830" t="s">
        <v>13</v>
      </c>
    </row>
    <row r="30" spans="2:14">
      <c r="B30" s="669" t="s">
        <v>1526</v>
      </c>
      <c r="C30" s="1210">
        <f>'Model 22A Li'!D69/1000</f>
        <v>-1521.8710000000001</v>
      </c>
      <c r="D30" s="1210">
        <f>'Model 22A Li'!E69/1000</f>
        <v>-194.11</v>
      </c>
      <c r="E30" s="1210">
        <f>'Model 22A Li'!F69/1000</f>
        <v>-194.11</v>
      </c>
      <c r="F30" s="1210">
        <f>'Model 22A Li'!G69/1000</f>
        <v>-194.11</v>
      </c>
      <c r="G30" s="1210">
        <f>'Model 22A Li'!H69/1000</f>
        <v>-194.11</v>
      </c>
      <c r="I30" s="834" t="s">
        <v>1530</v>
      </c>
      <c r="J30" s="831"/>
      <c r="K30" s="831"/>
      <c r="L30" s="831"/>
      <c r="M30" s="831"/>
      <c r="N30" s="831"/>
    </row>
    <row r="31" spans="2:14">
      <c r="B31" s="668" t="s">
        <v>1527</v>
      </c>
      <c r="C31" s="1210">
        <f>'Model 22A Li'!D71/1000</f>
        <v>41064.302000000003</v>
      </c>
      <c r="D31" s="1210">
        <f>'Model 22A Li'!E71/1000</f>
        <v>45186.307000000001</v>
      </c>
      <c r="E31" s="1210">
        <f>'Model 22A Li'!F71/1000</f>
        <v>53313.150752745358</v>
      </c>
      <c r="F31" s="1210">
        <f>'Model 22A Li'!G71/1000</f>
        <v>66756.616524878176</v>
      </c>
      <c r="G31" s="1210">
        <f>'Model 22A Li'!H71/1000</f>
        <v>90955.930660012236</v>
      </c>
      <c r="I31" s="833" t="s">
        <v>1531</v>
      </c>
      <c r="J31" s="1220">
        <f>'Earning Forecast'!G285/'Earning Forecast'!F285-1</f>
        <v>1.8561801592938862</v>
      </c>
      <c r="K31" s="1220">
        <f>'Earning Forecast'!H285/'Earning Forecast'!G285-1</f>
        <v>0.67668221202402279</v>
      </c>
      <c r="L31" s="1220">
        <f>'Earning Forecast'!I285/'Earning Forecast'!H285-1</f>
        <v>1.5969755151022422</v>
      </c>
      <c r="M31" s="1220">
        <f>'Earning Forecast'!J285/'Earning Forecast'!I285-1</f>
        <v>0.5377532083971881</v>
      </c>
      <c r="N31" s="1220">
        <f>'Earning Forecast'!K285/'Earning Forecast'!J285-1</f>
        <v>0.28704329141703089</v>
      </c>
    </row>
    <row r="32" spans="2:14">
      <c r="B32" s="668" t="s">
        <v>1529</v>
      </c>
      <c r="C32" s="1210">
        <f>'Model 22A Li'!D72/1000</f>
        <v>61848.913</v>
      </c>
      <c r="D32" s="1210">
        <f>'Model 22A Li'!E72/1000</f>
        <v>86537.951000000001</v>
      </c>
      <c r="E32" s="1210">
        <f>'Model 22A Li'!F72/1000</f>
        <v>113036.116864208</v>
      </c>
      <c r="F32" s="1210">
        <f>'Model 22A Li'!G72/1000</f>
        <v>145622.58618135314</v>
      </c>
      <c r="G32" s="1210">
        <f>'Model 22A Li'!H72/1000</f>
        <v>173688.9081365598</v>
      </c>
      <c r="I32" s="833" t="s">
        <v>1533</v>
      </c>
      <c r="J32" s="1220">
        <f>-('Model 22A Li'!D24/'Model 22A Li'!C24-1)</f>
        <v>-0.51989207230438472</v>
      </c>
      <c r="K32" s="1220">
        <f>-('Model 22A Li'!E24/'Model 22A Li'!D24-1)</f>
        <v>-2.5926522628081625</v>
      </c>
      <c r="L32" s="1220">
        <f>-('Model 22A Li'!F24-'Model 22A Li'!E24)/'Model 22A Li'!E24</f>
        <v>2.7979100284800831</v>
      </c>
      <c r="M32" s="1220">
        <f>'Model 22A Li'!G24/'Model 22A Li'!F24-1</f>
        <v>0.87158249588904479</v>
      </c>
      <c r="N32" s="1220">
        <f>'Model 22A Li'!H24/'Model 22A Li'!G24-1</f>
        <v>0.99581118680152447</v>
      </c>
    </row>
    <row r="33" spans="2:14">
      <c r="I33" s="833" t="s">
        <v>1535</v>
      </c>
      <c r="J33" s="1220">
        <f>-('Earning Forecast'!G312/'Earning Forecast'!F312-1)</f>
        <v>0.59411478752754154</v>
      </c>
      <c r="K33" s="1220">
        <f>-('Earning Forecast'!H312/'Earning Forecast'!G312-1)</f>
        <v>-5.2597097571977418</v>
      </c>
      <c r="L33" s="1220">
        <f>-('Earning Forecast'!I312-'Earning Forecast'!H312)/'Earning Forecast'!H312</f>
        <v>4.3729991548676548</v>
      </c>
      <c r="M33" s="1220">
        <f>'Earning Forecast'!J312/'Earning Forecast'!I312-1</f>
        <v>0.7389595237964135</v>
      </c>
      <c r="N33" s="1220">
        <f>'Earning Forecast'!K312/'Earning Forecast'!J312-1</f>
        <v>0.90362869631797316</v>
      </c>
    </row>
    <row r="34" spans="2:14">
      <c r="B34" s="668" t="s">
        <v>1532</v>
      </c>
      <c r="C34" s="671">
        <v>2021</v>
      </c>
      <c r="D34" s="671">
        <v>2022</v>
      </c>
      <c r="E34" s="671" t="s">
        <v>11</v>
      </c>
      <c r="F34" s="671" t="s">
        <v>12</v>
      </c>
      <c r="G34" s="671" t="s">
        <v>13</v>
      </c>
      <c r="I34" s="834" t="s">
        <v>1537</v>
      </c>
      <c r="J34" s="1219"/>
      <c r="K34" s="1219"/>
      <c r="L34" s="1219"/>
      <c r="M34" s="1219"/>
      <c r="N34" s="1219"/>
    </row>
    <row r="35" spans="2:14">
      <c r="B35" s="668" t="s">
        <v>1534</v>
      </c>
      <c r="C35" s="1210">
        <f>'Model 22A Li'!D10/1000</f>
        <v>27009.778999999999</v>
      </c>
      <c r="D35" s="1210">
        <f>'Model 22A Li'!E10/1000</f>
        <v>45286.815999999999</v>
      </c>
      <c r="E35" s="1210">
        <f>'Model 22A Li'!F10/1000</f>
        <v>117608.75230894046</v>
      </c>
      <c r="F35" s="1210">
        <f>'Model 22A Li'!G10/1000</f>
        <v>180853.23619866339</v>
      </c>
      <c r="G35" s="1210">
        <f>'Model 22A Li'!H10/1000</f>
        <v>232765.94438054942</v>
      </c>
      <c r="I35" s="833" t="s">
        <v>1539</v>
      </c>
      <c r="J35" s="1220">
        <f>'Earning Forecast'!G289</f>
        <v>0.21330992748959554</v>
      </c>
      <c r="K35" s="1220">
        <f>'Earning Forecast'!H289</f>
        <v>0.19410629354026568</v>
      </c>
      <c r="L35" s="1220">
        <f>'Earning Forecast'!I289</f>
        <v>0.22087288260570784</v>
      </c>
      <c r="M35" s="1220">
        <f>'Earning Forecast'!J289</f>
        <v>0.21675227013585691</v>
      </c>
      <c r="N35" s="1220">
        <f>'Earning Forecast'!K289</f>
        <v>0.22445075862647604</v>
      </c>
    </row>
    <row r="36" spans="2:14">
      <c r="B36" s="669" t="s">
        <v>1536</v>
      </c>
      <c r="C36" s="1210">
        <f>'Model 22A Li'!D7/1000</f>
        <v>26128.469000000001</v>
      </c>
      <c r="D36" s="1210">
        <f>'Model 22A Li'!E7/1000</f>
        <v>44106.434000000001</v>
      </c>
      <c r="E36" s="1210">
        <f>'Model 22A Li'!F7/1000</f>
        <v>114582.75852870899</v>
      </c>
      <c r="F36" s="1210">
        <f>'Model 22A Li'!G7/1000</f>
        <v>175761.95101283639</v>
      </c>
      <c r="G36" s="1210">
        <f>'Model 22A Li'!H7/1000</f>
        <v>226562.81544869888</v>
      </c>
      <c r="I36" s="833" t="s">
        <v>1541</v>
      </c>
      <c r="J36" s="1220">
        <f>'Earning Forecast'!G309/'Earning Forecast'!G285</f>
        <v>-1.1901430219032892E-2</v>
      </c>
      <c r="K36" s="1220">
        <f>'Earning Forecast'!H309/'Earning Forecast'!H285</f>
        <v>-4.4877255225891789E-2</v>
      </c>
      <c r="L36" s="1220">
        <f>'Earning Forecast'!I309/'Earning Forecast'!I285</f>
        <v>5.7709986384202668E-2</v>
      </c>
      <c r="M36" s="1220">
        <f>'Earning Forecast'!J309/'Earning Forecast'!J285</f>
        <v>6.5261011905526578E-2</v>
      </c>
      <c r="N36" s="1220">
        <f>'Earning Forecast'!K309/'Earning Forecast'!K285</f>
        <v>9.652568475558379E-2</v>
      </c>
    </row>
    <row r="37" spans="2:14">
      <c r="B37" s="669" t="s">
        <v>1538</v>
      </c>
      <c r="C37" s="1210">
        <f>'Model 22A Li'!D8/1000</f>
        <v>881.31</v>
      </c>
      <c r="D37" s="1210">
        <f>'Model 22A Li'!E8/1000</f>
        <v>1180.3820000000001</v>
      </c>
      <c r="E37" s="1210">
        <f>'Model 22A Li'!F8/1000</f>
        <v>3025.9937802314639</v>
      </c>
      <c r="F37" s="1210">
        <f>'Model 22A Li'!G8/1000</f>
        <v>5091.2851858269769</v>
      </c>
      <c r="G37" s="1210">
        <f>'Model 22A Li'!H8/1000</f>
        <v>6203.128931850556</v>
      </c>
      <c r="I37" s="909" t="s">
        <v>1461</v>
      </c>
      <c r="J37" s="1220">
        <f>'Model 22A Li'!D76/'Model 22A Li'!D71</f>
        <v>-7.8280887375122062E-3</v>
      </c>
      <c r="K37" s="1220">
        <f>'Model 22A Li'!E76/'Model 22A Li'!E71</f>
        <v>-4.4977076794525388E-2</v>
      </c>
      <c r="L37" s="1220">
        <f>'Model 22A Li'!F76/'Model 22A Li'!F71</f>
        <v>0.12730816690781524</v>
      </c>
      <c r="M37" s="1220">
        <f>'Model 22A Li'!G76/'Model 22A Li'!G71</f>
        <v>0.17680142905857865</v>
      </c>
      <c r="N37" s="1220">
        <f>'Model 22A Li'!H76/'Model 22A Li'!H71</f>
        <v>0.24701954018915243</v>
      </c>
    </row>
    <row r="38" spans="2:14">
      <c r="B38" s="668" t="s">
        <v>1540</v>
      </c>
      <c r="C38" s="1210">
        <f>'Model 22A Li'!D16/1000</f>
        <v>5761.4539999999997</v>
      </c>
      <c r="D38" s="1210">
        <f>'Model 22A Li'!E16/1000</f>
        <v>8790.4560000000001</v>
      </c>
      <c r="E38" s="1210">
        <f>'Model 22A Li'!F16/1000</f>
        <v>25976.58414213638</v>
      </c>
      <c r="F38" s="1210">
        <f>'Model 22A Li'!G16/1000</f>
        <v>39200.349507476625</v>
      </c>
      <c r="G38" s="1210">
        <f>'Model 22A Li'!H16/1000</f>
        <v>52244.492798622428</v>
      </c>
      <c r="I38" s="909" t="s">
        <v>1542</v>
      </c>
      <c r="J38" s="1220">
        <f>'Model 22A Li'!D76/'Model 22A Li'!D54</f>
        <v>-5.1974235990210529E-3</v>
      </c>
      <c r="K38" s="1220">
        <f>'Model 22A Li'!E76/'Model 22A Li'!E54</f>
        <v>-2.3485048773572187E-2</v>
      </c>
      <c r="L38" s="1220">
        <f>'Model 22A Li'!F76/'Model 22A Li'!F54</f>
        <v>6.004452101416035E-2</v>
      </c>
      <c r="M38" s="1220">
        <f>'Model 22A Li'!G76/'Model 22A Li'!G54</f>
        <v>8.1049688171417139E-2</v>
      </c>
      <c r="N38" s="1220">
        <f>'Model 22A Li'!H76/'Model 22A Li'!H54</f>
        <v>0.12935709257523614</v>
      </c>
    </row>
    <row r="39" spans="2:14">
      <c r="B39" s="669" t="s">
        <v>1536</v>
      </c>
      <c r="C39" s="1210">
        <f>'Model 22A Li'!D13/1000</f>
        <v>20755.578000000001</v>
      </c>
      <c r="D39" s="1210">
        <f>'Model 22A Li'!E13/1000</f>
        <v>35688.343000000001</v>
      </c>
      <c r="E39" s="1210">
        <f>'Model 22A Li'!F13/1000</f>
        <v>89544.614760840952</v>
      </c>
      <c r="F39" s="1210">
        <f>'Model 22A Li'!G13/1000</f>
        <v>138140.54314314754</v>
      </c>
      <c r="G39" s="1210">
        <f>'Model 22A Li'!H13/1000</f>
        <v>176242.07631886133</v>
      </c>
      <c r="I39" s="834" t="s">
        <v>1544</v>
      </c>
      <c r="J39" s="1219"/>
      <c r="K39" s="1219"/>
      <c r="L39" s="1219"/>
      <c r="M39" s="1219"/>
      <c r="N39" s="1219"/>
    </row>
    <row r="40" spans="2:14">
      <c r="B40" s="669" t="s">
        <v>1538</v>
      </c>
      <c r="C40" s="1210">
        <f>'Model 22A Li'!D14/1000</f>
        <v>492.74700000000001</v>
      </c>
      <c r="D40" s="1210">
        <f>'Model 22A Li'!E14/1000</f>
        <v>808.01700000000005</v>
      </c>
      <c r="E40" s="1210">
        <f>'Model 22A Li'!F14/1000</f>
        <v>2087.5534059631291</v>
      </c>
      <c r="F40" s="1210">
        <f>'Model 22A Li'!G14/1000</f>
        <v>3512.343548039199</v>
      </c>
      <c r="G40" s="1210">
        <f>'Model 22A Li'!H14/1000</f>
        <v>4279.3752630656545</v>
      </c>
      <c r="I40" s="833" t="s">
        <v>1546</v>
      </c>
      <c r="J40" s="1220">
        <f>C25/C17</f>
        <v>0.33605458838055896</v>
      </c>
      <c r="K40" s="1220">
        <f t="shared" ref="K40:N40" si="0">D25/D17</f>
        <v>0.47784403862300828</v>
      </c>
      <c r="L40" s="1220">
        <f t="shared" si="0"/>
        <v>0.52835295273995253</v>
      </c>
      <c r="M40" s="1220">
        <f t="shared" si="0"/>
        <v>0.54157786731144952</v>
      </c>
      <c r="N40" s="1220">
        <f t="shared" si="0"/>
        <v>0.47632850228697526</v>
      </c>
    </row>
    <row r="41" spans="2:14">
      <c r="B41" s="668" t="s">
        <v>1543</v>
      </c>
      <c r="C41" s="1210">
        <f>'Model 22A Li'!D16/1000</f>
        <v>5761.4539999999997</v>
      </c>
      <c r="D41" s="1210">
        <f>'Model 22A Li'!E16/1000</f>
        <v>8790.4560000000001</v>
      </c>
      <c r="E41" s="1210">
        <f>'Model 22A Li'!F16/1000</f>
        <v>25976.58414213638</v>
      </c>
      <c r="F41" s="1210">
        <f>'Model 22A Li'!G16/1000</f>
        <v>39200.349507476625</v>
      </c>
      <c r="G41" s="1210">
        <f>'Model 22A Li'!H16/1000</f>
        <v>52244.492798622428</v>
      </c>
      <c r="I41" s="833" t="s">
        <v>1548</v>
      </c>
      <c r="J41" s="1220">
        <f>'Model 22A Li'!D63/'Model 22A Li'!D71</f>
        <v>0.50614791893942335</v>
      </c>
      <c r="K41" s="1220">
        <f>'Model 22A Li'!E63/'Model 22A Li'!E71</f>
        <v>0.91513661428449999</v>
      </c>
      <c r="L41" s="1220">
        <f>'Model 22A Li'!F63/'Model 22A Li'!F71</f>
        <v>1.1202295356439276</v>
      </c>
      <c r="M41" s="1220">
        <f>'Model 22A Li'!G63/'Model 22A Li'!G71</f>
        <v>1.1813955494147013</v>
      </c>
      <c r="N41" s="1220">
        <f>'Model 22A Li'!H63/'Model 22A Li'!H71</f>
        <v>0.9095940954724373</v>
      </c>
    </row>
    <row r="42" spans="2:14">
      <c r="B42" s="669" t="s">
        <v>1545</v>
      </c>
      <c r="C42" s="1210">
        <f>'Model 22A Li'!D23/1000</f>
        <v>6778.7740000000003</v>
      </c>
      <c r="D42" s="1210">
        <f>'Model 22A Li'!E23/1000</f>
        <v>12445.333000000001</v>
      </c>
      <c r="E42" s="1210">
        <f>'Model 22A Li'!F23/1000</f>
        <v>19405.444130975178</v>
      </c>
      <c r="F42" s="1210">
        <f>'Model 22A Li'!G23/1000</f>
        <v>26901.918884551182</v>
      </c>
      <c r="G42" s="1210">
        <f>'Model 22A Li'!H23/1000</f>
        <v>27699.147381285384</v>
      </c>
      <c r="I42" s="833" t="s">
        <v>1550</v>
      </c>
      <c r="J42" s="1209">
        <f>'Model 22A Li'!D45/'Model 22A Li'!D59</f>
        <v>4.3260095676898693</v>
      </c>
      <c r="K42" s="1209">
        <f>'Model 22A Li'!E45/'Model 22A Li'!E59</f>
        <v>2.4474286166667172</v>
      </c>
      <c r="L42" s="1209">
        <f>'Model 22A Li'!F45/'Model 22A Li'!F59</f>
        <v>1.9060519314861633</v>
      </c>
      <c r="M42" s="1209">
        <f>'Model 22A Li'!G45/'Model 22A Li'!G59</f>
        <v>1.7137315304249439</v>
      </c>
      <c r="N42" s="1209">
        <f>'Model 22A Li'!H45/'Model 22A Li'!H59</f>
        <v>1.9169830526365048</v>
      </c>
    </row>
    <row r="43" spans="2:14">
      <c r="B43" s="669" t="s">
        <v>1547</v>
      </c>
      <c r="C43" s="1210">
        <f>'Model 22A Li'!D19/1000</f>
        <v>3492.3850000000002</v>
      </c>
      <c r="D43" s="1210">
        <f>'Model 22A Li'!E19/1000</f>
        <v>5665.3010000000004</v>
      </c>
      <c r="E43" s="1210">
        <f>'Model 22A Li'!F19/1000</f>
        <v>9408.7001847152369</v>
      </c>
      <c r="F43" s="1210">
        <f>'Model 22A Li'!G19/1000</f>
        <v>12298.020061509113</v>
      </c>
      <c r="G43" s="1210">
        <f>'Model 22A Li'!H19/1000</f>
        <v>12662.46737430189</v>
      </c>
      <c r="I43" s="833" t="s">
        <v>1552</v>
      </c>
      <c r="J43" s="1209">
        <f>('Model 22A Li'!D45-'Model 22A Li'!D43)/'Model 22A Li'!D59</f>
        <v>4.1923907761417585</v>
      </c>
      <c r="K43" s="1209">
        <f>('Model 22A Li'!E45-'Model 22A Li'!E43)/'Model 22A Li'!E59</f>
        <v>2.1988335708396876</v>
      </c>
      <c r="L43" s="1209">
        <f>('Model 22A Li'!F45-'Model 22A Li'!F43)/'Model 22A Li'!F59</f>
        <v>1.5057627846416322</v>
      </c>
      <c r="M43" s="1209">
        <f>('Model 22A Li'!G45-'Model 22A Li'!G43)/'Model 22A Li'!G59</f>
        <v>1.2673650135543975</v>
      </c>
      <c r="N43" s="1209">
        <f>('Model 22A Li'!H45-'Model 22A Li'!H43)/'Model 22A Li'!H59</f>
        <v>1.3645090390930177</v>
      </c>
    </row>
    <row r="44" spans="2:14">
      <c r="B44" s="669" t="s">
        <v>1549</v>
      </c>
      <c r="C44" s="1210">
        <f>'Model 22A Li'!D21/1000</f>
        <v>3286.3890000000001</v>
      </c>
      <c r="D44" s="1210">
        <f>'Model 22A Li'!E21/1000</f>
        <v>6780.0320000000002</v>
      </c>
      <c r="E44" s="1210">
        <f>'Model 22A Li'!F21/1000</f>
        <v>9996.7439462599395</v>
      </c>
      <c r="F44" s="1210">
        <f>'Model 22A Li'!G21/1000</f>
        <v>14603.898823042069</v>
      </c>
      <c r="G44" s="1210">
        <f>'Model 22A Li'!H21/1000</f>
        <v>15036.680006983494</v>
      </c>
      <c r="I44" s="834" t="s">
        <v>1554</v>
      </c>
      <c r="J44" s="1219"/>
      <c r="K44" s="1219"/>
      <c r="L44" s="1219"/>
      <c r="M44" s="1219"/>
      <c r="N44" s="1219"/>
    </row>
    <row r="45" spans="2:14">
      <c r="B45" s="669" t="s">
        <v>1553</v>
      </c>
      <c r="C45" s="1210">
        <f>'Model 22A Li'!D24/1000</f>
        <v>-1017.32</v>
      </c>
      <c r="D45" s="1210">
        <f>'Model 22A Li'!E24/1000</f>
        <v>-3654.877</v>
      </c>
      <c r="E45" s="1210">
        <f>'Model 22A Li'!F24/1000</f>
        <v>6571.1400111612011</v>
      </c>
      <c r="F45" s="1210">
        <f>'Model 22A Li'!G24/1000</f>
        <v>12298.430622925445</v>
      </c>
      <c r="G45" s="1210">
        <f>'Model 22A Li'!H24/1000</f>
        <v>24545.345417337045</v>
      </c>
      <c r="I45" s="833" t="s">
        <v>1556</v>
      </c>
      <c r="J45" s="1221">
        <f>'Model 22A Li'!D10/('Model 22A Li'!D54+'Model 22A Li'!C54)*2</f>
        <v>0.54997306158591108</v>
      </c>
      <c r="K45" s="1221">
        <f>'Model 22A Li'!E10/('Model 22A Li'!E54+'Model 22A Li'!D54)*2</f>
        <v>0.6103884775137508</v>
      </c>
      <c r="L45" s="1221">
        <f>'Model 22A Li'!F10/('Model 22A Li'!F54+'Model 22A Li'!E54)*2</f>
        <v>1.1785975359179683</v>
      </c>
      <c r="M45" s="1221">
        <f>'Model 22A Li'!G10/('Model 22A Li'!G54+'Model 22A Li'!F54)*2</f>
        <v>1.3983928170149931</v>
      </c>
      <c r="N45" s="1221">
        <f>'Model 22A Li'!H10/('Model 22A Li'!H54+'Model 22A Li'!G54)*2</f>
        <v>1.4579239928569749</v>
      </c>
    </row>
    <row r="46" spans="2:14">
      <c r="B46" s="669" t="s">
        <v>1555</v>
      </c>
      <c r="C46" s="1217">
        <f>-'Model 22A Li'!D26/1000</f>
        <v>63.244</v>
      </c>
      <c r="D46" s="1217">
        <f>-'Model 22A Li'!E26/1000</f>
        <v>106.34</v>
      </c>
      <c r="E46" s="1217">
        <f>-'Model 22A Li'!F26/1000</f>
        <v>240.53892500000001</v>
      </c>
      <c r="F46" s="1217">
        <f>-'Model 22A Li'!G26/1000</f>
        <v>222.92512697437755</v>
      </c>
      <c r="G46" s="1217">
        <f>-'Model 22A Li'!H26/1000</f>
        <v>208.0400400954729</v>
      </c>
      <c r="I46" s="833" t="s">
        <v>1558</v>
      </c>
      <c r="J46" s="1221">
        <f>'Model 22A Li'!D7/('Model 22A Li'!D42+'Model 22A Li'!C42)*2</f>
        <v>221.3432928120632</v>
      </c>
      <c r="K46" s="1221">
        <f>'Model 22A Li'!E7/('Model 22A Li'!E42+'Model 22A Li'!D42)*2</f>
        <v>522.21065343768134</v>
      </c>
      <c r="L46" s="1221">
        <f>'Model 22A Li'!F7/('Model 22A Li'!F42+'Model 22A Li'!E42)*2</f>
        <v>1316.8519370895272</v>
      </c>
      <c r="M46" s="1221">
        <f>'Model 22A Li'!G7/('Model 22A Li'!G42+'Model 22A Li'!F42)*2</f>
        <v>1102.4598427943176</v>
      </c>
      <c r="N46" s="1221">
        <f>'Model 22A Li'!H7/('Model 22A Li'!H42+'Model 22A Li'!G42)*2</f>
        <v>1025.4509827958686</v>
      </c>
    </row>
    <row r="47" spans="2:14">
      <c r="B47" s="669" t="s">
        <v>1557</v>
      </c>
      <c r="C47" s="1210">
        <f>SUM('Model 22A Li'!D27:D28)/1000</f>
        <v>1668.184</v>
      </c>
      <c r="D47" s="1210">
        <f>SUM('Model 22A Li'!E27:E28)/1000</f>
        <v>2578.0909999999999</v>
      </c>
      <c r="E47" s="1210">
        <f>SUM('Model 22A Li'!F27:F28)/1000</f>
        <v>3027.9039910000001</v>
      </c>
      <c r="F47" s="1210">
        <f>SUM('Model 22A Li'!G27:G28)/1000</f>
        <v>3255.3899509543057</v>
      </c>
      <c r="G47" s="1210">
        <f>SUM('Model 22A Li'!H27:H28)/1000</f>
        <v>3767.3565453897704</v>
      </c>
      <c r="I47" s="833" t="s">
        <v>1560</v>
      </c>
      <c r="J47" s="1221">
        <f>'Model 22A Li'!D10/('Model 22A Li'!D43+'Model 22A Li'!C43)*2</f>
        <v>20.263205513797622</v>
      </c>
      <c r="K47" s="1221">
        <f>'Model 22A Li'!E10/('Model 22A Li'!E43+'Model 22A Li'!D43)*2</f>
        <v>10.753664523104135</v>
      </c>
      <c r="L47" s="1221">
        <f>'Model 22A Li'!F10/('Model 22A Li'!F43+'Model 22A Li'!E43)*2</f>
        <v>9.8461130157820218</v>
      </c>
      <c r="M47" s="1221">
        <f>'Model 22A Li'!G10/('Model 22A Li'!G43+'Model 22A Li'!F43)*2</f>
        <v>8.315921450396301</v>
      </c>
      <c r="N47" s="1221">
        <f>'Model 22A Li'!H10/('Model 22A Li'!H43+'Model 22A Li'!G43)*2</f>
        <v>7.7499607965601296</v>
      </c>
    </row>
    <row r="48" spans="2:14">
      <c r="B48" s="668" t="s">
        <v>1559</v>
      </c>
      <c r="C48" s="1210">
        <f>'Model 22A Li'!D29/1000</f>
        <v>-152.81200000000001</v>
      </c>
      <c r="D48" s="1210">
        <f>'Model 22A Li'!E29/1000</f>
        <v>-2159.355</v>
      </c>
      <c r="E48" s="1210">
        <f>'Model 22A Li'!F29/1000</f>
        <v>7984.9405816612007</v>
      </c>
      <c r="F48" s="1210">
        <f>'Model 22A Li'!G29/1000</f>
        <v>13885.488471428222</v>
      </c>
      <c r="G48" s="1210">
        <f>'Model 22A Li'!H29/1000</f>
        <v>26432.814316603126</v>
      </c>
      <c r="I48" s="834" t="s">
        <v>1562</v>
      </c>
      <c r="J48" s="1219"/>
      <c r="K48" s="1219"/>
      <c r="L48" s="1219"/>
      <c r="M48" s="1219"/>
      <c r="N48" s="1219"/>
    </row>
    <row r="49" spans="2:14">
      <c r="B49" s="669" t="s">
        <v>1561</v>
      </c>
      <c r="C49" s="1210">
        <f>'Model 22A Li'!D30/1000</f>
        <v>-168.643</v>
      </c>
      <c r="D49" s="1210">
        <f>'Model 22A Li'!E30/1000</f>
        <v>127.00700000000001</v>
      </c>
      <c r="E49" s="1210">
        <f>'Model 22A Li'!F30/1000</f>
        <v>-1197.7410872491796</v>
      </c>
      <c r="F49" s="1210">
        <f>'Model 22A Li'!G30/1000</f>
        <v>-2082.823270714232</v>
      </c>
      <c r="G49" s="1210">
        <f>'Model 22A Li'!H30/1000</f>
        <v>-3964.9221474904703</v>
      </c>
      <c r="I49" s="833" t="s">
        <v>1564</v>
      </c>
      <c r="J49" s="1221">
        <f>'Earning Forecast'!G314</f>
        <v>-0.17344814834741412</v>
      </c>
      <c r="K49" s="1221">
        <f>'Earning Forecast'!H152</f>
        <v>5.7099386735725597</v>
      </c>
      <c r="L49" s="1221">
        <f>'Earning Forecast'!I152</f>
        <v>10.778450170875875</v>
      </c>
      <c r="M49" s="1221">
        <f>'Earning Forecast'!J152</f>
        <v>14.644407266316911</v>
      </c>
      <c r="N49" s="1221">
        <f>'Earning Forecast'!K152</f>
        <v>17.318571887756601</v>
      </c>
    </row>
    <row r="50" spans="2:14">
      <c r="B50" s="668" t="s">
        <v>1563</v>
      </c>
      <c r="C50" s="1210">
        <f>'Model 22A Li'!D36/1000</f>
        <v>-321.45499999999998</v>
      </c>
      <c r="D50" s="1210">
        <f>'Model 22A Li'!E36/1000</f>
        <v>-2012.2149999999999</v>
      </c>
      <c r="E50" s="1210">
        <f>'Model 22A Li'!F36/1000</f>
        <v>6787.1994944120215</v>
      </c>
      <c r="F50" s="1210">
        <f>'Model 22A Li'!G36/1000</f>
        <v>11802.665200713989</v>
      </c>
      <c r="G50" s="1210">
        <f>'Model 22A Li'!H36/1000</f>
        <v>22467.892169112652</v>
      </c>
      <c r="I50" s="833" t="s">
        <v>1565</v>
      </c>
      <c r="J50" s="1209">
        <f>J14/'Earning Forecast'!G313*1000</f>
        <v>4.5002390218056876</v>
      </c>
      <c r="K50" s="1209">
        <f>K14/'Earning Forecast'!H313*1000</f>
        <v>3.8018484186599624</v>
      </c>
      <c r="L50" s="1209">
        <f>L14/'Earning Forecast'!I313*1000</f>
        <v>6.804440467536919</v>
      </c>
      <c r="M50" s="1209">
        <f>M14/'Earning Forecast'!J313*1000</f>
        <v>11.163374314486768</v>
      </c>
      <c r="N50" s="1209">
        <f>N14/'Earning Forecast'!K313*1000</f>
        <v>11.216700877358182</v>
      </c>
    </row>
    <row r="51" spans="2:14">
      <c r="I51" s="833" t="s">
        <v>1566</v>
      </c>
      <c r="J51" s="1209">
        <f>'Model 22A Li'!D71/'Earning Forecast'!G313</f>
        <v>22.15715153000891</v>
      </c>
      <c r="K51" s="1209">
        <f>'Model 22A Li'!E71/'Earning Forecast'!H313</f>
        <v>23.27714066309176</v>
      </c>
      <c r="L51" s="1209">
        <f>'Model 22A Li'!F71/'Earning Forecast'!I313</f>
        <v>27.463578939174432</v>
      </c>
      <c r="M51" s="1209">
        <f>'Model 22A Li'!G71/'Earning Forecast'!J313</f>
        <v>34.38880617178264</v>
      </c>
      <c r="N51" s="1209">
        <f>'Model 22A Li'!H71/'Earning Forecast'!K313</f>
        <v>46.854769346729867</v>
      </c>
    </row>
    <row r="52" spans="2:14">
      <c r="I52" s="834" t="s">
        <v>1567</v>
      </c>
      <c r="J52" s="1219"/>
      <c r="K52" s="1219"/>
      <c r="L52" s="1219"/>
      <c r="M52" s="1219"/>
      <c r="N52" s="1219"/>
    </row>
    <row r="53" spans="2:14">
      <c r="I53" s="909" t="s">
        <v>1462</v>
      </c>
      <c r="J53" s="1221">
        <f>Valuation!M63</f>
        <v>0</v>
      </c>
      <c r="K53" s="1221">
        <f>Valuation!N63</f>
        <v>0</v>
      </c>
      <c r="L53" s="1221">
        <f>Valuation!F62</f>
        <v>71.926229044743081</v>
      </c>
      <c r="M53" s="1221">
        <f>Valuation!G62</f>
        <v>41.361646467605617</v>
      </c>
      <c r="N53" s="1221">
        <f>Valuation!H62</f>
        <v>21.727791006517148</v>
      </c>
    </row>
    <row r="54" spans="2:14">
      <c r="I54" s="909" t="s">
        <v>1568</v>
      </c>
      <c r="J54" s="1209">
        <f>Valuation!M62/'Financial Tables Chinese Li'!J51</f>
        <v>-53.0389798203976</v>
      </c>
      <c r="K54" s="1209">
        <f>Valuation!N62/'Financial Tables Chinese Li'!K51</f>
        <v>-5.8338124455012323</v>
      </c>
      <c r="L54" s="1209">
        <f>Valuation!F67/'Financial Tables Chinese Li'!L51</f>
        <v>1.2049204929637423</v>
      </c>
      <c r="M54" s="1209">
        <f>Valuation!G67/'Financial Tables Chinese Li'!M51</f>
        <v>1.0585006004424973</v>
      </c>
      <c r="N54" s="1209">
        <f>Valuation!H67/'Financial Tables Chinese Li'!N51</f>
        <v>0.85456891022472614</v>
      </c>
    </row>
    <row r="55" spans="2:14">
      <c r="I55" s="909" t="s">
        <v>1569</v>
      </c>
      <c r="J55" s="1208">
        <f>'Model 22A Li'!D29/'Model 22A Li'!D10</f>
        <v>-5.657654585030111E-3</v>
      </c>
      <c r="K55" s="1208">
        <f>'Model 22A Li'!E29/'Model 22A Li'!E10</f>
        <v>-4.7681757975654548E-2</v>
      </c>
      <c r="L55" s="1208">
        <f>'Model 22A Li'!F29/'Model 22A Li'!F10</f>
        <v>6.7894101628473758E-2</v>
      </c>
      <c r="M55" s="1208">
        <f>'Model 22A Li'!G29/'Model 22A Li'!G10</f>
        <v>7.6777661065325423E-2</v>
      </c>
      <c r="N55" s="1208">
        <f>'Model 22A Li'!H29/'Model 22A Li'!H10</f>
        <v>0.11355962912421617</v>
      </c>
    </row>
    <row r="56" spans="2:14">
      <c r="I56" s="909" t="s">
        <v>1570</v>
      </c>
      <c r="J56" s="1208">
        <f>('Model 22A Li'!D26+'Model 22A Li'!D29+'Model 22A Li'!D81)/'Model 22A Li'!D10</f>
        <v>1.3859461789746595E-2</v>
      </c>
      <c r="K56" s="1208">
        <f>('Model 22A Li'!E26+'Model 22A Li'!E29+'Model 22A Li'!E81)/'Model 22A Li'!E10</f>
        <v>-2.3226185740238395E-2</v>
      </c>
      <c r="L56" s="1208">
        <f>('Model 22A Li'!F26+'Model 22A Li'!F29+'Model 22A Li'!F81)/'Model 22A Li'!F10</f>
        <v>8.2948854822622611E-2</v>
      </c>
      <c r="M56" s="1208">
        <f>('Model 22A Li'!G26+'Model 22A Li'!G29+'Model 22A Li'!G81)/'Model 22A Li'!G10</f>
        <v>9.2645031051840354E-2</v>
      </c>
      <c r="N56" s="1208">
        <f>('Model 22A Li'!H26+'Model 22A Li'!H29+'Model 22A Li'!H81)/'Model 22A Li'!H10</f>
        <v>0.12976585559282988</v>
      </c>
    </row>
    <row r="58" spans="2:14">
      <c r="J58" s="967"/>
      <c r="K58" s="967"/>
      <c r="L58" s="967"/>
      <c r="M58" s="967"/>
      <c r="N58" s="964"/>
    </row>
    <row r="60" spans="2:14">
      <c r="J60" s="966"/>
      <c r="K60" s="966"/>
      <c r="L60" s="966"/>
      <c r="M60" s="966"/>
      <c r="N60" s="966"/>
    </row>
    <row r="61" spans="2:14">
      <c r="J61" s="670"/>
      <c r="K61" s="670"/>
      <c r="L61" s="670"/>
      <c r="M61" s="670"/>
      <c r="N61" s="965"/>
    </row>
  </sheetData>
  <mergeCells count="1">
    <mergeCell ref="C2:G2"/>
  </mergeCells>
  <phoneticPr fontId="4" type="noConversion"/>
  <pageMargins left="0.25" right="0.25" top="0.75" bottom="0.75" header="0.3" footer="0.3"/>
  <pageSetup paperSize="8" scale="87"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F9382-3572-5740-91F5-CED61E68BE76}">
  <dimension ref="B1:AA104"/>
  <sheetViews>
    <sheetView topLeftCell="A8" zoomScale="83" zoomScaleNormal="100" workbookViewId="0">
      <selection activeCell="H42" sqref="H42"/>
    </sheetView>
  </sheetViews>
  <sheetFormatPr defaultColWidth="10.75" defaultRowHeight="14.5"/>
  <cols>
    <col min="3" max="3" width="25.75" style="1028" customWidth="1"/>
    <col min="4" max="4" width="12" style="320" bestFit="1" customWidth="1"/>
    <col min="5" max="5" width="11.75" style="320" bestFit="1" customWidth="1"/>
    <col min="6" max="6" width="11.25" style="320" customWidth="1"/>
    <col min="7" max="9" width="11" style="320" bestFit="1" customWidth="1"/>
    <col min="10" max="10" width="11.25" customWidth="1"/>
    <col min="11" max="11" width="20.25" style="103" bestFit="1" customWidth="1"/>
    <col min="12" max="12" width="19.25" style="103" bestFit="1" customWidth="1"/>
    <col min="13" max="13" width="11.83203125" customWidth="1"/>
    <col min="14" max="14" width="12.75" bestFit="1" customWidth="1"/>
    <col min="15" max="15" width="12.83203125" bestFit="1" customWidth="1"/>
    <col min="16" max="16" width="11" bestFit="1" customWidth="1"/>
    <col min="17" max="17" width="16.4140625" customWidth="1"/>
    <col min="18" max="18" width="12.83203125" bestFit="1" customWidth="1"/>
    <col min="19" max="19" width="14.75" bestFit="1" customWidth="1"/>
    <col min="20" max="20" width="11.1640625" bestFit="1" customWidth="1"/>
    <col min="21" max="21" width="11.25" bestFit="1" customWidth="1"/>
    <col min="22" max="22" width="17.4140625" bestFit="1" customWidth="1"/>
    <col min="25" max="25" width="11" bestFit="1" customWidth="1"/>
    <col min="26" max="26" width="14.75" bestFit="1" customWidth="1"/>
    <col min="27" max="27" width="13.75" bestFit="1" customWidth="1"/>
  </cols>
  <sheetData>
    <row r="1" spans="2:27">
      <c r="B1" s="103"/>
      <c r="C1" s="1025"/>
      <c r="D1" s="1024"/>
      <c r="E1" s="1024"/>
      <c r="F1" s="1024"/>
      <c r="G1" s="1024"/>
      <c r="H1" s="1024"/>
      <c r="I1" s="1024"/>
      <c r="J1" s="103"/>
      <c r="O1" t="s">
        <v>1839</v>
      </c>
      <c r="P1" t="s">
        <v>1840</v>
      </c>
      <c r="T1" t="s">
        <v>1770</v>
      </c>
      <c r="Y1" t="s">
        <v>1764</v>
      </c>
    </row>
    <row r="2" spans="2:27">
      <c r="B2" s="103"/>
      <c r="C2" s="1025"/>
      <c r="D2" s="1024"/>
      <c r="E2" s="1024"/>
      <c r="F2" s="1024"/>
      <c r="G2" s="1024"/>
      <c r="H2" s="1024"/>
      <c r="I2" s="1024"/>
      <c r="J2" s="103"/>
      <c r="N2" t="s">
        <v>1841</v>
      </c>
      <c r="O2" s="981">
        <v>36600</v>
      </c>
      <c r="P2" s="981">
        <v>209800</v>
      </c>
      <c r="Q2" s="980">
        <f>O2*P2</f>
        <v>7678680000</v>
      </c>
      <c r="U2" t="s">
        <v>1842</v>
      </c>
      <c r="Z2" t="s">
        <v>1843</v>
      </c>
    </row>
    <row r="3" spans="2:27">
      <c r="B3" s="103"/>
      <c r="C3" s="1026"/>
      <c r="D3" s="1032" t="s">
        <v>1844</v>
      </c>
      <c r="E3" s="1032" t="s">
        <v>1845</v>
      </c>
      <c r="F3" s="1032" t="s">
        <v>1846</v>
      </c>
      <c r="G3" s="1032" t="s">
        <v>1847</v>
      </c>
      <c r="H3" s="1032" t="s">
        <v>1848</v>
      </c>
      <c r="I3" s="1032" t="s">
        <v>1839</v>
      </c>
      <c r="J3" s="1032" t="s">
        <v>1849</v>
      </c>
      <c r="K3" s="1062"/>
      <c r="L3" s="1062"/>
      <c r="N3" t="s">
        <v>1850</v>
      </c>
      <c r="O3" s="981">
        <v>710</v>
      </c>
      <c r="P3" s="981">
        <v>137800</v>
      </c>
      <c r="Q3" s="980">
        <f t="shared" ref="Q3:Q27" si="0">O3*P3</f>
        <v>97838000</v>
      </c>
      <c r="S3" t="s">
        <v>1841</v>
      </c>
      <c r="T3" s="981">
        <v>32104</v>
      </c>
      <c r="U3" s="981">
        <v>249800</v>
      </c>
      <c r="V3" s="980">
        <f>T3*U3</f>
        <v>8019579200</v>
      </c>
      <c r="W3" s="981"/>
      <c r="X3" t="s">
        <v>1841</v>
      </c>
      <c r="Y3" s="981">
        <v>27903</v>
      </c>
      <c r="Z3" s="981">
        <v>279800</v>
      </c>
      <c r="AA3" s="980">
        <f>Y3*Z3</f>
        <v>7807259400</v>
      </c>
    </row>
    <row r="4" spans="2:27">
      <c r="B4" s="103"/>
      <c r="C4" s="1027" t="s">
        <v>1851</v>
      </c>
      <c r="D4" s="1033">
        <v>29</v>
      </c>
      <c r="E4" s="1033">
        <v>35.341999999999999</v>
      </c>
      <c r="F4" s="1033">
        <v>53.7</v>
      </c>
      <c r="G4" s="1033">
        <v>68.2</v>
      </c>
      <c r="H4" s="1033">
        <v>54.8</v>
      </c>
      <c r="I4" s="1033">
        <v>70.0244</v>
      </c>
      <c r="J4" s="1033">
        <v>82.2</v>
      </c>
      <c r="K4" s="1063"/>
      <c r="L4" s="1063"/>
      <c r="N4" t="s">
        <v>174</v>
      </c>
      <c r="O4" s="981">
        <v>1431</v>
      </c>
      <c r="P4" s="981">
        <v>269800</v>
      </c>
      <c r="Q4" s="980">
        <f t="shared" si="0"/>
        <v>386083800</v>
      </c>
      <c r="S4" t="s">
        <v>1850</v>
      </c>
      <c r="T4" s="981">
        <v>794</v>
      </c>
      <c r="U4" s="981">
        <v>137800</v>
      </c>
      <c r="V4" s="980">
        <f t="shared" ref="V4:V28" si="1">T4*U4</f>
        <v>109413200</v>
      </c>
      <c r="X4" t="s">
        <v>1852</v>
      </c>
      <c r="Y4" s="981">
        <v>3505</v>
      </c>
      <c r="Z4" s="981">
        <v>69800</v>
      </c>
      <c r="AA4" s="980">
        <f t="shared" ref="AA4:AA19" si="2">Y4*Z4</f>
        <v>244649000</v>
      </c>
    </row>
    <row r="5" spans="2:27" ht="14">
      <c r="B5" s="103"/>
      <c r="C5" s="1024" t="s">
        <v>1853</v>
      </c>
      <c r="D5" s="1035">
        <v>1.82</v>
      </c>
      <c r="E5" s="1035">
        <v>1.5329999999999999</v>
      </c>
      <c r="F5" s="1035">
        <v>1.6379999999999999</v>
      </c>
      <c r="G5" s="1035">
        <v>1.401</v>
      </c>
      <c r="H5" s="1035">
        <v>0.89100000000000001</v>
      </c>
      <c r="I5" s="1035">
        <v>0.98099999999999998</v>
      </c>
      <c r="J5" s="1035">
        <v>0.53</v>
      </c>
      <c r="K5" s="1035"/>
      <c r="L5" s="1035"/>
      <c r="N5" t="s">
        <v>1854</v>
      </c>
      <c r="O5" s="981">
        <v>30452</v>
      </c>
      <c r="P5" s="981">
        <v>189800</v>
      </c>
      <c r="Q5" s="980">
        <f t="shared" si="0"/>
        <v>5779789600</v>
      </c>
      <c r="S5" t="s">
        <v>174</v>
      </c>
      <c r="T5" s="981">
        <v>3037</v>
      </c>
      <c r="U5" s="981">
        <v>249800</v>
      </c>
      <c r="V5" s="980">
        <f t="shared" si="1"/>
        <v>758642600</v>
      </c>
      <c r="X5" t="s">
        <v>1850</v>
      </c>
      <c r="Y5" s="981">
        <v>2044</v>
      </c>
      <c r="Z5" s="981">
        <v>147800</v>
      </c>
      <c r="AA5" s="980">
        <f t="shared" si="2"/>
        <v>302103200</v>
      </c>
    </row>
    <row r="6" spans="2:27">
      <c r="B6" s="103"/>
      <c r="C6" s="1027" t="s">
        <v>1855</v>
      </c>
      <c r="D6" s="1033">
        <v>668.3</v>
      </c>
      <c r="E6" s="1033">
        <v>837.8</v>
      </c>
      <c r="F6" s="1036">
        <v>1170.8</v>
      </c>
      <c r="G6" s="1036">
        <v>1563.7</v>
      </c>
      <c r="H6" s="1036">
        <v>1201.7</v>
      </c>
      <c r="I6" s="1036">
        <v>1399.5</v>
      </c>
      <c r="J6" s="1036">
        <v>1621.5</v>
      </c>
      <c r="K6" s="1064"/>
      <c r="L6" s="1064"/>
      <c r="N6" t="s">
        <v>178</v>
      </c>
      <c r="O6" s="981">
        <v>8279</v>
      </c>
      <c r="P6" s="981">
        <v>102800</v>
      </c>
      <c r="Q6" s="980">
        <f t="shared" si="0"/>
        <v>851081200</v>
      </c>
      <c r="S6" t="s">
        <v>1854</v>
      </c>
      <c r="T6" s="981">
        <v>38400</v>
      </c>
      <c r="U6" s="981">
        <v>189800</v>
      </c>
      <c r="V6" s="980">
        <f t="shared" si="1"/>
        <v>7288320000</v>
      </c>
      <c r="X6" t="s">
        <v>1854</v>
      </c>
      <c r="Y6" s="981">
        <v>5260</v>
      </c>
      <c r="Z6" s="981">
        <v>215800</v>
      </c>
      <c r="AA6" s="980">
        <f t="shared" si="2"/>
        <v>1135108000</v>
      </c>
    </row>
    <row r="7" spans="2:27" ht="14">
      <c r="B7" s="103"/>
      <c r="C7" s="1024" t="s">
        <v>1853</v>
      </c>
      <c r="D7" s="1035">
        <v>0.63</v>
      </c>
      <c r="E7" s="1035">
        <v>0.67900000000000005</v>
      </c>
      <c r="F7" s="1035">
        <v>1.1559999999999999</v>
      </c>
      <c r="G7" s="1035">
        <v>1.204</v>
      </c>
      <c r="H7" s="1035">
        <v>0.79800000000000004</v>
      </c>
      <c r="I7" s="1035">
        <v>0.67</v>
      </c>
      <c r="J7" s="1035">
        <v>0.38500000000000001</v>
      </c>
      <c r="K7" s="1035"/>
      <c r="L7" s="1035"/>
      <c r="M7" s="59"/>
      <c r="N7" t="s">
        <v>1856</v>
      </c>
      <c r="O7" s="981">
        <v>43027</v>
      </c>
      <c r="P7" s="981">
        <v>129800</v>
      </c>
      <c r="Q7" s="980">
        <f t="shared" si="0"/>
        <v>5584904600</v>
      </c>
      <c r="S7" t="s">
        <v>178</v>
      </c>
      <c r="T7" s="981">
        <v>6416</v>
      </c>
      <c r="U7" s="981">
        <v>102800</v>
      </c>
      <c r="V7" s="980">
        <f t="shared" si="1"/>
        <v>659564800</v>
      </c>
      <c r="X7" t="s">
        <v>178</v>
      </c>
      <c r="Y7" s="981">
        <v>6915</v>
      </c>
      <c r="Z7" s="981">
        <v>95800</v>
      </c>
      <c r="AA7" s="980">
        <f t="shared" si="2"/>
        <v>662457000</v>
      </c>
    </row>
    <row r="8" spans="2:27">
      <c r="B8" s="103"/>
      <c r="C8" s="1027" t="s">
        <v>1857</v>
      </c>
      <c r="D8" s="1033">
        <v>458.9</v>
      </c>
      <c r="E8" s="1033">
        <v>610.20000000000005</v>
      </c>
      <c r="F8" s="1033">
        <v>896.2</v>
      </c>
      <c r="G8" s="1036">
        <v>1203.4000000000001</v>
      </c>
      <c r="H8" s="1036">
        <v>938</v>
      </c>
      <c r="I8" s="1036">
        <v>1101.54</v>
      </c>
      <c r="J8" s="1036">
        <v>1271</v>
      </c>
      <c r="K8" s="1064"/>
      <c r="L8" s="1064"/>
      <c r="N8" t="s">
        <v>1858</v>
      </c>
      <c r="O8" s="981">
        <v>437</v>
      </c>
      <c r="P8" s="981">
        <v>154800</v>
      </c>
      <c r="Q8" s="980">
        <f t="shared" si="0"/>
        <v>67647600</v>
      </c>
      <c r="S8" t="s">
        <v>1856</v>
      </c>
      <c r="T8" s="981">
        <v>58600</v>
      </c>
      <c r="U8" s="981">
        <v>129800</v>
      </c>
      <c r="V8" s="980">
        <f t="shared" si="1"/>
        <v>7606280000</v>
      </c>
      <c r="X8" t="s">
        <v>1858</v>
      </c>
      <c r="Y8" s="981">
        <v>3536</v>
      </c>
      <c r="Z8" s="981">
        <v>154800</v>
      </c>
      <c r="AA8" s="980">
        <f t="shared" si="2"/>
        <v>547372800</v>
      </c>
    </row>
    <row r="9" spans="2:27" ht="14">
      <c r="B9" s="103"/>
      <c r="C9" s="1024" t="s">
        <v>1853</v>
      </c>
      <c r="D9" s="1037">
        <v>1.175</v>
      </c>
      <c r="E9" s="1037">
        <v>1.4159999999999999</v>
      </c>
      <c r="F9" s="1037">
        <v>1.724</v>
      </c>
      <c r="G9" s="1037">
        <v>1.516</v>
      </c>
      <c r="H9" s="1037">
        <v>1.044</v>
      </c>
      <c r="I9" s="1037">
        <v>0.80500000000000005</v>
      </c>
      <c r="J9" s="1037">
        <v>0.41799999999999998</v>
      </c>
      <c r="K9" s="1037"/>
      <c r="L9" s="1037"/>
      <c r="N9" t="s">
        <v>176</v>
      </c>
      <c r="O9" s="981">
        <v>7596</v>
      </c>
      <c r="P9" s="981">
        <v>124900</v>
      </c>
      <c r="Q9" s="980">
        <f t="shared" si="0"/>
        <v>948740400</v>
      </c>
      <c r="S9" t="s">
        <v>1858</v>
      </c>
      <c r="T9" s="981">
        <v>741</v>
      </c>
      <c r="U9" s="981">
        <v>154800</v>
      </c>
      <c r="V9" s="980">
        <f t="shared" si="1"/>
        <v>114706800</v>
      </c>
      <c r="X9" t="s">
        <v>176</v>
      </c>
      <c r="Y9" s="981">
        <v>4856</v>
      </c>
      <c r="Z9" s="981">
        <v>155800</v>
      </c>
      <c r="AA9" s="980">
        <f t="shared" si="2"/>
        <v>756564800</v>
      </c>
    </row>
    <row r="10" spans="2:27">
      <c r="B10" s="103"/>
      <c r="C10" s="1027" t="s">
        <v>1859</v>
      </c>
      <c r="D10" s="1036">
        <v>209.3</v>
      </c>
      <c r="E10" s="1036">
        <v>227.6</v>
      </c>
      <c r="F10" s="1036">
        <v>274.60000000000002</v>
      </c>
      <c r="G10" s="1036">
        <v>360.3</v>
      </c>
      <c r="H10" s="1036">
        <v>263.7</v>
      </c>
      <c r="I10" s="1036">
        <v>298.10000000000002</v>
      </c>
      <c r="J10" s="1036">
        <v>350.5</v>
      </c>
      <c r="K10" s="1064"/>
      <c r="L10" s="1064"/>
      <c r="N10" t="s">
        <v>182</v>
      </c>
      <c r="O10" s="981">
        <v>29362</v>
      </c>
      <c r="P10" s="981">
        <v>189800</v>
      </c>
      <c r="Q10" s="980">
        <f t="shared" si="0"/>
        <v>5572907600</v>
      </c>
      <c r="S10" t="s">
        <v>176</v>
      </c>
      <c r="T10" s="981">
        <v>6806</v>
      </c>
      <c r="U10" s="981">
        <v>124900</v>
      </c>
      <c r="V10" s="980">
        <f t="shared" si="1"/>
        <v>850069400</v>
      </c>
      <c r="X10" t="s">
        <v>182</v>
      </c>
      <c r="Y10" s="981">
        <v>29235</v>
      </c>
      <c r="Z10" s="981">
        <v>269800</v>
      </c>
      <c r="AA10" s="980">
        <f t="shared" si="2"/>
        <v>7887603000</v>
      </c>
    </row>
    <row r="11" spans="2:27" ht="14">
      <c r="B11" s="103"/>
      <c r="C11" s="1024" t="s">
        <v>1853</v>
      </c>
      <c r="D11" s="1035">
        <v>5.1999999999999998E-2</v>
      </c>
      <c r="E11" s="1035">
        <v>-7.5999999999999998E-2</v>
      </c>
      <c r="F11" s="1035">
        <v>0.28299999999999997</v>
      </c>
      <c r="G11" s="1035">
        <v>0.55800000000000005</v>
      </c>
      <c r="H11" s="1035">
        <v>0.26</v>
      </c>
      <c r="I11" s="1035">
        <v>0.309</v>
      </c>
      <c r="J11" s="1035">
        <v>0.27600000000000002</v>
      </c>
      <c r="K11" s="1035"/>
      <c r="L11" s="1035"/>
      <c r="N11" t="s">
        <v>1860</v>
      </c>
      <c r="O11" s="981">
        <v>9618</v>
      </c>
      <c r="P11" s="981">
        <v>168900</v>
      </c>
      <c r="Q11" s="980">
        <f t="shared" si="0"/>
        <v>1624480200</v>
      </c>
      <c r="S11" t="s">
        <v>182</v>
      </c>
      <c r="T11" s="981">
        <v>30421</v>
      </c>
      <c r="U11" s="981">
        <v>189800</v>
      </c>
      <c r="V11" s="980">
        <f t="shared" si="1"/>
        <v>5773905800</v>
      </c>
      <c r="X11" t="s">
        <v>1860</v>
      </c>
      <c r="Y11" s="981">
        <v>12358</v>
      </c>
      <c r="Z11" s="981">
        <v>180800</v>
      </c>
      <c r="AA11" s="980">
        <f t="shared" si="2"/>
        <v>2234326400</v>
      </c>
    </row>
    <row r="12" spans="2:27">
      <c r="B12" s="103"/>
      <c r="C12" s="1026"/>
      <c r="D12" s="1034"/>
      <c r="E12" s="1034"/>
      <c r="F12" s="1034"/>
      <c r="G12" s="1034"/>
      <c r="H12" s="1034"/>
      <c r="I12" s="1034"/>
      <c r="J12" s="1034"/>
      <c r="K12" s="1063"/>
      <c r="L12" s="1063"/>
      <c r="N12" t="s">
        <v>1861</v>
      </c>
      <c r="O12" s="981">
        <v>163</v>
      </c>
      <c r="P12" s="981">
        <v>160800</v>
      </c>
      <c r="Q12" s="980">
        <f t="shared" si="0"/>
        <v>26210400</v>
      </c>
      <c r="S12" t="s">
        <v>1860</v>
      </c>
      <c r="T12" s="981">
        <v>28003</v>
      </c>
      <c r="U12" s="981">
        <v>168900</v>
      </c>
      <c r="V12" s="980">
        <f t="shared" si="1"/>
        <v>4729706700</v>
      </c>
      <c r="X12" t="s">
        <v>167</v>
      </c>
      <c r="Y12" s="981">
        <v>57900</v>
      </c>
      <c r="Z12" s="981">
        <v>152800</v>
      </c>
      <c r="AA12" s="980">
        <f t="shared" si="2"/>
        <v>8847120000</v>
      </c>
    </row>
    <row r="13" spans="2:27">
      <c r="B13" s="103"/>
      <c r="C13" s="1027" t="s">
        <v>1862</v>
      </c>
      <c r="D13" s="1036">
        <v>585.4</v>
      </c>
      <c r="E13" s="1036">
        <v>717.3</v>
      </c>
      <c r="F13" s="1036">
        <v>948.8</v>
      </c>
      <c r="G13" s="1036">
        <v>1266.7</v>
      </c>
      <c r="H13" s="1036">
        <v>987.1</v>
      </c>
      <c r="I13" s="1036">
        <v>1137.4000000000001</v>
      </c>
      <c r="J13" s="1036">
        <v>1262.8</v>
      </c>
      <c r="K13" s="1064"/>
      <c r="L13" s="1064"/>
      <c r="N13" t="s">
        <v>167</v>
      </c>
      <c r="O13" s="981">
        <v>64000</v>
      </c>
      <c r="P13" s="981">
        <v>154800</v>
      </c>
      <c r="Q13" s="980">
        <f t="shared" si="0"/>
        <v>9907200000</v>
      </c>
      <c r="S13" t="s">
        <v>1861</v>
      </c>
      <c r="T13" s="981">
        <v>302</v>
      </c>
      <c r="U13" s="981">
        <v>160800</v>
      </c>
      <c r="V13" s="980">
        <f t="shared" si="1"/>
        <v>48561600</v>
      </c>
      <c r="X13" t="s">
        <v>177</v>
      </c>
      <c r="Y13" s="981">
        <v>46900</v>
      </c>
      <c r="Z13" s="981">
        <v>111800</v>
      </c>
      <c r="AA13" s="980">
        <f t="shared" si="2"/>
        <v>5243420000</v>
      </c>
    </row>
    <row r="14" spans="2:27" ht="14">
      <c r="B14" s="103"/>
      <c r="C14" s="1024" t="s">
        <v>1853</v>
      </c>
      <c r="D14" s="1035">
        <v>0.63400000000000001</v>
      </c>
      <c r="E14" s="1035">
        <v>0.65100000000000002</v>
      </c>
      <c r="F14" s="1035">
        <v>1.016</v>
      </c>
      <c r="G14" s="1035">
        <v>1.0549999999999999</v>
      </c>
      <c r="H14" s="1035">
        <v>0.68600000000000005</v>
      </c>
      <c r="I14" s="1035">
        <v>0.58599999999999997</v>
      </c>
      <c r="J14" s="1035">
        <v>0.33100000000000002</v>
      </c>
      <c r="K14" s="1035"/>
      <c r="L14" s="1035"/>
      <c r="N14" t="s">
        <v>177</v>
      </c>
      <c r="O14" s="981">
        <v>90200</v>
      </c>
      <c r="P14" s="981">
        <v>94800</v>
      </c>
      <c r="Q14" s="980">
        <f t="shared" si="0"/>
        <v>8550960000</v>
      </c>
      <c r="S14" t="s">
        <v>167</v>
      </c>
      <c r="T14" s="981">
        <v>71700</v>
      </c>
      <c r="U14" s="981">
        <v>154800</v>
      </c>
      <c r="V14" s="980">
        <f t="shared" si="1"/>
        <v>11099160000</v>
      </c>
      <c r="X14" t="s">
        <v>175</v>
      </c>
      <c r="Y14" s="981">
        <v>24032</v>
      </c>
      <c r="Z14" s="981">
        <v>138800</v>
      </c>
      <c r="AA14" s="980">
        <f t="shared" si="2"/>
        <v>3335641600</v>
      </c>
    </row>
    <row r="15" spans="2:27">
      <c r="B15" s="103"/>
      <c r="C15" s="1027" t="s">
        <v>1857</v>
      </c>
      <c r="D15" s="1036">
        <v>387.5</v>
      </c>
      <c r="E15" s="1036">
        <v>501.52</v>
      </c>
      <c r="F15" s="1036">
        <v>692.2</v>
      </c>
      <c r="G15" s="1036">
        <v>928.6</v>
      </c>
      <c r="H15" s="1036">
        <v>743.6</v>
      </c>
      <c r="I15" s="1036">
        <v>863.23</v>
      </c>
      <c r="J15" s="1036">
        <v>938.1</v>
      </c>
      <c r="K15" s="1064"/>
      <c r="L15" s="1064"/>
      <c r="N15" t="s">
        <v>175</v>
      </c>
      <c r="O15" s="981">
        <v>30817</v>
      </c>
      <c r="P15" s="981">
        <v>129800</v>
      </c>
      <c r="Q15" s="980">
        <f t="shared" si="0"/>
        <v>4000046600</v>
      </c>
      <c r="S15" t="s">
        <v>177</v>
      </c>
      <c r="T15" s="981">
        <v>81900</v>
      </c>
      <c r="U15" s="981">
        <v>94800</v>
      </c>
      <c r="V15" s="980">
        <f t="shared" si="1"/>
        <v>7764120000</v>
      </c>
      <c r="X15" t="s">
        <v>1863</v>
      </c>
      <c r="Y15" s="981">
        <v>13622</v>
      </c>
      <c r="Z15" s="981">
        <v>89900</v>
      </c>
      <c r="AA15" s="980">
        <f t="shared" si="2"/>
        <v>1224617800</v>
      </c>
    </row>
    <row r="16" spans="2:27" ht="14">
      <c r="B16" s="103"/>
      <c r="C16" s="1024" t="s">
        <v>1853</v>
      </c>
      <c r="D16" s="1035">
        <v>1.25</v>
      </c>
      <c r="E16" s="1035">
        <v>1.4350000000000001</v>
      </c>
      <c r="F16" s="1035">
        <v>1.544</v>
      </c>
      <c r="G16" s="1035">
        <v>1.325</v>
      </c>
      <c r="H16" s="1035">
        <v>0.91900000000000004</v>
      </c>
      <c r="I16" s="1035">
        <v>0.72099999999999997</v>
      </c>
      <c r="J16" s="1035">
        <v>0.35499999999999998</v>
      </c>
      <c r="K16" s="1035"/>
      <c r="L16" s="1035"/>
      <c r="N16" t="s">
        <v>1863</v>
      </c>
      <c r="O16" s="981">
        <v>1783</v>
      </c>
      <c r="P16" s="981">
        <v>89800</v>
      </c>
      <c r="Q16" s="980">
        <f t="shared" si="0"/>
        <v>160113400</v>
      </c>
      <c r="S16" t="s">
        <v>175</v>
      </c>
      <c r="T16" s="981">
        <v>35100</v>
      </c>
      <c r="U16" s="981">
        <v>129800</v>
      </c>
      <c r="V16" s="980">
        <f t="shared" si="1"/>
        <v>4555980000</v>
      </c>
      <c r="X16" t="s">
        <v>172</v>
      </c>
      <c r="Y16" s="981">
        <v>29561</v>
      </c>
      <c r="Z16" s="981">
        <v>102800</v>
      </c>
      <c r="AA16" s="980">
        <f t="shared" si="2"/>
        <v>3038870800</v>
      </c>
    </row>
    <row r="17" spans="2:27">
      <c r="B17" s="103"/>
      <c r="C17" s="1027" t="s">
        <v>1859</v>
      </c>
      <c r="D17" s="1036">
        <v>197.9</v>
      </c>
      <c r="E17" s="1036">
        <v>215.8</v>
      </c>
      <c r="F17" s="1036">
        <v>256.7</v>
      </c>
      <c r="G17" s="1036">
        <v>338</v>
      </c>
      <c r="H17" s="1036">
        <v>243.4</v>
      </c>
      <c r="I17" s="1036">
        <v>274.3</v>
      </c>
      <c r="J17" s="1036">
        <v>324.7</v>
      </c>
      <c r="K17" s="1064"/>
      <c r="L17" s="1064"/>
      <c r="N17" t="s">
        <v>172</v>
      </c>
      <c r="O17" s="981">
        <v>85500</v>
      </c>
      <c r="P17" s="981">
        <v>116800</v>
      </c>
      <c r="Q17" s="980">
        <f t="shared" si="0"/>
        <v>9986400000</v>
      </c>
      <c r="S17" t="s">
        <v>1863</v>
      </c>
      <c r="T17" s="981">
        <v>5241</v>
      </c>
      <c r="U17" s="981">
        <v>89800</v>
      </c>
      <c r="V17" s="980">
        <f t="shared" si="1"/>
        <v>470641800</v>
      </c>
      <c r="X17" t="s">
        <v>171</v>
      </c>
      <c r="Y17" s="981">
        <v>16515</v>
      </c>
      <c r="Z17" s="981">
        <v>137800</v>
      </c>
      <c r="AA17" s="980">
        <f t="shared" si="2"/>
        <v>2275767000</v>
      </c>
    </row>
    <row r="18" spans="2:27" ht="14">
      <c r="B18" s="103"/>
      <c r="C18" s="1024" t="s">
        <v>1853</v>
      </c>
      <c r="D18" s="1035">
        <v>6.3E-2</v>
      </c>
      <c r="E18" s="1035">
        <v>-5.6000000000000001E-2</v>
      </c>
      <c r="F18" s="1035">
        <v>0.29199999999999998</v>
      </c>
      <c r="G18" s="1035">
        <v>0.55800000000000005</v>
      </c>
      <c r="H18" s="1035">
        <v>0.23</v>
      </c>
      <c r="I18" s="1035">
        <v>0.27100000000000002</v>
      </c>
      <c r="J18" s="1035">
        <v>0.26500000000000001</v>
      </c>
      <c r="K18" s="1035"/>
      <c r="L18" s="1035"/>
      <c r="N18" t="s">
        <v>171</v>
      </c>
      <c r="O18" s="981">
        <v>78500</v>
      </c>
      <c r="P18" s="981">
        <v>139800</v>
      </c>
      <c r="Q18" s="980">
        <f t="shared" si="0"/>
        <v>10974300000</v>
      </c>
      <c r="S18" t="s">
        <v>172</v>
      </c>
      <c r="T18" s="981">
        <v>68200</v>
      </c>
      <c r="U18" s="981">
        <v>116800</v>
      </c>
      <c r="V18" s="980">
        <f t="shared" si="1"/>
        <v>7965760000</v>
      </c>
      <c r="X18" t="s">
        <v>1864</v>
      </c>
      <c r="Y18" s="981">
        <v>1476</v>
      </c>
      <c r="Z18" s="981">
        <v>119800</v>
      </c>
      <c r="AA18" s="980">
        <f t="shared" si="2"/>
        <v>176824800</v>
      </c>
    </row>
    <row r="19" spans="2:27">
      <c r="B19" s="103"/>
      <c r="C19" s="1026"/>
      <c r="D19" s="1034"/>
      <c r="E19" s="1034"/>
      <c r="F19" s="1034"/>
      <c r="G19" s="1034"/>
      <c r="H19" s="1034"/>
      <c r="I19" s="1034"/>
      <c r="J19" s="1034"/>
      <c r="K19" s="1063"/>
      <c r="L19" s="1063"/>
      <c r="N19" t="s">
        <v>1864</v>
      </c>
      <c r="O19" s="981">
        <v>22916</v>
      </c>
      <c r="P19" s="981">
        <v>98800</v>
      </c>
      <c r="Q19" s="980">
        <f t="shared" si="0"/>
        <v>2264100800</v>
      </c>
      <c r="S19" t="s">
        <v>171</v>
      </c>
      <c r="T19" s="981">
        <v>76600</v>
      </c>
      <c r="U19" s="981">
        <v>139800</v>
      </c>
      <c r="V19" s="980">
        <f t="shared" si="1"/>
        <v>10708680000</v>
      </c>
      <c r="X19" t="s">
        <v>1865</v>
      </c>
      <c r="Y19" s="981">
        <v>2226</v>
      </c>
      <c r="Z19" s="981">
        <v>244800</v>
      </c>
      <c r="AA19" s="980">
        <f t="shared" si="2"/>
        <v>544924800</v>
      </c>
    </row>
    <row r="20" spans="2:27">
      <c r="B20" s="103"/>
      <c r="C20" s="1027" t="s">
        <v>1866</v>
      </c>
      <c r="D20" s="1038">
        <v>0.124</v>
      </c>
      <c r="E20" s="1038">
        <v>0.14399999999999999</v>
      </c>
      <c r="F20" s="1038">
        <v>0.19</v>
      </c>
      <c r="G20" s="1038">
        <v>0.19</v>
      </c>
      <c r="H20" s="1038">
        <v>0.17899999999999999</v>
      </c>
      <c r="I20" s="1038">
        <v>0.187</v>
      </c>
      <c r="J20" s="1038">
        <v>0.221</v>
      </c>
      <c r="K20" s="1035"/>
      <c r="L20" s="1035"/>
      <c r="N20" t="s">
        <v>183</v>
      </c>
      <c r="O20" s="981">
        <v>21187</v>
      </c>
      <c r="P20" s="981">
        <v>189800</v>
      </c>
      <c r="Q20" s="980">
        <f t="shared" si="0"/>
        <v>4021292600</v>
      </c>
      <c r="S20" t="s">
        <v>1864</v>
      </c>
      <c r="T20" s="981">
        <v>26164</v>
      </c>
      <c r="U20" s="981">
        <v>101800</v>
      </c>
      <c r="V20" s="980">
        <f t="shared" si="1"/>
        <v>2663495200</v>
      </c>
      <c r="X20" t="s">
        <v>1867</v>
      </c>
      <c r="Y20" s="1055">
        <f>SUM(AA3:AA19)/SUM(Y3:Y19)/10000</f>
        <v>16.072813885298981</v>
      </c>
      <c r="Z20" s="976"/>
      <c r="AA20" s="976"/>
    </row>
    <row r="21" spans="2:27" ht="14">
      <c r="B21" s="103"/>
      <c r="C21" s="1024" t="s">
        <v>1853</v>
      </c>
      <c r="D21" s="1039" t="s">
        <v>1868</v>
      </c>
      <c r="E21" s="1045" t="s">
        <v>1869</v>
      </c>
      <c r="F21" s="1040" t="s">
        <v>1870</v>
      </c>
      <c r="G21" s="1040" t="s">
        <v>1871</v>
      </c>
      <c r="H21" s="1040" t="s">
        <v>1872</v>
      </c>
      <c r="I21" s="1040" t="s">
        <v>1873</v>
      </c>
      <c r="J21" s="1040" t="s">
        <v>1874</v>
      </c>
      <c r="K21" s="1040"/>
      <c r="L21" s="1040"/>
      <c r="N21" t="s">
        <v>179</v>
      </c>
      <c r="O21" s="981">
        <v>26134</v>
      </c>
      <c r="P21" s="981">
        <v>202800</v>
      </c>
      <c r="Q21" s="980">
        <f t="shared" si="0"/>
        <v>5299975200</v>
      </c>
      <c r="S21" t="s">
        <v>183</v>
      </c>
      <c r="T21" s="981">
        <v>12601</v>
      </c>
      <c r="U21" s="981">
        <v>189800</v>
      </c>
      <c r="V21" s="980">
        <f t="shared" si="1"/>
        <v>2391669800</v>
      </c>
      <c r="Z21" s="1000">
        <f>SUM(AA3:AA19)</f>
        <v>46264630400</v>
      </c>
    </row>
    <row r="22" spans="2:27">
      <c r="B22" s="103"/>
      <c r="C22" s="1027" t="s">
        <v>1875</v>
      </c>
      <c r="D22" s="1041">
        <v>0.156</v>
      </c>
      <c r="E22" s="1041">
        <v>0.17799999999999999</v>
      </c>
      <c r="F22" s="1041">
        <v>0.22800000000000001</v>
      </c>
      <c r="G22" s="1041">
        <v>0.22800000000000001</v>
      </c>
      <c r="H22" s="1041">
        <v>0.20699999999999999</v>
      </c>
      <c r="I22" s="1041">
        <v>0.216</v>
      </c>
      <c r="J22" s="1041">
        <v>0.26200000000000001</v>
      </c>
      <c r="K22" s="1037"/>
      <c r="L22" s="1037"/>
      <c r="N22" t="s">
        <v>185</v>
      </c>
      <c r="O22" s="981">
        <v>25027</v>
      </c>
      <c r="P22" s="981">
        <v>73800</v>
      </c>
      <c r="Q22" s="980">
        <f t="shared" si="0"/>
        <v>1846992600</v>
      </c>
      <c r="S22" t="s">
        <v>179</v>
      </c>
      <c r="T22" s="981">
        <v>12190</v>
      </c>
      <c r="U22" s="981">
        <v>202800</v>
      </c>
      <c r="V22" s="980">
        <f t="shared" si="1"/>
        <v>2472132000</v>
      </c>
      <c r="Y22" s="1000"/>
      <c r="Z22" s="1056">
        <f>Z21/100000000</f>
        <v>462.64630399999999</v>
      </c>
    </row>
    <row r="23" spans="2:27" ht="14">
      <c r="B23" s="103"/>
      <c r="C23" s="1024" t="s">
        <v>1853</v>
      </c>
      <c r="D23" s="1045" t="s">
        <v>1876</v>
      </c>
      <c r="E23" s="1045" t="s">
        <v>1877</v>
      </c>
      <c r="F23" s="1040" t="s">
        <v>1872</v>
      </c>
      <c r="G23" s="1040" t="s">
        <v>1878</v>
      </c>
      <c r="H23" s="1040" t="s">
        <v>1879</v>
      </c>
      <c r="I23" s="1040" t="s">
        <v>1880</v>
      </c>
      <c r="J23" s="1040" t="s">
        <v>1881</v>
      </c>
      <c r="K23" s="1040"/>
      <c r="L23" s="1040"/>
      <c r="N23" t="s">
        <v>1882</v>
      </c>
      <c r="O23" s="981">
        <v>0</v>
      </c>
      <c r="P23" s="981">
        <v>166800</v>
      </c>
      <c r="Q23" s="980">
        <f t="shared" si="0"/>
        <v>0</v>
      </c>
      <c r="S23" t="s">
        <v>185</v>
      </c>
      <c r="T23" s="981">
        <v>94800</v>
      </c>
      <c r="U23" s="981">
        <v>73800</v>
      </c>
      <c r="V23" s="980">
        <f t="shared" si="1"/>
        <v>6996240000</v>
      </c>
    </row>
    <row r="24" spans="2:27">
      <c r="B24" s="103"/>
      <c r="C24" s="1027" t="s">
        <v>1883</v>
      </c>
      <c r="D24" s="1041">
        <v>5.5E-2</v>
      </c>
      <c r="E24" s="1041">
        <v>5.1999999999999998E-2</v>
      </c>
      <c r="F24" s="1041">
        <v>6.5000000000000002E-2</v>
      </c>
      <c r="G24" s="1041">
        <v>6.2E-2</v>
      </c>
      <c r="H24" s="1041">
        <v>7.6999999999999999E-2</v>
      </c>
      <c r="I24" s="1041">
        <v>0.08</v>
      </c>
      <c r="J24" s="1041">
        <v>7.3999999999999996E-2</v>
      </c>
      <c r="K24" s="1037"/>
      <c r="L24" s="1037"/>
      <c r="N24" t="s">
        <v>1884</v>
      </c>
      <c r="O24" s="981">
        <v>32000</v>
      </c>
      <c r="P24" s="981">
        <v>335800</v>
      </c>
      <c r="Q24" s="980">
        <f t="shared" si="0"/>
        <v>10745600000</v>
      </c>
      <c r="S24" t="s">
        <v>1882</v>
      </c>
      <c r="T24" s="981">
        <v>3890</v>
      </c>
      <c r="U24" s="981">
        <v>166800</v>
      </c>
      <c r="V24" s="980">
        <f t="shared" si="1"/>
        <v>648852000</v>
      </c>
    </row>
    <row r="25" spans="2:27" ht="14">
      <c r="B25" s="103"/>
      <c r="C25" s="1024" t="s">
        <v>1853</v>
      </c>
      <c r="D25" s="1045" t="s">
        <v>1885</v>
      </c>
      <c r="E25" s="1045" t="s">
        <v>1886</v>
      </c>
      <c r="F25" s="1045" t="s">
        <v>1887</v>
      </c>
      <c r="G25" s="1040" t="s">
        <v>1888</v>
      </c>
      <c r="H25" s="1040" t="s">
        <v>1889</v>
      </c>
      <c r="I25" s="1040" t="s">
        <v>1890</v>
      </c>
      <c r="J25" s="1040" t="s">
        <v>1891</v>
      </c>
      <c r="K25" s="1040"/>
      <c r="L25" s="1040"/>
      <c r="N25" t="s">
        <v>1892</v>
      </c>
      <c r="O25" s="981">
        <v>0</v>
      </c>
      <c r="P25" s="1058">
        <v>301800</v>
      </c>
      <c r="Q25" s="980">
        <f t="shared" si="0"/>
        <v>0</v>
      </c>
      <c r="S25" t="s">
        <v>1884</v>
      </c>
      <c r="T25" s="981">
        <v>31300</v>
      </c>
      <c r="U25" s="1058">
        <v>335800</v>
      </c>
      <c r="V25" s="980">
        <f t="shared" si="1"/>
        <v>10510540000</v>
      </c>
    </row>
    <row r="26" spans="2:27">
      <c r="B26" s="103"/>
      <c r="C26" s="1026"/>
      <c r="D26" s="1034"/>
      <c r="E26" s="1034"/>
      <c r="F26" s="1034"/>
      <c r="G26" s="1034"/>
      <c r="H26" s="1034"/>
      <c r="I26" s="1034"/>
      <c r="J26" s="1034"/>
      <c r="K26" s="1063"/>
      <c r="L26" s="1063"/>
      <c r="N26" t="s">
        <v>1893</v>
      </c>
      <c r="O26" s="981">
        <v>0</v>
      </c>
      <c r="P26" s="1058">
        <v>319800</v>
      </c>
      <c r="Q26" s="980">
        <f t="shared" si="0"/>
        <v>0</v>
      </c>
      <c r="S26" t="s">
        <v>1892</v>
      </c>
      <c r="T26" s="981">
        <v>3290</v>
      </c>
      <c r="U26" s="1058">
        <v>301800</v>
      </c>
      <c r="V26" s="980">
        <f t="shared" si="1"/>
        <v>992922000</v>
      </c>
    </row>
    <row r="27" spans="2:27">
      <c r="B27" s="103"/>
      <c r="C27" s="1027" t="s">
        <v>1894</v>
      </c>
      <c r="D27" s="1042">
        <v>8.1</v>
      </c>
      <c r="E27" s="1042">
        <v>27.9</v>
      </c>
      <c r="F27" s="1042">
        <v>57.2</v>
      </c>
      <c r="G27" s="1042">
        <v>73.099999999999994</v>
      </c>
      <c r="H27" s="1042">
        <v>41.3</v>
      </c>
      <c r="I27" s="1042">
        <v>68.2</v>
      </c>
      <c r="J27" s="1042">
        <v>104.1</v>
      </c>
      <c r="K27" s="1065"/>
      <c r="L27" s="1065"/>
      <c r="N27" t="s">
        <v>1865</v>
      </c>
      <c r="O27" s="981">
        <f>(8.1-3.87)*10000</f>
        <v>42299.999999999993</v>
      </c>
      <c r="P27" s="981">
        <v>244800</v>
      </c>
      <c r="Q27" s="980">
        <f t="shared" si="0"/>
        <v>10355039999.999998</v>
      </c>
      <c r="S27" t="s">
        <v>1893</v>
      </c>
      <c r="T27" s="981">
        <v>1097</v>
      </c>
      <c r="U27" s="1058">
        <v>319800</v>
      </c>
      <c r="V27" s="980">
        <f t="shared" si="1"/>
        <v>350820600</v>
      </c>
    </row>
    <row r="28" spans="2:27" ht="14">
      <c r="B28" s="103"/>
      <c r="C28" s="1024" t="s">
        <v>1853</v>
      </c>
      <c r="D28" s="1037">
        <v>2.4060000000000001</v>
      </c>
      <c r="E28" s="1037">
        <v>1.9770000000000001</v>
      </c>
      <c r="F28" s="1037">
        <v>3.5030000000000001</v>
      </c>
      <c r="G28" s="1037">
        <v>11.141</v>
      </c>
      <c r="H28" s="1037">
        <v>4.109</v>
      </c>
      <c r="I28" s="1037">
        <v>1.4490000000000001</v>
      </c>
      <c r="J28" s="1037">
        <v>0.82099999999999995</v>
      </c>
      <c r="K28" s="1037"/>
      <c r="L28" s="1037"/>
      <c r="N28" t="s">
        <v>1867</v>
      </c>
      <c r="O28" s="978">
        <f>SUM(Q2:Q27)/SUM(O2:O27)/10000</f>
        <v>15.512257967934959</v>
      </c>
      <c r="P28" s="976"/>
      <c r="Q28" s="976">
        <f>SUM(Q2:Q27)</f>
        <v>106730384600</v>
      </c>
      <c r="S28" t="s">
        <v>1865</v>
      </c>
      <c r="T28" s="981">
        <f>R44</f>
        <v>71231</v>
      </c>
      <c r="U28" s="981">
        <v>244800</v>
      </c>
      <c r="V28" s="980">
        <f t="shared" si="1"/>
        <v>17437348800</v>
      </c>
    </row>
    <row r="29" spans="2:27">
      <c r="B29" s="103"/>
      <c r="C29" s="1027" t="s">
        <v>1857</v>
      </c>
      <c r="D29" s="1042">
        <v>6.9</v>
      </c>
      <c r="E29" s="1042">
        <v>24.9</v>
      </c>
      <c r="F29" s="1042">
        <v>53.2</v>
      </c>
      <c r="G29" s="1042">
        <v>69</v>
      </c>
      <c r="H29" s="1042">
        <v>38.299999999999997</v>
      </c>
      <c r="I29" s="1042">
        <v>61.3</v>
      </c>
      <c r="J29" s="1042">
        <v>94.1</v>
      </c>
      <c r="K29" s="1065"/>
      <c r="L29" s="1065"/>
      <c r="O29" s="1000"/>
      <c r="S29" t="s">
        <v>1867</v>
      </c>
      <c r="T29" s="978">
        <f>SUM(V3:V28)/SUM(T3:T28)/10000</f>
        <v>15.355576568680329</v>
      </c>
      <c r="U29" s="976"/>
      <c r="V29" s="976">
        <f>SUM(V3:V28)</f>
        <v>122987112300</v>
      </c>
    </row>
    <row r="30" spans="2:27" ht="14">
      <c r="B30" s="103"/>
      <c r="C30" s="1024" t="s">
        <v>1853</v>
      </c>
      <c r="D30" s="1037">
        <v>3.347</v>
      </c>
      <c r="E30" s="1037">
        <v>5.4290000000000003</v>
      </c>
      <c r="F30" s="1037">
        <v>4.71</v>
      </c>
      <c r="G30" s="1037">
        <v>12.766999999999999</v>
      </c>
      <c r="H30" s="1037">
        <v>4.548</v>
      </c>
      <c r="I30" s="1037">
        <v>1.4630000000000001</v>
      </c>
      <c r="J30" s="1037">
        <v>0.76800000000000002</v>
      </c>
      <c r="K30" s="1037"/>
      <c r="L30" s="1037"/>
    </row>
    <row r="31" spans="2:27">
      <c r="B31" s="103"/>
      <c r="C31" s="1027" t="s">
        <v>1859</v>
      </c>
      <c r="D31" s="1042">
        <v>1.2</v>
      </c>
      <c r="E31" s="1042">
        <v>3</v>
      </c>
      <c r="F31" s="1042">
        <v>4</v>
      </c>
      <c r="G31" s="1042">
        <v>4.0999999999999996</v>
      </c>
      <c r="H31" s="1042">
        <v>3</v>
      </c>
      <c r="I31" s="1042">
        <v>6.9</v>
      </c>
      <c r="J31" s="1042">
        <v>10</v>
      </c>
      <c r="K31" s="1065"/>
      <c r="L31" s="1065"/>
      <c r="T31" s="978"/>
    </row>
    <row r="32" spans="2:27" ht="14">
      <c r="B32" s="103"/>
      <c r="C32" s="1024" t="s">
        <v>1853</v>
      </c>
      <c r="D32" s="1037">
        <v>-0.77700000000000002</v>
      </c>
      <c r="E32" s="1037">
        <v>-0.45700000000000002</v>
      </c>
      <c r="F32" s="1037">
        <v>0.17399999999999999</v>
      </c>
      <c r="G32" s="1037">
        <v>3.0550000000000002</v>
      </c>
      <c r="H32" s="1037">
        <v>1.5489999999999999</v>
      </c>
      <c r="I32" s="1037">
        <v>1.329</v>
      </c>
      <c r="J32" s="1037">
        <v>1.534</v>
      </c>
      <c r="K32" s="1037"/>
      <c r="L32" s="1037"/>
      <c r="U32" s="1056"/>
    </row>
    <row r="33" spans="2:20">
      <c r="B33" s="103"/>
      <c r="C33" s="1029"/>
      <c r="D33" s="1043"/>
      <c r="E33" s="1043"/>
      <c r="F33" s="1043"/>
      <c r="G33" s="1043"/>
      <c r="H33" s="1043"/>
      <c r="I33" s="1043"/>
      <c r="J33" s="1043"/>
      <c r="K33" s="1066"/>
      <c r="L33" s="1066"/>
    </row>
    <row r="34" spans="2:20">
      <c r="B34" s="103"/>
      <c r="C34" s="1030" t="s">
        <v>1895</v>
      </c>
      <c r="D34" s="1046">
        <v>1.2E-2</v>
      </c>
      <c r="E34" s="1046">
        <v>3.3000000000000002E-2</v>
      </c>
      <c r="F34" s="1046">
        <v>4.9000000000000002E-2</v>
      </c>
      <c r="G34" s="1046">
        <v>4.7E-2</v>
      </c>
      <c r="H34" s="1046">
        <v>3.4000000000000002E-2</v>
      </c>
      <c r="I34" s="1046">
        <v>4.9000000000000002E-2</v>
      </c>
      <c r="J34" s="1046">
        <v>6.4000000000000001E-2</v>
      </c>
      <c r="K34" s="1067"/>
      <c r="L34" s="1067"/>
    </row>
    <row r="35" spans="2:20" ht="14">
      <c r="B35" s="103"/>
      <c r="C35" s="1024" t="s">
        <v>1853</v>
      </c>
      <c r="D35" s="1047" t="s">
        <v>1896</v>
      </c>
      <c r="E35" s="1047" t="s">
        <v>1897</v>
      </c>
      <c r="F35" s="1047" t="s">
        <v>1898</v>
      </c>
      <c r="G35" s="1047" t="s">
        <v>1880</v>
      </c>
      <c r="H35" s="1047" t="s">
        <v>1889</v>
      </c>
      <c r="I35" s="1047" t="s">
        <v>1899</v>
      </c>
      <c r="J35" s="1047" t="s">
        <v>1869</v>
      </c>
      <c r="K35" s="1068"/>
      <c r="L35" s="1068"/>
    </row>
    <row r="36" spans="2:20">
      <c r="B36" s="103"/>
      <c r="C36" s="1030" t="s">
        <v>1875</v>
      </c>
      <c r="D36" s="1046">
        <v>1.4999999999999999E-2</v>
      </c>
      <c r="E36" s="1046">
        <v>4.1000000000000002E-2</v>
      </c>
      <c r="F36" s="1046">
        <v>5.8999999999999997E-2</v>
      </c>
      <c r="G36" s="1046">
        <v>5.7000000000000002E-2</v>
      </c>
      <c r="H36" s="1046">
        <v>4.1000000000000002E-2</v>
      </c>
      <c r="I36" s="1046">
        <v>5.6000000000000001E-2</v>
      </c>
      <c r="J36" s="1046">
        <v>7.3999999999999996E-2</v>
      </c>
      <c r="K36" s="1067"/>
      <c r="L36" s="1067"/>
    </row>
    <row r="37" spans="2:20" ht="14">
      <c r="B37" s="103"/>
      <c r="C37" s="1024" t="s">
        <v>1853</v>
      </c>
      <c r="D37" s="1047" t="s">
        <v>1900</v>
      </c>
      <c r="E37" s="1047" t="s">
        <v>1898</v>
      </c>
      <c r="F37" s="1047" t="s">
        <v>1901</v>
      </c>
      <c r="G37" s="1047" t="s">
        <v>1902</v>
      </c>
      <c r="H37" s="1047" t="s">
        <v>1903</v>
      </c>
      <c r="I37" s="1047" t="s">
        <v>1904</v>
      </c>
      <c r="J37" s="1047" t="s">
        <v>1869</v>
      </c>
      <c r="K37" s="1068"/>
      <c r="L37" s="1068"/>
    </row>
    <row r="38" spans="2:20">
      <c r="B38" s="103"/>
      <c r="C38" s="1030" t="s">
        <v>1883</v>
      </c>
      <c r="D38" s="1046">
        <v>6.0000000000000001E-3</v>
      </c>
      <c r="E38" s="1046">
        <v>1.2999999999999999E-2</v>
      </c>
      <c r="F38" s="1046">
        <v>1.4E-2</v>
      </c>
      <c r="G38" s="1046">
        <v>1.0999999999999999E-2</v>
      </c>
      <c r="H38" s="1046">
        <v>1.0999999999999999E-2</v>
      </c>
      <c r="I38" s="1046">
        <v>2.3E-2</v>
      </c>
      <c r="J38" s="1046">
        <v>2.9000000000000001E-2</v>
      </c>
      <c r="K38" s="1067"/>
      <c r="L38" s="1067"/>
    </row>
    <row r="39" spans="2:20" ht="14">
      <c r="B39" s="103"/>
      <c r="C39" s="1024" t="s">
        <v>1853</v>
      </c>
      <c r="D39" s="1048" t="s">
        <v>1905</v>
      </c>
      <c r="E39" s="1048" t="s">
        <v>1906</v>
      </c>
      <c r="F39" s="1048" t="s">
        <v>1907</v>
      </c>
      <c r="G39" s="1047" t="s">
        <v>1908</v>
      </c>
      <c r="H39" s="1047" t="s">
        <v>1896</v>
      </c>
      <c r="I39" s="1047" t="s">
        <v>1909</v>
      </c>
      <c r="J39" s="1047" t="s">
        <v>1897</v>
      </c>
      <c r="K39" s="1068"/>
      <c r="L39" s="1068"/>
    </row>
    <row r="40" spans="2:20">
      <c r="B40" s="103"/>
      <c r="C40" s="1029"/>
      <c r="D40" s="1043"/>
      <c r="E40" s="1043"/>
      <c r="F40" s="1043"/>
      <c r="G40" s="1043"/>
      <c r="H40" s="1043"/>
      <c r="I40" s="1043"/>
      <c r="J40" s="1043"/>
      <c r="K40" s="1066"/>
      <c r="L40" s="1066"/>
      <c r="Q40">
        <v>18169</v>
      </c>
    </row>
    <row r="41" spans="2:20">
      <c r="B41" s="103"/>
      <c r="C41" s="1030" t="s">
        <v>1910</v>
      </c>
      <c r="D41" s="1049">
        <f>'[2]Breakdown Analysis BYD'!$B$91</f>
        <v>16.780406427812174</v>
      </c>
      <c r="E41" s="1049">
        <f>'[2]Breakdown Analysis BYD'!$B$92</f>
        <v>17.631616245454751</v>
      </c>
      <c r="F41" s="1049">
        <f>'[2]Breakdown Analysis BYD'!$B$93</f>
        <v>17.592200819550655</v>
      </c>
      <c r="G41" s="1049">
        <f>'[2]Breakdown Analysis BYD'!$B$94</f>
        <v>18.080521570493325</v>
      </c>
      <c r="H41" s="1049">
        <f>'[2]Breakdown Analysis BYD'!$B$95</f>
        <v>17.274500643168601</v>
      </c>
      <c r="I41" s="1049">
        <f>'[2]Breakdown Analysis BYD'!$B$96</f>
        <v>16.539522323589214</v>
      </c>
      <c r="J41" s="1049">
        <f>'[2]Breakdown Analysis BYD'!$B$97</f>
        <v>16.090553024212674</v>
      </c>
      <c r="K41" s="1102">
        <f>E41/I41-1</f>
        <v>6.602935081794703E-2</v>
      </c>
      <c r="L41" s="1102">
        <f>F41/J41-1</f>
        <v>9.3324809475369586E-2</v>
      </c>
    </row>
    <row r="42" spans="2:20" ht="14">
      <c r="B42" s="103"/>
      <c r="C42" s="1024" t="s">
        <v>1853</v>
      </c>
      <c r="D42" s="1044">
        <f t="shared" ref="D42:F42" si="3">D41/D58-1</f>
        <v>-0.18322642955535429</v>
      </c>
      <c r="E42" s="1044">
        <f t="shared" si="3"/>
        <v>-2.6024209718365277E-2</v>
      </c>
      <c r="F42" s="1044">
        <f t="shared" si="3"/>
        <v>8.9493012385840842E-2</v>
      </c>
      <c r="G42" s="1044">
        <f>G41/G58-1</f>
        <v>7.4171576296882202E-2</v>
      </c>
      <c r="H42" s="1044">
        <f>H41/D41-1</f>
        <v>2.9444710858582468E-2</v>
      </c>
      <c r="I42" s="1044">
        <f>I41/E41-1</f>
        <v>-6.1939524242258126E-2</v>
      </c>
      <c r="J42" s="1044">
        <f>J41/F41-1</f>
        <v>-8.5358722921646146E-2</v>
      </c>
      <c r="K42" s="1102">
        <f>H41/I41-1</f>
        <v>4.4437699299884725E-2</v>
      </c>
      <c r="L42" s="1102">
        <f>I41/J41-1</f>
        <v>2.7902664296307389E-2</v>
      </c>
      <c r="N42" t="s">
        <v>1911</v>
      </c>
      <c r="P42">
        <v>2194</v>
      </c>
      <c r="Q42">
        <v>10860</v>
      </c>
      <c r="R42" s="66">
        <f>Q42/P42-1</f>
        <v>3.9498632634457609</v>
      </c>
    </row>
    <row r="43" spans="2:20">
      <c r="B43" s="103"/>
      <c r="C43" s="1030" t="s">
        <v>1912</v>
      </c>
      <c r="D43" s="1049">
        <f>'[2]Chart4. 总销量和单车净利润估算'!$D$28</f>
        <v>0.21944231984884519</v>
      </c>
      <c r="E43" s="1049">
        <f>'[2]Chart4. 总销量和单车净利润估算'!$D$27</f>
        <v>0.66044196706468228</v>
      </c>
      <c r="F43" s="1049">
        <f>'[2]Chart4. 总销量和单车净利润估算'!$D$26</f>
        <v>0.95453589806786021</v>
      </c>
      <c r="G43" s="1049">
        <f>'[2]Chart4. 总销量和单车净利润估算'!$D$25</f>
        <v>1.0796173853701247</v>
      </c>
      <c r="H43" s="1049">
        <f>'[2]Chart4. 总销量和单车净利润估算'!$D$24</f>
        <v>0.67001863420919594</v>
      </c>
      <c r="I43" s="1049">
        <f>'[2]Chart4. 总销量和单车净利润估算'!$D$23</f>
        <v>0.8236071997760781</v>
      </c>
      <c r="J43" s="1049">
        <f>'[2]Chart4. 总销量和单车净利润估算'!$D$22</f>
        <v>1.0807446593698531</v>
      </c>
      <c r="K43" s="1069"/>
      <c r="L43" s="1069"/>
      <c r="N43" s="5"/>
      <c r="O43" s="5"/>
      <c r="P43" s="5" t="s">
        <v>1844</v>
      </c>
      <c r="Q43" s="5" t="s">
        <v>1839</v>
      </c>
      <c r="R43" s="5" t="s">
        <v>1849</v>
      </c>
      <c r="S43" s="5"/>
    </row>
    <row r="44" spans="2:20" ht="14">
      <c r="B44" s="103"/>
      <c r="C44" s="1024" t="s">
        <v>1853</v>
      </c>
      <c r="D44" s="1044">
        <f t="shared" ref="D44:F44" si="4">D43/D62-1</f>
        <v>1.5894193742163734</v>
      </c>
      <c r="E44" s="1044">
        <f t="shared" si="4"/>
        <v>1.3945738748716625</v>
      </c>
      <c r="F44" s="1044">
        <f t="shared" si="4"/>
        <v>1.0874446659766841</v>
      </c>
      <c r="G44" s="1044">
        <f>G43/G62-1</f>
        <v>5.1303026783145205</v>
      </c>
      <c r="H44" s="1044">
        <f t="shared" ref="H44:I44" si="5">H43/D43-1</f>
        <v>2.0532790332817927</v>
      </c>
      <c r="I44" s="1044">
        <f t="shared" si="5"/>
        <v>0.24705461016746044</v>
      </c>
      <c r="J44" s="1044">
        <f>J43/F43-1</f>
        <v>0.13222002604350491</v>
      </c>
      <c r="K44" s="1067"/>
      <c r="L44" s="1067"/>
      <c r="N44" s="5"/>
      <c r="O44" s="5" t="s">
        <v>1913</v>
      </c>
      <c r="P44" s="1057">
        <v>2226</v>
      </c>
      <c r="Q44" s="1057"/>
      <c r="R44" s="1057">
        <v>71231</v>
      </c>
      <c r="S44" s="1054">
        <f>R44/P44-1</f>
        <v>30.999550763701706</v>
      </c>
    </row>
    <row r="45" spans="2:20">
      <c r="B45" s="103"/>
      <c r="C45" s="1030" t="s">
        <v>1914</v>
      </c>
      <c r="D45" s="1049">
        <f>'[2]Chart4. 总销量和单车净利润估算'!$E$28</f>
        <v>0.11660257955009797</v>
      </c>
      <c r="E45" s="1049">
        <f>'[2]Chart4. 总销量和单车净利润估算'!$E$27</f>
        <v>0.58364948220247859</v>
      </c>
      <c r="F45" s="1049">
        <f>'[2]Chart4. 总销量和单车净利润估算'!$E$26</f>
        <v>0.8834026050652386</v>
      </c>
      <c r="G45" s="1049">
        <f>'[2]Chart4. 总销量和单车净利润估算'!$E$25</f>
        <v>1.0735301881204691</v>
      </c>
      <c r="H45" s="1049">
        <f>'[2]Chart4. 总销量和单车净利润估算'!$E$24</f>
        <v>0.56691177678370996</v>
      </c>
      <c r="I45" s="1049">
        <f>'[2]Chart4. 总销量和单车净利润估算'!$E$23</f>
        <v>0.72444890638120418</v>
      </c>
      <c r="J45" s="1049">
        <f>'[2]Chart4. 总销量和单车净利润估算'!$E$22</f>
        <v>0.9884383051086616</v>
      </c>
      <c r="K45" s="1069"/>
      <c r="L45" s="1069"/>
      <c r="N45" s="5"/>
      <c r="O45" s="5" t="s">
        <v>1915</v>
      </c>
      <c r="P45" s="1057">
        <v>160000</v>
      </c>
      <c r="Q45" s="1057"/>
      <c r="R45" s="1057">
        <v>70800</v>
      </c>
      <c r="S45" s="1054">
        <f>R45/P45-1</f>
        <v>-0.5575</v>
      </c>
    </row>
    <row r="46" spans="2:20" ht="14">
      <c r="B46" s="103"/>
      <c r="C46" s="1024" t="s">
        <v>1853</v>
      </c>
      <c r="D46" s="1044">
        <f>D45/D66-1</f>
        <v>0.8564796415512026</v>
      </c>
      <c r="E46" s="1044">
        <f>E45/E66-1</f>
        <v>-9.2081498608158086</v>
      </c>
      <c r="F46" s="1044">
        <f>F45/F66-1</f>
        <v>8.9949323001348578</v>
      </c>
      <c r="G46" s="1044">
        <f>G45/G66-1</f>
        <v>10.361350674078905</v>
      </c>
      <c r="H46" s="1044">
        <f>H45/D45-1</f>
        <v>3.8619145388643652</v>
      </c>
      <c r="I46" s="1044">
        <f>I45/E45-1</f>
        <v>0.24123969689375957</v>
      </c>
      <c r="J46" s="1044">
        <f>J45/F45-1</f>
        <v>0.11889901551248672</v>
      </c>
      <c r="K46" s="1067"/>
      <c r="L46" s="1067"/>
      <c r="N46" s="5" t="s">
        <v>1916</v>
      </c>
      <c r="O46" s="5"/>
      <c r="P46" s="1057">
        <f>(CA!H86-CA!H90)/CA!H106*1000</f>
        <v>101387.13633846125</v>
      </c>
      <c r="Q46" s="1057">
        <v>85181.220518556074</v>
      </c>
      <c r="R46" s="1057">
        <f>(CA!I86-CA!I90)/CA!I105*1000</f>
        <v>83053.742203426969</v>
      </c>
      <c r="S46" s="1054">
        <f>R46/P46-1</f>
        <v>-0.18082564314502192</v>
      </c>
      <c r="T46" s="1000"/>
    </row>
    <row r="47" spans="2:20">
      <c r="B47" s="103"/>
      <c r="C47" s="1030" t="s">
        <v>1917</v>
      </c>
      <c r="D47" s="1992">
        <v>1.2</v>
      </c>
      <c r="E47" s="1992"/>
      <c r="F47" s="1992">
        <v>0.8</v>
      </c>
      <c r="G47" s="1992"/>
      <c r="H47" s="1992">
        <v>1.26</v>
      </c>
      <c r="I47" s="1992"/>
      <c r="J47" s="1050"/>
      <c r="K47" s="1070"/>
      <c r="L47" s="1070"/>
      <c r="O47" s="5" t="s">
        <v>1918</v>
      </c>
      <c r="P47" s="5">
        <v>0</v>
      </c>
      <c r="Q47" s="5"/>
      <c r="R47" s="1059">
        <f>SUM(T25:T27)</f>
        <v>35687</v>
      </c>
    </row>
    <row r="48" spans="2:20" ht="14">
      <c r="B48" s="103"/>
      <c r="C48" s="1024" t="s">
        <v>1853</v>
      </c>
      <c r="D48" s="1993">
        <v>-0.43099999999999999</v>
      </c>
      <c r="E48" s="1993"/>
      <c r="F48" s="1993">
        <v>-0.39500000000000002</v>
      </c>
      <c r="G48" s="1993"/>
      <c r="H48" s="1993">
        <v>4.4999999999999998E-2</v>
      </c>
      <c r="I48" s="1993"/>
      <c r="J48" s="1051"/>
      <c r="K48" s="1071"/>
      <c r="L48" s="1071"/>
      <c r="O48" s="5" t="s">
        <v>1551</v>
      </c>
      <c r="P48" s="1057">
        <f>'Earning Forecast'!H135</f>
        <v>9765102.2464999408</v>
      </c>
      <c r="Q48" s="1057">
        <v>4602808.0821666466</v>
      </c>
      <c r="R48" s="1057">
        <f>'Earning Forecast'!I135</f>
        <v>4602808.0821666466</v>
      </c>
    </row>
    <row r="49" spans="2:20">
      <c r="B49" s="103"/>
      <c r="C49" s="1030" t="s">
        <v>1919</v>
      </c>
      <c r="D49" s="1992">
        <v>0.61</v>
      </c>
      <c r="E49" s="1992"/>
      <c r="F49" s="1992">
        <v>0.88</v>
      </c>
      <c r="G49" s="1992"/>
      <c r="H49" s="1992">
        <v>0.91</v>
      </c>
      <c r="I49" s="1992"/>
      <c r="J49" s="1050"/>
      <c r="K49" s="1070"/>
      <c r="L49" s="1070"/>
      <c r="R49" t="s">
        <v>1920</v>
      </c>
      <c r="S49" s="1000">
        <f>(R44-P44)*244800</f>
        <v>16892424000</v>
      </c>
    </row>
    <row r="50" spans="2:20" ht="14">
      <c r="B50" s="103"/>
      <c r="C50" s="1031" t="s">
        <v>1853</v>
      </c>
      <c r="D50" s="1991">
        <v>-2.1000000000000001E-2</v>
      </c>
      <c r="E50" s="1991"/>
      <c r="F50" s="1991">
        <v>0.35699999999999998</v>
      </c>
      <c r="G50" s="1991"/>
      <c r="H50" s="1991">
        <v>0.499</v>
      </c>
      <c r="I50" s="1991"/>
      <c r="J50" s="1052"/>
      <c r="K50" s="1061"/>
      <c r="L50" s="1061"/>
      <c r="R50" t="s">
        <v>1921</v>
      </c>
    </row>
    <row r="51" spans="2:20">
      <c r="B51" s="103"/>
      <c r="C51" s="1025"/>
      <c r="D51" s="1024"/>
      <c r="E51" s="1024"/>
      <c r="F51" s="1024"/>
      <c r="G51" s="1024"/>
      <c r="H51" s="1024"/>
      <c r="I51" s="1024"/>
      <c r="J51" s="103"/>
      <c r="M51" t="s">
        <v>1922</v>
      </c>
      <c r="N51" t="s">
        <v>1923</v>
      </c>
      <c r="R51" s="1053">
        <f>P44/SUM(Y3:Y19)</f>
        <v>7.7333555675991161E-3</v>
      </c>
      <c r="S51" s="1053">
        <f>R44/SUM(T3:T28)</f>
        <v>8.8935584721722805E-2</v>
      </c>
      <c r="T51" s="1060">
        <f>(S51-R51)*(3-1)</f>
        <v>0.16240445830824737</v>
      </c>
    </row>
    <row r="52" spans="2:20">
      <c r="B52" s="103"/>
      <c r="C52" s="1025"/>
      <c r="D52" s="1024"/>
      <c r="E52" s="1024"/>
      <c r="F52" s="1024"/>
      <c r="G52" s="1024"/>
      <c r="H52" s="1024"/>
      <c r="I52" s="1024"/>
      <c r="J52" s="103"/>
      <c r="N52" t="s">
        <v>1924</v>
      </c>
    </row>
    <row r="53" spans="2:20">
      <c r="B53" s="103"/>
      <c r="C53" s="1025"/>
      <c r="D53" s="1049">
        <v>0.14000000000000001</v>
      </c>
      <c r="E53" s="1049">
        <v>0.63</v>
      </c>
      <c r="F53" s="1049">
        <v>0.92</v>
      </c>
      <c r="G53" s="1049">
        <v>1.01</v>
      </c>
      <c r="H53" s="1049">
        <v>0.6</v>
      </c>
      <c r="I53" s="1049">
        <v>0.78</v>
      </c>
      <c r="J53" s="1049">
        <v>1.05</v>
      </c>
      <c r="K53" s="1069"/>
      <c r="L53" s="1069"/>
      <c r="N53" t="s">
        <v>1925</v>
      </c>
    </row>
    <row r="54" spans="2:20">
      <c r="B54" s="103"/>
      <c r="C54" s="1025"/>
      <c r="D54" s="1044">
        <v>1.2290000000000001</v>
      </c>
      <c r="E54" s="1044">
        <v>-9.86</v>
      </c>
      <c r="F54" s="1044">
        <v>9.4090000000000007</v>
      </c>
      <c r="G54" s="1044">
        <v>9.6890000000000001</v>
      </c>
      <c r="H54" s="1044">
        <v>3.3639999999999999</v>
      </c>
      <c r="I54" s="1044">
        <v>0.23699999999999999</v>
      </c>
      <c r="J54" s="1044">
        <v>0.13700000000000001</v>
      </c>
      <c r="K54" s="1067"/>
      <c r="L54" s="1067"/>
    </row>
    <row r="55" spans="2:20">
      <c r="D55" s="59">
        <f>D53/(1+D54)</f>
        <v>6.2808434275459846E-2</v>
      </c>
      <c r="E55" s="59">
        <f t="shared" ref="E55:J55" si="6">E53/(1+E54)</f>
        <v>-7.1106094808126422E-2</v>
      </c>
      <c r="F55" s="59">
        <f t="shared" si="6"/>
        <v>8.8385051397828804E-2</v>
      </c>
      <c r="G55" s="59">
        <f t="shared" si="6"/>
        <v>9.4489662269622979E-2</v>
      </c>
      <c r="H55" s="59">
        <f t="shared" si="6"/>
        <v>0.13748854262144822</v>
      </c>
      <c r="I55" s="59">
        <f t="shared" si="6"/>
        <v>0.6305578011317704</v>
      </c>
      <c r="J55" s="59">
        <f t="shared" si="6"/>
        <v>0.92348284960422167</v>
      </c>
      <c r="K55" s="1072"/>
      <c r="L55" s="1072"/>
    </row>
    <row r="56" spans="2:20">
      <c r="D56" s="320">
        <v>15.84</v>
      </c>
      <c r="E56" s="320">
        <v>17.27</v>
      </c>
      <c r="F56" s="320">
        <v>16.68</v>
      </c>
      <c r="G56" s="320">
        <v>17.64</v>
      </c>
    </row>
    <row r="57" spans="2:20">
      <c r="D57" s="455">
        <v>-0.22900000000000001</v>
      </c>
      <c r="E57" s="455">
        <v>-4.5999999999999999E-2</v>
      </c>
      <c r="F57" s="455">
        <v>3.3000000000000002E-2</v>
      </c>
      <c r="G57" s="455">
        <v>4.8000000000000001E-2</v>
      </c>
      <c r="M57" s="59"/>
    </row>
    <row r="58" spans="2:20">
      <c r="D58" s="1110">
        <f t="shared" ref="D58:F58" si="7">D56/(1+D57)</f>
        <v>20.54474708171206</v>
      </c>
      <c r="E58" s="1110">
        <f t="shared" si="7"/>
        <v>18.10272536687631</v>
      </c>
      <c r="F58" s="1110">
        <f t="shared" si="7"/>
        <v>16.147144240077445</v>
      </c>
      <c r="G58" s="1110">
        <f>G56/(1+G57)</f>
        <v>16.832061068702291</v>
      </c>
      <c r="I58" s="1024"/>
      <c r="J58" s="103"/>
      <c r="M58" s="103"/>
      <c r="N58" s="103"/>
      <c r="O58" s="103"/>
      <c r="P58" s="103"/>
    </row>
    <row r="59" spans="2:20">
      <c r="D59" s="1110"/>
      <c r="E59" s="1110"/>
      <c r="F59" s="1110"/>
      <c r="G59" s="1110"/>
      <c r="I59" s="1024"/>
      <c r="J59" s="103"/>
      <c r="M59" s="103"/>
      <c r="N59" s="103"/>
      <c r="O59" s="103"/>
      <c r="P59" s="103"/>
    </row>
    <row r="60" spans="2:20">
      <c r="D60" s="1110">
        <v>0.24</v>
      </c>
      <c r="E60" s="1110">
        <v>0.7</v>
      </c>
      <c r="F60" s="1110">
        <v>0.99</v>
      </c>
      <c r="G60" s="1110">
        <v>1.01</v>
      </c>
      <c r="I60" s="1024"/>
      <c r="J60" s="103"/>
      <c r="M60" s="103"/>
      <c r="N60" s="103"/>
      <c r="O60" s="103"/>
      <c r="P60" s="103"/>
    </row>
    <row r="61" spans="2:20">
      <c r="D61" s="1111">
        <v>1.8320000000000001</v>
      </c>
      <c r="E61" s="1111">
        <v>1.538</v>
      </c>
      <c r="F61" s="1111">
        <v>1.165</v>
      </c>
      <c r="G61" s="1111">
        <v>4.7350000000000003</v>
      </c>
      <c r="I61" s="1024"/>
      <c r="J61" s="103"/>
      <c r="M61" s="103"/>
      <c r="N61" s="103"/>
      <c r="O61" s="103"/>
      <c r="P61" s="103"/>
    </row>
    <row r="62" spans="2:20">
      <c r="D62" s="1110">
        <f t="shared" ref="D62:F62" si="8">D60/(1+D61)</f>
        <v>8.4745762711864403E-2</v>
      </c>
      <c r="E62" s="1110">
        <f t="shared" si="8"/>
        <v>0.27580772261623321</v>
      </c>
      <c r="F62" s="1110">
        <f t="shared" si="8"/>
        <v>0.45727482678983833</v>
      </c>
      <c r="G62" s="1110">
        <f>G60/(1+G61)</f>
        <v>0.17611159546643418</v>
      </c>
      <c r="I62" s="1024"/>
      <c r="J62" s="103"/>
      <c r="M62" s="103"/>
      <c r="N62" s="103"/>
      <c r="O62" s="103"/>
      <c r="P62" s="103"/>
    </row>
    <row r="63" spans="2:20">
      <c r="D63" s="1110"/>
      <c r="E63" s="1110"/>
      <c r="F63" s="1110"/>
      <c r="G63" s="1110"/>
      <c r="I63" s="1024"/>
      <c r="J63" s="103"/>
      <c r="M63" s="103"/>
      <c r="N63" s="103"/>
      <c r="O63" s="103"/>
      <c r="P63" s="103"/>
    </row>
    <row r="64" spans="2:20">
      <c r="D64" s="1110">
        <v>0.14000000000000001</v>
      </c>
      <c r="E64" s="1110">
        <v>0.63</v>
      </c>
      <c r="F64" s="1110">
        <v>0.92</v>
      </c>
      <c r="G64" s="1110">
        <v>1.01</v>
      </c>
      <c r="I64" s="1024"/>
      <c r="J64" s="103"/>
      <c r="M64" s="103"/>
      <c r="N64" s="103"/>
      <c r="O64" s="103"/>
      <c r="P64" s="103"/>
    </row>
    <row r="65" spans="2:16">
      <c r="D65" s="1111">
        <v>1.2290000000000001</v>
      </c>
      <c r="E65" s="1112">
        <v>-9.86</v>
      </c>
      <c r="F65" s="1111">
        <v>9.4090000000000007</v>
      </c>
      <c r="G65" s="1111">
        <v>9.6890000000000001</v>
      </c>
      <c r="I65" s="1024"/>
      <c r="J65" s="103"/>
      <c r="M65" s="103"/>
      <c r="N65" s="103"/>
      <c r="O65" s="103"/>
      <c r="P65" s="103"/>
    </row>
    <row r="66" spans="2:16">
      <c r="D66" s="1113">
        <f t="shared" ref="D66:F66" si="9">D64/(1+D65)</f>
        <v>6.2808434275459846E-2</v>
      </c>
      <c r="E66" s="1113">
        <f t="shared" si="9"/>
        <v>-7.1106094808126422E-2</v>
      </c>
      <c r="F66" s="1113">
        <f t="shared" si="9"/>
        <v>8.8385051397828804E-2</v>
      </c>
      <c r="G66" s="1113">
        <f>G64/(1+G65)</f>
        <v>9.4489662269622979E-2</v>
      </c>
      <c r="I66" s="1024"/>
      <c r="J66" s="103"/>
      <c r="M66" s="103"/>
      <c r="N66" s="103"/>
      <c r="O66" s="103"/>
      <c r="P66" s="103"/>
    </row>
    <row r="67" spans="2:16" ht="14">
      <c r="C67"/>
      <c r="D67"/>
      <c r="E67"/>
      <c r="I67" s="1024"/>
      <c r="J67" s="103"/>
      <c r="M67" s="103"/>
      <c r="N67" s="103"/>
      <c r="O67" s="103"/>
      <c r="P67" s="103"/>
    </row>
    <row r="68" spans="2:16" ht="14">
      <c r="C68" s="103" t="s">
        <v>1926</v>
      </c>
      <c r="D68" s="1032" t="s">
        <v>1845</v>
      </c>
      <c r="E68" s="1032" t="s">
        <v>1839</v>
      </c>
      <c r="I68" s="1024"/>
      <c r="J68" s="103" t="s">
        <v>1927</v>
      </c>
      <c r="M68" s="103"/>
      <c r="N68" s="103"/>
      <c r="O68" s="103"/>
      <c r="P68" s="103"/>
    </row>
    <row r="69" spans="2:16">
      <c r="C69" s="1028" t="s">
        <v>1928</v>
      </c>
      <c r="D69" s="1079">
        <v>610.16999999999996</v>
      </c>
      <c r="E69" s="1080">
        <f>I8</f>
        <v>1101.54</v>
      </c>
      <c r="I69" s="1024"/>
      <c r="J69" s="103" t="s">
        <v>1929</v>
      </c>
      <c r="K69" s="1104">
        <f>G77</f>
        <v>1.1933732167510354</v>
      </c>
      <c r="M69" s="103"/>
      <c r="N69" s="103"/>
      <c r="O69" s="103"/>
      <c r="P69" s="103"/>
    </row>
    <row r="70" spans="2:16">
      <c r="C70" s="1028" t="s">
        <v>1862</v>
      </c>
      <c r="D70" s="1100">
        <f>E15</f>
        <v>501.52</v>
      </c>
      <c r="E70" s="1080">
        <f>I15</f>
        <v>863.23</v>
      </c>
      <c r="I70" s="1024"/>
      <c r="J70" s="103" t="s">
        <v>1930</v>
      </c>
      <c r="K70" s="1106">
        <f>D78/E78-1</f>
        <v>0.25050185173952544</v>
      </c>
      <c r="M70" s="1105">
        <f>K70/K69</f>
        <v>0.20991073724741199</v>
      </c>
      <c r="N70" s="103"/>
      <c r="O70" s="103"/>
      <c r="P70" s="103"/>
    </row>
    <row r="71" spans="2:16">
      <c r="C71" s="1028" t="s">
        <v>1931</v>
      </c>
      <c r="D71" s="1081">
        <v>38.957000000000001</v>
      </c>
      <c r="E71" s="1081">
        <v>85.337999999999994</v>
      </c>
      <c r="F71" s="1073">
        <f>-(E71-D71)</f>
        <v>-46.380999999999993</v>
      </c>
      <c r="I71" s="1024"/>
      <c r="J71" s="103" t="s">
        <v>1932</v>
      </c>
      <c r="K71" s="1106">
        <f>(E73*E76-D73*D76)/(D73*D76)</f>
        <v>0.85861360360620265</v>
      </c>
      <c r="M71" s="103"/>
      <c r="N71" s="103"/>
      <c r="O71" s="103"/>
      <c r="P71" s="103"/>
    </row>
    <row r="72" spans="2:16">
      <c r="C72" s="1028" t="s">
        <v>1933</v>
      </c>
      <c r="D72" s="1081">
        <v>30.635999999999999</v>
      </c>
      <c r="E72" s="1081">
        <v>75.966999999999999</v>
      </c>
      <c r="F72" s="1073">
        <f>-(E72-D72)</f>
        <v>-45.331000000000003</v>
      </c>
      <c r="I72" s="1024"/>
      <c r="J72" s="103" t="s">
        <v>1934</v>
      </c>
      <c r="K72" s="1106">
        <f>F79/D79</f>
        <v>-0.58443320217204275</v>
      </c>
      <c r="M72" s="103"/>
      <c r="N72" s="103"/>
      <c r="O72" s="103"/>
      <c r="P72" s="103"/>
    </row>
    <row r="73" spans="2:16">
      <c r="C73" s="1096" t="s">
        <v>1935</v>
      </c>
      <c r="D73" s="1015">
        <v>353420</v>
      </c>
      <c r="E73" s="1015">
        <v>700244</v>
      </c>
      <c r="F73" s="1097"/>
      <c r="G73" s="1108">
        <f>F71+F72+F74+F75+F76+F79+F80</f>
        <v>129.65999999999997</v>
      </c>
      <c r="H73" s="1098"/>
      <c r="I73" s="1024"/>
      <c r="J73" s="103" t="s">
        <v>1931</v>
      </c>
      <c r="K73" s="1106">
        <f>F71/D71</f>
        <v>-1.1905690889955589</v>
      </c>
      <c r="L73" s="1105">
        <f>K73/K74</f>
        <v>0.80462100131186021</v>
      </c>
      <c r="M73" s="103"/>
      <c r="N73" s="103"/>
      <c r="O73" s="103"/>
      <c r="P73" s="103"/>
    </row>
    <row r="74" spans="2:16">
      <c r="C74" s="1096" t="s">
        <v>1936</v>
      </c>
      <c r="D74" s="1015"/>
      <c r="E74" s="1015"/>
      <c r="F74" s="1097">
        <f>(D78-E78)*E73/10000</f>
        <v>182.07668014804574</v>
      </c>
      <c r="G74" s="1098"/>
      <c r="H74" s="1098"/>
      <c r="I74" s="1024"/>
      <c r="J74" s="103" t="s">
        <v>1933</v>
      </c>
      <c r="K74" s="1106">
        <f>F72/D72</f>
        <v>-1.4796644470557516</v>
      </c>
      <c r="M74" s="103"/>
      <c r="N74" s="103"/>
      <c r="O74" s="103"/>
      <c r="P74" s="103"/>
    </row>
    <row r="75" spans="2:16">
      <c r="C75" s="1096" t="s">
        <v>1937</v>
      </c>
      <c r="D75" s="1015"/>
      <c r="E75" s="1015"/>
      <c r="F75" s="1097">
        <f>(E73*D76-D73*D76)/10000</f>
        <v>611.50676727135988</v>
      </c>
      <c r="G75" s="1107">
        <f>F74+F75</f>
        <v>793.58344741940562</v>
      </c>
      <c r="H75" s="1098"/>
      <c r="I75" s="1024"/>
      <c r="J75" s="103"/>
      <c r="K75" s="1103">
        <f>K72/K74</f>
        <v>0.39497684987630316</v>
      </c>
      <c r="M75" s="103"/>
      <c r="N75" s="103"/>
      <c r="O75" s="103"/>
      <c r="P75" s="103"/>
    </row>
    <row r="76" spans="2:16">
      <c r="B76" t="s">
        <v>512</v>
      </c>
      <c r="C76" s="1028" t="s">
        <v>1867</v>
      </c>
      <c r="D76" s="1077">
        <f>E41</f>
        <v>17.631616245454751</v>
      </c>
      <c r="E76" s="1077">
        <f>I41</f>
        <v>16.539522323589214</v>
      </c>
      <c r="F76" s="1095">
        <f>(E76*E73-D76*E73)/10000</f>
        <v>-76.473221622281145</v>
      </c>
      <c r="I76" s="1024"/>
      <c r="J76" s="103"/>
      <c r="M76" s="103"/>
      <c r="N76" s="103"/>
      <c r="O76" s="103"/>
      <c r="P76" s="103"/>
    </row>
    <row r="77" spans="2:16">
      <c r="C77" s="1028" t="s">
        <v>1938</v>
      </c>
      <c r="D77" s="1075">
        <f>D69-D70</f>
        <v>108.64999999999998</v>
      </c>
      <c r="E77" s="1075">
        <f>E69-E70</f>
        <v>238.30999999999995</v>
      </c>
      <c r="F77" s="1073">
        <f>E77-D77</f>
        <v>129.65999999999997</v>
      </c>
      <c r="G77" s="1101">
        <f>F77/D77</f>
        <v>1.1933732167510354</v>
      </c>
      <c r="I77" s="1024"/>
      <c r="J77" s="103"/>
      <c r="K77" s="103">
        <f>-K74/K69</f>
        <v>1.2399008342789404</v>
      </c>
      <c r="M77" s="103"/>
      <c r="N77" s="103"/>
      <c r="O77" s="103"/>
      <c r="P77" s="103"/>
    </row>
    <row r="78" spans="2:16">
      <c r="C78" s="1028" t="s">
        <v>1930</v>
      </c>
      <c r="D78" s="1075">
        <f>CA!H108/10</f>
        <v>12.980108672506201</v>
      </c>
      <c r="E78" s="1075">
        <f>CA!I108/10</f>
        <v>10.379919593441679</v>
      </c>
      <c r="F78" s="1073"/>
      <c r="I78" s="1024"/>
      <c r="J78" s="103"/>
      <c r="M78" s="103"/>
      <c r="N78" s="103"/>
      <c r="O78" s="103"/>
      <c r="P78" s="103"/>
    </row>
    <row r="79" spans="2:16">
      <c r="C79" s="1028" t="s">
        <v>1939</v>
      </c>
      <c r="D79" s="1073">
        <f>D78*D73/10000</f>
        <v>458.74300070371413</v>
      </c>
      <c r="E79" s="1073">
        <f>E78*E73/10000</f>
        <v>726.84764157899747</v>
      </c>
      <c r="F79" s="1073">
        <f>D79-E79</f>
        <v>-268.10464087528334</v>
      </c>
      <c r="I79" s="1024"/>
      <c r="J79" s="103"/>
      <c r="M79" s="103"/>
      <c r="N79" s="103"/>
      <c r="O79" s="103"/>
      <c r="P79" s="103"/>
    </row>
    <row r="80" spans="2:16">
      <c r="C80" s="1028" t="s">
        <v>1940</v>
      </c>
      <c r="D80"/>
      <c r="E80"/>
      <c r="F80" s="1073">
        <f>F77-(F71+F72+F74+F75+F76+F79)</f>
        <v>-227.63358492184119</v>
      </c>
      <c r="I80" s="1024"/>
      <c r="J80" s="103"/>
      <c r="M80" s="103"/>
      <c r="N80" s="103"/>
      <c r="O80" s="103"/>
      <c r="P80" s="103"/>
    </row>
    <row r="81" spans="3:16" ht="14">
      <c r="C81" s="103"/>
      <c r="D81"/>
      <c r="E81"/>
      <c r="I81" s="1024"/>
      <c r="J81" s="103"/>
      <c r="M81" s="103"/>
      <c r="N81" s="103"/>
      <c r="O81" s="103"/>
      <c r="P81" s="103"/>
    </row>
    <row r="82" spans="3:16" ht="14">
      <c r="C82" s="103"/>
      <c r="D82"/>
      <c r="E82"/>
      <c r="I82" s="1024"/>
      <c r="J82" s="103"/>
      <c r="M82" s="103"/>
      <c r="N82" s="103"/>
      <c r="O82" s="103"/>
      <c r="P82" s="103"/>
    </row>
    <row r="83" spans="3:16">
      <c r="I83" s="1024"/>
      <c r="J83" s="103"/>
      <c r="M83" s="103"/>
      <c r="N83" s="103"/>
      <c r="O83" s="103"/>
      <c r="P83" s="103"/>
    </row>
    <row r="84" spans="3:16">
      <c r="D84" s="1032" t="s">
        <v>1845</v>
      </c>
      <c r="E84" s="1032" t="s">
        <v>1839</v>
      </c>
      <c r="I84" s="1032" t="s">
        <v>1941</v>
      </c>
      <c r="J84" s="1032" t="s">
        <v>1942</v>
      </c>
      <c r="M84" s="103"/>
      <c r="N84" s="103"/>
      <c r="O84" s="103"/>
      <c r="P84" s="103"/>
    </row>
    <row r="85" spans="3:16">
      <c r="C85" s="1028" t="s">
        <v>1943</v>
      </c>
      <c r="D85" s="1075">
        <f>D77/D86*10000</f>
        <v>3.0742459396751736</v>
      </c>
      <c r="E85" s="1075">
        <f>E77/E73*10000</f>
        <v>3.4032422983988431</v>
      </c>
      <c r="F85" s="1076"/>
      <c r="H85" s="320" t="s">
        <v>1944</v>
      </c>
      <c r="I85" s="1024"/>
      <c r="J85" s="103"/>
      <c r="M85" s="103"/>
      <c r="N85" s="103"/>
      <c r="O85" s="103"/>
      <c r="P85" s="103"/>
    </row>
    <row r="86" spans="3:16">
      <c r="C86" s="1028" t="s">
        <v>1935</v>
      </c>
      <c r="D86" s="1006">
        <v>353420</v>
      </c>
      <c r="E86" s="1006">
        <v>700244</v>
      </c>
      <c r="H86" s="320" t="s">
        <v>1867</v>
      </c>
      <c r="I86" s="1024"/>
      <c r="J86" s="103"/>
      <c r="M86" s="103"/>
      <c r="N86" s="103"/>
      <c r="O86" s="103"/>
      <c r="P86" s="103"/>
    </row>
    <row r="87" spans="3:16">
      <c r="C87" s="1028" t="s">
        <v>1945</v>
      </c>
      <c r="D87" s="1074">
        <f>D71/D86*10000</f>
        <v>1.1022862316790221</v>
      </c>
      <c r="E87" s="1074">
        <f>E71/E86*10000</f>
        <v>1.2186894853793819</v>
      </c>
      <c r="F87" s="1076"/>
      <c r="I87" s="1024"/>
      <c r="J87" s="103"/>
      <c r="M87" s="103"/>
      <c r="N87" s="103"/>
      <c r="O87" s="103"/>
      <c r="P87" s="103"/>
    </row>
    <row r="88" spans="3:16">
      <c r="C88" s="1028" t="s">
        <v>1946</v>
      </c>
      <c r="D88" s="1074">
        <f>D72/D86*10000</f>
        <v>0.86684398166487464</v>
      </c>
      <c r="E88" s="1074">
        <f>E72/E86*10000</f>
        <v>1.0848647043030715</v>
      </c>
      <c r="F88" s="1076"/>
      <c r="G88" s="1076"/>
      <c r="I88" s="1024"/>
      <c r="J88" s="103"/>
      <c r="M88" s="103"/>
      <c r="N88" s="103"/>
      <c r="O88" s="103"/>
      <c r="P88" s="103"/>
    </row>
    <row r="89" spans="3:16">
      <c r="C89" s="1028" t="s">
        <v>1867</v>
      </c>
      <c r="D89" s="1077">
        <f>E41</f>
        <v>17.631616245454751</v>
      </c>
      <c r="E89" s="1077">
        <f>I41</f>
        <v>16.539522323589214</v>
      </c>
      <c r="F89" s="1076"/>
    </row>
    <row r="90" spans="3:16">
      <c r="C90" s="1028" t="s">
        <v>1947</v>
      </c>
      <c r="D90" s="1074">
        <f>CA!H108/10</f>
        <v>12.980108672506201</v>
      </c>
      <c r="E90" s="1074">
        <f>CA!I108/10</f>
        <v>10.379919593441679</v>
      </c>
      <c r="F90" s="1076"/>
    </row>
    <row r="91" spans="3:16">
      <c r="C91" s="1028" t="s">
        <v>1948</v>
      </c>
      <c r="D91" s="1075">
        <f>'Price&amp;Q'!CT48/('Price&amp;Q'!CG46+'Price&amp;Q'!BL48)/10</f>
        <v>14.971425885431799</v>
      </c>
      <c r="E91" s="1075">
        <f>'Price&amp;Q'!CU48/('Price&amp;Q'!BM48+'Price&amp;Q'!CH46)/10</f>
        <v>13.191427363241434</v>
      </c>
    </row>
    <row r="98" spans="3:4" ht="14">
      <c r="C98" s="1032" t="s">
        <v>1844</v>
      </c>
      <c r="D98" s="320">
        <v>15.84</v>
      </c>
    </row>
    <row r="99" spans="3:4" ht="14">
      <c r="C99" s="1032" t="s">
        <v>1845</v>
      </c>
      <c r="D99" s="320">
        <v>17.27</v>
      </c>
    </row>
    <row r="100" spans="3:4" ht="14">
      <c r="C100" s="1032" t="s">
        <v>1846</v>
      </c>
      <c r="D100" s="320">
        <v>16.68</v>
      </c>
    </row>
    <row r="101" spans="3:4" ht="14">
      <c r="C101" s="1032" t="s">
        <v>1847</v>
      </c>
      <c r="D101" s="320">
        <v>17.64</v>
      </c>
    </row>
    <row r="102" spans="3:4" ht="14">
      <c r="C102" s="1032" t="s">
        <v>1848</v>
      </c>
      <c r="D102" s="320">
        <v>17.12</v>
      </c>
    </row>
    <row r="103" spans="3:4" ht="14">
      <c r="C103" s="1032" t="s">
        <v>1839</v>
      </c>
      <c r="D103" s="320">
        <v>15.73</v>
      </c>
    </row>
    <row r="104" spans="3:4" ht="14">
      <c r="C104" s="1032" t="s">
        <v>1849</v>
      </c>
      <c r="D104">
        <v>15.36</v>
      </c>
    </row>
  </sheetData>
  <mergeCells count="12">
    <mergeCell ref="D50:E50"/>
    <mergeCell ref="F50:G50"/>
    <mergeCell ref="H50:I50"/>
    <mergeCell ref="D47:E47"/>
    <mergeCell ref="F47:G47"/>
    <mergeCell ref="H47:I47"/>
    <mergeCell ref="D49:E49"/>
    <mergeCell ref="F49:G49"/>
    <mergeCell ref="H49:I49"/>
    <mergeCell ref="D48:E48"/>
    <mergeCell ref="F48:G48"/>
    <mergeCell ref="H48:I48"/>
  </mergeCells>
  <phoneticPr fontId="188" type="noConversion"/>
  <pageMargins left="0.7" right="0.7" top="0.75" bottom="0.75" header="0.3" footer="0.3"/>
  <pageSetup paperSize="9" orientation="portrait" horizontalDpi="0" verticalDpi="0"/>
  <ignoredErrors>
    <ignoredError sqref="H43:J43 H45:J45" formula="1"/>
  </ignoredErrors>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99734-DC9A-5149-A005-1B47FBC38123}">
  <sheetPr>
    <pageSetUpPr fitToPage="1"/>
  </sheetPr>
  <dimension ref="A1:N61"/>
  <sheetViews>
    <sheetView showGridLines="0" zoomScale="50" zoomScaleNormal="100" workbookViewId="0">
      <selection activeCell="J7" sqref="J7"/>
    </sheetView>
  </sheetViews>
  <sheetFormatPr defaultColWidth="10.83203125" defaultRowHeight="15.5"/>
  <cols>
    <col min="1" max="1" width="9" style="667" bestFit="1" customWidth="1"/>
    <col min="2" max="2" width="25.83203125" style="670" customWidth="1"/>
    <col min="3" max="7" width="9.75" style="667" customWidth="1"/>
    <col min="8" max="8" width="11.1640625" style="667" bestFit="1" customWidth="1"/>
    <col min="9" max="9" width="26.75" style="670" customWidth="1"/>
    <col min="10" max="14" width="9.75" style="667" customWidth="1"/>
    <col min="15" max="16384" width="10.83203125" style="396"/>
  </cols>
  <sheetData>
    <row r="1" spans="2:14">
      <c r="B1" s="668"/>
    </row>
    <row r="2" spans="2:14">
      <c r="B2" s="668" t="s">
        <v>1474</v>
      </c>
      <c r="C2" s="1974" t="s">
        <v>1475</v>
      </c>
      <c r="D2" s="1974"/>
      <c r="E2" s="1974"/>
      <c r="F2" s="1974"/>
      <c r="G2" s="1974"/>
    </row>
    <row r="3" spans="2:14">
      <c r="B3" s="668" t="s">
        <v>1476</v>
      </c>
      <c r="C3" s="671">
        <v>2021</v>
      </c>
      <c r="D3" s="671">
        <v>2022</v>
      </c>
      <c r="E3" s="671" t="s">
        <v>11</v>
      </c>
      <c r="F3" s="671" t="s">
        <v>12</v>
      </c>
      <c r="G3" s="671" t="s">
        <v>13</v>
      </c>
      <c r="I3" s="668" t="s">
        <v>1477</v>
      </c>
      <c r="J3" s="671">
        <v>2021</v>
      </c>
      <c r="K3" s="671">
        <v>2022</v>
      </c>
      <c r="L3" s="671" t="s">
        <v>11</v>
      </c>
      <c r="M3" s="671" t="s">
        <v>12</v>
      </c>
      <c r="N3" s="671" t="s">
        <v>13</v>
      </c>
    </row>
    <row r="4" spans="2:14">
      <c r="B4" s="668" t="s">
        <v>1478</v>
      </c>
      <c r="C4" s="1210">
        <f>'Model 22A-BYD'!G50/1000</f>
        <v>166110.18900000001</v>
      </c>
      <c r="D4" s="1210">
        <f>'Model 22A-BYD'!H50/1000</f>
        <v>240803.50700000001</v>
      </c>
      <c r="E4" s="1210">
        <f>'Model 22A-BYD'!I50/1000</f>
        <v>336648.92699585011</v>
      </c>
      <c r="F4" s="1210">
        <f>'Model 22A-BYD'!J50/1000</f>
        <v>429560.66799765732</v>
      </c>
      <c r="G4" s="1210">
        <f>'Model 22A-BYD'!K50/1000</f>
        <v>512051.25797647424</v>
      </c>
      <c r="I4" s="669" t="s">
        <v>1479</v>
      </c>
      <c r="J4" s="1210">
        <f>'Model 21A-BYD'!G81/1000</f>
        <v>3967.2659999999701</v>
      </c>
      <c r="K4" s="1210">
        <f>'Model 21A-BYD'!H81/1000</f>
        <v>15457.285286500073</v>
      </c>
      <c r="L4" s="1210">
        <f>'Model 21A-BYD'!I81/1000</f>
        <v>33436.538603750261</v>
      </c>
      <c r="M4" s="1210">
        <f>'Model 21A-BYD'!J81/1000</f>
        <v>45429.378169074553</v>
      </c>
      <c r="N4" s="1210">
        <f>'Model 21A-BYD'!K81/1000</f>
        <v>53725.080979633109</v>
      </c>
    </row>
    <row r="5" spans="2:14">
      <c r="B5" s="669" t="s">
        <v>1480</v>
      </c>
      <c r="C5" s="1210">
        <f>'Model 22A-BYD'!G46/1000</f>
        <v>56063.148999999998</v>
      </c>
      <c r="D5" s="1210">
        <f>'Model 22A-BYD'!H46/1000</f>
        <v>72098.192999999999</v>
      </c>
      <c r="E5" s="1210">
        <f>'Model 22A-BYD'!I46/1000</f>
        <v>110680.99867733242</v>
      </c>
      <c r="F5" s="1210">
        <f>'Model 22A-BYD'!J46/1000</f>
        <v>138039.51031303711</v>
      </c>
      <c r="G5" s="1210">
        <f>'Model 22A-BYD'!K46/1000</f>
        <v>162300.92043616867</v>
      </c>
      <c r="I5" s="669" t="s">
        <v>1481</v>
      </c>
      <c r="J5" s="1210">
        <f>'Model 21A-BYD'!G85/1000</f>
        <v>14108.382</v>
      </c>
      <c r="K5" s="1210">
        <f>'Model 21A-BYD'!H85/1000</f>
        <v>26898.642814059447</v>
      </c>
      <c r="L5" s="1210">
        <f>'Model 21A-BYD'!I85/1000</f>
        <v>36078.93239169578</v>
      </c>
      <c r="M5" s="1210">
        <f>'Model 21A-BYD'!J85/1000</f>
        <v>46518.385207963016</v>
      </c>
      <c r="N5" s="1210">
        <f>'Model 21A-BYD'!K85/1000</f>
        <v>55645.469615791015</v>
      </c>
    </row>
    <row r="6" spans="2:14">
      <c r="B6" s="669" t="s">
        <v>1482</v>
      </c>
      <c r="C6" s="1210">
        <f>'Model 21A-BYD'!G47/1000</f>
        <v>54898.538999999997</v>
      </c>
      <c r="D6" s="1210">
        <f>'Model 21A-BYD'!H47/1000</f>
        <v>110176.84691007485</v>
      </c>
      <c r="E6" s="1210">
        <f>'Model 21A-BYD'!I47/1000</f>
        <v>147779.31504860579</v>
      </c>
      <c r="F6" s="1210">
        <f>'Model 21A-BYD'!J47/1000</f>
        <v>190539.31609080124</v>
      </c>
      <c r="G6" s="1210">
        <f>'Model 21A-BYD'!K47/1000</f>
        <v>227923.85584204068</v>
      </c>
      <c r="I6" s="669" t="s">
        <v>1483</v>
      </c>
      <c r="J6" s="1219">
        <f>'Model 21A-BYD'!G86/1000</f>
        <v>1382.66</v>
      </c>
      <c r="K6" s="1219">
        <f>'Model 21A-BYD'!H86/1000</f>
        <v>-55278.307910074844</v>
      </c>
      <c r="L6" s="1219">
        <f>'Model 21A-BYD'!I86/1000</f>
        <v>-37602.468138530952</v>
      </c>
      <c r="M6" s="1219">
        <f>'Model 21A-BYD'!J86/1000</f>
        <v>-42760.001042195436</v>
      </c>
      <c r="N6" s="1219">
        <f>'Model 21A-BYD'!K86/1000</f>
        <v>-37384.539751239448</v>
      </c>
    </row>
    <row r="7" spans="2:14">
      <c r="B7" s="669" t="s">
        <v>1484</v>
      </c>
      <c r="C7" s="1210">
        <f>'Model 21A-BYD'!G48/1000</f>
        <v>43354.781999999999</v>
      </c>
      <c r="D7" s="1210">
        <f>'Model 21A-BYD'!H48/1000</f>
        <v>81269.856144233476</v>
      </c>
      <c r="E7" s="1210">
        <f>'Model 21A-BYD'!I48/1000</f>
        <v>107433.71557736426</v>
      </c>
      <c r="F7" s="1210">
        <f>'Model 21A-BYD'!J48/1000</f>
        <v>137172.24961371347</v>
      </c>
      <c r="G7" s="1210">
        <f>'Model 21A-BYD'!K48/1000</f>
        <v>162374.48749286684</v>
      </c>
      <c r="I7" s="669" t="s">
        <v>1484</v>
      </c>
      <c r="J7" s="1210">
        <f>'Model 21A-BYD'!G87/1000</f>
        <v>-12892.77</v>
      </c>
      <c r="K7" s="1210">
        <f>'Model 21A-BYD'!H87/1000</f>
        <v>-37915.074144233477</v>
      </c>
      <c r="L7" s="1210">
        <f>'Model 21A-BYD'!I87/1000</f>
        <v>-26163.859433130787</v>
      </c>
      <c r="M7" s="1210">
        <f>'Model 21A-BYD'!J87/1000</f>
        <v>-29738.534036349207</v>
      </c>
      <c r="N7" s="1210">
        <f>'Model 21A-BYD'!K87/1000</f>
        <v>-25202.23787915337</v>
      </c>
    </row>
    <row r="8" spans="2:14">
      <c r="B8" s="669" t="s">
        <v>1485</v>
      </c>
      <c r="C8" s="1210">
        <f>'Model 21A-BYD'!G49/1000</f>
        <v>11793.718999999999</v>
      </c>
      <c r="D8" s="1210">
        <f>'Model 21A-BYD'!H49/1000</f>
        <v>26023.397712033235</v>
      </c>
      <c r="E8" s="1210">
        <f>'Model 21A-BYD'!I49/1000</f>
        <v>36316.759367210048</v>
      </c>
      <c r="F8" s="1210">
        <f>'Model 21A-BYD'!J49/1000</f>
        <v>48544.551676585012</v>
      </c>
      <c r="G8" s="1210">
        <f>'Model 21A-BYD'!K49/1000</f>
        <v>61201.361059349365</v>
      </c>
      <c r="I8" s="669" t="s">
        <v>1485</v>
      </c>
      <c r="J8" s="1210">
        <f>'Model 21A-BYD'!G88/1000</f>
        <v>0</v>
      </c>
      <c r="K8" s="1210">
        <f>'Model 21A-BYD'!H88/1000</f>
        <v>-14229.678712033234</v>
      </c>
      <c r="L8" s="1210">
        <f>'Model 21A-BYD'!I88/1000</f>
        <v>-10293.36165517681</v>
      </c>
      <c r="M8" s="1210">
        <f>'Model 21A-BYD'!J88/1000</f>
        <v>-12227.792309374965</v>
      </c>
      <c r="N8" s="1210">
        <f>'Model 21A-BYD'!K88/1000</f>
        <v>-12656.809382764355</v>
      </c>
    </row>
    <row r="9" spans="2:14">
      <c r="B9" s="668" t="s">
        <v>1486</v>
      </c>
      <c r="C9" s="1210">
        <f>('Model 21A-BYD'!G59-'Model 21A-BYD'!G50)/1000</f>
        <v>129669.958</v>
      </c>
      <c r="D9" s="1210">
        <f>('Model 21A-BYD'!H59-'Model 21A-BYD'!H50)/1000</f>
        <v>208511.48238594056</v>
      </c>
      <c r="E9" s="1210">
        <f>('Model 21A-BYD'!I59-'Model 21A-BYD'!I50)/1000</f>
        <v>269954.91449735203</v>
      </c>
      <c r="F9" s="1210">
        <f>('Model 21A-BYD'!J59-'Model 21A-BYD'!J50)/1000</f>
        <v>369484.25668052112</v>
      </c>
      <c r="G9" s="1210">
        <f>('Model 21A-BYD'!K59-'Model 21A-BYD'!K50)/1000</f>
        <v>492736.5682187432</v>
      </c>
      <c r="I9" s="669" t="s">
        <v>1487</v>
      </c>
      <c r="J9" s="1210">
        <f>'Model 21A-BYD'!G89/1000</f>
        <v>55595.18</v>
      </c>
      <c r="K9" s="1210">
        <f>'Model 21A-BYD'!H89/1000</f>
        <v>106320.35344241411</v>
      </c>
      <c r="L9" s="1210">
        <f>'Model 21A-BYD'!I89/1000</f>
        <v>76909.245207590284</v>
      </c>
      <c r="M9" s="1210">
        <f>'Model 21A-BYD'!J89/1000</f>
        <v>91362.793669669452</v>
      </c>
      <c r="N9" s="1210">
        <f>'Model 21A-BYD'!K89/1000</f>
        <v>94568.294496403993</v>
      </c>
    </row>
    <row r="10" spans="2:14">
      <c r="B10" s="669" t="s">
        <v>1488</v>
      </c>
      <c r="C10" s="1210">
        <f>'Model 21A-BYD'!G52/1000</f>
        <v>83071.906000000003</v>
      </c>
      <c r="D10" s="1210">
        <f>'Model 21A-BYD'!H52/1000</f>
        <v>163433.96082887251</v>
      </c>
      <c r="E10" s="1210">
        <f>'Model 21A-BYD'!I52/1000</f>
        <v>228865.9373393211</v>
      </c>
      <c r="F10" s="1210">
        <f>'Model 21A-BYD'!J52/1000</f>
        <v>334259.13775174774</v>
      </c>
      <c r="G10" s="1210">
        <f>'Model 21A-BYD'!K52/1000</f>
        <v>465337.43684283993</v>
      </c>
      <c r="I10" s="669" t="s">
        <v>1489</v>
      </c>
      <c r="J10" s="1210">
        <f>'Model 21A-BYD'!G90/1000</f>
        <v>-31.631</v>
      </c>
      <c r="K10" s="1210">
        <f>'Model 21A-BYD'!H90/1000</f>
        <v>72388.797687682818</v>
      </c>
      <c r="L10" s="1210">
        <f>'Model 21A-BYD'!I90/1000</f>
        <v>52364.082806215214</v>
      </c>
      <c r="M10" s="1210">
        <f>'Model 21A-BYD'!J90/1000</f>
        <v>62204.860809810343</v>
      </c>
      <c r="N10" s="1210">
        <f>'Model 21A-BYD'!K90/1000</f>
        <v>64387.343686523738</v>
      </c>
    </row>
    <row r="11" spans="2:14">
      <c r="B11" s="669" t="s">
        <v>1490</v>
      </c>
      <c r="C11" s="1210"/>
      <c r="D11" s="1210"/>
      <c r="E11" s="1210"/>
      <c r="F11" s="1210"/>
      <c r="G11" s="1210"/>
      <c r="I11" s="669" t="s">
        <v>1491</v>
      </c>
      <c r="J11" s="1210" t="s">
        <v>1581</v>
      </c>
      <c r="K11" s="1210" t="s">
        <v>1581</v>
      </c>
      <c r="L11" s="1210" t="s">
        <v>1581</v>
      </c>
      <c r="M11" s="1210" t="s">
        <v>1581</v>
      </c>
      <c r="N11" s="1210" t="s">
        <v>1581</v>
      </c>
    </row>
    <row r="12" spans="2:14">
      <c r="B12" s="669" t="s">
        <v>1494</v>
      </c>
      <c r="C12" s="1210">
        <f>'Model 21A-BYD'!G55/1000</f>
        <v>11052.808999999999</v>
      </c>
      <c r="D12" s="1210">
        <f>'Model 21A-BYD'!H55/1000</f>
        <v>15018.2078</v>
      </c>
      <c r="E12" s="1210">
        <f>'Model 21A-BYD'!I55/1000</f>
        <v>18983.606600000003</v>
      </c>
      <c r="F12" s="1210">
        <f>'Model 21A-BYD'!J55/1000</f>
        <v>22949.005400000002</v>
      </c>
      <c r="G12" s="1210">
        <f>'Model 21A-BYD'!K55/1000</f>
        <v>26914.404200000004</v>
      </c>
      <c r="I12" s="669" t="s">
        <v>1493</v>
      </c>
      <c r="J12" s="1210" t="s">
        <v>1581</v>
      </c>
      <c r="K12" s="1210" t="s">
        <v>1581</v>
      </c>
      <c r="L12" s="1210" t="s">
        <v>1581</v>
      </c>
      <c r="M12" s="1210" t="s">
        <v>1581</v>
      </c>
      <c r="N12" s="1210" t="s">
        <v>1581</v>
      </c>
    </row>
    <row r="13" spans="2:14">
      <c r="B13" s="669" t="s">
        <v>1496</v>
      </c>
      <c r="C13" s="1217">
        <f>'Model 21A-BYD'!G56/1000</f>
        <v>65.914000000000001</v>
      </c>
      <c r="D13" s="1217">
        <f>'Model 21A-BYD'!H56/1000</f>
        <v>65.914000000000001</v>
      </c>
      <c r="E13" s="1217">
        <f>'Model 21A-BYD'!I56/1000</f>
        <v>65.914000000000001</v>
      </c>
      <c r="F13" s="1217">
        <f>'Model 21A-BYD'!J56/1000</f>
        <v>65.914000000000001</v>
      </c>
      <c r="G13" s="1217">
        <f>'Model 21A-BYD'!K56/1000</f>
        <v>65.914000000000001</v>
      </c>
      <c r="I13" s="669" t="s">
        <v>1497</v>
      </c>
      <c r="J13" s="1210">
        <f>'Model 22A-BYD'!G94/1000</f>
        <v>3224.7930000000001</v>
      </c>
      <c r="K13" s="1210">
        <f>'Model 22A-BYD'!H94/1000</f>
        <v>2691.5320000000002</v>
      </c>
      <c r="L13" s="1210">
        <f>'Model 22A-BYD'!I94/1000</f>
        <v>-305.89017250000001</v>
      </c>
      <c r="M13" s="1210">
        <f>'Model 22A-BYD'!J94/1000</f>
        <v>-766.04932869877973</v>
      </c>
      <c r="N13" s="1210">
        <f>'Model 22A-BYD'!K94/1000</f>
        <v>-997.78850898484632</v>
      </c>
    </row>
    <row r="14" spans="2:14">
      <c r="B14" s="669" t="s">
        <v>1498</v>
      </c>
      <c r="C14" s="1210">
        <f>'Model 21A-BYD'!G57/1000</f>
        <v>19709.973000000002</v>
      </c>
      <c r="D14" s="1210">
        <f>'Model 21A-BYD'!H57/1000</f>
        <v>14224.043757068057</v>
      </c>
      <c r="E14" s="1210">
        <f>'Model 21A-BYD'!I57/1000</f>
        <v>6270.1005580308438</v>
      </c>
      <c r="F14" s="1210">
        <f>'Model 21A-BYD'!J57/1000</f>
        <v>-3559.1564712266327</v>
      </c>
      <c r="G14" s="1210">
        <f>'Model 21A-BYD'!K57/1000</f>
        <v>-15350.542824096736</v>
      </c>
      <c r="I14" s="668" t="s">
        <v>1499</v>
      </c>
      <c r="J14" s="1210">
        <f>'Model 22A-BYD'!G95/1000</f>
        <v>65466.681999999972</v>
      </c>
      <c r="K14" s="1210">
        <f>'Model 22A-BYD'!H95/1000</f>
        <v>140837.72900000005</v>
      </c>
      <c r="L14" s="1210">
        <f>'Model 22A-BYD'!I95/1000</f>
        <v>132067.39048464937</v>
      </c>
      <c r="M14" s="1210">
        <f>'Model 22A-BYD'!J95/1000</f>
        <v>167723.77439880255</v>
      </c>
      <c r="N14" s="1210">
        <f>'Model 22A-BYD'!K95/1000</f>
        <v>196013.19548396068</v>
      </c>
    </row>
    <row r="15" spans="2:14">
      <c r="B15" s="669" t="s">
        <v>1500</v>
      </c>
      <c r="C15" s="1210">
        <f>'Model 21A-BYD'!G58/1000</f>
        <v>15769.356</v>
      </c>
      <c r="D15" s="1210">
        <f>'Model 21A-BYD'!H58/1000</f>
        <v>15769.356</v>
      </c>
      <c r="E15" s="1210">
        <f>'Model 21A-BYD'!I58/1000</f>
        <v>15769.356</v>
      </c>
      <c r="F15" s="1210">
        <f>'Model 21A-BYD'!J58/1000</f>
        <v>15769.356</v>
      </c>
      <c r="G15" s="1210">
        <f>'Model 21A-BYD'!K58/1000</f>
        <v>15769.356</v>
      </c>
      <c r="I15" s="669" t="s">
        <v>1501</v>
      </c>
      <c r="J15" s="1210">
        <f>'Model 22A-BYD'!G97/1000</f>
        <v>-37343.608999999997</v>
      </c>
      <c r="K15" s="1210">
        <f>'Model 22A-BYD'!H97/1000</f>
        <v>-97456.861999999994</v>
      </c>
      <c r="L15" s="1210">
        <f>'Model 22A-BYD'!I97/1000</f>
        <v>-91626.441374473943</v>
      </c>
      <c r="M15" s="1210">
        <f>'Model 22A-BYD'!J97/1000</f>
        <v>-138763.4988874988</v>
      </c>
      <c r="N15" s="1210">
        <f>'Model 22A-BYD'!K97/1000</f>
        <v>-169639.05337285443</v>
      </c>
    </row>
    <row r="16" spans="2:14">
      <c r="B16" s="668" t="s">
        <v>1502</v>
      </c>
      <c r="C16" s="1210">
        <f>'Model 21A-BYD'!G59/1000</f>
        <v>295780.147</v>
      </c>
      <c r="D16" s="1210">
        <f>'Model 21A-BYD'!H59/1000</f>
        <v>516013.58855820622</v>
      </c>
      <c r="E16" s="1210">
        <f>'Model 21A-BYD'!I59/1000</f>
        <v>697159.11917892331</v>
      </c>
      <c r="F16" s="1210">
        <f>'Model 21A-BYD'!J59/1000</f>
        <v>918492.23302917357</v>
      </c>
      <c r="G16" s="1210">
        <f>'Model 21A-BYD'!K59/1000</f>
        <v>1154439.9277257908</v>
      </c>
      <c r="I16" s="669" t="s">
        <v>1503</v>
      </c>
      <c r="J16" s="1219" t="s">
        <v>1581</v>
      </c>
      <c r="K16" s="1219" t="s">
        <v>1581</v>
      </c>
      <c r="L16" s="1219" t="s">
        <v>1581</v>
      </c>
      <c r="M16" s="1219" t="s">
        <v>1581</v>
      </c>
      <c r="N16" s="1219" t="s">
        <v>1581</v>
      </c>
    </row>
    <row r="17" spans="2:14">
      <c r="B17" s="668" t="s">
        <v>1504</v>
      </c>
      <c r="C17" s="1210">
        <f>'Model 21A-BYD'!G64/1000</f>
        <v>171303.94399999999</v>
      </c>
      <c r="D17" s="1210">
        <f>'Model 21A-BYD'!H64/1000</f>
        <v>377990.2390714811</v>
      </c>
      <c r="E17" s="1210">
        <f>'Model 21A-BYD'!I64/1000</f>
        <v>527501.47030822304</v>
      </c>
      <c r="F17" s="1210">
        <f>'Model 21A-BYD'!J64/1000</f>
        <v>705110.3355871737</v>
      </c>
      <c r="G17" s="1210">
        <f>'Model 21A-BYD'!K64/1000</f>
        <v>888950.68024213274</v>
      </c>
      <c r="I17" s="669" t="s">
        <v>1505</v>
      </c>
      <c r="J17" s="1210">
        <f>'Model 22A-BYD'!G99/1000</f>
        <v>-3304.4989999999998</v>
      </c>
      <c r="K17" s="1210">
        <f>'Model 22A-BYD'!H99/1000</f>
        <v>-10463.308999999999</v>
      </c>
      <c r="L17" s="1210">
        <f>'Model 22A-BYD'!I99/1000</f>
        <v>-5168.9153333333334</v>
      </c>
      <c r="M17" s="1210">
        <f>'Model 22A-BYD'!J99/1000</f>
        <v>-6312.2411111111114</v>
      </c>
      <c r="N17" s="1210">
        <f>'Model 22A-BYD'!K99/1000</f>
        <v>-7314.8218148148144</v>
      </c>
    </row>
    <row r="18" spans="2:14">
      <c r="B18" s="669" t="s">
        <v>1487</v>
      </c>
      <c r="C18" s="1210">
        <f>'Model 21A-BYD'!G61/1000</f>
        <v>88119.513999999996</v>
      </c>
      <c r="D18" s="1210">
        <f>'Model 21A-BYD'!H61/1000</f>
        <v>194439.86744241411</v>
      </c>
      <c r="E18" s="1210">
        <f>'Model 21A-BYD'!I61/1000</f>
        <v>271349.11265000439</v>
      </c>
      <c r="F18" s="1210">
        <f>'Model 21A-BYD'!J61/1000</f>
        <v>362711.90631967381</v>
      </c>
      <c r="G18" s="1210">
        <f>'Model 21A-BYD'!K61/1000</f>
        <v>457280.20081607782</v>
      </c>
      <c r="I18" s="669" t="s">
        <v>1506</v>
      </c>
      <c r="J18" s="1210">
        <f>'Model 22A-BYD'!G100/1000</f>
        <v>-4755.884</v>
      </c>
      <c r="K18" s="1210" t="s">
        <v>1581</v>
      </c>
      <c r="L18" s="1210" t="s">
        <v>1581</v>
      </c>
      <c r="M18" s="1210" t="s">
        <v>1581</v>
      </c>
      <c r="N18" s="1210" t="s">
        <v>1581</v>
      </c>
    </row>
    <row r="19" spans="2:14">
      <c r="B19" s="669" t="s">
        <v>1507</v>
      </c>
      <c r="C19" s="1210">
        <f>'Model 21A-BYD'!G62/1000</f>
        <v>23187.774000000001</v>
      </c>
      <c r="D19" s="1210">
        <f>'Model 21A-BYD'!H62/1000</f>
        <v>51164.917941384199</v>
      </c>
      <c r="E19" s="1210">
        <f>'Model 21A-BYD'!I62/1000</f>
        <v>71402.821164320558</v>
      </c>
      <c r="F19" s="1210">
        <f>'Model 21A-BYD'!J62/1000</f>
        <v>95444.031963791436</v>
      </c>
      <c r="G19" s="1210">
        <f>'Model 21A-BYD'!K62/1000</f>
        <v>120328.7384358228</v>
      </c>
      <c r="I19" s="668" t="s">
        <v>1508</v>
      </c>
      <c r="J19" s="1210">
        <f>'Model 22A-BYD'!G101/1000</f>
        <v>-45403.991999999998</v>
      </c>
      <c r="K19" s="1210">
        <f>'Model 22A-BYD'!H101/1000</f>
        <v>-120595.977</v>
      </c>
      <c r="L19" s="1210">
        <f>'Model 22A-BYD'!I101/1000</f>
        <v>-96795.356707807267</v>
      </c>
      <c r="M19" s="1210">
        <f>'Model 22A-BYD'!J101/1000</f>
        <v>-145075.7399986099</v>
      </c>
      <c r="N19" s="1210">
        <f>'Model 22A-BYD'!K101/1000</f>
        <v>-176953.87518766921</v>
      </c>
    </row>
    <row r="20" spans="2:14">
      <c r="B20" s="669" t="s">
        <v>1495</v>
      </c>
      <c r="C20" s="1210">
        <f>'Model 21A-BYD'!G63/1000</f>
        <v>59996.656000000003</v>
      </c>
      <c r="D20" s="1210">
        <f>'Model 21A-BYD'!H63/1000</f>
        <v>132385.45368768284</v>
      </c>
      <c r="E20" s="1210">
        <f>'Model 21A-BYD'!I63/1000</f>
        <v>184749.53649389802</v>
      </c>
      <c r="F20" s="1210">
        <f>'Model 21A-BYD'!J63/1000</f>
        <v>246954.39730370836</v>
      </c>
      <c r="G20" s="1210">
        <f>'Model 21A-BYD'!K63/1000</f>
        <v>311341.74099023209</v>
      </c>
      <c r="I20" s="669" t="s">
        <v>1509</v>
      </c>
      <c r="J20" s="1210">
        <f>'Model 22A-BYD'!G103/1000</f>
        <v>-17006.425999999999</v>
      </c>
      <c r="K20" s="1210">
        <f>'Model 22A-BYD'!H103/1000</f>
        <v>-16412.946</v>
      </c>
      <c r="L20" s="1210">
        <f>'Model 22A-BYD'!I103/1000</f>
        <v>3836.0247277653311</v>
      </c>
      <c r="M20" s="1210">
        <f>'Model 22A-BYD'!J103/1000</f>
        <v>4775.5709065882884</v>
      </c>
      <c r="N20" s="1210">
        <f>'Model 22A-BYD'!K103/1000</f>
        <v>5035.4443176302211</v>
      </c>
    </row>
    <row r="21" spans="2:14">
      <c r="B21" s="668" t="s">
        <v>1510</v>
      </c>
      <c r="C21" s="1210">
        <f>('Model 21A-BYD'!G66+'Model 21A-BYD'!G67)/1000</f>
        <v>20231.993999999999</v>
      </c>
      <c r="D21" s="1210">
        <f>('Model 21A-BYD'!H66+'Model 21A-BYD'!H67)/1000</f>
        <v>19152.998200000002</v>
      </c>
      <c r="E21" s="1210">
        <f>('Model 21A-BYD'!I66+'Model 21A-BYD'!I67)/1000</f>
        <v>18181.901979999999</v>
      </c>
      <c r="F21" s="1210">
        <f>('Model 21A-BYD'!J66+'Model 21A-BYD'!J67)/1000</f>
        <v>17307.915381999999</v>
      </c>
      <c r="G21" s="1210">
        <f>('Model 21A-BYD'!K66+'Model 21A-BYD'!K67)/1000</f>
        <v>16521.327443800001</v>
      </c>
      <c r="I21" s="669" t="s">
        <v>1838</v>
      </c>
      <c r="J21" s="1210">
        <f>'Model 22A-BYD'!G105/1000</f>
        <v>-2619.3029999999999</v>
      </c>
      <c r="K21" s="1210">
        <f>'Model 22A-BYD'!H105/1000</f>
        <v>-1632.8520000000001</v>
      </c>
      <c r="L21" s="1210">
        <f>'Model 22A-BYD'!I105/1000</f>
        <v>0.22017272499995305</v>
      </c>
      <c r="M21" s="1210">
        <f>'Model 22A-BYD'!J105/1000</f>
        <v>460.37932892377967</v>
      </c>
      <c r="N21" s="1210">
        <f>'Model 22A-BYD'!K105/1000</f>
        <v>692.11850920984625</v>
      </c>
    </row>
    <row r="22" spans="2:14">
      <c r="B22" s="669" t="s">
        <v>1512</v>
      </c>
      <c r="C22" s="1210">
        <f>'Model 21A-BYD'!G66/1000</f>
        <v>10789.958000000001</v>
      </c>
      <c r="D22" s="1210">
        <f>'Model 21A-BYD'!H66/1000</f>
        <v>9710.9622000000018</v>
      </c>
      <c r="E22" s="1210">
        <f>'Model 21A-BYD'!I66/1000</f>
        <v>8739.8659800000005</v>
      </c>
      <c r="F22" s="1210">
        <f>'Model 21A-BYD'!J66/1000</f>
        <v>7865.8793820000001</v>
      </c>
      <c r="G22" s="1210">
        <f>'Model 21A-BYD'!K66/1000</f>
        <v>7079.2914438000007</v>
      </c>
      <c r="I22" s="669" t="s">
        <v>1513</v>
      </c>
      <c r="J22" s="1210">
        <f>'Model 22A-BYD'!G107/1000</f>
        <v>-525.47299999999996</v>
      </c>
      <c r="K22" s="1210">
        <f>'Model 22A-BYD'!H107/1000</f>
        <v>-1950.51</v>
      </c>
      <c r="L22" s="1210">
        <f>'Model 22A-BYD'!I107/1000</f>
        <v>-525.47299999999996</v>
      </c>
      <c r="M22" s="1210">
        <f>'Model 22A-BYD'!J107/1000</f>
        <v>-525.47299999999996</v>
      </c>
      <c r="N22" s="1210">
        <f>'Model 22A-BYD'!K107/1000</f>
        <v>-525.47299999999996</v>
      </c>
    </row>
    <row r="23" spans="2:14">
      <c r="B23" s="669" t="s">
        <v>1514</v>
      </c>
      <c r="C23" s="1210">
        <f>'Model 21A-BYD'!G67/1000</f>
        <v>9442.0360000000001</v>
      </c>
      <c r="D23" s="1210">
        <f>'Model 21A-BYD'!H67/1000</f>
        <v>9442.0360000000001</v>
      </c>
      <c r="E23" s="1210">
        <f>'Model 21A-BYD'!I67/1000</f>
        <v>9442.0360000000001</v>
      </c>
      <c r="F23" s="1210">
        <f>'Model 21A-BYD'!J67/1000</f>
        <v>9442.0360000000001</v>
      </c>
      <c r="G23" s="1210">
        <f>'Model 21A-BYD'!K67/1000</f>
        <v>9442.0360000000001</v>
      </c>
      <c r="I23" s="668" t="s">
        <v>1517</v>
      </c>
      <c r="J23" s="1210">
        <f>'Model 22A-BYD'!G108/1000</f>
        <v>16062.517</v>
      </c>
      <c r="K23" s="1210">
        <f>'Model 22A-BYD'!H108/1000</f>
        <v>-19488.683000000001</v>
      </c>
      <c r="L23" s="1210">
        <f>'Model 22A-BYD'!I108/1000</f>
        <v>3310.7719004903311</v>
      </c>
      <c r="M23" s="1210">
        <f>'Model 22A-BYD'!J108/1000</f>
        <v>4710.4772355120676</v>
      </c>
      <c r="N23" s="1210">
        <f>'Model 22A-BYD'!K108/1000</f>
        <v>5202.089826840067</v>
      </c>
    </row>
    <row r="24" spans="2:14">
      <c r="B24" s="668" t="s">
        <v>1516</v>
      </c>
      <c r="C24" s="1210">
        <f>('Model 21A-BYD'!G64+'Model 21A-BYD'!G68)/1000</f>
        <v>191535.93799999999</v>
      </c>
      <c r="D24" s="1210">
        <f>('Model 21A-BYD'!H64+'Model 21A-BYD'!H68)/1000</f>
        <v>397143.23727148108</v>
      </c>
      <c r="E24" s="1210">
        <f>('Model 21A-BYD'!I64+'Model 21A-BYD'!I68)/1000</f>
        <v>545683.37228822301</v>
      </c>
      <c r="F24" s="1210">
        <f>('Model 21A-BYD'!J64+'Model 21A-BYD'!J68)/1000</f>
        <v>722418.25096917362</v>
      </c>
      <c r="G24" s="1210">
        <f>('Model 21A-BYD'!K64+'Model 21A-BYD'!K68)/1000</f>
        <v>905472.0076859328</v>
      </c>
      <c r="I24" s="669" t="s">
        <v>1519</v>
      </c>
      <c r="J24" s="1210">
        <f>'Model 22A-BYD'!G109/1000</f>
        <v>-43.844999999999999</v>
      </c>
      <c r="K24" s="1219" t="s">
        <v>1581</v>
      </c>
      <c r="L24" s="1219" t="s">
        <v>1949</v>
      </c>
      <c r="M24" s="1219" t="s">
        <v>1949</v>
      </c>
      <c r="N24" s="1219" t="s">
        <v>1949</v>
      </c>
    </row>
    <row r="25" spans="2:14">
      <c r="B25" s="669" t="s">
        <v>1518</v>
      </c>
      <c r="C25" s="1210">
        <f>'Model 21A-BYD'!G70/1000</f>
        <v>63718.362000000001</v>
      </c>
      <c r="D25" s="1210">
        <f>'Model 21A-BYD'!H70/1000</f>
        <v>63718.362000000001</v>
      </c>
      <c r="E25" s="1210">
        <f>'Model 21A-BYD'!I70/1000</f>
        <v>63718.362000000001</v>
      </c>
      <c r="F25" s="1210">
        <f>'Model 21A-BYD'!J70/1000</f>
        <v>63718.362000000001</v>
      </c>
      <c r="G25" s="1210">
        <f>'Model 21A-BYD'!K70/1000</f>
        <v>63718.362000000001</v>
      </c>
      <c r="I25" s="668" t="s">
        <v>1521</v>
      </c>
      <c r="J25" s="1210">
        <f>'Model 22A-BYD'!G110/1000</f>
        <v>36081.361999999972</v>
      </c>
      <c r="K25" s="1210">
        <f>'Model 22A-BYD'!H110/1000</f>
        <v>1362.6890000000597</v>
      </c>
      <c r="L25" s="1210">
        <f>'Model 22A-BYD'!I110/1000</f>
        <v>38582.805677332413</v>
      </c>
      <c r="M25" s="1210">
        <f>'Model 22A-BYD'!J110/1000</f>
        <v>27358.511635704715</v>
      </c>
      <c r="N25" s="1210">
        <f>'Model 22A-BYD'!K110/1000</f>
        <v>24261.410123131536</v>
      </c>
    </row>
    <row r="26" spans="2:14">
      <c r="B26" s="669" t="s">
        <v>1520</v>
      </c>
      <c r="C26" s="1218">
        <f>'Model 21A-BYD'!G71/1000</f>
        <v>0</v>
      </c>
      <c r="D26" s="1218">
        <f>'Model 21A-BYD'!H71/1000</f>
        <v>-262.73649999999998</v>
      </c>
      <c r="E26" s="1218">
        <f>'Model 21A-BYD'!I71/1000</f>
        <v>-525.47299999999996</v>
      </c>
      <c r="F26" s="1218">
        <f>'Model 21A-BYD'!J71/1000</f>
        <v>-788.20950000000005</v>
      </c>
      <c r="G26" s="1218">
        <f>'Model 21A-BYD'!K71/1000</f>
        <v>-1050.9459999999999</v>
      </c>
      <c r="I26" s="668" t="s">
        <v>1523</v>
      </c>
      <c r="J26" s="1210">
        <f>'Model 22A-BYD'!G112/1000</f>
        <v>14073.570000000031</v>
      </c>
      <c r="K26" s="1210">
        <f>'Model 22A-BYD'!H112/1000</f>
        <v>50154.932000000001</v>
      </c>
      <c r="L26" s="1210">
        <f>'Model 22A-BYD'!I112/1000</f>
        <v>51517.621000000057</v>
      </c>
      <c r="M26" s="1210">
        <f>'Model 22A-BYD'!J112/1000</f>
        <v>90100.426677332478</v>
      </c>
      <c r="N26" s="1210">
        <f>'Model 22A-BYD'!K112/1000</f>
        <v>117458.93831303719</v>
      </c>
    </row>
    <row r="27" spans="2:14">
      <c r="B27" s="669" t="s">
        <v>1522</v>
      </c>
      <c r="C27" s="1217">
        <f>'Model 21A-BYD'!G72/1000</f>
        <v>40649.902000000002</v>
      </c>
      <c r="D27" s="1217">
        <f>'Model 21A-BYD'!H72/1000</f>
        <v>55801.517286725073</v>
      </c>
      <c r="E27" s="1217">
        <f>'Model 21A-BYD'!I72/1000</f>
        <v>88932.38589070033</v>
      </c>
      <c r="F27" s="1217">
        <f>'Model 21A-BYD'!J72/1000</f>
        <v>134056.09405999989</v>
      </c>
      <c r="G27" s="1217">
        <f>'Model 21A-BYD'!K72/1000</f>
        <v>187475.50503985799</v>
      </c>
      <c r="I27" s="668" t="s">
        <v>1525</v>
      </c>
      <c r="J27" s="1210">
        <f>'Model 22A-BYD'!G113/1000</f>
        <v>50154.932000000001</v>
      </c>
      <c r="K27" s="1210">
        <f>'Model 22A-BYD'!H113/1000</f>
        <v>51517.621000000057</v>
      </c>
      <c r="L27" s="1210">
        <f>'Model 22A-BYD'!I113/1000</f>
        <v>90100.426677332478</v>
      </c>
      <c r="M27" s="1210">
        <f>'Model 22A-BYD'!J113/1000</f>
        <v>117458.93831303719</v>
      </c>
      <c r="N27" s="1210">
        <f>'Model 22A-BYD'!K113/1000</f>
        <v>141720.34843616874</v>
      </c>
    </row>
    <row r="28" spans="2:14">
      <c r="B28" s="669" t="s">
        <v>1524</v>
      </c>
      <c r="C28" s="1219"/>
      <c r="D28" s="1219"/>
      <c r="E28" s="1219"/>
      <c r="F28" s="1219"/>
      <c r="G28" s="1219"/>
      <c r="I28" s="833"/>
      <c r="J28" s="832"/>
      <c r="K28" s="832"/>
      <c r="L28" s="832"/>
      <c r="M28" s="832"/>
      <c r="N28" s="832"/>
    </row>
    <row r="29" spans="2:14">
      <c r="B29" s="669" t="s">
        <v>1526</v>
      </c>
      <c r="C29" s="1219">
        <f>'Model 21A-BYD'!G74/1000</f>
        <v>-124.05500000000001</v>
      </c>
      <c r="D29" s="1219">
        <f>'Model 21A-BYD'!H74/1000</f>
        <v>-386.79149999999998</v>
      </c>
      <c r="E29" s="1219">
        <f>'Model 21A-BYD'!I74/1000</f>
        <v>-649.52800000000002</v>
      </c>
      <c r="F29" s="1219">
        <f>'Model 21A-BYD'!J74/1000</f>
        <v>-912.2645</v>
      </c>
      <c r="G29" s="1219">
        <f>'Model 21A-BYD'!K74/1000</f>
        <v>-1175.001</v>
      </c>
      <c r="I29" s="834" t="s">
        <v>1528</v>
      </c>
      <c r="J29" s="830">
        <v>2021</v>
      </c>
      <c r="K29" s="830">
        <v>2022</v>
      </c>
      <c r="L29" s="830" t="s">
        <v>11</v>
      </c>
      <c r="M29" s="830" t="s">
        <v>12</v>
      </c>
      <c r="N29" s="830" t="s">
        <v>13</v>
      </c>
    </row>
    <row r="30" spans="2:14">
      <c r="B30" s="668" t="s">
        <v>1527</v>
      </c>
      <c r="C30" s="1210">
        <f>'Model 21A-BYD'!G76/1000</f>
        <v>104244.209</v>
      </c>
      <c r="D30" s="1210">
        <f>'Model 21A-BYD'!H76/1000</f>
        <v>118870.35128672507</v>
      </c>
      <c r="E30" s="1210">
        <f>'Model 21A-BYD'!I76/1000</f>
        <v>151475.74689070033</v>
      </c>
      <c r="F30" s="1210">
        <f>'Model 21A-BYD'!J76/1000</f>
        <v>196073.98205999989</v>
      </c>
      <c r="G30" s="1210">
        <f>'Model 21A-BYD'!K76/1000</f>
        <v>248967.92003985797</v>
      </c>
      <c r="I30" s="834" t="s">
        <v>1530</v>
      </c>
      <c r="J30" s="831"/>
      <c r="K30" s="831"/>
      <c r="L30" s="831"/>
      <c r="M30" s="831"/>
      <c r="N30" s="831"/>
    </row>
    <row r="31" spans="2:14">
      <c r="B31" s="668" t="s">
        <v>1529</v>
      </c>
      <c r="C31" s="1210">
        <f>'Model 21A-BYD'!G77/1000</f>
        <v>295780.147</v>
      </c>
      <c r="D31" s="1210">
        <f>'Model 21A-BYD'!H77/1000</f>
        <v>516013.58855820622</v>
      </c>
      <c r="E31" s="1210">
        <f>'Model 21A-BYD'!I77/1000</f>
        <v>697159.11917892331</v>
      </c>
      <c r="F31" s="1210">
        <f>'Model 21A-BYD'!J77/1000</f>
        <v>918492.23302917357</v>
      </c>
      <c r="G31" s="1210">
        <f>'Model 21A-BYD'!K77/1000</f>
        <v>1154439.9277257908</v>
      </c>
      <c r="I31" s="833" t="s">
        <v>1531</v>
      </c>
      <c r="J31" s="1220">
        <f>C34/156587-1</f>
        <v>0.34940906971843133</v>
      </c>
      <c r="K31" s="1220">
        <f>D34/C34-1</f>
        <v>1.0069176505785484</v>
      </c>
      <c r="L31" s="1220">
        <f>E34/D34-1</f>
        <v>0.34129192469286806</v>
      </c>
      <c r="M31" s="1220">
        <f>F34/E34-1</f>
        <v>0.28935038051929918</v>
      </c>
      <c r="N31" s="1220">
        <f>G34/F34-1</f>
        <v>0.19620380989204289</v>
      </c>
    </row>
    <row r="32" spans="2:14">
      <c r="I32" s="833" t="s">
        <v>1533</v>
      </c>
      <c r="J32" s="1220">
        <f>C48/7085-1</f>
        <v>-0.46116203246295406</v>
      </c>
      <c r="K32" s="1220">
        <f>D48/C48-1</f>
        <v>6.47861802679496</v>
      </c>
      <c r="L32" s="1220">
        <f>E48/D48-1</f>
        <v>0.49668080877428111</v>
      </c>
      <c r="M32" s="1220">
        <f>F48/E48-1</f>
        <v>0.35823693047395211</v>
      </c>
      <c r="N32" s="1220">
        <f>G48/F48-1</f>
        <v>0.23317744524384953</v>
      </c>
    </row>
    <row r="33" spans="2:14">
      <c r="B33" s="668" t="s">
        <v>1532</v>
      </c>
      <c r="C33" s="671">
        <v>2021</v>
      </c>
      <c r="D33" s="671">
        <v>2022</v>
      </c>
      <c r="E33" s="671" t="s">
        <v>11</v>
      </c>
      <c r="F33" s="671" t="s">
        <v>12</v>
      </c>
      <c r="G33" s="671" t="s">
        <v>13</v>
      </c>
      <c r="I33" s="833" t="s">
        <v>1535</v>
      </c>
      <c r="J33" s="1220">
        <v>-0.28082286733453765</v>
      </c>
      <c r="K33" s="1220">
        <v>4.4585950030014665</v>
      </c>
      <c r="L33" s="1220">
        <v>-0.31765169630652912</v>
      </c>
      <c r="M33" s="1220">
        <v>0.68468624002372946</v>
      </c>
      <c r="N33" s="1220">
        <v>0.14377417544149762</v>
      </c>
    </row>
    <row r="34" spans="2:14">
      <c r="B34" s="668" t="s">
        <v>1534</v>
      </c>
      <c r="C34" s="1210">
        <f>'Model 21A-BYD'!G6/1000</f>
        <v>211299.91800000001</v>
      </c>
      <c r="D34" s="1210">
        <f>'Model 21A-BYD'!H6/1000</f>
        <v>424061.53499999997</v>
      </c>
      <c r="E34" s="1210">
        <f>'Model 21A-BYD'!I6/1000</f>
        <v>568790.31246836204</v>
      </c>
      <c r="F34" s="1210">
        <f>'Model 21A-BYD'!J6/1000</f>
        <v>733370.00581677363</v>
      </c>
      <c r="G34" s="1210">
        <f>'Model 21A-BYD'!K6/1000</f>
        <v>877259.99501857429</v>
      </c>
      <c r="I34" s="834" t="s">
        <v>1537</v>
      </c>
      <c r="J34" s="1219"/>
      <c r="K34" s="1219"/>
      <c r="L34" s="1219"/>
      <c r="M34" s="1219"/>
      <c r="N34" s="1219"/>
    </row>
    <row r="35" spans="2:14">
      <c r="B35" s="669" t="s">
        <v>1536</v>
      </c>
      <c r="C35" s="1210">
        <f>'Model 21A-BYD'!G9/1000</f>
        <v>109659.458</v>
      </c>
      <c r="D35" s="1210">
        <f>'Model 21A-BYD'!H9/1000</f>
        <v>305659.25892905093</v>
      </c>
      <c r="E35" s="1210">
        <f>'Model 21A-BYD'!I9/1000</f>
        <v>431751.29524960928</v>
      </c>
      <c r="F35" s="1210">
        <f>'Model 21A-BYD'!J9/1000</f>
        <v>594287.53498316091</v>
      </c>
      <c r="G35" s="1210">
        <f>'Model 21A-BYD'!K9/1000</f>
        <v>718237.29928548459</v>
      </c>
      <c r="I35" s="833" t="s">
        <v>1539</v>
      </c>
      <c r="J35" s="1220">
        <f>'Earning Forecast'!G125</f>
        <v>0.11184368277890194</v>
      </c>
      <c r="K35" s="1220">
        <f>'Earning Forecast'!H125</f>
        <v>0.17043133196813048</v>
      </c>
      <c r="L35" s="1220">
        <f>'Earning Forecast'!I125</f>
        <v>0.18240140607670358</v>
      </c>
      <c r="M35" s="1220">
        <f>'Earning Forecast'!J125</f>
        <v>0.19035460846815305</v>
      </c>
      <c r="N35" s="1220">
        <f>'Earning Forecast'!K125</f>
        <v>0.19879952305295859</v>
      </c>
    </row>
    <row r="36" spans="2:14">
      <c r="B36" s="669" t="s">
        <v>1950</v>
      </c>
      <c r="C36" s="1210">
        <f>'Model 21A-BYD'!G7/1000</f>
        <v>15402.041999999999</v>
      </c>
      <c r="D36" s="1210">
        <f>'Model 21A-BYD'!H7/1000</f>
        <v>19031.916070949079</v>
      </c>
      <c r="E36" s="1210">
        <f>'Model 21A-BYD'!I7/1000</f>
        <v>27785.669824451656</v>
      </c>
      <c r="F36" s="1210">
        <f>'Model 21A-BYD'!J7/1000</f>
        <v>18958.053730820877</v>
      </c>
      <c r="G36" s="1210">
        <f>'Model 21A-BYD'!K7/1000</f>
        <v>26940.399855485273</v>
      </c>
      <c r="I36" s="833" t="s">
        <v>1541</v>
      </c>
      <c r="J36" s="1220">
        <f>'Model 22A-BYD'!G43/'Model 22A-BYD'!G6</f>
        <v>1.4411685668519626E-2</v>
      </c>
      <c r="K36" s="1220">
        <f>'Model 22A-BYD'!H43/'Model 22A-BYD'!H6</f>
        <v>3.9198197969075574E-2</v>
      </c>
      <c r="L36" s="1220">
        <f>'Model 22A-BYD'!I43/'Model 22A-BYD'!I6</f>
        <v>5.8014810752311449E-2</v>
      </c>
      <c r="M36" s="1220">
        <f>'Model 22A-BYD'!J43/'Model 22A-BYD'!J6</f>
        <v>6.1150508531529979E-2</v>
      </c>
      <c r="N36" s="1220">
        <f>'Model 22A-BYD'!K43/'Model 22A-BYD'!K6</f>
        <v>6.0776143197818135E-2</v>
      </c>
    </row>
    <row r="37" spans="2:14">
      <c r="B37" s="669" t="s">
        <v>1951</v>
      </c>
      <c r="C37" s="1210">
        <f>'Model 21A-BYD'!G8/1000</f>
        <v>85545.672000000006</v>
      </c>
      <c r="D37" s="1210">
        <f>'Model 21A-BYD'!H8/1000</f>
        <v>98815.953999999998</v>
      </c>
      <c r="E37" s="1210">
        <f>'Model 21A-BYD'!I8/1000</f>
        <v>108697.5494</v>
      </c>
      <c r="F37" s="1210">
        <f>'Model 21A-BYD'!J8/1000</f>
        <v>119567.30434000002</v>
      </c>
      <c r="G37" s="1210">
        <f>'Model 21A-BYD'!K8/1000</f>
        <v>131524.03477400003</v>
      </c>
      <c r="I37" s="909" t="s">
        <v>1461</v>
      </c>
      <c r="J37" s="1220">
        <f>'Model 22A-BYD'!G81/'Model 22A-BYD'!G76</f>
        <v>3.8057423410445469E-2</v>
      </c>
      <c r="K37" s="1220">
        <f>'Model 22A-BYD'!H81/'Model 22A-BYD'!H76</f>
        <v>0.14591976097636636</v>
      </c>
      <c r="L37" s="1220">
        <f>'Model 22A-BYD'!I81/'Model 22A-BYD'!I76</f>
        <v>0.22528028635641348</v>
      </c>
      <c r="M37" s="1220">
        <f>'Model 22A-BYD'!J81/'Model 22A-BYD'!J76</f>
        <v>0.23535942877572316</v>
      </c>
      <c r="N37" s="1220">
        <f>'Model 22A-BYD'!K81/'Model 22A-BYD'!K76</f>
        <v>0.21928723901271494</v>
      </c>
    </row>
    <row r="38" spans="2:14">
      <c r="B38" s="669" t="s">
        <v>1952</v>
      </c>
      <c r="C38" s="1210">
        <f>'Model 21A-BYD'!G10/1000</f>
        <v>692.74599999999998</v>
      </c>
      <c r="D38" s="1210">
        <f>'Model 21A-BYD'!H10/1000</f>
        <v>554.40599999999995</v>
      </c>
      <c r="E38" s="1210">
        <f>'Model 21A-BYD'!I10/1000</f>
        <v>555.79799430103913</v>
      </c>
      <c r="F38" s="1210">
        <f>'Model 21A-BYD'!J10/1000</f>
        <v>557.11276279181811</v>
      </c>
      <c r="G38" s="1210">
        <f>'Model 21A-BYD'!K10/1000</f>
        <v>558.26110360431448</v>
      </c>
      <c r="I38" s="909" t="s">
        <v>1542</v>
      </c>
      <c r="J38" s="1220">
        <f>'Model 22A-BYD'!G81/'Model 22A-BYD'!G59</f>
        <v>1.3412888052963102E-2</v>
      </c>
      <c r="K38" s="1220">
        <f>'Model 22A-BYD'!H81/'Model 22A-BYD'!H59</f>
        <v>3.5866749342080749E-2</v>
      </c>
      <c r="L38" s="1220">
        <f>'Model 22A-BYD'!I81/'Model 22A-BYD'!I59</f>
        <v>5.3183088729599863E-2</v>
      </c>
      <c r="M38" s="1220">
        <f>'Model 22A-BYD'!J81/'Model 22A-BYD'!J59</f>
        <v>5.5274635197440206E-2</v>
      </c>
      <c r="N38" s="1220">
        <f>'Model 22A-BYD'!K81/'Model 22A-BYD'!K59</f>
        <v>5.2467030789880111E-2</v>
      </c>
    </row>
    <row r="39" spans="2:14">
      <c r="B39" s="668" t="s">
        <v>1540</v>
      </c>
      <c r="C39" s="1210">
        <f>'Model 21A-BYD'!G13/1000</f>
        <v>187667.35700000002</v>
      </c>
      <c r="D39" s="1210">
        <f>'Model 21A-BYD'!H13/1000</f>
        <v>351788.16275349999</v>
      </c>
      <c r="E39" s="1210">
        <f>'Model 21A-BYD'!I13/1000</f>
        <v>465042.15971132519</v>
      </c>
      <c r="F39" s="1210">
        <f>'Model 21A-BYD'!J13/1000</f>
        <v>593769.64549723442</v>
      </c>
      <c r="G39" s="1210">
        <f>'Model 21A-BYD'!K13/1000</f>
        <v>702861.12641544081</v>
      </c>
      <c r="I39" s="834" t="s">
        <v>1544</v>
      </c>
      <c r="J39" s="1219"/>
      <c r="K39" s="1219"/>
      <c r="L39" s="1219"/>
      <c r="M39" s="1219"/>
      <c r="N39" s="1219"/>
    </row>
    <row r="40" spans="2:14">
      <c r="B40" s="669" t="s">
        <v>1536</v>
      </c>
      <c r="C40" s="1210">
        <f>'Model 21A-BYD'!G16/1000</f>
        <v>92763.974565099998</v>
      </c>
      <c r="D40" s="1210">
        <f>'Model 21A-BYD'!H16/1000</f>
        <v>241883.54630563271</v>
      </c>
      <c r="E40" s="1210">
        <f>'Model 21A-BYD'!I16/1000</f>
        <v>339731.5245462585</v>
      </c>
      <c r="F40" s="1210">
        <f>'Model 21A-BYD'!J16/1000</f>
        <v>464843.73718609265</v>
      </c>
      <c r="G40" s="1210">
        <f>'Model 21A-BYD'!K16/1000</f>
        <v>556050.08805808425</v>
      </c>
      <c r="I40" s="833" t="s">
        <v>1546</v>
      </c>
      <c r="J40" s="1220">
        <f>'Model 22A-BYD'!G64/'Model 22A-BYD'!G59</f>
        <v>0.5791597094581199</v>
      </c>
      <c r="K40" s="1220">
        <f>'Model 22A-BYD'!H64/'Model 22A-BYD'!H59</f>
        <v>0.67497696708556931</v>
      </c>
      <c r="L40" s="1220">
        <f>'Model 22A-BYD'!I64/'Model 22A-BYD'!I59</f>
        <v>0.70572077472167405</v>
      </c>
      <c r="M40" s="1220">
        <f>'Model 22A-BYD'!J64/'Model 22A-BYD'!J59</f>
        <v>0.72142857808285865</v>
      </c>
      <c r="N40" s="1220">
        <f>'Model 22A-BYD'!K64/'Model 22A-BYD'!K59</f>
        <v>0.72639170597706049</v>
      </c>
    </row>
    <row r="41" spans="2:14">
      <c r="B41" s="669" t="s">
        <v>1950</v>
      </c>
      <c r="C41" s="1210">
        <f>'Model 21A-BYD'!G14/1000</f>
        <v>14487.9199604</v>
      </c>
      <c r="D41" s="1210">
        <f>'Model 21A-BYD'!H14/1000</f>
        <v>16603.098111867301</v>
      </c>
      <c r="E41" s="1210">
        <f>'Model 21A-BYD'!I14/1000</f>
        <v>24423.115592399918</v>
      </c>
      <c r="F41" s="1210">
        <f>'Model 21A-BYD'!J14/1000</f>
        <v>17011.779327202534</v>
      </c>
      <c r="G41" s="1210">
        <f>'Model 21A-BYD'!K14/1000</f>
        <v>23785.69821724555</v>
      </c>
      <c r="I41" s="833" t="s">
        <v>1548</v>
      </c>
      <c r="J41" s="1220">
        <f>'Model 22A-BYD'!G68/'Model 22A-BYD'!G76</f>
        <v>0.19408266602128468</v>
      </c>
      <c r="K41" s="1220">
        <f>'Model 22A-BYD'!H68/'Model 22A-BYD'!H76</f>
        <v>0.32231897634066353</v>
      </c>
      <c r="L41" s="1220">
        <f>'Model 22A-BYD'!I68/'Model 22A-BYD'!I76</f>
        <v>0.24654866279978088</v>
      </c>
      <c r="M41" s="1220">
        <f>'Model 22A-BYD'!J68/'Model 22A-BYD'!J76</f>
        <v>0.18615727632510307</v>
      </c>
      <c r="N41" s="1220">
        <f>'Model 22A-BYD'!K68/'Model 22A-BYD'!K76</f>
        <v>0.14355255984567966</v>
      </c>
    </row>
    <row r="42" spans="2:14">
      <c r="B42" s="669" t="s">
        <v>1951</v>
      </c>
      <c r="C42" s="1210">
        <f>'Model 21A-BYD'!G15/1000</f>
        <v>79758.626725000009</v>
      </c>
      <c r="D42" s="1210">
        <f>'Model 21A-BYD'!H15/1000</f>
        <v>92879.339520000009</v>
      </c>
      <c r="E42" s="1210">
        <f>'Model 21A-BYD'!I15/1000</f>
        <v>100384.60333667597</v>
      </c>
      <c r="F42" s="1210">
        <f>'Model 21A-BYD'!J15/1000</f>
        <v>111428.6025421753</v>
      </c>
      <c r="G42" s="1210">
        <f>'Model 21A-BYD'!K15/1000</f>
        <v>122553.07791163027</v>
      </c>
      <c r="I42" s="833" t="s">
        <v>1550</v>
      </c>
      <c r="J42" s="1221">
        <f>'Model 22A-BYD'!G50/'Model 22A-BYD'!G64</f>
        <v>0.96968105416183525</v>
      </c>
      <c r="K42" s="1221">
        <f>'Model 22A-BYD'!H50/'Model 22A-BYD'!H64</f>
        <v>0.72238618886600048</v>
      </c>
      <c r="L42" s="1221">
        <f>'Model 22A-BYD'!I50/'Model 22A-BYD'!I64</f>
        <v>0.7236703376748963</v>
      </c>
      <c r="M42" s="1221">
        <f>'Model 22A-BYD'!J50/'Model 22A-BYD'!J64</f>
        <v>0.69080367631203354</v>
      </c>
      <c r="N42" s="1221">
        <f>'Model 22A-BYD'!K50/'Model 22A-BYD'!K64</f>
        <v>0.65316511674939293</v>
      </c>
    </row>
    <row r="43" spans="2:14">
      <c r="B43" s="669" t="s">
        <v>1952</v>
      </c>
      <c r="C43" s="1210">
        <f>'Model 21A-BYD'!G17/1000</f>
        <v>656.83574949999797</v>
      </c>
      <c r="D43" s="1210">
        <f>'Model 21A-BYD'!H17/1000</f>
        <v>422.17881599999254</v>
      </c>
      <c r="E43" s="1210">
        <f>'Model 21A-BYD'!I17/1000</f>
        <v>502.91623599074961</v>
      </c>
      <c r="F43" s="1210">
        <f>'Model 21A-BYD'!J17/1000</f>
        <v>485.52644176399571</v>
      </c>
      <c r="G43" s="1210">
        <f>'Model 21A-BYD'!K17/1000</f>
        <v>472.26222848073178</v>
      </c>
      <c r="I43" s="833" t="s">
        <v>1552</v>
      </c>
      <c r="J43" s="1221">
        <f>('Model 22A-BYD'!G50-'Model 22A-BYD'!G48)/'Model 22A-BYD'!G64</f>
        <v>0.71659416668188325</v>
      </c>
      <c r="K43" s="1221">
        <f>('Model 22A-BYD'!H50-'Model 22A-BYD'!H48)/'Model 22A-BYD'!H64</f>
        <v>0.48507258530010933</v>
      </c>
      <c r="L43" s="1221">
        <f>('Model 22A-BYD'!I50-'Model 22A-BYD'!I48)/'Model 22A-BYD'!I64</f>
        <v>0.49887326596025572</v>
      </c>
      <c r="M43" s="1221">
        <f>('Model 22A-BYD'!J50-'Model 22A-BYD'!J48)/'Model 22A-BYD'!J64</f>
        <v>0.4760785293867883</v>
      </c>
      <c r="N43" s="1221">
        <f>('Model 22A-BYD'!K50-'Model 22A-BYD'!K48)/'Model 22A-BYD'!K64</f>
        <v>0.45155428800014774</v>
      </c>
    </row>
    <row r="44" spans="2:14">
      <c r="B44" s="668" t="s">
        <v>1543</v>
      </c>
      <c r="C44" s="1210">
        <f>'Model 21A-BYD'!G21/1000</f>
        <v>23632.560999999969</v>
      </c>
      <c r="D44" s="1210">
        <f>'Model 21A-BYD'!H21/1000</f>
        <v>72273.372246500017</v>
      </c>
      <c r="E44" s="1210">
        <f>'Model 21A-BYD'!I21/1000</f>
        <v>103748.15275703692</v>
      </c>
      <c r="F44" s="1210">
        <f>'Model 21A-BYD'!J21/1000</f>
        <v>139600.36031953918</v>
      </c>
      <c r="G44" s="1210">
        <f>'Model 21A-BYD'!K21/1000</f>
        <v>174398.86860313345</v>
      </c>
      <c r="I44" s="834" t="s">
        <v>1554</v>
      </c>
      <c r="J44" s="1219"/>
      <c r="K44" s="1219"/>
      <c r="L44" s="1219"/>
      <c r="M44" s="1219"/>
      <c r="N44" s="1219"/>
    </row>
    <row r="45" spans="2:14">
      <c r="B45" s="669" t="s">
        <v>1545</v>
      </c>
      <c r="C45" s="1210"/>
      <c r="D45" s="1210"/>
      <c r="E45" s="1210"/>
      <c r="F45" s="1210"/>
      <c r="G45" s="1210"/>
      <c r="I45" s="833" t="s">
        <v>1556</v>
      </c>
      <c r="J45" s="1221">
        <f>'Model 22A-BYD'!G6/('Model 22A-BYD'!F59+'Model 22A-BYD'!G59)*2</f>
        <v>0.8506481276993948</v>
      </c>
      <c r="K45" s="1221">
        <f>'Model 22A-BYD'!H6/('Model 22A-BYD'!G59+'Model 22A-BYD'!H59)*2</f>
        <v>1.0740618741058379</v>
      </c>
      <c r="L45" s="1221">
        <f>'Model 22A-BYD'!I6/('Model 22A-BYD'!H59+'Model 22A-BYD'!I59)*2</f>
        <v>0.98659255421728342</v>
      </c>
      <c r="M45" s="1221">
        <f>'Model 22A-BYD'!J6/('Model 22A-BYD'!I59+'Model 22A-BYD'!J59)*2</f>
        <v>0.96425111791410356</v>
      </c>
      <c r="N45" s="1221">
        <f>'Model 22A-BYD'!K6/('Model 22A-BYD'!J59+'Model 22A-BYD'!K59)*2</f>
        <v>0.90384067035104332</v>
      </c>
    </row>
    <row r="46" spans="2:14">
      <c r="B46" s="669" t="s">
        <v>1547</v>
      </c>
      <c r="C46" s="1210">
        <f>'Model 21A-BYD'!G24/1000</f>
        <v>11823.92</v>
      </c>
      <c r="D46" s="1210">
        <f>'Model 21A-BYD'!H24/1000</f>
        <v>25068.045999999998</v>
      </c>
      <c r="E46" s="1210">
        <f>'Model 21A-BYD'!I24/1000</f>
        <v>33493.434809944381</v>
      </c>
      <c r="F46" s="1210">
        <f>'Model 21A-BYD'!J24/1000</f>
        <v>42525.082884315692</v>
      </c>
      <c r="G46" s="1210">
        <f>'Model 21A-BYD'!K24/1000</f>
        <v>51461.651072139837</v>
      </c>
      <c r="I46" s="833" t="s">
        <v>1558</v>
      </c>
      <c r="J46" s="1221">
        <f>'Model 22A-BYD'!G6/('Model 22A-BYD'!F47+'Model 22A-BYD'!G47)*2</f>
        <v>3.7944176193859511</v>
      </c>
      <c r="K46" s="1221">
        <f>'Model 22A-BYD'!H6/('Model 22A-BYD'!G47+'Model 22A-BYD'!H47)*2</f>
        <v>6.9470267943655077</v>
      </c>
      <c r="L46" s="1221">
        <f>'Model 22A-BYD'!I6/('Model 22A-BYD'!H47+'Model 22A-BYD'!I47)*2</f>
        <v>7.2318469022656409</v>
      </c>
      <c r="M46" s="1221">
        <f>'Model 22A-BYD'!J6/('Model 22A-BYD'!I47+'Model 22A-BYD'!J47)*2</f>
        <v>7.1095181616503949</v>
      </c>
      <c r="N46" s="1221">
        <f>'Model 22A-BYD'!K6/('Model 22A-BYD'!J47+'Model 22A-BYD'!K47)*2</f>
        <v>6.8756541233240736</v>
      </c>
    </row>
    <row r="47" spans="2:14">
      <c r="B47" s="669" t="s">
        <v>1549</v>
      </c>
      <c r="C47" s="1210">
        <f>'Model 21A-BYD'!G26/1000</f>
        <v>7990.9740000000002</v>
      </c>
      <c r="D47" s="1210">
        <f>'Model 21A-BYD'!H26/1000</f>
        <v>18654.453000000001</v>
      </c>
      <c r="E47" s="1210">
        <f>'Model 21A-BYD'!I26/1000</f>
        <v>27523.173885308919</v>
      </c>
      <c r="F47" s="1210">
        <f>'Model 21A-BYD'!J26/1000</f>
        <v>39035.716194334076</v>
      </c>
      <c r="G47" s="1210">
        <f>'Model 21A-BYD'!K26/1000</f>
        <v>51364.139676879633</v>
      </c>
      <c r="I47" s="833" t="s">
        <v>1560</v>
      </c>
      <c r="J47" s="1221">
        <f>'Model 22A-BYD'!G6/('Model 22A-BYD'!F48+'Model 22A-BYD'!G48)*2</f>
        <v>5.6534232922735361</v>
      </c>
      <c r="K47" s="1221">
        <f>'Model 22A-BYD'!H6/('Model 22A-BYD'!G48+'Model 22A-BYD'!H48)*2</f>
        <v>6.925603057164329</v>
      </c>
      <c r="L47" s="1221">
        <f>'Model 22A-BYD'!I6/('Model 22A-BYD'!H48+'Model 22A-BYD'!I48)*2</f>
        <v>6.1932063408285796</v>
      </c>
      <c r="M47" s="1221">
        <f>'Model 22A-BYD'!J6/('Model 22A-BYD'!I48+'Model 22A-BYD'!J48)*2</f>
        <v>6.1602676118597177</v>
      </c>
      <c r="N47" s="1221">
        <f>'Model 22A-BYD'!K6/('Model 22A-BYD'!J48+'Model 22A-BYD'!K48)*2</f>
        <v>6.0173768513177333</v>
      </c>
    </row>
    <row r="48" spans="2:14">
      <c r="B48" s="669" t="s">
        <v>1553</v>
      </c>
      <c r="C48" s="1210">
        <f>'Model 21A-BYD'!G29/1000</f>
        <v>3817.6669999999704</v>
      </c>
      <c r="D48" s="1210">
        <f>'Model 21A-BYD'!H29/1000</f>
        <v>28550.873246500014</v>
      </c>
      <c r="E48" s="1210">
        <f>'Model 21A-BYD'!I29/1000</f>
        <v>42731.544061783628</v>
      </c>
      <c r="F48" s="1210">
        <f>'Model 21A-BYD'!J29/1000</f>
        <v>58039.56124088943</v>
      </c>
      <c r="G48" s="1210">
        <f>'Model 21A-BYD'!K29/1000</f>
        <v>71573.077854113973</v>
      </c>
      <c r="I48" s="834" t="s">
        <v>1562</v>
      </c>
      <c r="J48" s="1219"/>
      <c r="K48" s="1219"/>
      <c r="L48" s="1219"/>
      <c r="M48" s="1219"/>
      <c r="N48" s="1219"/>
    </row>
    <row r="49" spans="2:14">
      <c r="B49" s="669" t="s">
        <v>1555</v>
      </c>
      <c r="C49" s="1217">
        <f>'Model 21A-BYD'!G30/1000</f>
        <v>1907.6420000000001</v>
      </c>
      <c r="D49" s="1217">
        <f>'Model 21A-BYD'!H30/1000</f>
        <v>637.93371349999995</v>
      </c>
      <c r="E49" s="1217">
        <f>'Model 21A-BYD'!I30/1000</f>
        <v>1314.7623973059253</v>
      </c>
      <c r="F49" s="1217">
        <f>'Model 21A-BYD'!J30/1000</f>
        <v>1447.9357662802897</v>
      </c>
      <c r="G49" s="1217">
        <f>'Model 21A-BYD'!K30/1000</f>
        <v>1901.8502489417851</v>
      </c>
      <c r="I49" s="833" t="s">
        <v>1564</v>
      </c>
      <c r="J49" s="1221">
        <f>'Earning Forecast'!G152</f>
        <v>1.0460454879749963</v>
      </c>
      <c r="K49" s="1221">
        <f>'Earning Forecast'!H152</f>
        <v>5.7099386735725597</v>
      </c>
      <c r="L49" s="1221">
        <f>'Earning Forecast'!I152</f>
        <v>10.778450170875875</v>
      </c>
      <c r="M49" s="1221">
        <f>'Earning Forecast'!J152</f>
        <v>14.644407266316911</v>
      </c>
      <c r="N49" s="1221">
        <f>'Earning Forecast'!K152</f>
        <v>17.318571887756601</v>
      </c>
    </row>
    <row r="50" spans="2:14">
      <c r="B50" s="669" t="s">
        <v>1557</v>
      </c>
      <c r="C50" s="1217">
        <f>SUM('Model 21A-BYD'!G32:G35)/1000</f>
        <v>3819.9090000000001</v>
      </c>
      <c r="D50" s="1217">
        <f>SUM('Model 21A-BYD'!H32:H35)/1000</f>
        <v>-6378.6542464999411</v>
      </c>
      <c r="E50" s="1217">
        <f>SUM('Model 21A-BYD'!I32:I35)/1000</f>
        <v>79.524917833353371</v>
      </c>
      <c r="F50" s="1217">
        <f>SUM('Model 21A-BYD'!J32:J35)/1000</f>
        <v>-826.40677622219528</v>
      </c>
      <c r="G50" s="1217">
        <f>SUM('Model 21A-BYD'!K32:K35)/1000</f>
        <v>-2375.1787016295943</v>
      </c>
      <c r="I50" s="833" t="s">
        <v>1565</v>
      </c>
      <c r="J50" s="1221">
        <v>22.488308544101052</v>
      </c>
      <c r="K50" s="1221">
        <v>52.013046078464733</v>
      </c>
      <c r="L50" s="1221">
        <v>22.183190381079573</v>
      </c>
      <c r="M50" s="1221">
        <v>23.608614082824314</v>
      </c>
      <c r="N50" s="1221">
        <v>27.172309267532</v>
      </c>
    </row>
    <row r="51" spans="2:14">
      <c r="B51" s="668" t="s">
        <v>1559</v>
      </c>
      <c r="C51" s="1210">
        <f>'Model 21A-BYD'!G38/1000</f>
        <v>4518.0029999999706</v>
      </c>
      <c r="D51" s="1210">
        <f>'Model 21A-BYD'!H38/1000</f>
        <v>18823.920286500073</v>
      </c>
      <c r="E51" s="1210">
        <f>'Model 21A-BYD'!I38/1000</f>
        <v>38696.910634866596</v>
      </c>
      <c r="F51" s="1210">
        <f>'Model 21A-BYD'!J38/1000</f>
        <v>52774.642193011226</v>
      </c>
      <c r="G51" s="1210">
        <f>'Model 21A-BYD'!K38/1000</f>
        <v>62832.149442130256</v>
      </c>
      <c r="I51" s="833" t="s">
        <v>1566</v>
      </c>
      <c r="J51" s="1221">
        <f>'Model 22A-BYD'!G76/'Earning Forecast'!G151</f>
        <v>35.808687172014565</v>
      </c>
      <c r="K51" s="1221">
        <f>'Model 22A-BYD'!H76/'Earning Forecast'!H151</f>
        <v>41.698342197549209</v>
      </c>
      <c r="L51" s="1221">
        <f>'Model 22A-BYD'!I76/'Earning Forecast'!I151</f>
        <v>53.455252859025194</v>
      </c>
      <c r="M51" s="1221">
        <f>'Model 22A-BYD'!J76/'Earning Forecast'!J151</f>
        <v>69.535610390166269</v>
      </c>
      <c r="N51" s="1221">
        <f>'Model 22A-BYD'!K76/'Earning Forecast'!K151</f>
        <v>88.701132914406656</v>
      </c>
    </row>
    <row r="52" spans="2:14">
      <c r="B52" s="669" t="s">
        <v>1561</v>
      </c>
      <c r="C52" s="1217">
        <f>'Model 21A-BYD'!G39/1000</f>
        <v>550.73699999999997</v>
      </c>
      <c r="D52" s="1217">
        <f>'Model 21A-BYD'!H39/1000</f>
        <v>3366.6350000000002</v>
      </c>
      <c r="E52" s="1217">
        <f>'Model 21A-BYD'!I39/1000</f>
        <v>5260.3720311163352</v>
      </c>
      <c r="F52" s="1217">
        <f>'Model 21A-BYD'!J39/1000</f>
        <v>7345.2640239366774</v>
      </c>
      <c r="G52" s="1217">
        <f>'Model 21A-BYD'!K39/1000</f>
        <v>9107.0684624971418</v>
      </c>
      <c r="I52" s="834" t="s">
        <v>1567</v>
      </c>
      <c r="J52" s="1219"/>
      <c r="K52" s="1219"/>
      <c r="L52" s="1219"/>
      <c r="M52" s="1219"/>
      <c r="N52" s="1219"/>
    </row>
    <row r="53" spans="2:14">
      <c r="B53" s="669" t="s">
        <v>1953</v>
      </c>
      <c r="C53" s="1218">
        <f>'Model 21A-BYD'!G41/1000</f>
        <v>-922.07799999999827</v>
      </c>
      <c r="D53" s="1218">
        <f>'Model 21A-BYD'!H41/1000</f>
        <v>-1090.7280000000028</v>
      </c>
      <c r="E53" s="1218">
        <f>'Model 21A-BYD'!I41/1000</f>
        <v>-2058.9288379560626</v>
      </c>
      <c r="F53" s="1218">
        <f>'Model 21A-BYD'!J41/1000</f>
        <v>-2797.4144665868052</v>
      </c>
      <c r="G53" s="1218">
        <f>'Model 21A-BYD'!K41/1000</f>
        <v>-3308.2406585936487</v>
      </c>
      <c r="I53" s="909" t="s">
        <v>1462</v>
      </c>
      <c r="J53" s="1221">
        <f>Valuation!D26</f>
        <v>214.59869822158802</v>
      </c>
      <c r="K53" s="1221">
        <f>Valuation!E26</f>
        <v>39.313907352274363</v>
      </c>
      <c r="L53" s="1221">
        <f>Valuation!F26</f>
        <v>20.826741919405134</v>
      </c>
      <c r="M53" s="1221">
        <f>Valuation!G26</f>
        <v>15.328718733213504</v>
      </c>
      <c r="N53" s="1221">
        <f>Valuation!H26</f>
        <v>12.961807789630541</v>
      </c>
    </row>
    <row r="54" spans="2:14">
      <c r="B54" s="668" t="s">
        <v>1563</v>
      </c>
      <c r="C54" s="1210">
        <f>'Model 21A-BYD'!G43/1000</f>
        <v>3045.1879999999719</v>
      </c>
      <c r="D54" s="1210">
        <f>'Earning Forecast'!H150/1000</f>
        <v>16622.44800000004</v>
      </c>
      <c r="E54" s="1210">
        <f>'Earning Forecast'!I150/1000</f>
        <v>31377.609765794106</v>
      </c>
      <c r="F54" s="1210">
        <f>'Earning Forecast'!J150/1000</f>
        <v>42631.963702487614</v>
      </c>
      <c r="G54" s="1210">
        <f>'Earning Forecast'!K150/1000</f>
        <v>50416.839321039413</v>
      </c>
      <c r="I54" s="909" t="s">
        <v>1568</v>
      </c>
      <c r="J54" s="1221">
        <v>7.5</v>
      </c>
      <c r="K54" s="1221">
        <v>6.42</v>
      </c>
      <c r="L54" s="1221">
        <v>5.31</v>
      </c>
      <c r="M54" s="1221">
        <v>4.33</v>
      </c>
      <c r="N54" s="1221">
        <v>3.48</v>
      </c>
    </row>
    <row r="55" spans="2:14">
      <c r="I55" s="909" t="s">
        <v>1569</v>
      </c>
      <c r="J55" s="1220">
        <f>'Model 22A-BYD'!G38/'Model 22A-BYD'!G6</f>
        <v>2.1381943934308437E-2</v>
      </c>
      <c r="K55" s="1220">
        <f>'Model 22A-BYD'!H38/'Model 22A-BYD'!H6</f>
        <v>4.9709321077659338E-2</v>
      </c>
      <c r="L55" s="1220">
        <f>'Model 22A-BYD'!I38/'Model 22A-BYD'!I6</f>
        <v>7.0882999096288424E-2</v>
      </c>
      <c r="M55" s="1220">
        <f>'Model 22A-BYD'!J38/'Model 22A-BYD'!J6</f>
        <v>7.4980742124499622E-2</v>
      </c>
      <c r="N55" s="1220">
        <f>'Model 22A-BYD'!K38/'Model 22A-BYD'!K6</f>
        <v>7.4928514435067956E-2</v>
      </c>
    </row>
    <row r="56" spans="2:14">
      <c r="I56" s="909" t="s">
        <v>1570</v>
      </c>
      <c r="J56" s="1220">
        <f>('Model 22A-BYD'!G38+'Model 22A-BYD'!G85+'Model 22A-BYD'!G30)/'Model 22A-BYD'!G6</f>
        <v>9.7179531323812296E-2</v>
      </c>
      <c r="K56" s="1220">
        <f>('Model 22A-BYD'!H38+'Model 22A-BYD'!H85+'Model 22A-BYD'!H30)/'Model 22A-BYD'!H6</f>
        <v>9.392943172740266E-2</v>
      </c>
      <c r="L56" s="1220">
        <f>('Model 22A-BYD'!I38+'Model 22A-BYD'!I85+'Model 22A-BYD'!I30)/'Model 22A-BYD'!I6</f>
        <v>0.1183807015847711</v>
      </c>
      <c r="M56" s="1220">
        <f>('Model 22A-BYD'!J38+'Model 22A-BYD'!J85+'Model 22A-BYD'!J30)/'Model 22A-BYD'!J6</f>
        <v>0.12197167488495818</v>
      </c>
      <c r="N56" s="1220">
        <f>('Model 22A-BYD'!K38+'Model 22A-BYD'!K85+'Model 22A-BYD'!K30)/'Model 22A-BYD'!K6</f>
        <v>0.12182661567021755</v>
      </c>
    </row>
    <row r="58" spans="2:14">
      <c r="J58" s="1215"/>
      <c r="K58" s="1215"/>
      <c r="L58" s="1215"/>
      <c r="M58" s="1215"/>
      <c r="N58" s="1216"/>
    </row>
    <row r="60" spans="2:14">
      <c r="J60" s="966"/>
      <c r="K60" s="966"/>
      <c r="L60" s="966"/>
      <c r="M60" s="966"/>
      <c r="N60" s="966"/>
    </row>
    <row r="61" spans="2:14">
      <c r="J61" s="670"/>
      <c r="K61" s="670"/>
      <c r="L61" s="670"/>
      <c r="M61" s="670"/>
      <c r="N61" s="965"/>
    </row>
  </sheetData>
  <mergeCells count="1">
    <mergeCell ref="C2:G2"/>
  </mergeCells>
  <phoneticPr fontId="4" type="noConversion"/>
  <pageMargins left="0.25" right="0.25" top="0.75" bottom="0.75" header="0.3" footer="0.3"/>
  <pageSetup paperSize="8" scale="83"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06183-3963-408E-9A07-1522E43F2367}">
  <dimension ref="A1:Y97"/>
  <sheetViews>
    <sheetView showGridLines="0" zoomScale="60" zoomScaleNormal="57" workbookViewId="0">
      <selection activeCell="Z53" sqref="Z53"/>
    </sheetView>
  </sheetViews>
  <sheetFormatPr defaultColWidth="8.83203125" defaultRowHeight="15.5"/>
  <cols>
    <col min="1" max="1" width="9" style="667"/>
    <col min="2" max="2" width="25.83203125" style="670" customWidth="1"/>
    <col min="3" max="3" width="10.25" style="667" bestFit="1" customWidth="1"/>
    <col min="4" max="5" width="10.1640625" style="667" bestFit="1" customWidth="1"/>
    <col min="6" max="6" width="9.1640625" style="667" bestFit="1" customWidth="1"/>
    <col min="7" max="7" width="10" style="667" bestFit="1" customWidth="1"/>
    <col min="8" max="9" width="10.4140625" style="667" bestFit="1" customWidth="1"/>
    <col min="10" max="10" width="25" style="670" bestFit="1" customWidth="1"/>
    <col min="11" max="13" width="12.4140625" style="667" bestFit="1" customWidth="1"/>
    <col min="14" max="15" width="9.75" style="667" customWidth="1"/>
    <col min="16" max="16" width="8.83203125" style="396"/>
    <col min="17" max="17" width="23.25" style="396" bestFit="1" customWidth="1"/>
    <col min="18" max="18" width="22.75" style="396" customWidth="1"/>
    <col min="19" max="19" width="11.4140625" style="396" bestFit="1" customWidth="1"/>
    <col min="20" max="20" width="10.25" style="396" bestFit="1" customWidth="1"/>
    <col min="21" max="21" width="10.4140625" style="396" bestFit="1" customWidth="1"/>
    <col min="22" max="22" width="11.4140625" style="396" bestFit="1" customWidth="1"/>
    <col min="23" max="25" width="11.75" style="396" bestFit="1" customWidth="1"/>
    <col min="26" max="26" width="11.4140625" style="396" bestFit="1" customWidth="1"/>
    <col min="27" max="16384" width="8.83203125" style="396"/>
  </cols>
  <sheetData>
    <row r="1" spans="2:25" ht="19.5" customHeight="1">
      <c r="B1" s="668"/>
    </row>
    <row r="2" spans="2:25" ht="19.5" customHeight="1">
      <c r="B2" s="668" t="s">
        <v>1474</v>
      </c>
      <c r="C2" s="1974" t="s">
        <v>1954</v>
      </c>
      <c r="D2" s="1974"/>
      <c r="E2" s="1974"/>
      <c r="F2" s="1974"/>
      <c r="G2" s="1974"/>
    </row>
    <row r="3" spans="2:25" ht="19.5" customHeight="1">
      <c r="B3" s="668" t="s">
        <v>1476</v>
      </c>
      <c r="C3" s="671">
        <v>2021</v>
      </c>
      <c r="D3" s="671">
        <v>2022</v>
      </c>
      <c r="E3" s="671" t="s">
        <v>11</v>
      </c>
      <c r="F3" s="671" t="s">
        <v>12</v>
      </c>
      <c r="G3" s="671" t="s">
        <v>13</v>
      </c>
      <c r="J3" s="668" t="s">
        <v>1477</v>
      </c>
      <c r="K3" s="671">
        <v>2021</v>
      </c>
      <c r="L3" s="671">
        <v>2022</v>
      </c>
      <c r="M3" s="671" t="s">
        <v>11</v>
      </c>
      <c r="N3" s="671" t="s">
        <v>12</v>
      </c>
      <c r="O3" s="671" t="s">
        <v>13</v>
      </c>
      <c r="Q3" s="1603"/>
      <c r="R3" s="671"/>
      <c r="S3" s="1604" t="s">
        <v>1844</v>
      </c>
      <c r="T3" s="1604" t="s">
        <v>1845</v>
      </c>
      <c r="U3" s="1604" t="s">
        <v>1846</v>
      </c>
      <c r="V3" s="1604" t="s">
        <v>1847</v>
      </c>
      <c r="W3" s="1604" t="s">
        <v>1848</v>
      </c>
      <c r="X3" s="1604" t="s">
        <v>1839</v>
      </c>
      <c r="Y3" s="1604" t="s">
        <v>1849</v>
      </c>
    </row>
    <row r="4" spans="2:25">
      <c r="B4" s="668" t="s">
        <v>1478</v>
      </c>
      <c r="C4" s="1189">
        <f>'Model 22A-Tesla'!H46/1000</f>
        <v>27100</v>
      </c>
      <c r="D4" s="1189">
        <f>'Model 22A-Tesla'!I46/1000</f>
        <v>40917</v>
      </c>
      <c r="E4" s="1189">
        <f>'Model 22A-Tesla'!J46/1000</f>
        <v>49182.154556446607</v>
      </c>
      <c r="F4" s="1189">
        <f>'Model 22A-Tesla'!K46/1000</f>
        <v>60211.681624824916</v>
      </c>
      <c r="G4" s="1189">
        <f>'Model 22A-Tesla'!L46/1000</f>
        <v>74467.965179104111</v>
      </c>
      <c r="J4" s="669" t="s">
        <v>1479</v>
      </c>
      <c r="K4" s="1189">
        <f>'Model 22A-Tesla'!H75/1000</f>
        <v>5643.7060000000001</v>
      </c>
      <c r="L4" s="1189">
        <f>'Model 22A-Tesla'!I75/1000</f>
        <v>12637.540553054743</v>
      </c>
      <c r="M4" s="1189">
        <f>'Model 22A-Tesla'!J75/1000</f>
        <v>9894.1956749410056</v>
      </c>
      <c r="N4" s="1189">
        <f>'Model 22A-Tesla'!K75/1000</f>
        <v>13178.619176351507</v>
      </c>
      <c r="O4" s="1189">
        <f>'Model 22A-Tesla'!L75/1000</f>
        <v>17526.771627438462</v>
      </c>
      <c r="Q4" s="1575"/>
      <c r="R4" s="1607" t="s">
        <v>1955</v>
      </c>
      <c r="S4" s="1605">
        <v>31.004800000000003</v>
      </c>
      <c r="T4" s="1605">
        <v>25.4695</v>
      </c>
      <c r="U4" s="1605">
        <v>34.383000000000003</v>
      </c>
      <c r="V4" s="1605">
        <v>40.527799999999999</v>
      </c>
      <c r="W4" s="1605">
        <v>42.287500000000001</v>
      </c>
      <c r="X4" s="1605">
        <v>46.614000000000004</v>
      </c>
      <c r="Y4" s="1605">
        <v>43.505900000000004</v>
      </c>
    </row>
    <row r="5" spans="2:25" ht="19.5" customHeight="1">
      <c r="B5" s="669" t="s">
        <v>1480</v>
      </c>
      <c r="C5" s="1189">
        <f>'Model 22A-Tesla'!H42/1000</f>
        <v>17707</v>
      </c>
      <c r="D5" s="1189">
        <f>'Model 22A-Tesla'!I42/1000</f>
        <v>22185</v>
      </c>
      <c r="E5" s="1189">
        <f>'Model 22A-Tesla'!J42/1000</f>
        <v>25468.266887940317</v>
      </c>
      <c r="F5" s="1189">
        <f>'Model 22A-Tesla'!K42/1000</f>
        <v>33191.968617484381</v>
      </c>
      <c r="G5" s="1189">
        <f>'Model 22A-Tesla'!L42/1000</f>
        <v>45366.093515685199</v>
      </c>
      <c r="J5" s="669" t="s">
        <v>1481</v>
      </c>
      <c r="K5" s="1189">
        <f>'Model 22A-Tesla'!H76/1000</f>
        <v>2911</v>
      </c>
      <c r="L5" s="1189">
        <f>'Model 22A-Tesla'!I76/1000</f>
        <v>3747</v>
      </c>
      <c r="M5" s="1189">
        <f>'Model 22A-Tesla'!J76/1000</f>
        <v>4303.4165711394926</v>
      </c>
      <c r="N5" s="1189">
        <f>'Model 22A-Tesla'!K76/1000</f>
        <v>4755.9699115029698</v>
      </c>
      <c r="O5" s="1189">
        <f>'Model 22A-Tesla'!L76/1000</f>
        <v>5009.8857587643106</v>
      </c>
      <c r="Q5" s="1575"/>
      <c r="R5" s="1608" t="s">
        <v>1853</v>
      </c>
      <c r="S5" s="1576">
        <v>0.67774891774891777</v>
      </c>
      <c r="T5" s="1576">
        <v>0.26556521739130434</v>
      </c>
      <c r="U5" s="1576">
        <v>0.42490675507666809</v>
      </c>
      <c r="V5" s="1576">
        <v>0.31327932598833419</v>
      </c>
      <c r="W5" s="1576">
        <v>0.36390171844359576</v>
      </c>
      <c r="X5" s="1576">
        <v>0.83018904964761786</v>
      </c>
      <c r="Y5" s="1576">
        <v>0.26533170462146982</v>
      </c>
    </row>
    <row r="6" spans="2:25" ht="19.5" customHeight="1">
      <c r="B6" s="669" t="s">
        <v>1482</v>
      </c>
      <c r="C6" s="1189">
        <f>'Model 22A-Tesla'!H43/1000</f>
        <v>1913</v>
      </c>
      <c r="D6" s="1189">
        <f>'Model 22A-Tesla'!I43/1000</f>
        <v>2952</v>
      </c>
      <c r="E6" s="1189">
        <f>'Model 22A-Tesla'!J43/1000</f>
        <v>3568.8019097393799</v>
      </c>
      <c r="F6" s="1189">
        <f>'Model 22A-Tesla'!K43/1000</f>
        <v>4151.6864620063225</v>
      </c>
      <c r="G6" s="1189">
        <f>'Model 22A-Tesla'!L43/1000</f>
        <v>4603.516105550153</v>
      </c>
      <c r="J6" s="669" t="s">
        <v>1483</v>
      </c>
      <c r="K6" s="1189">
        <f>'Model 22A-Tesla'!H80/1000</f>
        <v>-130</v>
      </c>
      <c r="L6" s="1189">
        <f>'Model 22A-Tesla'!I80/1000</f>
        <v>-1124</v>
      </c>
      <c r="M6" s="1189">
        <f>'Model 22A-Tesla'!J80/1000</f>
        <v>-616.80190973937977</v>
      </c>
      <c r="N6" s="1189">
        <f>'Model 22A-Tesla'!K80/1000</f>
        <v>-582.88455226694282</v>
      </c>
      <c r="O6" s="1189">
        <f>'Model 22A-Tesla'!L80/1000</f>
        <v>-451.82964354383063</v>
      </c>
      <c r="Q6" s="394"/>
      <c r="R6" s="671"/>
      <c r="S6" s="1606"/>
      <c r="T6" s="1606"/>
      <c r="U6" s="1606"/>
      <c r="V6" s="1606"/>
      <c r="W6" s="1606"/>
      <c r="X6" s="1606"/>
      <c r="Y6" s="1606"/>
    </row>
    <row r="7" spans="2:25">
      <c r="B7" s="669" t="s">
        <v>1484</v>
      </c>
      <c r="C7" s="1189">
        <f>'Model 22A-Tesla'!H44/1000</f>
        <v>5757</v>
      </c>
      <c r="D7" s="1189">
        <f>'Model 22A-Tesla'!I44/1000</f>
        <v>12839</v>
      </c>
      <c r="E7" s="1189">
        <f>'Model 22A-Tesla'!J44/1000</f>
        <v>16945.132582991449</v>
      </c>
      <c r="F7" s="1189">
        <f>'Model 22A-Tesla'!K44/1000</f>
        <v>19517.691097092982</v>
      </c>
      <c r="G7" s="1189">
        <f>'Model 22A-Tesla'!L44/1000</f>
        <v>21154.896762229702</v>
      </c>
      <c r="J7" s="669" t="s">
        <v>1484</v>
      </c>
      <c r="K7" s="1189">
        <f>'Model 22A-Tesla'!H81/1000</f>
        <v>-1709</v>
      </c>
      <c r="L7" s="1189">
        <f>'Model 22A-Tesla'!I81/1000</f>
        <v>-6465</v>
      </c>
      <c r="M7" s="1189">
        <f>'Model 22A-Tesla'!J81/1000</f>
        <v>-4106.1325829914513</v>
      </c>
      <c r="N7" s="1189">
        <f>'Model 22A-Tesla'!K81/1000</f>
        <v>-2572.5585141015313</v>
      </c>
      <c r="O7" s="1189">
        <f>'Model 22A-Tesla'!L81/1000</f>
        <v>-1637.2056651367209</v>
      </c>
      <c r="Q7" s="1575"/>
      <c r="R7" s="1607" t="s">
        <v>1855</v>
      </c>
      <c r="S7" s="1605">
        <v>1189.1116440000001</v>
      </c>
      <c r="T7" s="1605">
        <v>1134.459462</v>
      </c>
      <c r="U7" s="1605">
        <v>1526.3019219999999</v>
      </c>
      <c r="V7" s="1605">
        <v>1677.261096</v>
      </c>
      <c r="W7" s="1605">
        <v>1602.515668</v>
      </c>
      <c r="X7" s="1605">
        <v>1807.7808210000001</v>
      </c>
      <c r="Y7" s="1605">
        <v>1703.7560999999998</v>
      </c>
    </row>
    <row r="8" spans="2:25" ht="19.5" customHeight="1">
      <c r="B8" s="669" t="s">
        <v>1485</v>
      </c>
      <c r="C8" s="1189">
        <f>'Model 22A-Tesla'!H45/1000</f>
        <v>1723</v>
      </c>
      <c r="D8" s="1189">
        <f>'Model 22A-Tesla'!I45/1000</f>
        <v>2941</v>
      </c>
      <c r="E8" s="1189">
        <f>'Model 22A-Tesla'!J45/1000</f>
        <v>3199.9531757754626</v>
      </c>
      <c r="F8" s="1189">
        <f>'Model 22A-Tesla'!K45/1000</f>
        <v>3350.3354482412401</v>
      </c>
      <c r="G8" s="1189">
        <f>'Model 22A-Tesla'!L45/1000</f>
        <v>3343.4587956390524</v>
      </c>
      <c r="J8" s="669" t="s">
        <v>1485</v>
      </c>
      <c r="K8" s="1189">
        <f>'Model 22A-Tesla'!H82/1000</f>
        <v>1723</v>
      </c>
      <c r="L8" s="1189">
        <f>'Model 22A-Tesla'!I82/1000</f>
        <v>2941</v>
      </c>
      <c r="M8" s="1189">
        <f>'Model 22A-Tesla'!J82/1000</f>
        <v>-258.95317577546274</v>
      </c>
      <c r="N8" s="1189">
        <f>'Model 22A-Tesla'!K82/1000</f>
        <v>-150.38227246577711</v>
      </c>
      <c r="O8" s="1189">
        <f>'Model 22A-Tesla'!L82/1000</f>
        <v>6.8766526021873577</v>
      </c>
      <c r="Q8" s="1575"/>
      <c r="R8" s="1608" t="s">
        <v>1853</v>
      </c>
      <c r="S8" s="1576">
        <v>0.74676800330877602</v>
      </c>
      <c r="T8" s="1576">
        <v>0.46924059827708597</v>
      </c>
      <c r="U8" s="1576">
        <v>0.72160781277928976</v>
      </c>
      <c r="V8" s="1576">
        <v>0.49008126825042053</v>
      </c>
      <c r="W8" s="1576">
        <v>0.34765787223255873</v>
      </c>
      <c r="X8" s="1576">
        <v>0.59351733715805532</v>
      </c>
      <c r="Y8" s="1576">
        <v>0.11626413846578387</v>
      </c>
    </row>
    <row r="9" spans="2:25" ht="19.5" customHeight="1">
      <c r="B9" s="668" t="s">
        <v>1486</v>
      </c>
      <c r="C9" s="1189">
        <f>C16-C4</f>
        <v>35031</v>
      </c>
      <c r="D9" s="1189">
        <f t="shared" ref="D9:G9" si="0">D16-D4</f>
        <v>41421</v>
      </c>
      <c r="E9" s="1189">
        <f t="shared" si="0"/>
        <v>47367.275187146486</v>
      </c>
      <c r="F9" s="1189">
        <f t="shared" si="0"/>
        <v>53349.94145472168</v>
      </c>
      <c r="G9" s="1189">
        <f t="shared" si="0"/>
        <v>58756.619350227193</v>
      </c>
      <c r="J9" s="669" t="s">
        <v>1487</v>
      </c>
      <c r="K9" s="1189">
        <f>'Model 22A-Tesla'!H83/1000</f>
        <v>4578</v>
      </c>
      <c r="L9" s="1189">
        <f>'Model 22A-Tesla'!I83/1000</f>
        <v>6029</v>
      </c>
      <c r="M9" s="1189">
        <f>'Model 22A-Tesla'!J83/1000</f>
        <v>1343.1930283762943</v>
      </c>
      <c r="N9" s="1189">
        <f>'Model 22A-Tesla'!K83/1000</f>
        <v>780.034534670325</v>
      </c>
      <c r="O9" s="1189">
        <f>'Model 22A-Tesla'!L83/1000</f>
        <v>-35.669274208217857</v>
      </c>
      <c r="Q9" s="1575"/>
      <c r="R9" s="1609" t="s">
        <v>668</v>
      </c>
      <c r="S9" s="1605">
        <v>983.57208600000001</v>
      </c>
      <c r="T9" s="1605">
        <v>915.79431</v>
      </c>
      <c r="U9" s="1605">
        <v>1265.2782550000002</v>
      </c>
      <c r="V9" s="1605">
        <v>1396.0622519999999</v>
      </c>
      <c r="W9" s="1605">
        <v>1296.767576</v>
      </c>
      <c r="X9" s="1605">
        <v>1480.847137</v>
      </c>
      <c r="Y9" s="1605">
        <v>1355.854212</v>
      </c>
    </row>
    <row r="10" spans="2:25" ht="19.5" customHeight="1">
      <c r="B10" s="669" t="s">
        <v>1488</v>
      </c>
      <c r="C10" s="1189">
        <f>'Model 22A-Tesla'!H48/1000</f>
        <v>26665</v>
      </c>
      <c r="D10" s="1189">
        <f>'Model 22A-Tesla'!I48/1000</f>
        <v>31600</v>
      </c>
      <c r="E10" s="1189">
        <f>'Model 22A-Tesla'!J48/1000</f>
        <v>35084.840767249072</v>
      </c>
      <c r="F10" s="1189">
        <f>'Model 22A-Tesla'!K48/1000</f>
        <v>38483.13747938547</v>
      </c>
      <c r="G10" s="1189">
        <f>'Model 22A-Tesla'!L48/1000</f>
        <v>41610.780473565581</v>
      </c>
      <c r="J10" s="669" t="s">
        <v>1489</v>
      </c>
      <c r="K10" s="1190" t="s">
        <v>1949</v>
      </c>
      <c r="L10" s="1190" t="s">
        <v>1949</v>
      </c>
      <c r="M10" s="1190">
        <v>328</v>
      </c>
      <c r="N10" s="1190">
        <v>395</v>
      </c>
      <c r="O10" s="1190">
        <v>29</v>
      </c>
      <c r="Q10" s="1575"/>
      <c r="R10" s="1608" t="s">
        <v>1853</v>
      </c>
      <c r="S10" s="1576">
        <v>0.83344441123049595</v>
      </c>
      <c r="T10" s="1576">
        <v>0.48978459838814659</v>
      </c>
      <c r="U10" s="1576">
        <v>0.7233181339500665</v>
      </c>
      <c r="V10" s="1576">
        <v>0.46264453722696519</v>
      </c>
      <c r="W10" s="1576">
        <v>0.31842657437921629</v>
      </c>
      <c r="X10" s="1576">
        <v>0.61700844920078168</v>
      </c>
      <c r="Y10" s="1576">
        <v>7.1585800705947999E-2</v>
      </c>
    </row>
    <row r="11" spans="2:25" ht="19.5" customHeight="1">
      <c r="B11" s="669" t="s">
        <v>1490</v>
      </c>
      <c r="C11" s="1189">
        <f>'Model 22A-Tesla'!H49/1000</f>
        <v>-1416.9949999999999</v>
      </c>
      <c r="D11" s="1189">
        <f>'Model 22A-Tesla'!I49/1000</f>
        <v>-1416.9939999999999</v>
      </c>
      <c r="E11" s="1189">
        <f>'Model 22A-Tesla'!J49/1000</f>
        <v>-5720.4105711394932</v>
      </c>
      <c r="F11" s="1189">
        <f>'Model 22A-Tesla'!K49/1000</f>
        <v>-10476.380482642462</v>
      </c>
      <c r="G11" s="1189">
        <f>'Model 22A-Tesla'!L49/1000</f>
        <v>-15486.266241406773</v>
      </c>
      <c r="J11" s="669" t="s">
        <v>1491</v>
      </c>
      <c r="K11" s="1189">
        <f>'Model 22A-Tesla'!H85/1000</f>
        <v>-2114</v>
      </c>
      <c r="L11" s="1189">
        <f>'Model 22A-Tesla'!I85/1000</f>
        <v>-1570</v>
      </c>
      <c r="M11" s="1189">
        <f>'Model 22A-Tesla'!J85/1000</f>
        <v>-1585.3333333333333</v>
      </c>
      <c r="N11" s="1189">
        <f>'Model 22A-Tesla'!K85/1000</f>
        <v>-1756.4444444444443</v>
      </c>
      <c r="O11" s="1189">
        <f>'Model 22A-Tesla'!L85/1000</f>
        <v>-1637.2592592592591</v>
      </c>
      <c r="Q11" s="1575"/>
      <c r="R11" s="1607" t="s">
        <v>1952</v>
      </c>
      <c r="S11" s="1578">
        <v>205.53955800000006</v>
      </c>
      <c r="T11" s="1578">
        <v>218.66515200000003</v>
      </c>
      <c r="U11" s="1578">
        <v>261.0236669999997</v>
      </c>
      <c r="V11" s="1578">
        <v>281.19884400000001</v>
      </c>
      <c r="W11" s="1578">
        <v>305.74809200000004</v>
      </c>
      <c r="X11" s="1578">
        <v>326.93368400000008</v>
      </c>
      <c r="Y11" s="1578">
        <v>347.90188799999987</v>
      </c>
    </row>
    <row r="12" spans="2:25" ht="19.5" customHeight="1">
      <c r="B12" s="669" t="s">
        <v>1491</v>
      </c>
      <c r="C12" s="1189">
        <f>'Model 22A-Tesla'!H50/1000</f>
        <v>4511</v>
      </c>
      <c r="D12" s="1189">
        <f>'Model 22A-Tesla'!I50/1000</f>
        <v>5035</v>
      </c>
      <c r="E12" s="1189">
        <f>'Model 22A-Tesla'!J50/1000</f>
        <v>6620.333333333333</v>
      </c>
      <c r="F12" s="1189">
        <f>'Model 22A-Tesla'!K50/1000</f>
        <v>8376.7777777777774</v>
      </c>
      <c r="G12" s="1189">
        <f>'Model 22A-Tesla'!L50/1000</f>
        <v>10014.037037037035</v>
      </c>
      <c r="J12" s="669" t="s">
        <v>1493</v>
      </c>
      <c r="K12" s="1189">
        <f>'Model 22A-Tesla'!H86/1000</f>
        <v>2121</v>
      </c>
      <c r="L12" s="1189">
        <f>'Model 22A-Tesla'!I86/1000</f>
        <v>1560</v>
      </c>
      <c r="M12" s="1189">
        <f>'Model 22A-Tesla'!J86/1000</f>
        <v>1805</v>
      </c>
      <c r="N12" s="1189">
        <f>'Model 22A-Tesla'!K86/1000</f>
        <v>1828.6666666666667</v>
      </c>
      <c r="O12" s="1189">
        <f>'Model 22A-Tesla'!L86/1000</f>
        <v>1731.2222222222222</v>
      </c>
      <c r="Q12" s="1575"/>
      <c r="R12" s="1608" t="s">
        <v>1853</v>
      </c>
      <c r="S12" s="1576">
        <v>0.42450653570881136</v>
      </c>
      <c r="T12" s="1576">
        <v>0.38901956420928596</v>
      </c>
      <c r="U12" s="1576">
        <v>0.71336513549559299</v>
      </c>
      <c r="V12" s="1576">
        <v>0.64310164079214904</v>
      </c>
      <c r="W12" s="1576">
        <v>0.48753891939380334</v>
      </c>
      <c r="X12" s="1576">
        <v>0.49513391141538654</v>
      </c>
      <c r="Y12" s="1576">
        <v>0.33283656611873536</v>
      </c>
    </row>
    <row r="13" spans="2:25" ht="19.5" customHeight="1">
      <c r="B13" s="669" t="s">
        <v>1496</v>
      </c>
      <c r="C13" s="1189">
        <f>'Model 22A-Tesla'!H51/1000</f>
        <v>200</v>
      </c>
      <c r="D13" s="1189">
        <f>'Model 22A-Tesla'!I51/1000</f>
        <v>194</v>
      </c>
      <c r="E13" s="1189">
        <f>'Model 22A-Tesla'!J51/1000</f>
        <v>194</v>
      </c>
      <c r="F13" s="1189">
        <f>'Model 22A-Tesla'!K51/1000</f>
        <v>194</v>
      </c>
      <c r="G13" s="1189">
        <f>'Model 22A-Tesla'!L51/1000</f>
        <v>194</v>
      </c>
      <c r="J13" s="669" t="s">
        <v>1497</v>
      </c>
      <c r="K13" s="1189">
        <f>'Model 22A-Tesla'!H88/1000</f>
        <v>196</v>
      </c>
      <c r="L13" s="1189">
        <f>'Model 22A-Tesla'!I88/1000</f>
        <v>-40</v>
      </c>
      <c r="M13" s="1189">
        <f>'Model 22A-Tesla'!J88/1000</f>
        <v>632.86</v>
      </c>
      <c r="N13" s="1189">
        <f>'Model 22A-Tesla'!K88/1000</f>
        <v>0</v>
      </c>
      <c r="O13" s="1189">
        <f>'Model 22A-Tesla'!L88/1000</f>
        <v>0</v>
      </c>
      <c r="Q13" s="394"/>
      <c r="R13" s="671"/>
      <c r="S13" s="1606"/>
      <c r="T13" s="1606"/>
      <c r="U13" s="1606"/>
      <c r="V13" s="1606"/>
      <c r="W13" s="1606"/>
      <c r="X13" s="1606"/>
      <c r="Y13" s="1606"/>
    </row>
    <row r="14" spans="2:25" ht="19.5" customHeight="1">
      <c r="B14" s="669" t="s">
        <v>1498</v>
      </c>
      <c r="C14" s="1189">
        <f>'Model 22A-Tesla'!H52/1000</f>
        <v>1517</v>
      </c>
      <c r="D14" s="1189">
        <f>'Model 22A-Tesla'!I52/1000</f>
        <v>399</v>
      </c>
      <c r="E14" s="1189">
        <f>'Model 22A-Tesla'!J52/1000</f>
        <v>399</v>
      </c>
      <c r="F14" s="1189">
        <f>'Model 22A-Tesla'!K52/1000</f>
        <v>399</v>
      </c>
      <c r="G14" s="1189">
        <f>'Model 22A-Tesla'!L52/1000</f>
        <v>399</v>
      </c>
      <c r="J14" s="668" t="s">
        <v>1499</v>
      </c>
      <c r="K14" s="1189">
        <f>'Model 22A-Tesla'!H89/1000</f>
        <v>13219.706</v>
      </c>
      <c r="L14" s="1189">
        <f>'Model 22A-Tesla'!I89/1000</f>
        <v>17715.540553054743</v>
      </c>
      <c r="M14" s="1189">
        <f>'Model 22A-Tesla'!J89/1000</f>
        <v>12287.711530460556</v>
      </c>
      <c r="N14" s="1189">
        <f>'Model 22A-Tesla'!K89/1000</f>
        <v>15989.896526170987</v>
      </c>
      <c r="O14" s="1189">
        <f>'Model 22A-Tesla'!L89/1000</f>
        <v>20489.522630814903</v>
      </c>
      <c r="Q14" s="1575"/>
      <c r="R14" s="1607" t="s">
        <v>1862</v>
      </c>
      <c r="S14" s="1605">
        <v>842.95310400000005</v>
      </c>
      <c r="T14" s="1605">
        <v>850.81110000000001</v>
      </c>
      <c r="U14" s="1605">
        <v>1143.410296</v>
      </c>
      <c r="V14" s="1605">
        <v>1278.8098520000001</v>
      </c>
      <c r="W14" s="1605">
        <v>1292.646056</v>
      </c>
      <c r="X14" s="1605">
        <v>1479.0340619999997</v>
      </c>
      <c r="Y14" s="1605">
        <v>1398.9041520000003</v>
      </c>
    </row>
    <row r="15" spans="2:25" ht="19.5" customHeight="1">
      <c r="B15" s="669" t="s">
        <v>1500</v>
      </c>
      <c r="C15" s="1189">
        <f>'Model 22A-Tesla'!H53/1000</f>
        <v>2138</v>
      </c>
      <c r="D15" s="1189">
        <f>'Model 22A-Tesla'!I53/1000</f>
        <v>4193</v>
      </c>
      <c r="E15" s="1189">
        <f>'Model 22A-Tesla'!J53/1000</f>
        <v>5069.1010865640983</v>
      </c>
      <c r="F15" s="1189">
        <f>'Model 22A-Tesla'!K53/1000</f>
        <v>5897.0261975584381</v>
      </c>
      <c r="G15" s="1189">
        <f>'Model 22A-Tesla'!L53/1000</f>
        <v>6538.8018396245916</v>
      </c>
      <c r="J15" s="669" t="s">
        <v>1501</v>
      </c>
      <c r="K15" s="1189">
        <f>'Model 22A-Tesla'!H91/1000</f>
        <v>-6482</v>
      </c>
      <c r="L15" s="1189">
        <f>'Model 22A-Tesla'!I91/1000</f>
        <v>-7158</v>
      </c>
      <c r="M15" s="1189">
        <f>'Model 22A-Tesla'!J91/1000</f>
        <v>-7788.257338388561</v>
      </c>
      <c r="N15" s="1189">
        <f>'Model 22A-Tesla'!K91/1000</f>
        <v>-8154.2666236393698</v>
      </c>
      <c r="O15" s="1189">
        <f>'Model 22A-Tesla'!L91/1000</f>
        <v>-8137.5287529444149</v>
      </c>
      <c r="Q15" s="1575"/>
      <c r="R15" s="1608" t="s">
        <v>1853</v>
      </c>
      <c r="S15" s="1576">
        <v>0.57382022952974987</v>
      </c>
      <c r="T15" s="1576">
        <v>0.45210111870165215</v>
      </c>
      <c r="U15" s="1576">
        <v>0.75722451441426597</v>
      </c>
      <c r="V15" s="1576">
        <v>0.56389802821616208</v>
      </c>
      <c r="W15" s="1576">
        <v>0.5334732737397927</v>
      </c>
      <c r="X15" s="1576">
        <v>0.73838124819951179</v>
      </c>
      <c r="Y15" s="1576">
        <v>0.22344897268617947</v>
      </c>
    </row>
    <row r="16" spans="2:25" ht="19.5" customHeight="1">
      <c r="B16" s="668" t="s">
        <v>1502</v>
      </c>
      <c r="C16" s="1189">
        <f>'Model 22A-Tesla'!H55/1000</f>
        <v>62131</v>
      </c>
      <c r="D16" s="1189">
        <f>'Model 22A-Tesla'!I55/1000</f>
        <v>82338</v>
      </c>
      <c r="E16" s="1189">
        <f>'Model 22A-Tesla'!J55/1000</f>
        <v>96549.429743593093</v>
      </c>
      <c r="F16" s="1189">
        <f>'Model 22A-Tesla'!K55/1000</f>
        <v>113561.6230795466</v>
      </c>
      <c r="G16" s="1189">
        <f>'Model 22A-Tesla'!L55/1000</f>
        <v>133224.5845293313</v>
      </c>
      <c r="J16" s="669" t="s">
        <v>1503</v>
      </c>
      <c r="K16" s="1190">
        <v>-32</v>
      </c>
      <c r="L16" s="1190">
        <v>-5</v>
      </c>
      <c r="M16" s="1190" t="s">
        <v>1949</v>
      </c>
      <c r="N16" s="1190" t="s">
        <v>1949</v>
      </c>
      <c r="O16" s="1190" t="s">
        <v>1949</v>
      </c>
      <c r="Q16" s="1575"/>
      <c r="R16" s="1609" t="s">
        <v>668</v>
      </c>
      <c r="S16" s="1605">
        <v>691.93668600000001</v>
      </c>
      <c r="T16" s="1605">
        <v>680.17992900000002</v>
      </c>
      <c r="U16" s="1605">
        <v>931.90215699999999</v>
      </c>
      <c r="V16" s="1605">
        <v>1064.444876</v>
      </c>
      <c r="W16" s="1605">
        <v>1059.3680240000001</v>
      </c>
      <c r="X16" s="1605">
        <v>1221.359843</v>
      </c>
      <c r="Y16" s="1605">
        <v>1142.3556960000001</v>
      </c>
    </row>
    <row r="17" spans="2:25" ht="19.5" customHeight="1">
      <c r="B17" s="668" t="s">
        <v>1504</v>
      </c>
      <c r="C17" s="1189">
        <f>'Model 22A-Tesla'!H60/1000</f>
        <v>19705</v>
      </c>
      <c r="D17" s="1189">
        <f>'Model 22A-Tesla'!I60/1000</f>
        <v>26709</v>
      </c>
      <c r="E17" s="1189">
        <f>'Model 22A-Tesla'!J60/1000</f>
        <v>29060.710429033265</v>
      </c>
      <c r="F17" s="1189">
        <f>'Model 22A-Tesla'!K60/1000</f>
        <v>30426.422810974251</v>
      </c>
      <c r="G17" s="1189">
        <f>'Model 22A-Tesla'!L60/1000</f>
        <v>30363.971769032112</v>
      </c>
      <c r="J17" s="669" t="s">
        <v>1506</v>
      </c>
      <c r="K17" s="1190">
        <v>-126</v>
      </c>
      <c r="L17" s="1189">
        <v>-5746</v>
      </c>
      <c r="M17" s="1190" t="s">
        <v>1949</v>
      </c>
      <c r="N17" s="1190" t="s">
        <v>1949</v>
      </c>
      <c r="O17" s="1190" t="s">
        <v>1949</v>
      </c>
      <c r="Q17" s="1575"/>
      <c r="R17" s="1608" t="s">
        <v>1853</v>
      </c>
      <c r="S17" s="1610">
        <v>0.63539216707167356</v>
      </c>
      <c r="T17" s="1610">
        <v>0.47967830835643355</v>
      </c>
      <c r="U17" s="1610">
        <v>0.77431293750830599</v>
      </c>
      <c r="V17" s="1610">
        <v>0.56759759452776826</v>
      </c>
      <c r="W17" s="1610">
        <v>0.53101872676252371</v>
      </c>
      <c r="X17" s="1610">
        <v>0.79564228658678915</v>
      </c>
      <c r="Y17" s="1610">
        <v>0.22583222650486912</v>
      </c>
    </row>
    <row r="18" spans="2:25" ht="19.5" customHeight="1">
      <c r="B18" s="669" t="s">
        <v>1487</v>
      </c>
      <c r="C18" s="1189">
        <f>'Model 22A-Tesla'!H57/1000</f>
        <v>10025</v>
      </c>
      <c r="D18" s="1189">
        <f>'Model 22A-Tesla'!I57/1000</f>
        <v>15255</v>
      </c>
      <c r="E18" s="1189">
        <f>'Model 22A-Tesla'!J57/1000</f>
        <v>16598.193028376296</v>
      </c>
      <c r="F18" s="1189">
        <f>'Model 22A-Tesla'!K57/1000</f>
        <v>17378.227563046621</v>
      </c>
      <c r="G18" s="1189">
        <f>'Model 22A-Tesla'!L57/1000</f>
        <v>17342.558288838401</v>
      </c>
      <c r="J18" s="668" t="s">
        <v>1508</v>
      </c>
      <c r="K18" s="1189">
        <f>'Model 22A-Tesla'!H95/1000</f>
        <v>-7868</v>
      </c>
      <c r="L18" s="1189">
        <f>'Model 22A-Tesla'!I95/1000</f>
        <v>-11973</v>
      </c>
      <c r="M18" s="1189">
        <f>'Model 22A-Tesla'!J95/1000</f>
        <v>-7788.257338388561</v>
      </c>
      <c r="N18" s="1189">
        <f>'Model 22A-Tesla'!K95/1000</f>
        <v>-8154.2666236393698</v>
      </c>
      <c r="O18" s="1189">
        <f>'Model 22A-Tesla'!L95/1000</f>
        <v>-8137.5287529444149</v>
      </c>
      <c r="Q18" s="1575"/>
      <c r="R18" s="1607" t="s">
        <v>1952</v>
      </c>
      <c r="S18" s="1611">
        <v>151.01641800000004</v>
      </c>
      <c r="T18" s="1611">
        <v>170.63117099999999</v>
      </c>
      <c r="U18" s="1611">
        <v>211.50813900000003</v>
      </c>
      <c r="V18" s="1611">
        <v>214.36497600000007</v>
      </c>
      <c r="W18" s="1611">
        <v>233.27803199999994</v>
      </c>
      <c r="X18" s="1611">
        <v>257.67421899999977</v>
      </c>
      <c r="Y18" s="1611">
        <v>256.54845600000021</v>
      </c>
    </row>
    <row r="19" spans="2:25" ht="19.5" customHeight="1">
      <c r="B19" s="669" t="s">
        <v>1507</v>
      </c>
      <c r="C19" s="1189">
        <f>'Model 22A-Tesla'!H58/1000</f>
        <v>1589</v>
      </c>
      <c r="D19" s="1189">
        <f>'Model 22A-Tesla'!I58/1000</f>
        <v>1502</v>
      </c>
      <c r="E19" s="1189">
        <f>'Model 22A-Tesla'!J58/1000</f>
        <v>1634.2501428135822</v>
      </c>
      <c r="F19" s="1189">
        <f>'Model 22A-Tesla'!K58/1000</f>
        <v>1711.0519698260262</v>
      </c>
      <c r="G19" s="1189">
        <f>'Model 22A-Tesla'!L58/1000</f>
        <v>1707.539990156361</v>
      </c>
      <c r="J19" s="669" t="s">
        <v>1509</v>
      </c>
      <c r="K19" s="1189">
        <f>'Model 22A-Tesla'!H97/1000</f>
        <v>-5741</v>
      </c>
      <c r="L19" s="1189">
        <f>'Model 22A-Tesla'!I97/1000</f>
        <v>-3866</v>
      </c>
      <c r="M19" s="1189">
        <f>'Model 22A-Tesla'!J97/1000</f>
        <v>-27.449857186417795</v>
      </c>
      <c r="N19" s="1189">
        <f>'Model 22A-Tesla'!K97/1000</f>
        <v>-66.928172987556081</v>
      </c>
      <c r="O19" s="1189">
        <f>'Model 22A-Tesla'!L97/1000</f>
        <v>-132.86897966966521</v>
      </c>
      <c r="Q19" s="1575"/>
      <c r="R19" s="1608" t="s">
        <v>1853</v>
      </c>
      <c r="S19" s="1576">
        <v>0.34227101537238158</v>
      </c>
      <c r="T19" s="1576">
        <v>0.35168065161603113</v>
      </c>
      <c r="U19" s="1576">
        <v>0.68569362164773984</v>
      </c>
      <c r="V19" s="1576">
        <v>0.54578320260701996</v>
      </c>
      <c r="W19" s="1576">
        <v>0.54471967412178901</v>
      </c>
      <c r="X19" s="1576">
        <v>0.5101239561908637</v>
      </c>
      <c r="Y19" s="1576">
        <v>0.21294838682307238</v>
      </c>
    </row>
    <row r="20" spans="2:25" ht="19.5" customHeight="1">
      <c r="B20" s="669" t="s">
        <v>1495</v>
      </c>
      <c r="C20" s="1189">
        <f>'Model 22A-Tesla'!H59/1000</f>
        <v>8091</v>
      </c>
      <c r="D20" s="1189">
        <f>'Model 22A-Tesla'!I59/1000</f>
        <v>9952</v>
      </c>
      <c r="E20" s="1189">
        <f>'Model 22A-Tesla'!J59/1000</f>
        <v>10828.267257843389</v>
      </c>
      <c r="F20" s="1189">
        <f>'Model 22A-Tesla'!K59/1000</f>
        <v>11337.143278101605</v>
      </c>
      <c r="G20" s="1189">
        <f>'Model 22A-Tesla'!L59/1000</f>
        <v>11313.873490037351</v>
      </c>
      <c r="J20" s="669" t="s">
        <v>1838</v>
      </c>
      <c r="K20" s="1190">
        <v>548</v>
      </c>
      <c r="L20" s="1190">
        <v>384</v>
      </c>
      <c r="M20" s="1190" t="s">
        <v>1949</v>
      </c>
      <c r="N20" s="1190" t="s">
        <v>1949</v>
      </c>
      <c r="O20" s="1190" t="s">
        <v>1949</v>
      </c>
      <c r="Q20" s="394"/>
      <c r="R20" s="671"/>
      <c r="S20" s="1606"/>
      <c r="T20" s="1606"/>
      <c r="U20" s="1606"/>
      <c r="V20" s="1606"/>
      <c r="W20" s="1606"/>
      <c r="X20" s="1606"/>
      <c r="Y20" s="1606"/>
    </row>
    <row r="21" spans="2:25" ht="19.5" customHeight="1">
      <c r="B21" s="668" t="s">
        <v>1510</v>
      </c>
      <c r="C21" s="1189">
        <f>C24-C17</f>
        <v>11411</v>
      </c>
      <c r="D21" s="1189">
        <f t="shared" ref="D21:G21" si="1">D24-D17</f>
        <v>10140</v>
      </c>
      <c r="E21" s="1189">
        <f t="shared" si="1"/>
        <v>10856.401086564096</v>
      </c>
      <c r="F21" s="1189">
        <f t="shared" si="1"/>
        <v>11540.59619755844</v>
      </c>
      <c r="G21" s="1189">
        <f t="shared" si="1"/>
        <v>12053.014839624593</v>
      </c>
      <c r="J21" s="669" t="s">
        <v>1513</v>
      </c>
      <c r="K21" s="1190">
        <v>-10</v>
      </c>
      <c r="L21" s="1190">
        <v>-45</v>
      </c>
      <c r="M21" s="1190">
        <v>-45</v>
      </c>
      <c r="N21" s="1190">
        <v>-45</v>
      </c>
      <c r="O21" s="1190">
        <v>-45</v>
      </c>
      <c r="Q21" s="1575"/>
      <c r="R21" s="1607" t="s">
        <v>1866</v>
      </c>
      <c r="S21" s="1612">
        <v>0.29110684580934099</v>
      </c>
      <c r="T21" s="1612">
        <v>0.25002952639659859</v>
      </c>
      <c r="U21" s="1612">
        <v>0.25086231005873022</v>
      </c>
      <c r="V21" s="1612">
        <v>0.23756065465910017</v>
      </c>
      <c r="W21" s="1612">
        <v>0.19336448197522393</v>
      </c>
      <c r="X21" s="1612">
        <v>0.18185100493440864</v>
      </c>
      <c r="Y21" s="1612">
        <v>0.17892933618843657</v>
      </c>
    </row>
    <row r="22" spans="2:25" ht="19.5" customHeight="1">
      <c r="B22" s="669" t="s">
        <v>1512</v>
      </c>
      <c r="C22" s="1189">
        <f>'Model 22A-Tesla'!H62/1000</f>
        <v>5245</v>
      </c>
      <c r="D22" s="1189">
        <f>'Model 22A-Tesla'!I62/1000</f>
        <v>1597</v>
      </c>
      <c r="E22" s="1189">
        <f>'Model 22A-Tesla'!J62/1000</f>
        <v>1437.3</v>
      </c>
      <c r="F22" s="1189">
        <f>'Model 22A-Tesla'!K62/1000</f>
        <v>1293.57</v>
      </c>
      <c r="G22" s="1189">
        <f>'Model 22A-Tesla'!L62/1000</f>
        <v>1164.213</v>
      </c>
      <c r="J22" s="668" t="s">
        <v>1517</v>
      </c>
      <c r="K22" s="1189">
        <f>'Model 22A-Tesla'!H101/1000</f>
        <v>-5203</v>
      </c>
      <c r="L22" s="1189">
        <f>'Model 22A-Tesla'!I101/1000</f>
        <v>-3527</v>
      </c>
      <c r="M22" s="1189">
        <f>'Model 22A-Tesla'!J101/1000</f>
        <v>-72.449857186417788</v>
      </c>
      <c r="N22" s="1189">
        <f>'Model 22A-Tesla'!K101/1000</f>
        <v>-111.92817298755608</v>
      </c>
      <c r="O22" s="1189">
        <f>'Model 22A-Tesla'!L101/1000</f>
        <v>-177.86897966966521</v>
      </c>
      <c r="Q22" s="1575"/>
      <c r="R22" s="1608" t="s">
        <v>1853</v>
      </c>
      <c r="S22" s="1613">
        <v>36.53765332339691</v>
      </c>
      <c r="T22" s="1613">
        <v>3.6703563332359357</v>
      </c>
      <c r="U22" s="1613">
        <v>-5.707300560711726</v>
      </c>
      <c r="V22" s="1613">
        <v>-13.155823397883326</v>
      </c>
      <c r="W22" s="1613">
        <v>-33.576113114884606</v>
      </c>
      <c r="X22" s="1613">
        <v>-27.268188059535291</v>
      </c>
      <c r="Y22" s="1613">
        <v>-28.674285050413985</v>
      </c>
    </row>
    <row r="23" spans="2:25" ht="19.5" customHeight="1">
      <c r="B23" s="669" t="s">
        <v>1514</v>
      </c>
      <c r="C23" s="1189">
        <f>'Model 22A-Tesla'!H63/1000</f>
        <v>6166</v>
      </c>
      <c r="D23" s="1189">
        <f>'Model 22A-Tesla'!I63/1000</f>
        <v>8543</v>
      </c>
      <c r="E23" s="1189">
        <f>'Model 22A-Tesla'!J63/1000</f>
        <v>9419.1010865640983</v>
      </c>
      <c r="F23" s="1189">
        <f>'Model 22A-Tesla'!K63/1000</f>
        <v>10247.026197558436</v>
      </c>
      <c r="G23" s="1189">
        <f>'Model 22A-Tesla'!L63/1000</f>
        <v>10888.80183962459</v>
      </c>
      <c r="J23" s="669" t="s">
        <v>1519</v>
      </c>
      <c r="K23" s="1190">
        <v>-183</v>
      </c>
      <c r="L23" s="1190">
        <v>-444</v>
      </c>
      <c r="M23" s="1190" t="s">
        <v>1949</v>
      </c>
      <c r="N23" s="1190" t="s">
        <v>1949</v>
      </c>
      <c r="O23" s="1190" t="s">
        <v>1949</v>
      </c>
      <c r="Q23" s="1575"/>
      <c r="R23" s="1609" t="s">
        <v>668</v>
      </c>
      <c r="S23" s="1577">
        <v>0.29650638133298957</v>
      </c>
      <c r="T23" s="1577">
        <v>0.25727871250914408</v>
      </c>
      <c r="U23" s="1577">
        <v>0.26348046106269341</v>
      </c>
      <c r="V23" s="1577">
        <v>0.23753767106368257</v>
      </c>
      <c r="W23" s="1577">
        <v>0.18307024049157739</v>
      </c>
      <c r="X23" s="1577">
        <v>0.17522895342573094</v>
      </c>
      <c r="Y23" s="1577">
        <v>0.15746421267893651</v>
      </c>
    </row>
    <row r="24" spans="2:25" ht="19.5" customHeight="1">
      <c r="B24" s="668" t="s">
        <v>1516</v>
      </c>
      <c r="C24" s="1189">
        <f>'Model 22A-Tesla'!H64/1000</f>
        <v>31116</v>
      </c>
      <c r="D24" s="1189">
        <f>'Model 22A-Tesla'!I64/1000</f>
        <v>36849</v>
      </c>
      <c r="E24" s="1189">
        <f>'Model 22A-Tesla'!J64/1000</f>
        <v>39917.11151559736</v>
      </c>
      <c r="F24" s="1189">
        <f>'Model 22A-Tesla'!K64/1000</f>
        <v>41967.01900853269</v>
      </c>
      <c r="G24" s="1189">
        <f>'Model 22A-Tesla'!L64/1000</f>
        <v>42416.986608656705</v>
      </c>
      <c r="J24" s="668" t="s">
        <v>1521</v>
      </c>
      <c r="K24" s="1189">
        <f>'Model 22A-Tesla'!H103/1000</f>
        <v>-34.293999999999997</v>
      </c>
      <c r="L24" s="1189">
        <f>'Model 22A-Tesla'!I103/1000</f>
        <v>1771.5405530547425</v>
      </c>
      <c r="M24" s="1189">
        <f>'Model 22A-Tesla'!J103/1000</f>
        <v>4427.0043348855761</v>
      </c>
      <c r="N24" s="1189">
        <f>'Model 22A-Tesla'!K103/1000</f>
        <v>7723.7017295440619</v>
      </c>
      <c r="O24" s="1189">
        <f>'Model 22A-Tesla'!L103/1000</f>
        <v>12174.124898200824</v>
      </c>
      <c r="Q24" s="1575"/>
      <c r="R24" s="1608" t="s">
        <v>1853</v>
      </c>
      <c r="S24" s="1613">
        <v>40.317788668970266</v>
      </c>
      <c r="T24" s="1613">
        <v>2.0113845517305995</v>
      </c>
      <c r="U24" s="1613">
        <v>-7.4365435434083471</v>
      </c>
      <c r="V24" s="1613">
        <v>-17.689033493269601</v>
      </c>
      <c r="W24" s="1613">
        <v>-38.257571500297139</v>
      </c>
      <c r="X24" s="1613">
        <v>-31.891390579194134</v>
      </c>
      <c r="Y24" s="1613">
        <v>-40.236853980049418</v>
      </c>
    </row>
    <row r="25" spans="2:25" ht="19.5" customHeight="1">
      <c r="B25" s="669" t="s">
        <v>1518</v>
      </c>
      <c r="C25" s="1189">
        <f>'Model 22A-Tesla'!H66/1000</f>
        <v>29806</v>
      </c>
      <c r="D25" s="1189">
        <f>'Model 22A-Tesla'!I66/1000</f>
        <v>32180</v>
      </c>
      <c r="E25" s="1189">
        <f>'Model 22A-Tesla'!J66/1000</f>
        <v>33985</v>
      </c>
      <c r="F25" s="1189">
        <f>'Model 22A-Tesla'!K66/1000</f>
        <v>35813.666666666664</v>
      </c>
      <c r="G25" s="1189">
        <f>'Model 22A-Tesla'!L66/1000</f>
        <v>37544.888888888891</v>
      </c>
      <c r="J25" s="668" t="s">
        <v>1523</v>
      </c>
      <c r="K25" s="1189">
        <f>'Model 22A-Tesla'!H105/1000</f>
        <v>19304.016</v>
      </c>
      <c r="L25" s="1189">
        <f>'Model 22A-Tesla'!I105/1000</f>
        <v>19269.722000000002</v>
      </c>
      <c r="M25" s="1189">
        <f>'Model 22A-Tesla'!J105/1000</f>
        <v>21041.262553054741</v>
      </c>
      <c r="N25" s="1189">
        <f>'Model 22A-Tesla'!K105/1000</f>
        <v>25468.266887940317</v>
      </c>
      <c r="O25" s="1189">
        <f>'Model 22A-Tesla'!L105/1000</f>
        <v>33191.968617484381</v>
      </c>
      <c r="Q25" s="1575"/>
      <c r="R25" s="1607" t="s">
        <v>1952</v>
      </c>
      <c r="S25" s="1577">
        <v>0.26526835286859962</v>
      </c>
      <c r="T25" s="1577">
        <v>0.21966911764705896</v>
      </c>
      <c r="U25" s="1577">
        <v>0.18969746524938572</v>
      </c>
      <c r="V25" s="1577">
        <v>0.23767476085356856</v>
      </c>
      <c r="W25" s="1577">
        <v>0.23702538755335911</v>
      </c>
      <c r="X25" s="1577">
        <v>0.21184560780834163</v>
      </c>
      <c r="Y25" s="1577">
        <v>0.2625838926174488</v>
      </c>
    </row>
    <row r="26" spans="2:25" ht="19.5" customHeight="1">
      <c r="B26" s="669" t="s">
        <v>1520</v>
      </c>
      <c r="C26" s="1190" t="s">
        <v>1949</v>
      </c>
      <c r="D26" s="1190" t="s">
        <v>1949</v>
      </c>
      <c r="E26" s="1190">
        <v>-23</v>
      </c>
      <c r="F26" s="1190">
        <v>-45</v>
      </c>
      <c r="G26" s="1190">
        <v>-68</v>
      </c>
      <c r="J26" s="668" t="s">
        <v>1525</v>
      </c>
      <c r="K26" s="1189">
        <f>'Model 22A-Tesla'!H106/1000</f>
        <v>19269.722000000002</v>
      </c>
      <c r="L26" s="1189">
        <f>'Model 22A-Tesla'!I106/1000</f>
        <v>21041.262553054741</v>
      </c>
      <c r="M26" s="1189">
        <f>'Model 22A-Tesla'!J106/1000</f>
        <v>25468.266887940317</v>
      </c>
      <c r="N26" s="1189">
        <f>'Model 22A-Tesla'!K106/1000</f>
        <v>33191.968617484381</v>
      </c>
      <c r="O26" s="1189">
        <f>'Model 22A-Tesla'!L106/1000</f>
        <v>45366.093515685199</v>
      </c>
      <c r="Q26" s="1575"/>
      <c r="R26" s="1608" t="s">
        <v>1853</v>
      </c>
      <c r="S26" s="1613">
        <v>20.437301652918528</v>
      </c>
      <c r="T26" s="1613">
        <v>10.880602240896087</v>
      </c>
      <c r="U26" s="1613">
        <v>7.5407213068455325</v>
      </c>
      <c r="V26" s="1613">
        <v>25.302506015560233</v>
      </c>
      <c r="W26" s="1613">
        <v>-10.646941110698805</v>
      </c>
      <c r="X26" s="1613">
        <v>-3.5614973659098048</v>
      </c>
      <c r="Y26" s="1613">
        <v>38.422457185836919</v>
      </c>
    </row>
    <row r="27" spans="2:25" ht="19.5" customHeight="1">
      <c r="B27" s="669" t="s">
        <v>1522</v>
      </c>
      <c r="C27" s="1189">
        <f>'Model 22A-Tesla'!H68/1000</f>
        <v>329</v>
      </c>
      <c r="D27" s="1189">
        <f>'Model 22A-Tesla'!I68/1000</f>
        <v>12885</v>
      </c>
      <c r="E27" s="1189">
        <f>'Model 22A-Tesla'!J68/1000</f>
        <v>23412.055674941003</v>
      </c>
      <c r="F27" s="1189">
        <f>'Model 22A-Tesla'!K68/1000</f>
        <v>36590.674851292504</v>
      </c>
      <c r="G27" s="1189">
        <f>'Model 22A-Tesla'!L68/1000</f>
        <v>54117.44647873097</v>
      </c>
      <c r="J27" s="833"/>
      <c r="K27" s="832"/>
      <c r="L27" s="832"/>
      <c r="M27" s="832"/>
      <c r="N27" s="832"/>
      <c r="O27" s="832"/>
      <c r="Q27" s="394"/>
      <c r="R27" s="671"/>
      <c r="S27" s="1606"/>
      <c r="T27" s="1606"/>
      <c r="U27" s="1606"/>
      <c r="V27" s="1606"/>
      <c r="W27" s="1606"/>
      <c r="X27" s="1606"/>
      <c r="Y27" s="1606"/>
    </row>
    <row r="28" spans="2:25" ht="19.5" customHeight="1">
      <c r="B28" s="669" t="s">
        <v>1524</v>
      </c>
      <c r="C28" s="1189">
        <f>'Model 22A-Tesla'!H69/1000</f>
        <v>826</v>
      </c>
      <c r="D28" s="1189">
        <f>'Model 22A-Tesla'!I69/1000</f>
        <v>785</v>
      </c>
      <c r="E28" s="1189">
        <f>'Model 22A-Tesla'!J69/1000</f>
        <v>785</v>
      </c>
      <c r="F28" s="1189">
        <f>'Model 22A-Tesla'!K69/1000</f>
        <v>785</v>
      </c>
      <c r="G28" s="1189">
        <f>'Model 22A-Tesla'!L69/1000</f>
        <v>785</v>
      </c>
      <c r="J28" s="834" t="s">
        <v>1528</v>
      </c>
      <c r="K28" s="830">
        <v>2021</v>
      </c>
      <c r="L28" s="830">
        <v>2022</v>
      </c>
      <c r="M28" s="830" t="s">
        <v>11</v>
      </c>
      <c r="N28" s="830" t="s">
        <v>12</v>
      </c>
      <c r="O28" s="830" t="s">
        <v>13</v>
      </c>
      <c r="Q28" s="1575"/>
      <c r="R28" s="1607" t="s">
        <v>1894</v>
      </c>
      <c r="S28" s="1614">
        <v>210.35788199999999</v>
      </c>
      <c r="T28" s="1614">
        <v>151.337187</v>
      </c>
      <c r="U28" s="1614">
        <v>234.20275600000002</v>
      </c>
      <c r="V28" s="1614">
        <v>254.29976400000001</v>
      </c>
      <c r="W28" s="1614">
        <v>172.62299600000003</v>
      </c>
      <c r="X28" s="1614">
        <v>196.02966900000001</v>
      </c>
      <c r="Y28" s="1614">
        <v>135.20599799999999</v>
      </c>
    </row>
    <row r="29" spans="2:25" ht="19.5" customHeight="1">
      <c r="B29" s="669" t="s">
        <v>1526</v>
      </c>
      <c r="C29" s="1189">
        <f>'Model 22A-Tesla'!H70/1000</f>
        <v>54</v>
      </c>
      <c r="D29" s="1189">
        <f>'Model 22A-Tesla'!I70/1000</f>
        <v>-361</v>
      </c>
      <c r="E29" s="1189">
        <f>'Model 22A-Tesla'!J70/1000</f>
        <v>-383.5</v>
      </c>
      <c r="F29" s="1189">
        <f>'Model 22A-Tesla'!K70/1000</f>
        <v>-406</v>
      </c>
      <c r="G29" s="1189">
        <f>'Model 22A-Tesla'!L70/1000</f>
        <v>-428.5</v>
      </c>
      <c r="J29" s="834" t="s">
        <v>1530</v>
      </c>
      <c r="K29" s="831"/>
      <c r="L29" s="831"/>
      <c r="M29" s="831"/>
      <c r="N29" s="831"/>
      <c r="O29" s="831"/>
      <c r="Q29" s="1575"/>
      <c r="R29" s="1608" t="s">
        <v>1853</v>
      </c>
      <c r="S29" s="1576">
        <v>6.3294438388777179</v>
      </c>
      <c r="T29" s="1576">
        <v>1.0523056510840334</v>
      </c>
      <c r="U29" s="1576">
        <v>1.2461098640542181</v>
      </c>
      <c r="V29" s="1576">
        <v>0.72472280735270567</v>
      </c>
      <c r="W29" s="1576">
        <v>-0.17938422673413279</v>
      </c>
      <c r="X29" s="1576">
        <v>0.29531725074287274</v>
      </c>
      <c r="Y29" s="1576">
        <v>-0.42269681062164788</v>
      </c>
    </row>
    <row r="30" spans="2:25" ht="19.5" customHeight="1">
      <c r="B30" s="668" t="s">
        <v>1527</v>
      </c>
      <c r="C30" s="1189">
        <f>'Model 22A-Tesla'!H71/1000</f>
        <v>31015</v>
      </c>
      <c r="D30" s="1189">
        <f>'Model 22A-Tesla'!I71/1000</f>
        <v>45489</v>
      </c>
      <c r="E30" s="1189">
        <f>'Model 22A-Tesla'!J71/1000</f>
        <v>57776.055674941003</v>
      </c>
      <c r="F30" s="1189">
        <f>'Model 22A-Tesla'!K71/1000</f>
        <v>72738.341517959183</v>
      </c>
      <c r="G30" s="1189">
        <f>'Model 22A-Tesla'!L71/1000</f>
        <v>91951.33536761986</v>
      </c>
      <c r="J30" s="833" t="s">
        <v>1531</v>
      </c>
      <c r="K30" s="1192">
        <f>'Model 22A-Tesla'!R7</f>
        <v>0.70671613394216126</v>
      </c>
      <c r="L30" s="1192">
        <f>'Model 22A-Tesla'!S7</f>
        <v>0.51351652639206335</v>
      </c>
      <c r="M30" s="1192">
        <f>'Model 22A-Tesla'!T7</f>
        <v>0.20894373636157848</v>
      </c>
      <c r="N30" s="1192">
        <f>'Model 22A-Tesla'!U7</f>
        <v>0.16332779655722307</v>
      </c>
      <c r="O30" s="1192">
        <f>'Model 22A-Tesla'!V7</f>
        <v>0.10883038680273605</v>
      </c>
      <c r="Q30" s="394"/>
      <c r="R30" s="671"/>
      <c r="S30" s="1606"/>
      <c r="T30" s="1606"/>
      <c r="U30" s="1606"/>
      <c r="V30" s="1606"/>
      <c r="W30" s="1606"/>
      <c r="X30" s="1606"/>
      <c r="Y30" s="1606"/>
    </row>
    <row r="31" spans="2:25" ht="19.5" customHeight="1">
      <c r="B31" s="668" t="s">
        <v>1529</v>
      </c>
      <c r="C31" s="1189">
        <f>'Model 22A-Tesla'!H72/1000</f>
        <v>62131</v>
      </c>
      <c r="D31" s="1189">
        <f>'Model 22A-Tesla'!I72/1000</f>
        <v>82338</v>
      </c>
      <c r="E31" s="1189">
        <f>'Model 22A-Tesla'!J72/1000</f>
        <v>97693.167190538355</v>
      </c>
      <c r="F31" s="1189">
        <f>'Model 22A-Tesla'!K72/1000</f>
        <v>114705.36052649186</v>
      </c>
      <c r="G31" s="1189">
        <f>'Model 22A-Tesla'!L72/1000</f>
        <v>134368.32197627658</v>
      </c>
      <c r="J31" s="833" t="s">
        <v>1533</v>
      </c>
      <c r="K31" s="1192">
        <f>'Model 22A-Tesla'!H29/'Model 22A-Tesla'!G29-1</f>
        <v>2.2581273821464394</v>
      </c>
      <c r="L31" s="1192">
        <f>'Model 22A-Tesla'!I29/'Model 22A-Tesla'!H29-1</f>
        <v>1.1370136732452942</v>
      </c>
      <c r="M31" s="1192">
        <f>'Model 22A-Tesla'!J29/'Model 22A-Tesla'!I29-1</f>
        <v>-0.21352839501100751</v>
      </c>
      <c r="N31" s="1192">
        <f>'Model 22A-Tesla'!K29/'Model 22A-Tesla'!J29-1</f>
        <v>0.32897352659055801</v>
      </c>
      <c r="O31" s="1192">
        <f>'Model 22A-Tesla'!L29/'Model 22A-Tesla'!K29-1</f>
        <v>0.32821250388822221</v>
      </c>
      <c r="Q31" s="1575"/>
      <c r="R31" s="1607" t="s">
        <v>1895</v>
      </c>
      <c r="S31" s="1577">
        <v>0.1769033909149072</v>
      </c>
      <c r="T31" s="1577">
        <v>0.13340025983229006</v>
      </c>
      <c r="U31" s="1577">
        <v>0.15344457909946865</v>
      </c>
      <c r="V31" s="1577">
        <v>0.15161608684924749</v>
      </c>
      <c r="W31" s="1577">
        <v>0.10772000514381244</v>
      </c>
      <c r="X31" s="1577">
        <v>0.10843663497412445</v>
      </c>
      <c r="Y31" s="1577">
        <v>7.9357601713062109E-2</v>
      </c>
    </row>
    <row r="32" spans="2:25" ht="19.5" customHeight="1">
      <c r="J32" s="833" t="s">
        <v>1535</v>
      </c>
      <c r="K32" s="1192">
        <f>'Model 22A-Tesla'!H39/'Model 22A-Tesla'!G39-1</f>
        <v>6.654238557558946</v>
      </c>
      <c r="L32" s="1192">
        <f>'Model 22A-Tesla'!I39/'Model 22A-Tesla'!H39-1</f>
        <v>1.2843290715350197</v>
      </c>
      <c r="M32" s="1192">
        <f>'Model 22A-Tesla'!J39/'Model 22A-Tesla'!I39-1</f>
        <v>-0.21776706607688845</v>
      </c>
      <c r="N32" s="1192">
        <f>'Model 22A-Tesla'!K39/'Model 22A-Tesla'!J39-1</f>
        <v>0.33296632029221462</v>
      </c>
      <c r="O32" s="1192">
        <f>'Model 22A-Tesla'!L39/'Model 22A-Tesla'!K39-1</f>
        <v>0.33070984509079571</v>
      </c>
      <c r="Q32" s="1575"/>
      <c r="R32" s="1608" t="s">
        <v>1853</v>
      </c>
      <c r="S32" s="1613">
        <v>319.60030324542714</v>
      </c>
      <c r="T32" s="1613">
        <v>39.684790461867301</v>
      </c>
      <c r="U32" s="1613">
        <v>30.465826617514846</v>
      </c>
      <c r="V32" s="1613">
        <v>15.746895427911101</v>
      </c>
      <c r="W32" s="1613">
        <v>-39.108004325577262</v>
      </c>
      <c r="X32" s="1613">
        <v>-18.713325513420831</v>
      </c>
      <c r="Y32" s="1613">
        <v>-48.282564181286936</v>
      </c>
    </row>
    <row r="33" spans="2:25" ht="19.5" customHeight="1">
      <c r="B33" s="668" t="s">
        <v>1532</v>
      </c>
      <c r="C33" s="671">
        <v>2021</v>
      </c>
      <c r="D33" s="671">
        <v>2022</v>
      </c>
      <c r="E33" s="671" t="s">
        <v>11</v>
      </c>
      <c r="F33" s="671" t="s">
        <v>12</v>
      </c>
      <c r="G33" s="671" t="s">
        <v>13</v>
      </c>
      <c r="J33" s="834" t="s">
        <v>1537</v>
      </c>
      <c r="K33" s="1190"/>
      <c r="L33" s="1190"/>
      <c r="M33" s="1190"/>
      <c r="N33" s="1190"/>
      <c r="O33" s="1190"/>
      <c r="Q33" s="394"/>
      <c r="R33" s="671"/>
      <c r="S33" s="1606"/>
      <c r="T33" s="1606"/>
      <c r="U33" s="1606"/>
      <c r="V33" s="1606"/>
      <c r="W33" s="1606"/>
      <c r="X33" s="1606"/>
      <c r="Y33" s="1606"/>
    </row>
    <row r="34" spans="2:25" ht="19.5" customHeight="1">
      <c r="B34" s="668" t="s">
        <v>1956</v>
      </c>
      <c r="C34" s="1189">
        <f>'Earning Forecast'!G39/1000</f>
        <v>53823</v>
      </c>
      <c r="D34" s="1189">
        <f>'Earning Forecast'!H39/1000</f>
        <v>81462.000000000029</v>
      </c>
      <c r="E34" s="1189">
        <f>'Earning Forecast'!I39/1000</f>
        <v>98482.974651486948</v>
      </c>
      <c r="F34" s="1189">
        <f>'Earning Forecast'!J39/1000</f>
        <v>114567.98189971517</v>
      </c>
      <c r="G34" s="1189">
        <f>'Earning Forecast'!K39/1000</f>
        <v>127036.45968507002</v>
      </c>
      <c r="J34" s="833" t="s">
        <v>1539</v>
      </c>
      <c r="K34" s="1192">
        <f>'Earning Forecast'!G42</f>
        <v>0.25280467458149863</v>
      </c>
      <c r="L34" s="1192">
        <f>'Earning Forecast'!H42</f>
        <v>0.25661719026116148</v>
      </c>
      <c r="M34" s="1192">
        <f>'Earning Forecast'!I42</f>
        <v>0.18844081569737769</v>
      </c>
      <c r="N34" s="1192">
        <f>'Earning Forecast'!J42</f>
        <v>0.19647099018807679</v>
      </c>
      <c r="O34" s="1192">
        <f>'Earning Forecast'!K42</f>
        <v>0.21454933491818765</v>
      </c>
      <c r="Q34" s="1575"/>
      <c r="R34" s="1607" t="s">
        <v>1957</v>
      </c>
      <c r="S34" s="1578">
        <v>31.723219824027243</v>
      </c>
      <c r="T34" s="1578">
        <v>35.956509158012523</v>
      </c>
      <c r="U34" s="1578">
        <v>36.799530436552949</v>
      </c>
      <c r="V34" s="1578">
        <v>34.447027768593408</v>
      </c>
      <c r="W34" s="1578">
        <v>30.665505787762342</v>
      </c>
      <c r="X34" s="1578">
        <v>31.76829143604925</v>
      </c>
      <c r="Y34" s="1578">
        <v>31.164835390142482</v>
      </c>
    </row>
    <row r="35" spans="2:25" ht="19.5" customHeight="1">
      <c r="B35" s="669" t="s">
        <v>1958</v>
      </c>
      <c r="C35" s="1189">
        <f>'Earning Forecast'!G5/1000</f>
        <v>47232</v>
      </c>
      <c r="D35" s="1189">
        <f>'Earning Forecast'!H5/1000</f>
        <v>71462.000000000029</v>
      </c>
      <c r="E35" s="1189">
        <f>'Earning Forecast'!I5/1000+'Earning Forecast'!I27/1000</f>
        <v>86015.385600250549</v>
      </c>
      <c r="F35" s="1189">
        <f>'Earning Forecast'!J5/1000+'Earning Forecast'!J27/1000</f>
        <v>98942.466744046847</v>
      </c>
      <c r="G35" s="1189">
        <f>'Earning Forecast'!K5/1000+'Earning Forecast'!K27/1000</f>
        <v>107571.8325089214</v>
      </c>
      <c r="J35" s="833" t="s">
        <v>1541</v>
      </c>
      <c r="K35" s="1192">
        <f>'Model 22A-Tesla'!H39/'Model 22A-Tesla'!H7</f>
        <v>0.10253434405365736</v>
      </c>
      <c r="L35" s="1192">
        <f>'Model 22A-Tesla'!I39/'Model 22A-Tesla'!I7</f>
        <v>0.15475363424731456</v>
      </c>
      <c r="M35" s="1192">
        <f>'Model 22A-Tesla'!J39/'Model 22A-Tesla'!J7</f>
        <v>0.10013153276831699</v>
      </c>
      <c r="N35" s="1192">
        <f>'Model 22A-Tesla'!K39/'Model 22A-Tesla'!K7</f>
        <v>0.1147328905699688</v>
      </c>
      <c r="O35" s="1192">
        <f>'Model 22A-Tesla'!L39/'Model 22A-Tesla'!L7</f>
        <v>0.13769120043455657</v>
      </c>
      <c r="Q35" s="1575"/>
      <c r="R35" s="1608" t="s">
        <v>1853</v>
      </c>
      <c r="S35" s="1576">
        <v>9.2800234787502545E-2</v>
      </c>
      <c r="T35" s="1576">
        <v>0.17716936110098147</v>
      </c>
      <c r="U35" s="1576">
        <v>0.20942519769115875</v>
      </c>
      <c r="V35" s="1576">
        <v>0.1137345333036619</v>
      </c>
      <c r="W35" s="1576">
        <v>-3.3341950852787794E-2</v>
      </c>
      <c r="X35" s="1576">
        <v>-0.11648009831983297</v>
      </c>
      <c r="Y35" s="1576">
        <v>-0.15311866699292254</v>
      </c>
    </row>
    <row r="36" spans="2:25" ht="19.5" customHeight="1">
      <c r="B36" s="669" t="s">
        <v>1959</v>
      </c>
      <c r="C36" s="1189">
        <f>'Earning Forecast'!G12/1000</f>
        <v>3802</v>
      </c>
      <c r="D36" s="1189">
        <f>'Earning Forecast'!H12/1000</f>
        <v>6091</v>
      </c>
      <c r="E36" s="1189">
        <f>'Earning Forecast'!I12/1000</f>
        <v>7005.0245548287648</v>
      </c>
      <c r="F36" s="1189">
        <f>'Earning Forecast'!J12/1000</f>
        <v>7914.2460697092656</v>
      </c>
      <c r="G36" s="1189">
        <f>'Earning Forecast'!K12/1000</f>
        <v>8630.1024202933222</v>
      </c>
      <c r="J36" s="909" t="s">
        <v>1461</v>
      </c>
      <c r="K36" s="1192">
        <f>'Model 22A-Tesla'!H75/'Model 22A-Tesla'!H71</f>
        <v>0.18196698371755601</v>
      </c>
      <c r="L36" s="1192">
        <f>'Model 22A-Tesla'!I75/'Model 22A-Tesla'!I71</f>
        <v>0.27781530816361633</v>
      </c>
      <c r="M36" s="1192">
        <f>'Model 22A-Tesla'!J75/'Model 22A-Tesla'!J71</f>
        <v>0.17125079861123815</v>
      </c>
      <c r="N36" s="1192">
        <f>'Model 22A-Tesla'!K75/'Model 22A-Tesla'!K71</f>
        <v>0.18117843906432332</v>
      </c>
      <c r="O36" s="1192">
        <f>'Model 22A-Tesla'!L75/'Model 22A-Tesla'!L71</f>
        <v>0.19060921255103835</v>
      </c>
      <c r="Q36" s="1575"/>
      <c r="R36" s="1607" t="s">
        <v>1912</v>
      </c>
      <c r="S36" s="1578">
        <v>6.7846875967592108</v>
      </c>
      <c r="T36" s="1578">
        <v>5.9418986238442066</v>
      </c>
      <c r="U36" s="1578">
        <v>6.8115858418404445</v>
      </c>
      <c r="V36" s="1578">
        <v>6.2746994408776207</v>
      </c>
      <c r="W36" s="1578">
        <v>4.082128193910731</v>
      </c>
      <c r="X36" s="1578">
        <v>4.2053818380743984</v>
      </c>
      <c r="Y36" s="1578">
        <v>3.1077623494744389</v>
      </c>
    </row>
    <row r="37" spans="2:25" ht="19.5" customHeight="1">
      <c r="B37" s="669" t="s">
        <v>1960</v>
      </c>
      <c r="C37" s="1189">
        <f>'Earning Forecast'!G20/1000</f>
        <v>2789</v>
      </c>
      <c r="D37" s="1189">
        <f>'Earning Forecast'!H20/1000</f>
        <v>3909</v>
      </c>
      <c r="E37" s="1189">
        <f>'Earning Forecast'!I20/1000</f>
        <v>5462.56449640765</v>
      </c>
      <c r="F37" s="1189">
        <f>'Earning Forecast'!J20/1000</f>
        <v>7711.2690859590575</v>
      </c>
      <c r="G37" s="1189">
        <f>'Earning Forecast'!K20/1000</f>
        <v>10834.5247558553</v>
      </c>
      <c r="J37" s="909" t="s">
        <v>1542</v>
      </c>
      <c r="K37" s="1192">
        <f>'Model 22A-Tesla'!H75/'Model 22A-Tesla'!H55</f>
        <v>9.0835589319341395E-2</v>
      </c>
      <c r="L37" s="1192">
        <f>'Model 22A-Tesla'!I75/'Model 22A-Tesla'!I55</f>
        <v>0.15348369590049238</v>
      </c>
      <c r="M37" s="1192">
        <f>'Model 22A-Tesla'!J75/'Model 22A-Tesla'!J55</f>
        <v>0.1024780332853035</v>
      </c>
      <c r="N37" s="1192">
        <f>'Model 22A-Tesla'!K75/'Model 22A-Tesla'!K55</f>
        <v>0.11604817559819719</v>
      </c>
      <c r="O37" s="1192">
        <f>'Model 22A-Tesla'!L75/'Model 22A-Tesla'!L55</f>
        <v>0.13155808809131389</v>
      </c>
      <c r="Q37" s="1575"/>
      <c r="R37" s="1608" t="s">
        <v>1853</v>
      </c>
      <c r="S37" s="1576">
        <v>3.3686178315119015</v>
      </c>
      <c r="T37" s="1576">
        <v>0.6216514351701512</v>
      </c>
      <c r="U37" s="1576">
        <v>0.57632059505070155</v>
      </c>
      <c r="V37" s="1576">
        <v>0.31329472201561659</v>
      </c>
      <c r="W37" s="1576">
        <v>-0.39833218026713424</v>
      </c>
      <c r="X37" s="1576">
        <v>-0.29224948046090038</v>
      </c>
      <c r="Y37" s="1576">
        <v>-0.54375347802491425</v>
      </c>
    </row>
    <row r="38" spans="2:25" ht="19.5" customHeight="1">
      <c r="B38" s="668" t="s">
        <v>1961</v>
      </c>
      <c r="C38" s="1189">
        <f>C39+C40+C41</f>
        <v>37427.294000000002</v>
      </c>
      <c r="D38" s="1189">
        <f>D39+D40+D41</f>
        <v>60557.450446945288</v>
      </c>
      <c r="E38" s="1189">
        <f t="shared" ref="E38:G38" si="2">E39+E40+E41</f>
        <v>79924.762575856585</v>
      </c>
      <c r="F38" s="1189">
        <f t="shared" si="2"/>
        <v>92058.697052028467</v>
      </c>
      <c r="G38" s="1189">
        <f t="shared" si="2"/>
        <v>99780.871749277096</v>
      </c>
      <c r="J38" s="834" t="s">
        <v>1544</v>
      </c>
      <c r="K38" s="1190"/>
      <c r="L38" s="1190"/>
      <c r="M38" s="1190"/>
      <c r="N38" s="1190"/>
      <c r="O38" s="1190"/>
      <c r="Q38" s="1575"/>
      <c r="R38" s="1607" t="s">
        <v>1914</v>
      </c>
      <c r="S38" s="1578">
        <v>6.6701781014552575</v>
      </c>
      <c r="T38" s="1578">
        <v>5.8682495926500318</v>
      </c>
      <c r="U38" s="1578">
        <v>6.9874621469912457</v>
      </c>
      <c r="V38" s="1578">
        <v>6.3461768958591396</v>
      </c>
      <c r="W38" s="1578">
        <v>4.1600996039018634</v>
      </c>
      <c r="X38" s="1578">
        <v>3.6950728321963355</v>
      </c>
      <c r="Y38" s="1578">
        <v>3.0457077315950243</v>
      </c>
    </row>
    <row r="39" spans="2:25" ht="19.5" customHeight="1">
      <c r="B39" s="669" t="s">
        <v>1958</v>
      </c>
      <c r="C39" s="1189">
        <f>'Earning Forecast'!G8/1000</f>
        <v>33393</v>
      </c>
      <c r="D39" s="1189">
        <f>'Earning Forecast'!H8/1000</f>
        <v>51056.450446945288</v>
      </c>
      <c r="E39" s="1189">
        <f>'Earning Forecast'!I8/1000</f>
        <v>68269.689795095022</v>
      </c>
      <c r="F39" s="1189">
        <f>'Earning Forecast'!J8/1000</f>
        <v>77647.023874300969</v>
      </c>
      <c r="G39" s="1189">
        <f>'Earning Forecast'!K8/1000</f>
        <v>82145.649020641242</v>
      </c>
      <c r="J39" s="833" t="s">
        <v>1546</v>
      </c>
      <c r="K39" s="1192">
        <f>'Model 22A-Tesla'!H64/'Model 22A-Tesla'!H55</f>
        <v>0.50081279876390206</v>
      </c>
      <c r="L39" s="1192">
        <f>'Model 22A-Tesla'!I64/'Model 22A-Tesla'!I55</f>
        <v>0.4475333381913576</v>
      </c>
      <c r="M39" s="1192">
        <f>'Model 22A-Tesla'!J64/'Model 22A-Tesla'!J55</f>
        <v>0.41343705106913081</v>
      </c>
      <c r="N39" s="1192">
        <f>'Model 22A-Tesla'!K64/'Model 22A-Tesla'!K55</f>
        <v>0.3695528284157758</v>
      </c>
      <c r="O39" s="1192">
        <f>'Model 22A-Tesla'!L64/'Model 22A-Tesla'!L55</f>
        <v>0.31838708117207898</v>
      </c>
      <c r="Q39" s="1575"/>
      <c r="R39" s="1608" t="s">
        <v>1853</v>
      </c>
      <c r="S39" s="1576">
        <v>3.5881951649389281</v>
      </c>
      <c r="T39" s="1576">
        <v>0.66724846580633068</v>
      </c>
      <c r="U39" s="1576">
        <v>0.61104724374149</v>
      </c>
      <c r="V39" s="1576">
        <v>0.368344318740087</v>
      </c>
      <c r="W39" s="1576">
        <v>-0.37631356455171128</v>
      </c>
      <c r="X39" s="1576">
        <v>-0.37032793614906812</v>
      </c>
      <c r="Y39" s="1576">
        <v>-0.5641181780274136</v>
      </c>
    </row>
    <row r="40" spans="2:25" ht="19.5" customHeight="1">
      <c r="B40" s="669" t="s">
        <v>1959</v>
      </c>
      <c r="C40" s="1189">
        <f>'Earning Forecast'!G16/1000</f>
        <v>3906</v>
      </c>
      <c r="D40" s="1189">
        <f>'Earning Forecast'!H16/1000</f>
        <v>5880</v>
      </c>
      <c r="E40" s="1189">
        <f>'Earning Forecast'!I16/1000</f>
        <v>6412.1103520308716</v>
      </c>
      <c r="F40" s="1189">
        <f>'Earning Forecast'!J16/1000</f>
        <v>6848.6618960483611</v>
      </c>
      <c r="G40" s="1189">
        <f>'Earning Forecast'!K16/1000</f>
        <v>7036.6293145663667</v>
      </c>
      <c r="J40" s="833" t="s">
        <v>1548</v>
      </c>
      <c r="K40" s="1192">
        <f>'Model 22A-Tesla'!H64/'Model 22A-Tesla'!H71</f>
        <v>1.003256488795744</v>
      </c>
      <c r="L40" s="1192">
        <f>'Model 22A-Tesla'!I64/'Model 22A-Tesla'!I71</f>
        <v>0.81006397150959575</v>
      </c>
      <c r="M40" s="1192">
        <f>'Model 22A-Tesla'!J64/'Model 22A-Tesla'!J71</f>
        <v>0.69089367644234079</v>
      </c>
      <c r="N40" s="1192">
        <f>'Model 22A-Tesla'!K64/'Model 22A-Tesla'!K71</f>
        <v>0.5769587006348087</v>
      </c>
      <c r="O40" s="1192">
        <f>'Model 22A-Tesla'!L64/'Model 22A-Tesla'!L71</f>
        <v>0.46129821213660815</v>
      </c>
      <c r="Q40" s="1575"/>
      <c r="R40" s="1607" t="s">
        <v>1917</v>
      </c>
      <c r="S40" s="1578">
        <v>1.8017007044070594</v>
      </c>
      <c r="T40" s="1578">
        <v>2.3932939398103619</v>
      </c>
      <c r="U40" s="1578">
        <v>1.9050964139254867</v>
      </c>
      <c r="V40" s="1578">
        <v>1.7350680273787378</v>
      </c>
      <c r="W40" s="1578">
        <v>1.6922882648536801</v>
      </c>
      <c r="X40" s="1578">
        <v>1.7370946496760631</v>
      </c>
      <c r="Y40" s="1578">
        <v>2.0564111994005412</v>
      </c>
    </row>
    <row r="41" spans="2:25" ht="19.5" customHeight="1">
      <c r="B41" s="669" t="s">
        <v>1960</v>
      </c>
      <c r="C41" s="1189">
        <f>'Earning Forecast'!G23/1000</f>
        <v>128.29400000000001</v>
      </c>
      <c r="D41" s="1189">
        <f>'Earning Forecast'!H23/1000</f>
        <v>3621</v>
      </c>
      <c r="E41" s="1189">
        <f>'Earning Forecast'!I23/1000</f>
        <v>5242.9624287306906</v>
      </c>
      <c r="F41" s="1189">
        <f>'Earning Forecast'!J23/1000</f>
        <v>7563.0112816791343</v>
      </c>
      <c r="G41" s="1189">
        <f>'Earning Forecast'!K23/1000</f>
        <v>10598.59341406949</v>
      </c>
      <c r="J41" s="833" t="s">
        <v>1550</v>
      </c>
      <c r="K41" s="1193">
        <f>'Model 22A-Tesla'!H46/'Model 22A-Tesla'!H60</f>
        <v>1.3752854605430094</v>
      </c>
      <c r="L41" s="1193">
        <f>'Model 22A-Tesla'!I46/'Model 22A-Tesla'!I60</f>
        <v>1.53195552061103</v>
      </c>
      <c r="M41" s="1193">
        <f>'Model 22A-Tesla'!J46/'Model 22A-Tesla'!J60</f>
        <v>1.69239340093045</v>
      </c>
      <c r="N41" s="1193">
        <f>'Model 22A-Tesla'!K46/'Model 22A-Tesla'!K60</f>
        <v>1.978927394748083</v>
      </c>
      <c r="O41" s="1193">
        <f>'Model 22A-Tesla'!L46/'Model 22A-Tesla'!L60</f>
        <v>2.4525106842265338</v>
      </c>
      <c r="Q41" s="1575"/>
      <c r="R41" s="1608" t="s">
        <v>1853</v>
      </c>
      <c r="S41" s="1610">
        <v>-0.17291403465835642</v>
      </c>
      <c r="T41" s="1610">
        <v>9.5080871732375449E-2</v>
      </c>
      <c r="U41" s="1610">
        <v>-6.6368945753469299E-2</v>
      </c>
      <c r="V41" s="1610">
        <v>5.1030648172565973E-2</v>
      </c>
      <c r="W41" s="1610">
        <v>-6.0727311304119791E-2</v>
      </c>
      <c r="X41" s="1610">
        <v>-0.27418248933780953</v>
      </c>
      <c r="Y41" s="1610">
        <v>7.9426313738771626E-2</v>
      </c>
    </row>
    <row r="42" spans="2:25" ht="19.5" customHeight="1">
      <c r="B42" s="668" t="s">
        <v>1543</v>
      </c>
      <c r="C42" s="1189">
        <f>'Earning Forecast'!G41/1000</f>
        <v>13606.706</v>
      </c>
      <c r="D42" s="1189">
        <f>'Earning Forecast'!H41/1000</f>
        <v>20904.549553054741</v>
      </c>
      <c r="E42" s="1189">
        <f>'Earning Forecast'!I41/1000</f>
        <v>18558.21207563037</v>
      </c>
      <c r="F42" s="1189">
        <f>'Earning Forecast'!J41/1000</f>
        <v>22509.284847686697</v>
      </c>
      <c r="G42" s="1189">
        <f>'Earning Forecast'!K41/1000</f>
        <v>27255.58793579293</v>
      </c>
      <c r="J42" s="833" t="s">
        <v>1552</v>
      </c>
      <c r="K42" s="1193">
        <f>('Model 22A-Tesla'!H46-'Model 22A-Tesla'!H44)/'Model 22A-Tesla'!H60</f>
        <v>1.0831261101243339</v>
      </c>
      <c r="L42" s="1193">
        <f>('Model 22A-Tesla'!I46-'Model 22A-Tesla'!I44)/'Model 22A-Tesla'!I60</f>
        <v>1.0512561308922086</v>
      </c>
      <c r="M42" s="1193">
        <f>('Model 22A-Tesla'!J46-'Model 22A-Tesla'!J44)/'Model 22A-Tesla'!J60</f>
        <v>1.1092991705133464</v>
      </c>
      <c r="N42" s="1193">
        <f>('Model 22A-Tesla'!K46-'Model 22A-Tesla'!K44)/'Model 22A-Tesla'!K60</f>
        <v>1.3374556312631785</v>
      </c>
      <c r="O42" s="1193">
        <f>('Model 22A-Tesla'!L46-'Model 22A-Tesla'!L44)/'Model 22A-Tesla'!L60</f>
        <v>1.7558002234492862</v>
      </c>
      <c r="Q42" s="1575"/>
      <c r="R42" s="1607" t="s">
        <v>1919</v>
      </c>
      <c r="S42" s="1578">
        <v>1.7687627399628445</v>
      </c>
      <c r="T42" s="1578">
        <v>1.7544251359469172</v>
      </c>
      <c r="U42" s="1578">
        <v>1.516674490300439</v>
      </c>
      <c r="V42" s="1578">
        <v>1.3784937746435779</v>
      </c>
      <c r="W42" s="1578">
        <v>1.2524157729825596</v>
      </c>
      <c r="X42" s="1578">
        <v>1.4671383918994292</v>
      </c>
      <c r="Y42" s="1578">
        <v>1.9471732799459385</v>
      </c>
    </row>
    <row r="43" spans="2:25" ht="19.5" customHeight="1">
      <c r="B43" s="669" t="s">
        <v>1545</v>
      </c>
      <c r="C43" s="1189">
        <f>'Model 22A-Tesla'!H23/1000</f>
        <v>7110</v>
      </c>
      <c r="D43" s="1189">
        <f>'Model 22A-Tesla'!I23/1000</f>
        <v>7021</v>
      </c>
      <c r="E43" s="1189">
        <f>'Model 22A-Tesla'!J23/1000</f>
        <v>7639.1945756951791</v>
      </c>
      <c r="F43" s="1189">
        <f>'Model 22A-Tesla'!K23/1000</f>
        <v>7998.1996538938274</v>
      </c>
      <c r="G43" s="1189">
        <f>'Model 22A-Tesla'!L23/1000</f>
        <v>7981.7831364099929</v>
      </c>
      <c r="J43" s="834" t="s">
        <v>1554</v>
      </c>
      <c r="K43" s="1190"/>
      <c r="L43" s="1190"/>
      <c r="M43" s="1190"/>
      <c r="N43" s="1190"/>
      <c r="O43" s="1190"/>
      <c r="Q43" s="1575"/>
      <c r="R43" s="1608" t="s">
        <v>1853</v>
      </c>
      <c r="S43" s="1576">
        <v>-0.25099682058871065</v>
      </c>
      <c r="T43" s="1576">
        <v>-5.0684145140735604E-2</v>
      </c>
      <c r="U43" s="1576">
        <v>-7.0550057468802163E-2</v>
      </c>
      <c r="V43" s="1576">
        <v>-9.5064759917394603E-2</v>
      </c>
      <c r="W43" s="1576">
        <v>-0.29192551115766474</v>
      </c>
      <c r="X43" s="1576">
        <v>-0.16374978798535655</v>
      </c>
      <c r="Y43" s="1576">
        <v>0.2838438916185777</v>
      </c>
    </row>
    <row r="44" spans="2:25" ht="19.5" customHeight="1">
      <c r="B44" s="669" t="s">
        <v>1547</v>
      </c>
      <c r="C44" s="1189">
        <f>'Model 22A-Tesla'!H24/1000</f>
        <v>4517</v>
      </c>
      <c r="D44" s="1189">
        <f>'Model 22A-Tesla'!I24/1000</f>
        <v>3946</v>
      </c>
      <c r="E44" s="1189">
        <f>'Model 22A-Tesla'!J24/1000</f>
        <v>4293.4427853145107</v>
      </c>
      <c r="F44" s="1189">
        <f>'Model 22A-Tesla'!K24/1000</f>
        <v>4495.2132015759926</v>
      </c>
      <c r="G44" s="1189">
        <f>'Model 22A-Tesla'!L24/1000</f>
        <v>4485.9860937578451</v>
      </c>
      <c r="J44" s="833" t="s">
        <v>1556</v>
      </c>
      <c r="K44" s="1193">
        <f>'Model 22A-Tesla'!H7/('Model 22A-Tesla'!H55+'Model 22A-Tesla'!G55)*2</f>
        <v>0.94195784002310134</v>
      </c>
      <c r="L44" s="1193">
        <f>'Model 22A-Tesla'!I7/('Model 22A-Tesla'!I55+'Model 22A-Tesla'!H55)*2</f>
        <v>1.1277436681917925</v>
      </c>
      <c r="M44" s="1193">
        <f>'Model 22A-Tesla'!J7/('Model 22A-Tesla'!J55+'Model 22A-Tesla'!I55)*2</f>
        <v>1.1010608715508603</v>
      </c>
      <c r="N44" s="1193">
        <f>'Model 22A-Tesla'!K7/('Model 22A-Tesla'!K55+'Model 22A-Tesla'!J55)*2</f>
        <v>1.090546930876144</v>
      </c>
      <c r="O44" s="1193">
        <f>'Model 22A-Tesla'!L7/('Model 22A-Tesla'!L55+'Model 22A-Tesla'!K55)*2</f>
        <v>1.0295264141049996</v>
      </c>
    </row>
    <row r="45" spans="2:25" ht="19.5" customHeight="1">
      <c r="B45" s="669" t="s">
        <v>1549</v>
      </c>
      <c r="C45" s="1189">
        <f>'Model 22A-Tesla'!H26/1000</f>
        <v>2593</v>
      </c>
      <c r="D45" s="1189">
        <f>'Model 22A-Tesla'!I26/1000</f>
        <v>3075</v>
      </c>
      <c r="E45" s="1189">
        <f>'Model 22A-Tesla'!J26/1000</f>
        <v>3345.7517903806688</v>
      </c>
      <c r="F45" s="1189">
        <f>'Model 22A-Tesla'!K26/1000</f>
        <v>3502.9854523178346</v>
      </c>
      <c r="G45" s="1189">
        <f>'Model 22A-Tesla'!L26/1000</f>
        <v>3495.7950426521479</v>
      </c>
      <c r="J45" s="833" t="s">
        <v>1558</v>
      </c>
      <c r="K45" s="1193">
        <f>'Model 22A-Tesla'!H7/('Model 22A-Tesla'!H43+'Model 22A-Tesla'!G43)*2</f>
        <v>28.335351408265332</v>
      </c>
      <c r="L45" s="1193">
        <f>'Model 22A-Tesla'!I7/('Model 22A-Tesla'!I43+'Model 22A-Tesla'!H43)*2</f>
        <v>33.489003083247702</v>
      </c>
      <c r="M45" s="1193">
        <f>'Model 22A-Tesla'!J7/('Model 22A-Tesla'!J43+'Model 22A-Tesla'!I43)*2</f>
        <v>30.205786347962551</v>
      </c>
      <c r="N45" s="1193">
        <f>'Model 22A-Tesla'!K7/('Model 22A-Tesla'!K43+'Model 22A-Tesla'!J43)*2</f>
        <v>29.678946818699728</v>
      </c>
      <c r="O45" s="1193">
        <f>'Model 22A-Tesla'!L7/('Model 22A-Tesla'!L43+'Model 22A-Tesla'!K43)*2</f>
        <v>29.019650591711009</v>
      </c>
    </row>
    <row r="46" spans="2:25" ht="19.5" customHeight="1">
      <c r="B46" s="669" t="s">
        <v>1553</v>
      </c>
      <c r="C46" s="1189">
        <f>'Model 22A-Tesla'!H29/1000</f>
        <v>6496.7060000000001</v>
      </c>
      <c r="D46" s="1189">
        <f>'Model 22A-Tesla'!I29/1000</f>
        <v>13883.549553054743</v>
      </c>
      <c r="E46" s="1189">
        <f>'Model 22A-Tesla'!J29/1000</f>
        <v>10919.017499935173</v>
      </c>
      <c r="F46" s="1189">
        <f>'Model 22A-Tesla'!K29/1000</f>
        <v>14511.085193792866</v>
      </c>
      <c r="G46" s="1189">
        <f>'Model 22A-Tesla'!L29/1000</f>
        <v>19273.804799382928</v>
      </c>
      <c r="J46" s="833" t="s">
        <v>1560</v>
      </c>
      <c r="K46" s="1193">
        <f>'Model 22A-Tesla'!H7/('Model 22A-Tesla'!H44+'Model 22A-Tesla'!G44)*2</f>
        <v>10.919659160073037</v>
      </c>
      <c r="L46" s="1193">
        <f>'Model 22A-Tesla'!I7/('Model 22A-Tesla'!I44+'Model 22A-Tesla'!H44)*2</f>
        <v>8.7612389761239005</v>
      </c>
      <c r="M46" s="1193">
        <f>'Model 22A-Tesla'!J7/('Model 22A-Tesla'!J44+'Model 22A-Tesla'!I44)*2</f>
        <v>6.6131168585870928</v>
      </c>
      <c r="N46" s="1193">
        <f>'Model 22A-Tesla'!K7/('Model 22A-Tesla'!K44+'Model 22A-Tesla'!J44)*2</f>
        <v>6.2840981765375918</v>
      </c>
      <c r="O46" s="1193">
        <f>'Model 22A-Tesla'!L7/('Model 22A-Tesla'!L44+'Model 22A-Tesla'!K44)*2</f>
        <v>6.2467851873335682</v>
      </c>
    </row>
    <row r="47" spans="2:25" ht="19.5" customHeight="1">
      <c r="B47" s="669" t="s">
        <v>1555</v>
      </c>
      <c r="C47" s="1190">
        <f>'Model 22A-Tesla'!H30/1000</f>
        <v>371</v>
      </c>
      <c r="D47" s="1190">
        <f>'Model 22A-Tesla'!I30/1000</f>
        <v>191</v>
      </c>
      <c r="E47" s="1191">
        <f>'Model 22A-Tesla'!J30/1000</f>
        <v>171.9</v>
      </c>
      <c r="F47" s="1191">
        <f>'Model 22A-Tesla'!K30/1000</f>
        <v>154.71</v>
      </c>
      <c r="G47" s="1191">
        <f>'Model 22A-Tesla'!L30/1000</f>
        <v>139.239</v>
      </c>
      <c r="J47" s="834" t="s">
        <v>1962</v>
      </c>
      <c r="K47" s="1190"/>
      <c r="L47" s="1190"/>
      <c r="M47" s="1190"/>
      <c r="N47" s="1190"/>
      <c r="O47" s="1190"/>
    </row>
    <row r="48" spans="2:25" ht="19.5" customHeight="1">
      <c r="B48" s="669" t="s">
        <v>1557</v>
      </c>
      <c r="C48" s="1191">
        <f>'Model 22A-Tesla'!H32/1000</f>
        <v>-217</v>
      </c>
      <c r="D48" s="1191">
        <f>'Model 22A-Tesla'!I32/1000</f>
        <v>-76.991</v>
      </c>
      <c r="E48" s="1191">
        <f>'Model 22A-Tesla'!J32/1000</f>
        <v>-125.625</v>
      </c>
      <c r="F48" s="1191">
        <f>'Model 22A-Tesla'!K32/1000</f>
        <v>-125.624</v>
      </c>
      <c r="G48" s="1191">
        <f>'Model 22A-Tesla'!L32/1000</f>
        <v>-125.623</v>
      </c>
      <c r="J48" s="833" t="s">
        <v>1564</v>
      </c>
      <c r="K48" s="1190">
        <v>1.63</v>
      </c>
      <c r="L48" s="1190">
        <v>3.61</v>
      </c>
      <c r="M48" s="1193">
        <f>'Earning Forecast'!I65</f>
        <v>2.9196599769271137</v>
      </c>
      <c r="N48" s="1193">
        <f>'Earning Forecast'!J65</f>
        <v>3.8918087120229705</v>
      </c>
      <c r="O48" s="1193">
        <f>'Earning Forecast'!K65</f>
        <v>5.1788683664585013</v>
      </c>
    </row>
    <row r="49" spans="2:15" ht="19.5" customHeight="1">
      <c r="B49" s="668" t="s">
        <v>1559</v>
      </c>
      <c r="C49" s="1189">
        <f>'Model 22A-Tesla'!H34/1000</f>
        <v>6342.7060000000001</v>
      </c>
      <c r="D49" s="1189">
        <f>'Model 22A-Tesla'!I34/1000</f>
        <v>13769.540553054743</v>
      </c>
      <c r="E49" s="1189">
        <f>'Model 22A-Tesla'!J34/1000</f>
        <v>10872.742499935173</v>
      </c>
      <c r="F49" s="1189">
        <f>'Model 22A-Tesla'!K34/1000</f>
        <v>14481.999193792864</v>
      </c>
      <c r="G49" s="1189">
        <f>'Model 22A-Tesla'!L34/1000</f>
        <v>19260.18879938293</v>
      </c>
      <c r="J49" s="1194" t="s">
        <v>1565</v>
      </c>
      <c r="K49" s="1193">
        <f>K14/'Earning Forecast'!G63*1000</f>
        <v>3.9030723354000587</v>
      </c>
      <c r="L49" s="1193">
        <f>L14/'Earning Forecast'!H63*1000</f>
        <v>5.0979972814546031</v>
      </c>
      <c r="M49" s="1193">
        <f>M14/'Earning Forecast'!I63*1000</f>
        <v>3.6380717642613627</v>
      </c>
      <c r="N49" s="1193">
        <f>N14/'Earning Forecast'!J63*1000</f>
        <v>4.7341924426787996</v>
      </c>
      <c r="O49" s="1193">
        <f>O14/'Earning Forecast'!K63*1000</f>
        <v>6.0664146909353729</v>
      </c>
    </row>
    <row r="50" spans="2:15" ht="19.5" customHeight="1">
      <c r="B50" s="669" t="s">
        <v>1561</v>
      </c>
      <c r="C50" s="1189">
        <f>'Model 22A-Tesla'!H35/1000</f>
        <v>699</v>
      </c>
      <c r="D50" s="1189">
        <f>'Model 22A-Tesla'!I35/1000</f>
        <v>1132</v>
      </c>
      <c r="E50" s="1189">
        <f>'Model 22A-Tesla'!J35/1000</f>
        <v>978.5468249941672</v>
      </c>
      <c r="F50" s="1189">
        <f>'Model 22A-Tesla'!K35/1000</f>
        <v>1303.3800174413584</v>
      </c>
      <c r="G50" s="1189">
        <f>'Model 22A-Tesla'!L35/1000</f>
        <v>1733.4171719444641</v>
      </c>
      <c r="J50" s="833" t="s">
        <v>1566</v>
      </c>
      <c r="K50" s="1193">
        <f>'Model 22A-Tesla'!H71/'Earning Forecast'!G63</f>
        <v>9.157071154413936</v>
      </c>
      <c r="L50" s="1193">
        <f>'Model 22A-Tesla'!I71/'Earning Forecast'!H63</f>
        <v>13.090359712230216</v>
      </c>
      <c r="M50" s="1193">
        <f>'Model 22A-Tesla'!J71/'Earning Forecast'!I63</f>
        <v>17.105987252413719</v>
      </c>
      <c r="N50" s="1193">
        <f>'Model 22A-Tesla'!K71/'Earning Forecast'!J63</f>
        <v>21.535930901347321</v>
      </c>
      <c r="O50" s="1193">
        <f>'Model 22A-Tesla'!L71/'Earning Forecast'!K63</f>
        <v>27.224398624413887</v>
      </c>
    </row>
    <row r="51" spans="2:15" ht="19.5" customHeight="1">
      <c r="B51" s="669" t="s">
        <v>1953</v>
      </c>
      <c r="C51" s="1189">
        <f>'Model 22A-Tesla'!H37/1000</f>
        <v>-125</v>
      </c>
      <c r="D51" s="1189">
        <f>'Model 22A-Tesla'!I37/1000</f>
        <v>-31</v>
      </c>
      <c r="E51" s="1189">
        <f>'Model 22A-Tesla'!J37/1000</f>
        <v>-32.944471504307458</v>
      </c>
      <c r="F51" s="1189">
        <f>'Model 22A-Tesla'!K37/1000</f>
        <v>-33.903446229320515</v>
      </c>
      <c r="G51" s="1189">
        <f>'Model 22A-Tesla'!L37/1000</f>
        <v>-34.968994445023498</v>
      </c>
      <c r="J51" s="834" t="s">
        <v>1567</v>
      </c>
      <c r="K51" s="1190"/>
      <c r="L51" s="1190"/>
      <c r="M51" s="1190"/>
      <c r="N51" s="1190"/>
      <c r="O51" s="1190"/>
    </row>
    <row r="52" spans="2:15" ht="19.5" customHeight="1">
      <c r="B52" s="668" t="s">
        <v>1563</v>
      </c>
      <c r="C52" s="1189">
        <f>'Earning Forecast'!G62/1000</f>
        <v>5518.7060000000001</v>
      </c>
      <c r="D52" s="1189">
        <f>'Earning Forecast'!H62/1000</f>
        <v>12606.540553054743</v>
      </c>
      <c r="E52" s="1189">
        <f>'Earning Forecast'!I62/1000</f>
        <v>9861.2512034367155</v>
      </c>
      <c r="F52" s="1189">
        <f>'Earning Forecast'!J62/1000</f>
        <v>13144.716730122194</v>
      </c>
      <c r="G52" s="1189">
        <f>'Earning Forecast'!K62/1000</f>
        <v>17491.804632993448</v>
      </c>
      <c r="J52" s="909" t="s">
        <v>1462</v>
      </c>
      <c r="K52" s="1193">
        <v>192.3</v>
      </c>
      <c r="L52" s="1190">
        <v>30.98</v>
      </c>
      <c r="M52" s="1193">
        <f>Valuation!F4</f>
        <v>62.551804471496908</v>
      </c>
      <c r="N52" s="1193">
        <f>Valuation!G4</f>
        <v>46.926766836150207</v>
      </c>
      <c r="O52" s="1193">
        <f>Valuation!H4</f>
        <v>35.26446070396824</v>
      </c>
    </row>
    <row r="53" spans="2:15" ht="19.5" customHeight="1">
      <c r="J53" s="909" t="s">
        <v>1568</v>
      </c>
      <c r="K53" s="1193">
        <v>35.159999999999997</v>
      </c>
      <c r="L53" s="1193">
        <v>8.6999999999999993</v>
      </c>
      <c r="M53" s="1193">
        <f>'Model 22A-Tesla'!J139</f>
        <v>11.615799716703883</v>
      </c>
      <c r="N53" s="1193">
        <f>'Model 22A-Tesla'!K139</f>
        <v>9.2003606003260323</v>
      </c>
      <c r="O53" s="1193">
        <f>'Model 22A-Tesla'!L139</f>
        <v>7.2614160226381177</v>
      </c>
    </row>
    <row r="54" spans="2:15" ht="19.5" customHeight="1">
      <c r="J54" s="909" t="s">
        <v>1569</v>
      </c>
      <c r="K54" s="1192">
        <f>'Model 22A-Tesla'!H34/'Model 22A-Tesla'!H7</f>
        <v>0.11784378425580143</v>
      </c>
      <c r="L54" s="1192">
        <f>'Model 22A-Tesla'!I34/'Model 22A-Tesla'!I7</f>
        <v>0.16903022946962679</v>
      </c>
      <c r="M54" s="1192">
        <f>'Model 22A-Tesla'!J34/'Model 22A-Tesla'!J7</f>
        <v>0.11040225519600519</v>
      </c>
      <c r="N54" s="1192">
        <f>'Model 22A-Tesla'!K34/'Model 22A-Tesla'!K7</f>
        <v>0.1264052918944614</v>
      </c>
      <c r="O54" s="1192">
        <f>'Model 22A-Tesla'!L34/'Model 22A-Tesla'!L7</f>
        <v>0.15161150465881951</v>
      </c>
    </row>
    <row r="55" spans="2:15" ht="19.5" customHeight="1">
      <c r="J55" s="909" t="s">
        <v>1570</v>
      </c>
      <c r="K55" s="1192">
        <f>('Model 22A-Tesla'!H34+'Model 22A-Tesla'!H79+'Model 22A-Tesla'!H30)/'Model 22A-Tesla'!H7</f>
        <v>0.17882143321628299</v>
      </c>
      <c r="L55" s="1192">
        <f>('Model 22A-Tesla'!I34+'Model 22A-Tesla'!I79+'Model 22A-Tesla'!I30)/'Model 22A-Tesla'!I7</f>
        <v>0.21737178749668232</v>
      </c>
      <c r="M55" s="1192">
        <f>('Model 22A-Tesla'!J34+'Model 22A-Tesla'!J79+'Model 22A-Tesla'!J30)/'Model 22A-Tesla'!J7</f>
        <v>0.15584479576686844</v>
      </c>
      <c r="N55" s="1192">
        <f>('Model 22A-Tesla'!K34+'Model 22A-Tesla'!K79+'Model 22A-Tesla'!K30)/'Model 22A-Tesla'!K7</f>
        <v>0.1692678773225737</v>
      </c>
      <c r="O55" s="1192">
        <f>('Model 22A-Tesla'!L34+'Model 22A-Tesla'!L79+'Model 22A-Tesla'!L30)/'Model 22A-Tesla'!L7</f>
        <v>0.19214415781626154</v>
      </c>
    </row>
    <row r="56" spans="2:15" ht="19.5" customHeight="1"/>
    <row r="59" spans="2:15">
      <c r="B59" s="1587"/>
      <c r="C59" s="1588" t="s">
        <v>1963</v>
      </c>
      <c r="D59" s="1588" t="s">
        <v>1964</v>
      </c>
      <c r="E59" s="1588" t="s">
        <v>1965</v>
      </c>
      <c r="F59" s="1588" t="s">
        <v>1966</v>
      </c>
      <c r="G59" s="1588" t="s">
        <v>1844</v>
      </c>
      <c r="H59" s="1588" t="s">
        <v>1845</v>
      </c>
      <c r="I59" s="1588" t="s">
        <v>1846</v>
      </c>
      <c r="J59" s="1588" t="s">
        <v>1847</v>
      </c>
      <c r="K59" s="1588" t="s">
        <v>1848</v>
      </c>
      <c r="L59" s="1588" t="s">
        <v>1839</v>
      </c>
      <c r="M59" s="1588" t="s">
        <v>1849</v>
      </c>
    </row>
    <row r="60" spans="2:15">
      <c r="B60" s="1589" t="s">
        <v>1955</v>
      </c>
      <c r="C60" s="1590">
        <v>18.48</v>
      </c>
      <c r="D60" s="1590">
        <v>20.125</v>
      </c>
      <c r="E60" s="1590">
        <v>24.130000000000003</v>
      </c>
      <c r="F60" s="1590">
        <v>30.860000000000003</v>
      </c>
      <c r="G60" s="1590">
        <v>31.004800000000003</v>
      </c>
      <c r="H60" s="1590">
        <v>25.4695</v>
      </c>
      <c r="I60" s="1590">
        <v>34.383000000000003</v>
      </c>
      <c r="J60" s="1590">
        <v>40.527799999999999</v>
      </c>
      <c r="K60" s="1590">
        <v>42.287500000000001</v>
      </c>
      <c r="L60" s="1590">
        <v>46.614000000000004</v>
      </c>
      <c r="M60" s="1590">
        <v>43.505900000000004</v>
      </c>
    </row>
    <row r="61" spans="2:15">
      <c r="B61" s="1587" t="s">
        <v>1967</v>
      </c>
      <c r="C61" s="1579"/>
      <c r="D61" s="1579"/>
      <c r="E61" s="1579"/>
      <c r="F61" s="1579"/>
      <c r="G61" s="1596">
        <f t="shared" ref="G61:M61" si="3">G60/C60-1</f>
        <v>0.67774891774891777</v>
      </c>
      <c r="H61" s="1596">
        <f t="shared" si="3"/>
        <v>0.26556521739130434</v>
      </c>
      <c r="I61" s="1596">
        <f t="shared" si="3"/>
        <v>0.42490675507666809</v>
      </c>
      <c r="J61" s="1596">
        <f t="shared" si="3"/>
        <v>0.31327932598833419</v>
      </c>
      <c r="K61" s="1596">
        <f t="shared" si="3"/>
        <v>0.36390171844359576</v>
      </c>
      <c r="L61" s="1596">
        <f t="shared" si="3"/>
        <v>0.83018904964761786</v>
      </c>
      <c r="M61" s="1596">
        <f t="shared" si="3"/>
        <v>0.26533170462146982</v>
      </c>
    </row>
    <row r="62" spans="2:15">
      <c r="B62" s="1589" t="s">
        <v>1855</v>
      </c>
      <c r="C62" s="1590">
        <v>680.74961400000007</v>
      </c>
      <c r="D62" s="1590">
        <v>772.14001800000005</v>
      </c>
      <c r="E62" s="1590">
        <v>886.55610799999999</v>
      </c>
      <c r="F62" s="1590">
        <v>1125.6171940000002</v>
      </c>
      <c r="G62" s="1590">
        <v>1189.1116440000001</v>
      </c>
      <c r="H62" s="1590">
        <v>1134.459462</v>
      </c>
      <c r="I62" s="1590">
        <v>1526.3019219999999</v>
      </c>
      <c r="J62" s="1590">
        <v>1677.261096</v>
      </c>
      <c r="K62" s="1590">
        <v>1602.515668</v>
      </c>
      <c r="L62" s="1590">
        <v>1807.7808210000001</v>
      </c>
      <c r="M62" s="1590">
        <v>1703.7560999999998</v>
      </c>
    </row>
    <row r="63" spans="2:15">
      <c r="B63" s="1587" t="s">
        <v>1967</v>
      </c>
      <c r="C63" s="1581"/>
      <c r="D63" s="1581"/>
      <c r="E63" s="1581"/>
      <c r="F63" s="1581"/>
      <c r="G63" s="1597">
        <f t="shared" ref="G63:M63" si="4">G62/C62-1</f>
        <v>0.74676800330877602</v>
      </c>
      <c r="H63" s="1597">
        <f t="shared" si="4"/>
        <v>0.46924059827708597</v>
      </c>
      <c r="I63" s="1597">
        <f t="shared" si="4"/>
        <v>0.72160781277928976</v>
      </c>
      <c r="J63" s="1597">
        <f t="shared" si="4"/>
        <v>0.49008126825042053</v>
      </c>
      <c r="K63" s="1597">
        <f t="shared" si="4"/>
        <v>0.34765787223255873</v>
      </c>
      <c r="L63" s="1597">
        <f t="shared" si="4"/>
        <v>0.59351733715805532</v>
      </c>
      <c r="M63" s="1597">
        <f t="shared" si="4"/>
        <v>0.11626413846578387</v>
      </c>
    </row>
    <row r="64" spans="2:15">
      <c r="B64" s="1587" t="s">
        <v>668</v>
      </c>
      <c r="C64" s="1581">
        <v>536.46136200000001</v>
      </c>
      <c r="D64" s="1581">
        <v>614.71591999999998</v>
      </c>
      <c r="E64" s="1581">
        <v>734.21049199999993</v>
      </c>
      <c r="F64" s="1581">
        <v>954.47815000000003</v>
      </c>
      <c r="G64" s="1581">
        <v>983.57208600000001</v>
      </c>
      <c r="H64" s="1581">
        <v>915.79431</v>
      </c>
      <c r="I64" s="1581">
        <v>1265.2782550000002</v>
      </c>
      <c r="J64" s="1581">
        <v>1396.0622519999999</v>
      </c>
      <c r="K64" s="1581">
        <v>1296.767576</v>
      </c>
      <c r="L64" s="1581">
        <v>1480.847137</v>
      </c>
      <c r="M64" s="1581">
        <v>1355.854212</v>
      </c>
    </row>
    <row r="65" spans="2:16">
      <c r="B65" s="1587" t="s">
        <v>1967</v>
      </c>
      <c r="C65" s="1581"/>
      <c r="D65" s="1581"/>
      <c r="E65" s="1581"/>
      <c r="F65" s="1581"/>
      <c r="G65" s="1597">
        <f t="shared" ref="G65:M65" si="5">G64/C64-1</f>
        <v>0.83344441123049595</v>
      </c>
      <c r="H65" s="1597">
        <f t="shared" si="5"/>
        <v>0.48978459838814659</v>
      </c>
      <c r="I65" s="1597">
        <f t="shared" si="5"/>
        <v>0.7233181339500665</v>
      </c>
      <c r="J65" s="1597">
        <f t="shared" si="5"/>
        <v>0.46264453722696519</v>
      </c>
      <c r="K65" s="1597">
        <f t="shared" si="5"/>
        <v>0.31842657437921629</v>
      </c>
      <c r="L65" s="1597">
        <f t="shared" si="5"/>
        <v>0.61700844920078168</v>
      </c>
      <c r="M65" s="1597">
        <f t="shared" si="5"/>
        <v>7.1585800705947999E-2</v>
      </c>
    </row>
    <row r="66" spans="2:16">
      <c r="B66" s="1587" t="s">
        <v>1952</v>
      </c>
      <c r="C66" s="1581">
        <f t="shared" ref="C66:M66" si="6">C62-C64</f>
        <v>144.28825200000006</v>
      </c>
      <c r="D66" s="1581">
        <f t="shared" si="6"/>
        <v>157.42409800000007</v>
      </c>
      <c r="E66" s="1581">
        <f t="shared" si="6"/>
        <v>152.34561600000006</v>
      </c>
      <c r="F66" s="1581">
        <f t="shared" si="6"/>
        <v>171.13904400000013</v>
      </c>
      <c r="G66" s="1598">
        <f t="shared" si="6"/>
        <v>205.53955800000006</v>
      </c>
      <c r="H66" s="1598">
        <f t="shared" si="6"/>
        <v>218.66515200000003</v>
      </c>
      <c r="I66" s="1598">
        <f t="shared" si="6"/>
        <v>261.0236669999997</v>
      </c>
      <c r="J66" s="1598">
        <f t="shared" si="6"/>
        <v>281.19884400000001</v>
      </c>
      <c r="K66" s="1598">
        <f t="shared" si="6"/>
        <v>305.74809200000004</v>
      </c>
      <c r="L66" s="1598">
        <f t="shared" si="6"/>
        <v>326.93368400000008</v>
      </c>
      <c r="M66" s="1598">
        <f t="shared" si="6"/>
        <v>347.90188799999987</v>
      </c>
    </row>
    <row r="67" spans="2:16">
      <c r="B67" s="1587" t="s">
        <v>1967</v>
      </c>
      <c r="C67" s="1581"/>
      <c r="D67" s="1581"/>
      <c r="E67" s="1581"/>
      <c r="F67" s="1581"/>
      <c r="G67" s="1597">
        <f t="shared" ref="G67:M67" si="7">G66/C66-1</f>
        <v>0.42450653570881136</v>
      </c>
      <c r="H67" s="1597">
        <f t="shared" si="7"/>
        <v>0.38901956420928596</v>
      </c>
      <c r="I67" s="1597">
        <f t="shared" si="7"/>
        <v>0.71336513549559299</v>
      </c>
      <c r="J67" s="1597">
        <f t="shared" si="7"/>
        <v>0.64310164079214904</v>
      </c>
      <c r="K67" s="1597">
        <f t="shared" si="7"/>
        <v>0.48753891939380334</v>
      </c>
      <c r="L67" s="1597">
        <f t="shared" si="7"/>
        <v>0.49513391141538654</v>
      </c>
      <c r="M67" s="1597">
        <f t="shared" si="7"/>
        <v>0.33283656611873536</v>
      </c>
    </row>
    <row r="68" spans="2:16">
      <c r="B68" s="1589" t="s">
        <v>1862</v>
      </c>
      <c r="C68" s="1591">
        <v>535.60952399999996</v>
      </c>
      <c r="D68" s="1591">
        <v>585.91725399999996</v>
      </c>
      <c r="E68" s="1591">
        <v>650.69106799999997</v>
      </c>
      <c r="F68" s="1591">
        <v>817.70667200000003</v>
      </c>
      <c r="G68" s="1591">
        <v>842.95310400000005</v>
      </c>
      <c r="H68" s="1591">
        <v>850.81110000000001</v>
      </c>
      <c r="I68" s="1591">
        <v>1143.410296</v>
      </c>
      <c r="J68" s="1591">
        <v>1278.8098520000001</v>
      </c>
      <c r="K68" s="1591">
        <v>1292.646056</v>
      </c>
      <c r="L68" s="1591">
        <v>1479.0340619999997</v>
      </c>
      <c r="M68" s="1591">
        <v>1398.9041520000003</v>
      </c>
      <c r="N68" s="1565"/>
      <c r="O68" s="265"/>
      <c r="P68" s="265"/>
    </row>
    <row r="69" spans="2:16">
      <c r="B69" s="1587" t="s">
        <v>1967</v>
      </c>
      <c r="C69" s="1583"/>
      <c r="D69" s="1583"/>
      <c r="E69" s="1583"/>
      <c r="F69" s="1583"/>
      <c r="G69" s="1599">
        <f t="shared" ref="G69:M69" si="8">G68/C68-1</f>
        <v>0.57382022952974987</v>
      </c>
      <c r="H69" s="1599">
        <f t="shared" si="8"/>
        <v>0.45210111870165215</v>
      </c>
      <c r="I69" s="1599">
        <f t="shared" si="8"/>
        <v>0.75722451441426597</v>
      </c>
      <c r="J69" s="1599">
        <f t="shared" si="8"/>
        <v>0.56389802821616208</v>
      </c>
      <c r="K69" s="1599">
        <f t="shared" si="8"/>
        <v>0.5334732737397927</v>
      </c>
      <c r="L69" s="1599">
        <f t="shared" si="8"/>
        <v>0.73838124819951179</v>
      </c>
      <c r="M69" s="1599">
        <f t="shared" si="8"/>
        <v>0.22344897268617947</v>
      </c>
    </row>
    <row r="70" spans="2:16">
      <c r="B70" s="1587" t="s">
        <v>668</v>
      </c>
      <c r="C70" s="1586">
        <v>423.101382</v>
      </c>
      <c r="D70" s="1586">
        <v>459.680949</v>
      </c>
      <c r="E70" s="1586">
        <v>525.21860000000004</v>
      </c>
      <c r="F70" s="1586">
        <v>679.02941399999997</v>
      </c>
      <c r="G70" s="1586">
        <v>691.93668600000001</v>
      </c>
      <c r="H70" s="1586">
        <v>680.17992900000002</v>
      </c>
      <c r="I70" s="1586">
        <v>931.90215699999999</v>
      </c>
      <c r="J70" s="1586">
        <v>1064.444876</v>
      </c>
      <c r="K70" s="1586">
        <v>1059.3680240000001</v>
      </c>
      <c r="L70" s="1586">
        <v>1221.359843</v>
      </c>
      <c r="M70" s="1586">
        <v>1142.3556960000001</v>
      </c>
    </row>
    <row r="71" spans="2:16">
      <c r="B71" s="1587" t="s">
        <v>1967</v>
      </c>
      <c r="C71" s="1592"/>
      <c r="D71" s="1592"/>
      <c r="E71" s="1592"/>
      <c r="F71" s="1592"/>
      <c r="G71" s="1599">
        <f t="shared" ref="G71:M71" si="9">G70/C70-1</f>
        <v>0.63539216707167356</v>
      </c>
      <c r="H71" s="1599">
        <f t="shared" si="9"/>
        <v>0.47967830835643355</v>
      </c>
      <c r="I71" s="1599">
        <f t="shared" si="9"/>
        <v>0.77431293750830599</v>
      </c>
      <c r="J71" s="1599">
        <f t="shared" si="9"/>
        <v>0.56759759452776826</v>
      </c>
      <c r="K71" s="1599">
        <f t="shared" si="9"/>
        <v>0.53101872676252371</v>
      </c>
      <c r="L71" s="1599">
        <f t="shared" si="9"/>
        <v>0.79564228658678915</v>
      </c>
      <c r="M71" s="1599">
        <f t="shared" si="9"/>
        <v>0.22583222650486912</v>
      </c>
    </row>
    <row r="72" spans="2:16">
      <c r="B72" s="1587" t="s">
        <v>1952</v>
      </c>
      <c r="C72" s="1592">
        <f t="shared" ref="C72:M72" si="10">C68-C70</f>
        <v>112.50814199999996</v>
      </c>
      <c r="D72" s="1592">
        <f t="shared" si="10"/>
        <v>126.23630499999996</v>
      </c>
      <c r="E72" s="1592">
        <f t="shared" si="10"/>
        <v>125.47246799999994</v>
      </c>
      <c r="F72" s="1592">
        <f t="shared" si="10"/>
        <v>138.67725800000005</v>
      </c>
      <c r="G72" s="1600">
        <f t="shared" si="10"/>
        <v>151.01641800000004</v>
      </c>
      <c r="H72" s="1600">
        <f t="shared" si="10"/>
        <v>170.63117099999999</v>
      </c>
      <c r="I72" s="1600">
        <f t="shared" si="10"/>
        <v>211.50813900000003</v>
      </c>
      <c r="J72" s="1600">
        <f t="shared" si="10"/>
        <v>214.36497600000007</v>
      </c>
      <c r="K72" s="1600">
        <f t="shared" si="10"/>
        <v>233.27803199999994</v>
      </c>
      <c r="L72" s="1600">
        <f t="shared" si="10"/>
        <v>257.67421899999977</v>
      </c>
      <c r="M72" s="1600">
        <f t="shared" si="10"/>
        <v>256.54845600000021</v>
      </c>
    </row>
    <row r="73" spans="2:16">
      <c r="B73" s="1587" t="s">
        <v>1967</v>
      </c>
      <c r="C73" s="1587"/>
      <c r="D73" s="1587"/>
      <c r="E73" s="1587"/>
      <c r="F73" s="1587"/>
      <c r="G73" s="1597">
        <f t="shared" ref="G73:M73" si="11">G72/C72-1</f>
        <v>0.34227101537238158</v>
      </c>
      <c r="H73" s="1597">
        <f t="shared" si="11"/>
        <v>0.35168065161603113</v>
      </c>
      <c r="I73" s="1597">
        <f t="shared" si="11"/>
        <v>0.68569362164773984</v>
      </c>
      <c r="J73" s="1597">
        <f t="shared" si="11"/>
        <v>0.54578320260701996</v>
      </c>
      <c r="K73" s="1597">
        <f t="shared" si="11"/>
        <v>0.54471967412178901</v>
      </c>
      <c r="L73" s="1597">
        <f t="shared" si="11"/>
        <v>0.5101239561908637</v>
      </c>
      <c r="M73" s="1597">
        <f t="shared" si="11"/>
        <v>0.21294838682307238</v>
      </c>
    </row>
    <row r="74" spans="2:16">
      <c r="B74" s="1589" t="s">
        <v>1866</v>
      </c>
      <c r="C74" s="1593">
        <f t="shared" ref="C74:M74" si="12">(C62-C68)/C62</f>
        <v>0.21320627586870741</v>
      </c>
      <c r="D74" s="1593">
        <f t="shared" si="12"/>
        <v>0.2411774544238168</v>
      </c>
      <c r="E74" s="1593">
        <f t="shared" si="12"/>
        <v>0.2660463763902014</v>
      </c>
      <c r="F74" s="1593">
        <f t="shared" si="12"/>
        <v>0.27354816863254139</v>
      </c>
      <c r="G74" s="1594">
        <f t="shared" si="12"/>
        <v>0.29110684580934099</v>
      </c>
      <c r="H74" s="1594">
        <f t="shared" si="12"/>
        <v>0.25002952639659859</v>
      </c>
      <c r="I74" s="1594">
        <f t="shared" si="12"/>
        <v>0.25086231005873022</v>
      </c>
      <c r="J74" s="1594">
        <f t="shared" si="12"/>
        <v>0.23756065465910017</v>
      </c>
      <c r="K74" s="1594">
        <f t="shared" si="12"/>
        <v>0.19336448197522393</v>
      </c>
      <c r="L74" s="1594">
        <f t="shared" si="12"/>
        <v>0.18185100493440864</v>
      </c>
      <c r="M74" s="1594">
        <f t="shared" si="12"/>
        <v>0.17892933618843657</v>
      </c>
    </row>
    <row r="75" spans="2:16">
      <c r="B75" s="1587" t="s">
        <v>1967</v>
      </c>
      <c r="C75" s="1587"/>
      <c r="D75" s="1587"/>
      <c r="E75" s="1587"/>
      <c r="F75" s="1587"/>
      <c r="G75" s="1601">
        <v>36.53765332339691</v>
      </c>
      <c r="H75" s="1601">
        <v>3.6703563332359357</v>
      </c>
      <c r="I75" s="1601">
        <v>-5.707300560711726</v>
      </c>
      <c r="J75" s="1601">
        <v>-13.155823397883326</v>
      </c>
      <c r="K75" s="1601">
        <v>-33.576113114884606</v>
      </c>
      <c r="L75" s="1601">
        <v>-27.268188059535291</v>
      </c>
      <c r="M75" s="1601">
        <v>-28.674285050413985</v>
      </c>
    </row>
    <row r="76" spans="2:16">
      <c r="B76" s="1587" t="s">
        <v>668</v>
      </c>
      <c r="C76" s="1582">
        <f t="shared" ref="C76:M76" si="13">(C64-C70)/C64</f>
        <v>0.21131061438866497</v>
      </c>
      <c r="D76" s="1582">
        <f t="shared" si="13"/>
        <v>0.25220588235294117</v>
      </c>
      <c r="E76" s="1582">
        <f t="shared" si="13"/>
        <v>0.28464846835776342</v>
      </c>
      <c r="F76" s="1582">
        <f t="shared" si="13"/>
        <v>0.28858569051580701</v>
      </c>
      <c r="G76" s="1582">
        <f t="shared" si="13"/>
        <v>0.29650638133298957</v>
      </c>
      <c r="H76" s="1582">
        <f t="shared" si="13"/>
        <v>0.25727871250914408</v>
      </c>
      <c r="I76" s="1582">
        <f t="shared" si="13"/>
        <v>0.26348046106269341</v>
      </c>
      <c r="J76" s="1582">
        <f t="shared" si="13"/>
        <v>0.23753767106368257</v>
      </c>
      <c r="K76" s="1582">
        <f t="shared" si="13"/>
        <v>0.18307024049157739</v>
      </c>
      <c r="L76" s="1582">
        <f t="shared" si="13"/>
        <v>0.17522895342573094</v>
      </c>
      <c r="M76" s="1582">
        <f t="shared" si="13"/>
        <v>0.15746421267893651</v>
      </c>
    </row>
    <row r="77" spans="2:16">
      <c r="B77" s="1587" t="s">
        <v>1967</v>
      </c>
      <c r="C77" s="1582"/>
      <c r="D77" s="1582"/>
      <c r="E77" s="1582"/>
      <c r="F77" s="1582"/>
      <c r="G77" s="1601">
        <v>40.317788668970266</v>
      </c>
      <c r="H77" s="1601">
        <v>2.0113845517305995</v>
      </c>
      <c r="I77" s="1601">
        <v>-7.4365435434083471</v>
      </c>
      <c r="J77" s="1601">
        <v>-17.689033493269601</v>
      </c>
      <c r="K77" s="1601">
        <v>-38.257571500297139</v>
      </c>
      <c r="L77" s="1601">
        <v>-31.891390579194134</v>
      </c>
      <c r="M77" s="1601">
        <v>-40.236853980049418</v>
      </c>
    </row>
    <row r="78" spans="2:16">
      <c r="B78" s="1587" t="s">
        <v>1952</v>
      </c>
      <c r="C78" s="1582">
        <f t="shared" ref="C78:M78" si="14">(C66-C72)/C66</f>
        <v>0.22025431425976441</v>
      </c>
      <c r="D78" s="1582">
        <f t="shared" si="14"/>
        <v>0.19811320754717043</v>
      </c>
      <c r="E78" s="1582">
        <f t="shared" si="14"/>
        <v>0.17639593908629519</v>
      </c>
      <c r="F78" s="1582">
        <f t="shared" si="14"/>
        <v>0.18968077208611758</v>
      </c>
      <c r="G78" s="1580">
        <f t="shared" si="14"/>
        <v>0.26526835286859962</v>
      </c>
      <c r="H78" s="1580">
        <f t="shared" si="14"/>
        <v>0.21966911764705896</v>
      </c>
      <c r="I78" s="1580">
        <f t="shared" si="14"/>
        <v>0.18969746524938572</v>
      </c>
      <c r="J78" s="1584">
        <f t="shared" si="14"/>
        <v>0.23767476085356856</v>
      </c>
      <c r="K78" s="1584">
        <f t="shared" si="14"/>
        <v>0.23702538755335911</v>
      </c>
      <c r="L78" s="1584">
        <f t="shared" si="14"/>
        <v>0.21184560780834163</v>
      </c>
      <c r="M78" s="1584">
        <f t="shared" si="14"/>
        <v>0.2625838926174488</v>
      </c>
    </row>
    <row r="79" spans="2:16">
      <c r="B79" s="1587" t="s">
        <v>1967</v>
      </c>
      <c r="C79" s="1587"/>
      <c r="D79" s="1587"/>
      <c r="E79" s="1587"/>
      <c r="F79" s="1587"/>
      <c r="G79" s="1602">
        <v>20.437301652918528</v>
      </c>
      <c r="H79" s="1602">
        <v>10.880602240896087</v>
      </c>
      <c r="I79" s="1602">
        <v>7.5407213068455325</v>
      </c>
      <c r="J79" s="1602">
        <v>25.302506015560233</v>
      </c>
      <c r="K79" s="1602">
        <v>-10.646941110698805</v>
      </c>
      <c r="L79" s="1602">
        <v>-3.5614973659098048</v>
      </c>
      <c r="M79" s="1602">
        <v>38.422457185836919</v>
      </c>
    </row>
    <row r="80" spans="2:16">
      <c r="B80" s="1589" t="s">
        <v>1894</v>
      </c>
      <c r="C80" s="1595">
        <v>28.700388</v>
      </c>
      <c r="D80" s="1595">
        <v>73.740082000000001</v>
      </c>
      <c r="E80" s="1595">
        <v>104.270392</v>
      </c>
      <c r="F80" s="1595">
        <v>147.44384600000001</v>
      </c>
      <c r="G80" s="1595">
        <v>210.35788199999999</v>
      </c>
      <c r="H80" s="1595">
        <v>151.337187</v>
      </c>
      <c r="I80" s="1595">
        <v>234.20275600000002</v>
      </c>
      <c r="J80" s="1595">
        <v>254.29976400000001</v>
      </c>
      <c r="K80" s="1595">
        <v>172.62299600000003</v>
      </c>
      <c r="L80" s="1595">
        <v>196.02966900000001</v>
      </c>
      <c r="M80" s="1595">
        <v>135.20599799999999</v>
      </c>
    </row>
    <row r="81" spans="2:13">
      <c r="B81" s="1587" t="s">
        <v>1967</v>
      </c>
      <c r="C81" s="1587"/>
      <c r="D81" s="1587"/>
      <c r="E81" s="1587"/>
      <c r="F81" s="1587"/>
      <c r="G81" s="1599">
        <f t="shared" ref="G81:M81" si="15">G80/C80-1</f>
        <v>6.3294438388777179</v>
      </c>
      <c r="H81" s="1599">
        <f t="shared" si="15"/>
        <v>1.0523056510840334</v>
      </c>
      <c r="I81" s="1599">
        <f t="shared" si="15"/>
        <v>1.2461098640542181</v>
      </c>
      <c r="J81" s="1599">
        <f t="shared" si="15"/>
        <v>0.72472280735270567</v>
      </c>
      <c r="K81" s="1599">
        <f t="shared" si="15"/>
        <v>-0.17938422673413279</v>
      </c>
      <c r="L81" s="1599">
        <f t="shared" si="15"/>
        <v>0.29531725074287274</v>
      </c>
      <c r="M81" s="1599">
        <f t="shared" si="15"/>
        <v>-0.42269681062164788</v>
      </c>
    </row>
    <row r="82" spans="2:13">
      <c r="B82" s="1589" t="s">
        <v>1968</v>
      </c>
      <c r="C82" s="1593">
        <f t="shared" ref="C82:M82" si="16">C80/C62</f>
        <v>4.2159976898642794E-2</v>
      </c>
      <c r="D82" s="1593">
        <f t="shared" si="16"/>
        <v>9.5500919886268604E-2</v>
      </c>
      <c r="E82" s="1593">
        <f t="shared" si="16"/>
        <v>0.11761285163916552</v>
      </c>
      <c r="F82" s="1593">
        <f t="shared" si="16"/>
        <v>0.13098933348383091</v>
      </c>
      <c r="G82" s="1585">
        <f t="shared" si="16"/>
        <v>0.1769033909149072</v>
      </c>
      <c r="H82" s="1585">
        <f t="shared" si="16"/>
        <v>0.13340025983229006</v>
      </c>
      <c r="I82" s="1585">
        <f t="shared" si="16"/>
        <v>0.15344457909946865</v>
      </c>
      <c r="J82" s="1593">
        <f t="shared" si="16"/>
        <v>0.15161608684924749</v>
      </c>
      <c r="K82" s="1593">
        <f t="shared" si="16"/>
        <v>0.10772000514381244</v>
      </c>
      <c r="L82" s="1593">
        <f t="shared" si="16"/>
        <v>0.10843663497412445</v>
      </c>
      <c r="M82" s="1593">
        <f t="shared" si="16"/>
        <v>7.9357601713062109E-2</v>
      </c>
    </row>
    <row r="83" spans="2:13">
      <c r="B83" s="1587" t="s">
        <v>1967</v>
      </c>
      <c r="C83" s="1587"/>
      <c r="D83" s="1587"/>
      <c r="E83" s="1587"/>
      <c r="F83" s="1587"/>
      <c r="G83" s="1602">
        <v>319.60030324542714</v>
      </c>
      <c r="H83" s="1602">
        <v>39.684790461867301</v>
      </c>
      <c r="I83" s="1602">
        <v>30.465826617514846</v>
      </c>
      <c r="J83" s="1602">
        <v>15.746895427911101</v>
      </c>
      <c r="K83" s="1602">
        <v>-39.108004325577262</v>
      </c>
      <c r="L83" s="1602">
        <v>-18.713325513420831</v>
      </c>
      <c r="M83" s="1602">
        <v>-48.282564181286936</v>
      </c>
    </row>
    <row r="84" spans="2:13">
      <c r="B84" s="1589" t="s">
        <v>1969</v>
      </c>
      <c r="C84" s="1591">
        <v>29.029294480519482</v>
      </c>
      <c r="D84" s="1591">
        <v>30.544890434782609</v>
      </c>
      <c r="E84" s="1591">
        <v>30.42728934935764</v>
      </c>
      <c r="F84" s="1591">
        <v>30.929298444588461</v>
      </c>
      <c r="G84" s="1591">
        <v>31.723219824027243</v>
      </c>
      <c r="H84" s="1591">
        <v>35.956509158012523</v>
      </c>
      <c r="I84" s="1591">
        <v>36.799530436552949</v>
      </c>
      <c r="J84" s="1591">
        <v>34.447027768593408</v>
      </c>
      <c r="K84" s="1591">
        <v>30.665505787762342</v>
      </c>
      <c r="L84" s="1591">
        <v>31.76829143604925</v>
      </c>
      <c r="M84" s="1591">
        <v>31.164835390142482</v>
      </c>
    </row>
    <row r="85" spans="2:13">
      <c r="B85" s="1587" t="s">
        <v>1967</v>
      </c>
      <c r="C85" s="1586"/>
      <c r="D85" s="1586"/>
      <c r="E85" s="1586"/>
      <c r="F85" s="1586"/>
      <c r="G85" s="1599">
        <f t="shared" ref="G85:M85" si="17">G84/C84-1</f>
        <v>9.2800234787502545E-2</v>
      </c>
      <c r="H85" s="1599">
        <f t="shared" si="17"/>
        <v>0.17716936110098147</v>
      </c>
      <c r="I85" s="1599">
        <f t="shared" si="17"/>
        <v>0.20942519769115875</v>
      </c>
      <c r="J85" s="1599">
        <f t="shared" si="17"/>
        <v>0.1137345333036619</v>
      </c>
      <c r="K85" s="1599">
        <f t="shared" si="17"/>
        <v>-3.3341950852787794E-2</v>
      </c>
      <c r="L85" s="1599">
        <f t="shared" si="17"/>
        <v>-0.11648009831983297</v>
      </c>
      <c r="M85" s="1599">
        <f t="shared" si="17"/>
        <v>-0.15311866699292254</v>
      </c>
    </row>
    <row r="86" spans="2:13">
      <c r="B86" s="1587" t="s">
        <v>1970</v>
      </c>
      <c r="C86" s="1586">
        <v>1.5530512987012988</v>
      </c>
      <c r="D86" s="1586">
        <v>3.6641034534161498</v>
      </c>
      <c r="E86" s="1586">
        <v>4.321193203481144</v>
      </c>
      <c r="F86" s="1586">
        <v>4.7778303953337655</v>
      </c>
      <c r="G86" s="1586">
        <v>6.7846875967592108</v>
      </c>
      <c r="H86" s="1586">
        <v>5.9418986238442066</v>
      </c>
      <c r="I86" s="1586">
        <v>6.8115858418404445</v>
      </c>
      <c r="J86" s="1586">
        <v>6.2746994408776207</v>
      </c>
      <c r="K86" s="1586">
        <v>4.082128193910731</v>
      </c>
      <c r="L86" s="1586">
        <v>4.2053818380743984</v>
      </c>
      <c r="M86" s="1586">
        <v>3.1077623494744389</v>
      </c>
    </row>
    <row r="87" spans="2:13">
      <c r="B87" s="1587" t="s">
        <v>1967</v>
      </c>
      <c r="C87" s="1586"/>
      <c r="D87" s="1586"/>
      <c r="E87" s="1586"/>
      <c r="F87" s="1586"/>
      <c r="G87" s="1599">
        <f t="shared" ref="G87:M87" si="18">G86/C86-1</f>
        <v>3.3686178315119015</v>
      </c>
      <c r="H87" s="1599">
        <f t="shared" si="18"/>
        <v>0.6216514351701512</v>
      </c>
      <c r="I87" s="1599">
        <f t="shared" si="18"/>
        <v>0.57632059505070155</v>
      </c>
      <c r="J87" s="1599">
        <f t="shared" si="18"/>
        <v>0.31329472201561659</v>
      </c>
      <c r="K87" s="1599">
        <f t="shared" si="18"/>
        <v>-0.39833218026713424</v>
      </c>
      <c r="L87" s="1599">
        <f t="shared" si="18"/>
        <v>-0.29224948046090038</v>
      </c>
      <c r="M87" s="1599">
        <f t="shared" si="18"/>
        <v>-0.54375347802491425</v>
      </c>
    </row>
    <row r="88" spans="2:13">
      <c r="B88" s="1587" t="s">
        <v>1971</v>
      </c>
      <c r="C88" s="1586">
        <v>1.4537694805194805</v>
      </c>
      <c r="D88" s="1586">
        <v>3.5197210931677017</v>
      </c>
      <c r="E88" s="1586">
        <v>4.3372174057190218</v>
      </c>
      <c r="F88" s="1586">
        <v>4.6378508749189882</v>
      </c>
      <c r="G88" s="1586">
        <v>6.6701781014552575</v>
      </c>
      <c r="H88" s="1586">
        <v>5.8682495926500318</v>
      </c>
      <c r="I88" s="1586">
        <v>6.9874621469912457</v>
      </c>
      <c r="J88" s="1586">
        <v>6.3461768958591396</v>
      </c>
      <c r="K88" s="1586">
        <v>4.1600996039018634</v>
      </c>
      <c r="L88" s="1586">
        <v>3.6950728321963355</v>
      </c>
      <c r="M88" s="1586">
        <v>3.0457077315950243</v>
      </c>
    </row>
    <row r="89" spans="2:13">
      <c r="B89" s="1587" t="s">
        <v>1967</v>
      </c>
      <c r="C89" s="1586"/>
      <c r="D89" s="1586"/>
      <c r="E89" s="1586"/>
      <c r="F89" s="1586"/>
      <c r="G89" s="1599">
        <f t="shared" ref="G89:M89" si="19">G88/C88-1</f>
        <v>3.5881951649389281</v>
      </c>
      <c r="H89" s="1599">
        <f t="shared" si="19"/>
        <v>0.66724846580633068</v>
      </c>
      <c r="I89" s="1599">
        <f t="shared" si="19"/>
        <v>0.61104724374149</v>
      </c>
      <c r="J89" s="1599">
        <f t="shared" si="19"/>
        <v>0.368344318740087</v>
      </c>
      <c r="K89" s="1599">
        <f t="shared" si="19"/>
        <v>-0.37631356455171128</v>
      </c>
      <c r="L89" s="1599">
        <f t="shared" si="19"/>
        <v>-0.37032793614906812</v>
      </c>
      <c r="M89" s="1599">
        <f t="shared" si="19"/>
        <v>-0.5641181780274136</v>
      </c>
    </row>
    <row r="90" spans="2:13">
      <c r="B90" s="1587" t="s">
        <v>1972</v>
      </c>
      <c r="C90" s="1586">
        <v>2.1783717532467533</v>
      </c>
      <c r="D90" s="1586">
        <v>2.1854951552795034</v>
      </c>
      <c r="E90" s="1586">
        <v>2.0405238292581847</v>
      </c>
      <c r="F90" s="1586">
        <v>1.6508253402462736</v>
      </c>
      <c r="G90" s="1586">
        <v>1.8017007044070594</v>
      </c>
      <c r="H90" s="1586">
        <v>2.3932939398103619</v>
      </c>
      <c r="I90" s="1586">
        <v>1.9050964139254867</v>
      </c>
      <c r="J90" s="1586">
        <v>1.7350680273787378</v>
      </c>
      <c r="K90" s="1586">
        <v>1.6922882648536801</v>
      </c>
      <c r="L90" s="1586">
        <v>1.7370946496760631</v>
      </c>
      <c r="M90" s="1586">
        <v>2.0564111994005412</v>
      </c>
    </row>
    <row r="91" spans="2:13">
      <c r="B91" s="1587" t="s">
        <v>1967</v>
      </c>
      <c r="C91" s="1586"/>
      <c r="D91" s="1586"/>
      <c r="E91" s="1586"/>
      <c r="F91" s="1586"/>
      <c r="G91" s="1599">
        <f t="shared" ref="G91:M91" si="20">G90/C90-1</f>
        <v>-0.17291403465835642</v>
      </c>
      <c r="H91" s="1599">
        <f t="shared" si="20"/>
        <v>9.5080871732375449E-2</v>
      </c>
      <c r="I91" s="1599">
        <f t="shared" si="20"/>
        <v>-6.6368945753469299E-2</v>
      </c>
      <c r="J91" s="1599">
        <f t="shared" si="20"/>
        <v>5.1030648172565973E-2</v>
      </c>
      <c r="K91" s="1599">
        <f t="shared" si="20"/>
        <v>-6.0727311304119791E-2</v>
      </c>
      <c r="L91" s="1599">
        <f t="shared" si="20"/>
        <v>-0.27418248933780953</v>
      </c>
      <c r="M91" s="1599">
        <f t="shared" si="20"/>
        <v>7.9426313738771626E-2</v>
      </c>
    </row>
    <row r="92" spans="2:13">
      <c r="B92" s="1587" t="s">
        <v>1973</v>
      </c>
      <c r="C92" s="1586">
        <v>2.3614889610389613</v>
      </c>
      <c r="D92" s="1586">
        <v>1.848094211180124</v>
      </c>
      <c r="E92" s="1586">
        <v>1.6317979278905925</v>
      </c>
      <c r="F92" s="1586">
        <v>1.5233065456902137</v>
      </c>
      <c r="G92" s="1586">
        <v>1.7687627399628445</v>
      </c>
      <c r="H92" s="1586">
        <v>1.7544251359469172</v>
      </c>
      <c r="I92" s="1586">
        <v>1.516674490300439</v>
      </c>
      <c r="J92" s="1586">
        <v>1.3784937746435779</v>
      </c>
      <c r="K92" s="1586">
        <v>1.2524157729825596</v>
      </c>
      <c r="L92" s="1586">
        <v>1.4671383918994292</v>
      </c>
      <c r="M92" s="1586">
        <v>1.9471732799459385</v>
      </c>
    </row>
    <row r="93" spans="2:13">
      <c r="B93" s="1587" t="s">
        <v>1967</v>
      </c>
      <c r="C93" s="1587"/>
      <c r="D93" s="1587"/>
      <c r="E93" s="1587"/>
      <c r="F93" s="1587"/>
      <c r="G93" s="1597">
        <f t="shared" ref="G93:M93" si="21">G92/C92-1</f>
        <v>-0.25099682058871065</v>
      </c>
      <c r="H93" s="1597">
        <f t="shared" si="21"/>
        <v>-5.0684145140735604E-2</v>
      </c>
      <c r="I93" s="1597">
        <f t="shared" si="21"/>
        <v>-7.0550057468802163E-2</v>
      </c>
      <c r="J93" s="1597">
        <f t="shared" si="21"/>
        <v>-9.5064759917394603E-2</v>
      </c>
      <c r="K93" s="1597">
        <f t="shared" si="21"/>
        <v>-0.29192551115766474</v>
      </c>
      <c r="L93" s="1597">
        <f t="shared" si="21"/>
        <v>-0.16374978798535655</v>
      </c>
      <c r="M93" s="1597">
        <f t="shared" si="21"/>
        <v>0.2838438916185777</v>
      </c>
    </row>
    <row r="94" spans="2:13">
      <c r="C94" s="1574"/>
      <c r="D94" s="1574"/>
      <c r="E94" s="1574"/>
      <c r="F94" s="1574"/>
      <c r="G94" s="1574"/>
      <c r="H94" s="1574"/>
      <c r="I94" s="1574"/>
      <c r="J94" s="1574"/>
      <c r="K94" s="1574"/>
      <c r="L94" s="1574"/>
      <c r="M94" s="1574"/>
    </row>
    <row r="95" spans="2:13">
      <c r="J95" s="667"/>
    </row>
    <row r="96" spans="2:13">
      <c r="J96" s="667"/>
    </row>
    <row r="97" spans="10:10">
      <c r="J97" s="667"/>
    </row>
  </sheetData>
  <mergeCells count="1">
    <mergeCell ref="C2:G2"/>
  </mergeCells>
  <phoneticPr fontId="4"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96B64-4D71-4D76-BF45-BE407B5AD1DF}">
  <dimension ref="A1:AEG2106"/>
  <sheetViews>
    <sheetView topLeftCell="Y1" zoomScale="85" zoomScaleNormal="85" workbookViewId="0">
      <selection activeCell="B25" sqref="B25"/>
    </sheetView>
  </sheetViews>
  <sheetFormatPr defaultColWidth="8.83203125" defaultRowHeight="14"/>
  <cols>
    <col min="1" max="1" width="11.1640625" bestFit="1" customWidth="1"/>
    <col min="2" max="2" width="12.4140625" customWidth="1"/>
    <col min="3" max="5" width="11.75" bestFit="1" customWidth="1"/>
    <col min="6" max="6" width="21.75" bestFit="1" customWidth="1"/>
    <col min="7" max="7" width="25.25" bestFit="1" customWidth="1"/>
    <col min="8" max="8" width="13.75" bestFit="1" customWidth="1"/>
    <col min="9" max="9" width="13.4140625" bestFit="1" customWidth="1"/>
    <col min="10" max="10" width="11.4140625" bestFit="1" customWidth="1"/>
    <col min="11" max="11" width="13.1640625" bestFit="1" customWidth="1"/>
    <col min="266" max="272" width="10.1640625" bestFit="1" customWidth="1"/>
    <col min="273" max="281" width="9" bestFit="1" customWidth="1"/>
    <col min="282" max="303" width="10" bestFit="1" customWidth="1"/>
    <col min="304" max="309" width="9" bestFit="1" customWidth="1"/>
    <col min="310" max="316" width="10" bestFit="1" customWidth="1"/>
    <col min="769" max="777" width="10.75" bestFit="1" customWidth="1"/>
    <col min="778" max="786" width="9.75" bestFit="1" customWidth="1"/>
    <col min="787" max="805" width="10.75" bestFit="1" customWidth="1"/>
    <col min="806" max="812" width="9.75" bestFit="1" customWidth="1"/>
    <col min="813" max="813" width="10.75" bestFit="1" customWidth="1"/>
    <col min="814" max="818" width="9.75" bestFit="1" customWidth="1"/>
    <col min="819" max="822" width="10.75" bestFit="1" customWidth="1"/>
  </cols>
  <sheetData>
    <row r="1" spans="1:8">
      <c r="A1" t="s">
        <v>1974</v>
      </c>
    </row>
    <row r="2" spans="1:8">
      <c r="A2" t="s">
        <v>1975</v>
      </c>
    </row>
    <row r="7" spans="1:8">
      <c r="A7">
        <v>83940</v>
      </c>
      <c r="B7">
        <v>101027</v>
      </c>
      <c r="C7">
        <v>214459</v>
      </c>
      <c r="D7">
        <v>365232</v>
      </c>
      <c r="E7">
        <v>356554</v>
      </c>
      <c r="F7">
        <v>472000</v>
      </c>
      <c r="G7">
        <v>590000</v>
      </c>
      <c r="H7">
        <v>590000</v>
      </c>
    </row>
    <row r="9" spans="1:8">
      <c r="A9" t="s">
        <v>1976</v>
      </c>
    </row>
    <row r="10" spans="1:8">
      <c r="A10" s="66">
        <f>'Earning Forecast'!B5/'Earning Forecast'!B39</f>
        <v>0.90723599522237375</v>
      </c>
      <c r="B10" s="66">
        <f>'Earning Forecast'!C5/'Earning Forecast'!C39</f>
        <v>0.81993178113155563</v>
      </c>
      <c r="C10" s="66">
        <f>'Earning Forecast'!D5/'Earning Forecast'!D39</f>
        <v>0.86271341236114218</v>
      </c>
      <c r="D10" s="66">
        <f>'Earning Forecast'!E5/'Earning Forecast'!E39</f>
        <v>0.847139718447392</v>
      </c>
      <c r="E10" s="66">
        <f>'Earning Forecast'!F5/'Earning Forecast'!F39</f>
        <v>0.86364789446981227</v>
      </c>
    </row>
    <row r="12" spans="1:8">
      <c r="A12" t="s">
        <v>1977</v>
      </c>
    </row>
    <row r="13" spans="1:8">
      <c r="A13" s="66">
        <f>('Earning Forecast'!C59/'Earning Forecast'!B59-1)*(-1)</f>
        <v>-1.8975015717046593</v>
      </c>
      <c r="B13" s="66">
        <f>('Earning Forecast'!D59/'Earning Forecast'!C59-1)*(-1)</f>
        <v>0.60905298535382357</v>
      </c>
      <c r="C13" s="66">
        <f>('Earning Forecast'!E59/'Earning Forecast'!D59-1)*(-1)</f>
        <v>0.11497653831352217</v>
      </c>
      <c r="D13" s="66">
        <f>('Earning Forecast'!F59-'Earning Forecast'!E59)/'Earning Forecast'!E59*(-1)</f>
        <v>2.1122580645161291</v>
      </c>
    </row>
    <row r="15" spans="1:8">
      <c r="A15" t="s">
        <v>1978</v>
      </c>
    </row>
    <row r="16" spans="1:8">
      <c r="A16" s="66">
        <f>'Earning Forecast'!B45/('Earning Forecast'!B43+'Earning Forecast'!B45)</f>
        <v>0.3681324911309774</v>
      </c>
      <c r="B16" s="66">
        <f>'Earning Forecast'!C45/('Earning Forecast'!C43+'Earning Forecast'!C45)</f>
        <v>0.35751638378621964</v>
      </c>
      <c r="C16" s="66">
        <f>'Earning Forecast'!D45/('Earning Forecast'!D43+'Earning Forecast'!D45)</f>
        <v>0.34002730239698092</v>
      </c>
      <c r="D16" s="66">
        <f>'Earning Forecast'!E45/('Earning Forecast'!E43+'Earning Forecast'!E45)</f>
        <v>0.32455292411793135</v>
      </c>
      <c r="E16" s="66">
        <f>'Earning Forecast'!F45/('Earning Forecast'!F43+'Earning Forecast'!F45)</f>
        <v>0.3216134598792062</v>
      </c>
    </row>
    <row r="18" spans="1:4">
      <c r="A18">
        <v>316.02499999999998</v>
      </c>
    </row>
    <row r="20" spans="1:4">
      <c r="A20" t="s">
        <v>1979</v>
      </c>
    </row>
    <row r="21" spans="1:4">
      <c r="A21" t="s">
        <v>1980</v>
      </c>
      <c r="B21" t="s">
        <v>1981</v>
      </c>
      <c r="C21" t="s">
        <v>1982</v>
      </c>
    </row>
    <row r="22" spans="1:4">
      <c r="A22" t="s">
        <v>1983</v>
      </c>
      <c r="B22">
        <v>46.79</v>
      </c>
      <c r="C22" s="60">
        <v>0.50800000000000001</v>
      </c>
    </row>
    <row r="23" spans="1:4">
      <c r="A23" t="s">
        <v>1984</v>
      </c>
      <c r="B23">
        <v>14.73</v>
      </c>
      <c r="C23" s="60">
        <v>0.16</v>
      </c>
    </row>
    <row r="24" spans="1:4">
      <c r="A24" t="s">
        <v>1985</v>
      </c>
      <c r="B24">
        <v>5.64</v>
      </c>
      <c r="C24" s="60">
        <v>6.0999999999999999E-2</v>
      </c>
    </row>
    <row r="25" spans="1:4">
      <c r="A25" t="s">
        <v>1986</v>
      </c>
      <c r="B25">
        <v>5.08</v>
      </c>
      <c r="C25" s="60">
        <v>5.5E-2</v>
      </c>
    </row>
    <row r="26" spans="1:4">
      <c r="A26" t="s">
        <v>1987</v>
      </c>
      <c r="B26">
        <v>4.72</v>
      </c>
      <c r="C26" s="60">
        <v>5.0999999999999997E-2</v>
      </c>
      <c r="D26" s="60"/>
    </row>
    <row r="27" spans="1:4">
      <c r="A27" t="s">
        <v>1988</v>
      </c>
      <c r="B27">
        <v>1.7</v>
      </c>
      <c r="C27" s="60">
        <v>1.7999999999999999E-2</v>
      </c>
    </row>
    <row r="28" spans="1:4">
      <c r="A28" t="s">
        <v>1989</v>
      </c>
      <c r="B28">
        <v>1.7</v>
      </c>
      <c r="C28" s="60">
        <v>1.7999999999999999E-2</v>
      </c>
    </row>
    <row r="29" spans="1:4">
      <c r="A29" t="s">
        <v>1990</v>
      </c>
      <c r="B29">
        <v>1.53</v>
      </c>
      <c r="C29" s="60">
        <v>1.7000000000000001E-2</v>
      </c>
    </row>
    <row r="30" spans="1:4">
      <c r="A30" t="s">
        <v>1991</v>
      </c>
      <c r="B30">
        <v>1.49</v>
      </c>
      <c r="C30" s="60">
        <v>1.6E-2</v>
      </c>
    </row>
    <row r="31" spans="1:4">
      <c r="A31" t="s">
        <v>1992</v>
      </c>
      <c r="B31">
        <v>1.05</v>
      </c>
      <c r="C31" s="60">
        <v>1.0999999999999999E-2</v>
      </c>
    </row>
    <row r="33" spans="1:3">
      <c r="A33" t="s">
        <v>1983</v>
      </c>
      <c r="B33">
        <v>46.79</v>
      </c>
      <c r="C33" s="60">
        <v>0.50800000000000001</v>
      </c>
    </row>
    <row r="34" spans="1:3">
      <c r="A34" t="s">
        <v>1984</v>
      </c>
      <c r="B34">
        <v>14.73</v>
      </c>
      <c r="C34" s="60">
        <v>0.16</v>
      </c>
    </row>
    <row r="35" spans="1:3">
      <c r="A35" t="s">
        <v>1985</v>
      </c>
      <c r="B35">
        <v>5.64</v>
      </c>
      <c r="C35" s="60">
        <v>6.0999999999999999E-2</v>
      </c>
    </row>
    <row r="36" spans="1:3">
      <c r="A36" t="s">
        <v>1986</v>
      </c>
      <c r="B36">
        <v>5.08</v>
      </c>
      <c r="C36" s="60">
        <v>5.5E-2</v>
      </c>
    </row>
    <row r="37" spans="1:3">
      <c r="A37" t="s">
        <v>1987</v>
      </c>
      <c r="B37">
        <v>4.72</v>
      </c>
      <c r="C37" s="60">
        <v>5.0999999999999997E-2</v>
      </c>
    </row>
    <row r="38" spans="1:3">
      <c r="A38" t="s">
        <v>1993</v>
      </c>
      <c r="B38" s="59">
        <f>(1-SUM(C33:C37))*(B33/C33)</f>
        <v>15.19753937007872</v>
      </c>
      <c r="C38" s="60">
        <f>1-SUM(C33:C37)</f>
        <v>0.16499999999999981</v>
      </c>
    </row>
    <row r="42" spans="1:3">
      <c r="A42" t="s">
        <v>1994</v>
      </c>
    </row>
    <row r="43" spans="1:3">
      <c r="A43" t="s">
        <v>1995</v>
      </c>
      <c r="B43">
        <v>187922</v>
      </c>
    </row>
    <row r="44" spans="1:3">
      <c r="A44" t="s">
        <v>1996</v>
      </c>
      <c r="B44">
        <v>95752</v>
      </c>
    </row>
    <row r="45" spans="1:3">
      <c r="A45" t="s">
        <v>1997</v>
      </c>
      <c r="B45">
        <v>82262</v>
      </c>
    </row>
    <row r="46" spans="1:3">
      <c r="A46" t="s">
        <v>1998</v>
      </c>
      <c r="B46">
        <v>53737</v>
      </c>
    </row>
    <row r="47" spans="1:3">
      <c r="A47" t="s">
        <v>1999</v>
      </c>
      <c r="B47">
        <v>26337</v>
      </c>
    </row>
    <row r="48" spans="1:3">
      <c r="A48" t="s">
        <v>2000</v>
      </c>
      <c r="B48">
        <v>22549</v>
      </c>
    </row>
    <row r="49" spans="1:2">
      <c r="A49" t="s">
        <v>2001</v>
      </c>
      <c r="B49">
        <v>19848</v>
      </c>
    </row>
    <row r="50" spans="1:2">
      <c r="A50" t="s">
        <v>2002</v>
      </c>
      <c r="B50">
        <v>18306</v>
      </c>
    </row>
    <row r="51" spans="1:2">
      <c r="A51" t="s">
        <v>2003</v>
      </c>
      <c r="B51">
        <v>13760</v>
      </c>
    </row>
    <row r="52" spans="1:2">
      <c r="A52" t="s">
        <v>2004</v>
      </c>
      <c r="B52">
        <v>12447</v>
      </c>
    </row>
    <row r="55" spans="1:2">
      <c r="A55" t="s">
        <v>2005</v>
      </c>
    </row>
    <row r="61" spans="1:2">
      <c r="A61" t="s">
        <v>2006</v>
      </c>
      <c r="B61">
        <v>16866</v>
      </c>
    </row>
    <row r="62" spans="1:2">
      <c r="A62" t="s">
        <v>2007</v>
      </c>
      <c r="B62">
        <v>14250</v>
      </c>
    </row>
    <row r="63" spans="1:2">
      <c r="A63" t="s">
        <v>2008</v>
      </c>
      <c r="B63">
        <v>10070</v>
      </c>
    </row>
    <row r="64" spans="1:2">
      <c r="A64" t="s">
        <v>2009</v>
      </c>
      <c r="B64">
        <v>8410</v>
      </c>
    </row>
    <row r="65" spans="1:2">
      <c r="A65" t="s">
        <v>2010</v>
      </c>
      <c r="B65">
        <v>3279</v>
      </c>
    </row>
    <row r="68" spans="1:2">
      <c r="A68" t="s">
        <v>2011</v>
      </c>
      <c r="B68">
        <v>627503</v>
      </c>
    </row>
    <row r="69" spans="1:2">
      <c r="A69" t="s">
        <v>2012</v>
      </c>
      <c r="B69">
        <v>194293</v>
      </c>
    </row>
    <row r="70" spans="1:2">
      <c r="A70" t="s">
        <v>2013</v>
      </c>
      <c r="B70">
        <v>56364</v>
      </c>
    </row>
    <row r="71" spans="1:2">
      <c r="A71" t="s">
        <v>2014</v>
      </c>
      <c r="B71">
        <v>32717</v>
      </c>
    </row>
    <row r="72" spans="1:2">
      <c r="A72" t="s">
        <v>2015</v>
      </c>
      <c r="B72">
        <v>17129</v>
      </c>
    </row>
    <row r="73" spans="1:2">
      <c r="A73" t="s">
        <v>1993</v>
      </c>
      <c r="B73">
        <v>52875</v>
      </c>
    </row>
    <row r="76" spans="1:2">
      <c r="A76" t="s">
        <v>2016</v>
      </c>
    </row>
    <row r="83" spans="1:2">
      <c r="A83" t="s">
        <v>2017</v>
      </c>
      <c r="B83">
        <v>204</v>
      </c>
    </row>
    <row r="174" spans="1:21" s="400" customFormat="1" ht="70">
      <c r="A174" s="527" t="s">
        <v>0</v>
      </c>
      <c r="B174" s="527" t="s">
        <v>2018</v>
      </c>
      <c r="C174" s="527" t="s">
        <v>2019</v>
      </c>
      <c r="D174" s="527" t="s">
        <v>2020</v>
      </c>
      <c r="E174" s="527" t="s">
        <v>2021</v>
      </c>
      <c r="F174" s="527" t="s">
        <v>2022</v>
      </c>
      <c r="G174" s="527" t="s">
        <v>1840</v>
      </c>
      <c r="H174" s="527" t="s">
        <v>2023</v>
      </c>
      <c r="I174" s="527" t="s">
        <v>2024</v>
      </c>
      <c r="J174" s="527" t="s">
        <v>2025</v>
      </c>
      <c r="K174" s="527" t="s">
        <v>2026</v>
      </c>
      <c r="L174" s="527" t="s">
        <v>2027</v>
      </c>
      <c r="M174" s="527" t="s">
        <v>2028</v>
      </c>
      <c r="N174" s="527" t="s">
        <v>2029</v>
      </c>
      <c r="O174" s="527" t="s">
        <v>2030</v>
      </c>
      <c r="P174" s="527" t="s">
        <v>2031</v>
      </c>
      <c r="Q174" s="527" t="s">
        <v>2032</v>
      </c>
      <c r="R174" s="527" t="s">
        <v>2033</v>
      </c>
      <c r="S174" s="527" t="s">
        <v>2034</v>
      </c>
      <c r="T174" s="527" t="s">
        <v>2035</v>
      </c>
      <c r="U174" s="527"/>
    </row>
    <row r="175" spans="1:21" s="64" customFormat="1">
      <c r="A175" s="475" t="s">
        <v>25</v>
      </c>
      <c r="B175" s="392" t="s">
        <v>177</v>
      </c>
      <c r="C175" s="392" t="s">
        <v>2036</v>
      </c>
      <c r="D175" s="409" t="s">
        <v>2037</v>
      </c>
      <c r="E175" s="409" t="s">
        <v>2038</v>
      </c>
      <c r="F175" s="481" t="s">
        <v>2039</v>
      </c>
      <c r="G175" s="473">
        <v>17332.913</v>
      </c>
      <c r="H175" s="390" t="s">
        <v>2040</v>
      </c>
      <c r="I175" s="398">
        <v>0</v>
      </c>
      <c r="J175" s="398">
        <v>110971</v>
      </c>
      <c r="K175" s="398">
        <v>82624</v>
      </c>
      <c r="L175" s="430">
        <v>0</v>
      </c>
      <c r="M175" s="430">
        <v>2.0825592070544768E-2</v>
      </c>
      <c r="N175" s="430">
        <v>3.1727258624158858E-2</v>
      </c>
      <c r="O175" s="430">
        <f t="shared" ref="O175:O192" si="0">M175-L175</f>
        <v>2.0825592070544768E-2</v>
      </c>
      <c r="P175" s="430">
        <f t="shared" ref="P175:P192" si="1">N175-M175</f>
        <v>1.0901666553614089E-2</v>
      </c>
      <c r="Q175" s="430">
        <f t="shared" ref="Q175:Q191" si="2">N175-L175</f>
        <v>3.1727258624158858E-2</v>
      </c>
      <c r="R175" s="436">
        <f>SUM(Q176:Q192)/2.5</f>
        <v>-1.1856016838994288E-2</v>
      </c>
      <c r="S175" s="436">
        <f>R175+T175</f>
        <v>9.2954889104449497E-3</v>
      </c>
      <c r="T175" s="436">
        <f>Q175/1.5</f>
        <v>2.1151505749439237E-2</v>
      </c>
    </row>
    <row r="176" spans="1:21">
      <c r="A176" s="393" t="s">
        <v>2041</v>
      </c>
      <c r="B176" s="394" t="s">
        <v>2042</v>
      </c>
      <c r="C176" s="320" t="s">
        <v>2036</v>
      </c>
      <c r="D176" s="395" t="s">
        <v>2037</v>
      </c>
      <c r="E176" s="395" t="s">
        <v>2038</v>
      </c>
      <c r="F176" s="395" t="s">
        <v>2043</v>
      </c>
      <c r="G176" s="474">
        <v>17628</v>
      </c>
      <c r="H176" s="529" t="s">
        <v>2040</v>
      </c>
      <c r="I176" s="402">
        <v>19094</v>
      </c>
      <c r="J176" s="402">
        <v>114110</v>
      </c>
      <c r="K176" s="402">
        <v>43863</v>
      </c>
      <c r="L176" s="431">
        <v>3.419135843588592E-3</v>
      </c>
      <c r="M176" s="431">
        <v>2.1414678710382561E-2</v>
      </c>
      <c r="N176" s="431">
        <v>1.6843202278169538E-2</v>
      </c>
      <c r="O176" s="431">
        <f t="shared" si="0"/>
        <v>1.799554286679397E-2</v>
      </c>
      <c r="P176" s="431">
        <f t="shared" si="1"/>
        <v>-4.5714764322130237E-3</v>
      </c>
      <c r="Q176" s="431">
        <f t="shared" si="2"/>
        <v>1.3424066434580946E-2</v>
      </c>
      <c r="T176" s="437">
        <f>Q176/2.5</f>
        <v>5.3696265738323781E-3</v>
      </c>
      <c r="U176" s="467"/>
    </row>
    <row r="177" spans="1:23">
      <c r="A177" s="441" t="s">
        <v>2044</v>
      </c>
      <c r="B177" s="320" t="s">
        <v>2045</v>
      </c>
      <c r="C177" s="320" t="s">
        <v>2036</v>
      </c>
      <c r="D177" s="528" t="s">
        <v>2037</v>
      </c>
      <c r="E177" s="528" t="s">
        <v>2038</v>
      </c>
      <c r="F177" s="428" t="s">
        <v>2043</v>
      </c>
      <c r="G177" s="474">
        <v>17969</v>
      </c>
      <c r="H177" s="529" t="s">
        <v>2040</v>
      </c>
      <c r="I177" s="397">
        <v>85191</v>
      </c>
      <c r="J177" s="397">
        <v>88774</v>
      </c>
      <c r="K177" s="397">
        <v>37751</v>
      </c>
      <c r="L177" s="431">
        <v>1.5255033081133117E-2</v>
      </c>
      <c r="M177" s="431">
        <v>1.6659948188901076E-2</v>
      </c>
      <c r="N177" s="431">
        <v>1.4496220714569871E-2</v>
      </c>
      <c r="O177" s="431">
        <f t="shared" si="0"/>
        <v>1.4049151077679591E-3</v>
      </c>
      <c r="P177" s="431">
        <f t="shared" si="1"/>
        <v>-2.1637274743312052E-3</v>
      </c>
      <c r="Q177" s="431">
        <f t="shared" si="2"/>
        <v>-7.588123665632461E-4</v>
      </c>
      <c r="T177" s="437">
        <f t="shared" ref="T177:T184" si="3">Q177/2.5</f>
        <v>-3.0352494662529844E-4</v>
      </c>
      <c r="U177" s="467"/>
    </row>
    <row r="178" spans="1:23">
      <c r="A178" s="393" t="s">
        <v>2046</v>
      </c>
      <c r="B178" t="s">
        <v>2047</v>
      </c>
      <c r="C178" s="320" t="s">
        <v>2036</v>
      </c>
      <c r="D178" s="533" t="s">
        <v>2037</v>
      </c>
      <c r="E178" s="395" t="s">
        <v>2038</v>
      </c>
      <c r="F178" s="428" t="s">
        <v>2048</v>
      </c>
      <c r="G178" s="474">
        <f>113800*0.155035</f>
        <v>17642.983</v>
      </c>
      <c r="H178" s="529" t="s">
        <v>2040</v>
      </c>
      <c r="I178" s="402">
        <v>49746</v>
      </c>
      <c r="J178" s="402">
        <v>76795</v>
      </c>
      <c r="K178" s="402">
        <v>35350</v>
      </c>
      <c r="L178" s="431">
        <v>8.9079465630647371E-3</v>
      </c>
      <c r="M178" s="431">
        <v>1.4411885475101471E-2</v>
      </c>
      <c r="N178" s="431">
        <v>1.3574247099680669E-2</v>
      </c>
      <c r="O178" s="431">
        <f t="shared" si="0"/>
        <v>5.5039389120367342E-3</v>
      </c>
      <c r="P178" s="431">
        <f t="shared" si="1"/>
        <v>-8.3763837542080201E-4</v>
      </c>
      <c r="Q178" s="431">
        <f t="shared" si="2"/>
        <v>4.6663005366159322E-3</v>
      </c>
      <c r="T178" s="437">
        <f t="shared" si="3"/>
        <v>1.8665202146463729E-3</v>
      </c>
      <c r="U178" s="467"/>
    </row>
    <row r="179" spans="1:23">
      <c r="A179" s="394" t="s">
        <v>2049</v>
      </c>
      <c r="B179" t="s">
        <v>2050</v>
      </c>
      <c r="C179" s="320" t="s">
        <v>2036</v>
      </c>
      <c r="D179" s="533" t="s">
        <v>2037</v>
      </c>
      <c r="E179" s="395" t="s">
        <v>2038</v>
      </c>
      <c r="F179" s="395" t="s">
        <v>2043</v>
      </c>
      <c r="G179" s="474">
        <f>107500*0.155035</f>
        <v>16666.262500000001</v>
      </c>
      <c r="H179" s="529" t="s">
        <v>2040</v>
      </c>
      <c r="I179" s="402">
        <v>39850</v>
      </c>
      <c r="J179" s="402">
        <v>130839</v>
      </c>
      <c r="K179" s="402">
        <v>32314</v>
      </c>
      <c r="L179" s="431">
        <v>7.1358836999583846E-3</v>
      </c>
      <c r="M179" s="431">
        <v>2.4554159563471598E-2</v>
      </c>
      <c r="N179" s="431">
        <v>1.240843623137429E-2</v>
      </c>
      <c r="O179" s="431">
        <f t="shared" si="0"/>
        <v>1.7418275863513213E-2</v>
      </c>
      <c r="P179" s="431">
        <f t="shared" si="1"/>
        <v>-1.2145723332097309E-2</v>
      </c>
      <c r="Q179" s="431">
        <f t="shared" si="2"/>
        <v>5.272552531415905E-3</v>
      </c>
      <c r="T179" s="437">
        <f t="shared" si="3"/>
        <v>2.109021012566362E-3</v>
      </c>
      <c r="U179" s="467"/>
    </row>
    <row r="180" spans="1:23">
      <c r="A180" s="320" t="s">
        <v>2051</v>
      </c>
      <c r="B180" s="320" t="s">
        <v>2052</v>
      </c>
      <c r="C180" s="320" t="s">
        <v>2036</v>
      </c>
      <c r="D180" s="528" t="s">
        <v>2037</v>
      </c>
      <c r="E180" s="528" t="s">
        <v>2038</v>
      </c>
      <c r="F180" s="428" t="s">
        <v>2043</v>
      </c>
      <c r="G180" s="474">
        <v>16092.63</v>
      </c>
      <c r="H180" s="529" t="s">
        <v>2040</v>
      </c>
      <c r="I180" s="397">
        <v>61920</v>
      </c>
      <c r="J180" s="397">
        <v>40708</v>
      </c>
      <c r="K180" s="397">
        <v>10450</v>
      </c>
      <c r="L180" s="431">
        <v>1.1087927696397068E-2</v>
      </c>
      <c r="M180" s="431">
        <v>7.6395472871987847E-3</v>
      </c>
      <c r="N180" s="431">
        <v>4.0127548003299294E-3</v>
      </c>
      <c r="O180" s="431">
        <f t="shared" si="0"/>
        <v>-3.4483804091982829E-3</v>
      </c>
      <c r="P180" s="431">
        <f t="shared" si="1"/>
        <v>-3.6267924868688553E-3</v>
      </c>
      <c r="Q180" s="431">
        <f t="shared" si="2"/>
        <v>-7.0751728960671383E-3</v>
      </c>
      <c r="T180" s="437">
        <f t="shared" si="3"/>
        <v>-2.8300691584268551E-3</v>
      </c>
      <c r="U180" s="467"/>
    </row>
    <row r="181" spans="1:23">
      <c r="A181" s="320" t="s">
        <v>2053</v>
      </c>
      <c r="B181" s="320" t="s">
        <v>2054</v>
      </c>
      <c r="C181" s="320" t="s">
        <v>2036</v>
      </c>
      <c r="D181" s="528" t="s">
        <v>2037</v>
      </c>
      <c r="E181" s="528" t="s">
        <v>2038</v>
      </c>
      <c r="F181" s="428" t="s">
        <v>2043</v>
      </c>
      <c r="G181" s="474">
        <v>16868</v>
      </c>
      <c r="H181" s="529" t="s">
        <v>2040</v>
      </c>
      <c r="I181" s="397">
        <v>34506</v>
      </c>
      <c r="J181" s="397">
        <v>22857</v>
      </c>
      <c r="K181" s="397">
        <v>7033</v>
      </c>
      <c r="L181" s="431">
        <v>6.1789411029049938E-3</v>
      </c>
      <c r="M181" s="431">
        <v>4.2895040862607507E-3</v>
      </c>
      <c r="N181" s="431">
        <v>2.7006415799732432E-3</v>
      </c>
      <c r="O181" s="431">
        <f t="shared" si="0"/>
        <v>-1.8894370166442432E-3</v>
      </c>
      <c r="P181" s="431">
        <f t="shared" si="1"/>
        <v>-1.5888625062875075E-3</v>
      </c>
      <c r="Q181" s="431">
        <f t="shared" si="2"/>
        <v>-3.4782995229317507E-3</v>
      </c>
      <c r="T181" s="437">
        <f t="shared" si="3"/>
        <v>-1.3913198091727002E-3</v>
      </c>
      <c r="U181" s="467"/>
    </row>
    <row r="182" spans="1:23">
      <c r="A182" s="320" t="s">
        <v>2055</v>
      </c>
      <c r="B182" s="320" t="s">
        <v>2056</v>
      </c>
      <c r="C182" s="320" t="s">
        <v>2036</v>
      </c>
      <c r="D182" s="528" t="s">
        <v>2037</v>
      </c>
      <c r="E182" s="528" t="s">
        <v>2038</v>
      </c>
      <c r="F182" s="428" t="s">
        <v>2043</v>
      </c>
      <c r="G182" s="474">
        <v>16247.67</v>
      </c>
      <c r="H182" s="529" t="s">
        <v>2040</v>
      </c>
      <c r="I182" s="397">
        <v>27362</v>
      </c>
      <c r="J182" s="397">
        <v>11551</v>
      </c>
      <c r="K182" s="397">
        <v>3966</v>
      </c>
      <c r="L182" s="431">
        <v>4.8996750263051777E-3</v>
      </c>
      <c r="M182" s="431">
        <v>2.1677412477752078E-3</v>
      </c>
      <c r="N182" s="431">
        <v>1.5229268457520094E-3</v>
      </c>
      <c r="O182" s="431">
        <f t="shared" si="0"/>
        <v>-2.7319337785299698E-3</v>
      </c>
      <c r="P182" s="431">
        <f t="shared" si="1"/>
        <v>-6.4481440202319843E-4</v>
      </c>
      <c r="Q182" s="431">
        <f t="shared" si="2"/>
        <v>-3.3767481805531685E-3</v>
      </c>
      <c r="T182" s="437">
        <f t="shared" si="3"/>
        <v>-1.3506992722212674E-3</v>
      </c>
      <c r="U182" s="467"/>
    </row>
    <row r="183" spans="1:23">
      <c r="A183" s="393" t="s">
        <v>2057</v>
      </c>
      <c r="B183" s="394" t="s">
        <v>2058</v>
      </c>
      <c r="C183" s="320" t="s">
        <v>2036</v>
      </c>
      <c r="D183" s="395" t="s">
        <v>2037</v>
      </c>
      <c r="E183" s="395" t="s">
        <v>2038</v>
      </c>
      <c r="F183" s="395" t="s">
        <v>2043</v>
      </c>
      <c r="G183" s="474">
        <v>17504</v>
      </c>
      <c r="H183" s="529" t="s">
        <v>2040</v>
      </c>
      <c r="I183" s="402">
        <v>449194</v>
      </c>
      <c r="J183" s="402">
        <v>391355</v>
      </c>
      <c r="K183" s="402">
        <v>160309</v>
      </c>
      <c r="L183" s="431">
        <v>8.0436540595209702E-2</v>
      </c>
      <c r="M183" s="431">
        <v>7.3444409663498092E-2</v>
      </c>
      <c r="N183" s="431">
        <v>6.155796261110915E-2</v>
      </c>
      <c r="O183" s="431">
        <f t="shared" si="0"/>
        <v>-6.9921309317116098E-3</v>
      </c>
      <c r="P183" s="431">
        <f t="shared" si="1"/>
        <v>-1.1886447052388942E-2</v>
      </c>
      <c r="Q183" s="431">
        <f t="shared" si="2"/>
        <v>-1.8878577984100552E-2</v>
      </c>
      <c r="T183" s="437">
        <f t="shared" si="3"/>
        <v>-7.551431193640221E-3</v>
      </c>
      <c r="U183" s="467"/>
    </row>
    <row r="184" spans="1:23">
      <c r="A184" s="441" t="s">
        <v>2046</v>
      </c>
      <c r="B184" s="320" t="s">
        <v>2059</v>
      </c>
      <c r="C184" s="320" t="s">
        <v>2036</v>
      </c>
      <c r="D184" s="528" t="s">
        <v>2037</v>
      </c>
      <c r="E184" s="528" t="s">
        <v>2038</v>
      </c>
      <c r="F184" s="428" t="s">
        <v>2043</v>
      </c>
      <c r="G184" s="474">
        <v>17643</v>
      </c>
      <c r="H184" s="529" t="s">
        <v>2040</v>
      </c>
      <c r="I184" s="397">
        <v>222361</v>
      </c>
      <c r="J184" s="397">
        <v>198276</v>
      </c>
      <c r="K184" s="397">
        <v>90904</v>
      </c>
      <c r="L184" s="431">
        <v>3.9817872908568287E-2</v>
      </c>
      <c r="M184" s="431">
        <v>3.7209857470684539E-2</v>
      </c>
      <c r="N184" s="431">
        <v>3.4906742810448983E-2</v>
      </c>
      <c r="O184" s="431">
        <f t="shared" si="0"/>
        <v>-2.6080154378837483E-3</v>
      </c>
      <c r="P184" s="431">
        <f t="shared" si="1"/>
        <v>-2.3031146602355557E-3</v>
      </c>
      <c r="Q184" s="431">
        <f t="shared" si="2"/>
        <v>-4.911130098119304E-3</v>
      </c>
      <c r="T184" s="437">
        <f t="shared" si="3"/>
        <v>-1.9644520392477216E-3</v>
      </c>
      <c r="U184" s="467"/>
      <c r="V184" s="60"/>
      <c r="W184" s="60"/>
    </row>
    <row r="185" spans="1:23" s="64" customFormat="1">
      <c r="A185" s="392" t="s">
        <v>25</v>
      </c>
      <c r="B185" s="392" t="s">
        <v>178</v>
      </c>
      <c r="C185" s="392" t="s">
        <v>2036</v>
      </c>
      <c r="D185" s="409" t="s">
        <v>2037</v>
      </c>
      <c r="E185" s="409" t="s">
        <v>2038</v>
      </c>
      <c r="F185" s="399" t="s">
        <v>2060</v>
      </c>
      <c r="G185" s="473">
        <v>14852.352999999999</v>
      </c>
      <c r="H185" s="390" t="s">
        <v>2061</v>
      </c>
      <c r="I185" s="398">
        <v>19616</v>
      </c>
      <c r="J185" s="398">
        <v>34265</v>
      </c>
      <c r="K185" s="398">
        <v>15582</v>
      </c>
      <c r="L185" s="430">
        <v>3.5126096526570559E-3</v>
      </c>
      <c r="M185" s="430">
        <v>6.4304089563689297E-3</v>
      </c>
      <c r="N185" s="430">
        <v>5.9834206027503303E-3</v>
      </c>
      <c r="O185" s="430">
        <f t="shared" si="0"/>
        <v>2.9177993037118738E-3</v>
      </c>
      <c r="P185" s="430">
        <f t="shared" si="1"/>
        <v>-4.4698835361859941E-4</v>
      </c>
      <c r="Q185" s="430">
        <f t="shared" si="2"/>
        <v>2.4708109500932744E-3</v>
      </c>
      <c r="R185" s="436">
        <f>SUM(Q175:Q184,Q186:Q191)/2.5</f>
        <v>7.9493353898864392E-3</v>
      </c>
      <c r="S185" s="436">
        <f>R185+T185</f>
        <v>8.9376597699237486E-3</v>
      </c>
      <c r="T185" s="436">
        <f>Q185/2.5</f>
        <v>9.8832438003730984E-4</v>
      </c>
      <c r="U185" s="467"/>
    </row>
    <row r="186" spans="1:23">
      <c r="A186" s="394" t="s">
        <v>2062</v>
      </c>
      <c r="B186" t="s">
        <v>2063</v>
      </c>
      <c r="C186" s="320" t="s">
        <v>2036</v>
      </c>
      <c r="D186" s="533" t="s">
        <v>2037</v>
      </c>
      <c r="E186" s="395" t="s">
        <v>2038</v>
      </c>
      <c r="F186" s="395" t="s">
        <v>2043</v>
      </c>
      <c r="G186" s="474">
        <f>98800*0.155035</f>
        <v>15317.458000000001</v>
      </c>
      <c r="H186" s="529" t="s">
        <v>2061</v>
      </c>
      <c r="I186" s="402">
        <v>0</v>
      </c>
      <c r="J186" s="402">
        <v>5703</v>
      </c>
      <c r="K186" s="402">
        <v>7085</v>
      </c>
      <c r="L186" s="431">
        <v>0</v>
      </c>
      <c r="M186" s="431">
        <v>1.0702647680773968E-3</v>
      </c>
      <c r="N186" s="431">
        <v>2.7206093550562246E-3</v>
      </c>
      <c r="O186" s="431">
        <f t="shared" si="0"/>
        <v>1.0702647680773968E-3</v>
      </c>
      <c r="P186" s="431">
        <f t="shared" si="1"/>
        <v>1.6503445869788277E-3</v>
      </c>
      <c r="Q186" s="431">
        <f t="shared" si="2"/>
        <v>2.7206093550562246E-3</v>
      </c>
      <c r="T186" s="437">
        <f>Q186/2.5</f>
        <v>1.0882437420224899E-3</v>
      </c>
      <c r="U186" s="467"/>
    </row>
    <row r="187" spans="1:23">
      <c r="A187" s="320" t="s">
        <v>2064</v>
      </c>
      <c r="B187" s="320" t="s">
        <v>2065</v>
      </c>
      <c r="C187" s="320" t="s">
        <v>2036</v>
      </c>
      <c r="D187" s="528" t="s">
        <v>2037</v>
      </c>
      <c r="E187" s="528" t="s">
        <v>2038</v>
      </c>
      <c r="F187" s="428" t="s">
        <v>2043</v>
      </c>
      <c r="G187" s="474">
        <v>15473</v>
      </c>
      <c r="H187" s="529" t="s">
        <v>2061</v>
      </c>
      <c r="I187" s="397">
        <v>44751</v>
      </c>
      <c r="J187" s="397">
        <v>35155</v>
      </c>
      <c r="K187" s="397">
        <v>2983</v>
      </c>
      <c r="L187" s="431">
        <v>8.0134989073234048E-3</v>
      </c>
      <c r="M187" s="431">
        <v>6.5974325656252648E-3</v>
      </c>
      <c r="N187" s="431">
        <v>1.1454590975487251E-3</v>
      </c>
      <c r="O187" s="431">
        <f t="shared" si="0"/>
        <v>-1.4160663416981399E-3</v>
      </c>
      <c r="P187" s="431">
        <f t="shared" si="1"/>
        <v>-5.4519734680765399E-3</v>
      </c>
      <c r="Q187" s="431">
        <f t="shared" si="2"/>
        <v>-6.8680398097746799E-3</v>
      </c>
      <c r="T187" s="437">
        <f t="shared" ref="T187:T191" si="4">Q187/2.5</f>
        <v>-2.7472159239098721E-3</v>
      </c>
      <c r="U187" s="467"/>
    </row>
    <row r="188" spans="1:23">
      <c r="A188" s="393" t="s">
        <v>2066</v>
      </c>
      <c r="B188" t="s">
        <v>2067</v>
      </c>
      <c r="C188" s="320" t="s">
        <v>2036</v>
      </c>
      <c r="D188" s="533" t="s">
        <v>2037</v>
      </c>
      <c r="E188" s="395" t="s">
        <v>2038</v>
      </c>
      <c r="F188" s="395" t="s">
        <v>2043</v>
      </c>
      <c r="G188" s="474">
        <f>96900*0.155035</f>
        <v>15022.8915</v>
      </c>
      <c r="H188" s="529" t="s">
        <v>2061</v>
      </c>
      <c r="I188" s="402">
        <v>16928</v>
      </c>
      <c r="J188" s="402">
        <v>30077</v>
      </c>
      <c r="K188" s="402">
        <v>52181</v>
      </c>
      <c r="L188" s="431">
        <v>3.0312732565343924E-3</v>
      </c>
      <c r="M188" s="431">
        <v>5.6444596579806883E-3</v>
      </c>
      <c r="N188" s="431">
        <v>2.0037278300097227E-2</v>
      </c>
      <c r="O188" s="431">
        <f t="shared" si="0"/>
        <v>2.6131864014462959E-3</v>
      </c>
      <c r="P188" s="431">
        <f t="shared" si="1"/>
        <v>1.4392818642116539E-2</v>
      </c>
      <c r="Q188" s="431">
        <f t="shared" si="2"/>
        <v>1.7006005043562835E-2</v>
      </c>
      <c r="T188" s="437">
        <f t="shared" si="4"/>
        <v>6.8024020174251342E-3</v>
      </c>
      <c r="U188" s="467"/>
    </row>
    <row r="189" spans="1:23">
      <c r="A189" s="394" t="s">
        <v>2068</v>
      </c>
      <c r="B189" t="s">
        <v>2069</v>
      </c>
      <c r="C189" s="320" t="s">
        <v>2036</v>
      </c>
      <c r="D189" s="533" t="s">
        <v>2037</v>
      </c>
      <c r="E189" s="395" t="s">
        <v>2038</v>
      </c>
      <c r="F189" s="395" t="s">
        <v>2043</v>
      </c>
      <c r="G189" s="474">
        <f>98300*0.155035</f>
        <v>15239.940500000001</v>
      </c>
      <c r="H189" s="529" t="s">
        <v>2061</v>
      </c>
      <c r="I189" s="402">
        <v>0</v>
      </c>
      <c r="J189" s="402">
        <v>43772</v>
      </c>
      <c r="K189" s="402">
        <v>23410</v>
      </c>
      <c r="L189" s="431">
        <v>0</v>
      </c>
      <c r="M189" s="431">
        <v>8.2145589037846429E-3</v>
      </c>
      <c r="N189" s="431">
        <v>8.9893387440883859E-3</v>
      </c>
      <c r="O189" s="431">
        <f t="shared" si="0"/>
        <v>8.2145589037846429E-3</v>
      </c>
      <c r="P189" s="431">
        <f t="shared" si="1"/>
        <v>7.74779840303743E-4</v>
      </c>
      <c r="Q189" s="431">
        <f t="shared" si="2"/>
        <v>8.9893387440883859E-3</v>
      </c>
      <c r="T189" s="437">
        <f t="shared" si="4"/>
        <v>3.5957354976353544E-3</v>
      </c>
      <c r="U189" s="467"/>
    </row>
    <row r="190" spans="1:23">
      <c r="A190" s="394" t="s">
        <v>2041</v>
      </c>
      <c r="B190" t="s">
        <v>2070</v>
      </c>
      <c r="C190" s="320" t="s">
        <v>2036</v>
      </c>
      <c r="D190" s="533" t="s">
        <v>2037</v>
      </c>
      <c r="E190" s="395" t="s">
        <v>2038</v>
      </c>
      <c r="F190" s="395" t="s">
        <v>2043</v>
      </c>
      <c r="G190" s="474">
        <f>94800*0.155035</f>
        <v>14697.318000000001</v>
      </c>
      <c r="H190" s="529" t="s">
        <v>2061</v>
      </c>
      <c r="I190" s="402">
        <v>72360</v>
      </c>
      <c r="J190" s="402">
        <v>52630</v>
      </c>
      <c r="K190" s="402">
        <v>21236</v>
      </c>
      <c r="L190" s="431">
        <v>1.2957403877766342E-2</v>
      </c>
      <c r="M190" s="431">
        <v>9.8769129833269145E-3</v>
      </c>
      <c r="N190" s="431">
        <v>8.1545321473498918E-3</v>
      </c>
      <c r="O190" s="431">
        <f t="shared" si="0"/>
        <v>-3.080490894439427E-3</v>
      </c>
      <c r="P190" s="431">
        <f t="shared" si="1"/>
        <v>-1.7223808359770228E-3</v>
      </c>
      <c r="Q190" s="431">
        <f t="shared" si="2"/>
        <v>-4.8028717304164498E-3</v>
      </c>
      <c r="T190" s="437">
        <f t="shared" si="4"/>
        <v>-1.9211486921665798E-3</v>
      </c>
      <c r="U190" s="467"/>
    </row>
    <row r="191" spans="1:23">
      <c r="A191" s="320" t="s">
        <v>2071</v>
      </c>
      <c r="B191" s="320" t="s">
        <v>2072</v>
      </c>
      <c r="C191" s="320" t="s">
        <v>2036</v>
      </c>
      <c r="D191" s="528" t="s">
        <v>2037</v>
      </c>
      <c r="E191" s="528" t="s">
        <v>2038</v>
      </c>
      <c r="F191" s="428" t="s">
        <v>2043</v>
      </c>
      <c r="G191" s="474">
        <v>15473</v>
      </c>
      <c r="H191" s="529" t="s">
        <v>2061</v>
      </c>
      <c r="I191" s="397">
        <v>113379</v>
      </c>
      <c r="J191" s="397">
        <v>44216</v>
      </c>
      <c r="K191" s="397">
        <v>16978</v>
      </c>
      <c r="L191" s="431">
        <v>2.0302618770830155E-2</v>
      </c>
      <c r="M191" s="431">
        <v>8.2978830414361174E-3</v>
      </c>
      <c r="N191" s="431">
        <v>6.5194785645934488E-3</v>
      </c>
      <c r="O191" s="431">
        <f t="shared" si="0"/>
        <v>-1.2004735729394037E-2</v>
      </c>
      <c r="P191" s="431">
        <f t="shared" si="1"/>
        <v>-1.7784044768426686E-3</v>
      </c>
      <c r="Q191" s="431">
        <f t="shared" si="2"/>
        <v>-1.3783140206236706E-2</v>
      </c>
      <c r="T191" s="437">
        <f t="shared" si="4"/>
        <v>-5.5132560824946823E-3</v>
      </c>
      <c r="U191" s="467"/>
      <c r="V191" s="60"/>
      <c r="W191" s="60"/>
    </row>
    <row r="192" spans="1:23">
      <c r="A192" s="393" t="s">
        <v>2073</v>
      </c>
      <c r="B192" s="394" t="s">
        <v>2074</v>
      </c>
      <c r="C192" s="320" t="s">
        <v>2036</v>
      </c>
      <c r="D192" s="395" t="s">
        <v>2037</v>
      </c>
      <c r="E192" s="395" t="s">
        <v>2038</v>
      </c>
      <c r="F192" s="395" t="s">
        <v>2043</v>
      </c>
      <c r="G192" s="474">
        <v>18573</v>
      </c>
      <c r="H192" s="529" t="s">
        <v>2075</v>
      </c>
      <c r="I192" s="397">
        <v>343418</v>
      </c>
      <c r="J192" s="397">
        <v>293321</v>
      </c>
      <c r="K192" s="397">
        <v>107393</v>
      </c>
      <c r="L192" s="431">
        <v>6.1495380388263701E-2</v>
      </c>
      <c r="M192" s="431">
        <v>5.5046665270424358E-2</v>
      </c>
      <c r="N192" s="431">
        <v>4.1238447490127471E-2</v>
      </c>
      <c r="O192" s="431">
        <f t="shared" si="0"/>
        <v>-6.4487151178393431E-3</v>
      </c>
      <c r="P192" s="431">
        <f t="shared" si="1"/>
        <v>-1.3808217780296887E-2</v>
      </c>
      <c r="Q192" s="431">
        <f>N192-L192</f>
        <v>-2.025693289813623E-2</v>
      </c>
      <c r="T192" s="437">
        <f>Q192/2.5</f>
        <v>-8.1027731592544922E-3</v>
      </c>
      <c r="U192" s="467"/>
      <c r="V192" s="60"/>
      <c r="W192" s="60"/>
    </row>
    <row r="193" spans="1:23">
      <c r="A193" t="s">
        <v>24</v>
      </c>
      <c r="B193" s="320"/>
      <c r="C193" s="320"/>
      <c r="D193" s="528"/>
      <c r="E193" s="528"/>
      <c r="F193" s="428"/>
      <c r="G193" s="474"/>
      <c r="H193" s="529"/>
      <c r="I193" s="465">
        <f t="shared" ref="I193:Q193" si="5">SUM(I175:I192)</f>
        <v>1599676</v>
      </c>
      <c r="J193" s="465">
        <f t="shared" si="5"/>
        <v>1725375</v>
      </c>
      <c r="K193" s="465">
        <f t="shared" si="5"/>
        <v>751412</v>
      </c>
      <c r="L193" s="437">
        <f t="shared" si="5"/>
        <v>0.28645174137050511</v>
      </c>
      <c r="M193" s="437">
        <f t="shared" si="5"/>
        <v>0.32379590991084317</v>
      </c>
      <c r="N193" s="437">
        <f t="shared" si="5"/>
        <v>0.28853895789717826</v>
      </c>
      <c r="O193" s="437">
        <f t="shared" si="5"/>
        <v>3.7344168540338063E-2</v>
      </c>
      <c r="P193" s="437">
        <f t="shared" si="5"/>
        <v>-3.5256952013664918E-2</v>
      </c>
      <c r="Q193" s="437">
        <f t="shared" si="5"/>
        <v>2.0872165266731385E-3</v>
      </c>
      <c r="T193" s="437"/>
      <c r="U193" s="60"/>
      <c r="V193" s="60"/>
      <c r="W193" s="60"/>
    </row>
    <row r="196" spans="1:23">
      <c r="B196" s="527" t="s">
        <v>2027</v>
      </c>
      <c r="C196" s="527" t="s">
        <v>2028</v>
      </c>
      <c r="D196" s="527" t="s">
        <v>2029</v>
      </c>
    </row>
    <row r="197" spans="1:23">
      <c r="A197" t="s">
        <v>2076</v>
      </c>
      <c r="B197" s="430">
        <v>0</v>
      </c>
      <c r="C197" s="430">
        <v>2.0825592070544768E-2</v>
      </c>
      <c r="D197" s="430">
        <v>3.1727258624158858E-2</v>
      </c>
    </row>
    <row r="198" spans="1:23">
      <c r="A198" t="s">
        <v>2077</v>
      </c>
      <c r="B198" s="431">
        <v>6.1495380388263701E-2</v>
      </c>
      <c r="C198" s="431">
        <v>5.5046665270424358E-2</v>
      </c>
      <c r="D198" s="431">
        <v>4.1238447490127471E-2</v>
      </c>
    </row>
    <row r="199" spans="1:23">
      <c r="A199" t="s">
        <v>2078</v>
      </c>
      <c r="B199" s="431">
        <v>8.0436540595209702E-2</v>
      </c>
      <c r="C199" s="431">
        <v>7.3444409663498092E-2</v>
      </c>
      <c r="D199" s="431">
        <v>6.155796261110915E-2</v>
      </c>
    </row>
    <row r="211" spans="1:72" s="509" customFormat="1" ht="12.75" customHeight="1">
      <c r="A211" s="1955" t="s">
        <v>0</v>
      </c>
      <c r="B211" s="37"/>
      <c r="C211" s="1956" t="s">
        <v>1</v>
      </c>
      <c r="D211" s="37"/>
      <c r="E211" s="1950" t="s">
        <v>2</v>
      </c>
      <c r="F211" s="1950"/>
      <c r="G211" s="1950"/>
      <c r="H211" s="1950"/>
      <c r="I211" s="1950"/>
      <c r="J211" s="1950"/>
      <c r="K211" s="1950"/>
      <c r="L211" s="1950"/>
      <c r="M211" s="507"/>
      <c r="N211" s="1950" t="s">
        <v>3</v>
      </c>
      <c r="O211" s="1950"/>
      <c r="P211" s="1950"/>
      <c r="Q211" s="1950"/>
      <c r="R211" s="1950"/>
      <c r="S211" s="1950"/>
      <c r="T211" s="1950"/>
      <c r="U211" s="1950"/>
      <c r="V211" s="507"/>
      <c r="W211" s="1994" t="s">
        <v>4</v>
      </c>
      <c r="X211" s="1994"/>
      <c r="Y211" s="1994"/>
      <c r="Z211" s="1994"/>
      <c r="AA211" s="1994"/>
      <c r="AB211" s="1994"/>
      <c r="AC211" s="1994"/>
      <c r="AD211" s="1994"/>
      <c r="AE211" s="507"/>
      <c r="AF211" s="1950" t="s">
        <v>5</v>
      </c>
      <c r="AG211" s="1950"/>
      <c r="AH211" s="1950"/>
      <c r="AI211" s="1950"/>
      <c r="AJ211" s="1950"/>
      <c r="AK211" s="1950"/>
      <c r="AL211" s="1950"/>
      <c r="AM211" s="1950"/>
      <c r="AN211" s="508"/>
      <c r="AO211" s="1951" t="s">
        <v>6</v>
      </c>
      <c r="AP211" s="1951"/>
      <c r="AQ211" s="1951"/>
      <c r="AR211" s="1951"/>
      <c r="AS211" s="1951"/>
      <c r="AT211" s="1951"/>
      <c r="AU211" s="1951"/>
      <c r="AV211" s="1951"/>
      <c r="AW211" s="1951"/>
      <c r="AX211" s="1950" t="s">
        <v>7</v>
      </c>
      <c r="AY211" s="1950"/>
      <c r="AZ211" s="1950"/>
      <c r="BA211" s="1950"/>
      <c r="BB211" s="1950"/>
      <c r="BC211" s="1950"/>
      <c r="BD211" s="1950"/>
      <c r="BE211" s="1950"/>
      <c r="BF211" s="508"/>
      <c r="BG211" s="1951" t="s">
        <v>8</v>
      </c>
      <c r="BH211" s="1951"/>
      <c r="BI211" s="1951"/>
      <c r="BJ211" s="1951"/>
      <c r="BK211" s="1951"/>
      <c r="BL211" s="1950" t="s">
        <v>9</v>
      </c>
      <c r="BM211" s="1950"/>
      <c r="BN211" s="1950"/>
      <c r="BO211" s="1950"/>
      <c r="BP211" s="1950"/>
      <c r="BQ211" s="1950"/>
      <c r="BR211" s="1950"/>
      <c r="BS211" s="1950"/>
    </row>
    <row r="212" spans="1:72" s="246" customFormat="1">
      <c r="A212" s="1955"/>
      <c r="B212" s="245"/>
      <c r="C212" s="1956"/>
      <c r="D212" s="245" t="s">
        <v>10</v>
      </c>
      <c r="E212" s="62">
        <v>2016</v>
      </c>
      <c r="F212" s="62">
        <v>2017</v>
      </c>
      <c r="G212" s="62">
        <v>2018</v>
      </c>
      <c r="H212" s="62">
        <v>2019</v>
      </c>
      <c r="I212" s="62">
        <v>2020</v>
      </c>
      <c r="J212" s="62">
        <v>2021</v>
      </c>
      <c r="K212" s="62" t="s">
        <v>14</v>
      </c>
      <c r="L212" s="62" t="s">
        <v>11</v>
      </c>
      <c r="M212" s="63" t="s">
        <v>12</v>
      </c>
      <c r="N212" s="62">
        <v>2016</v>
      </c>
      <c r="O212" s="62">
        <v>2017</v>
      </c>
      <c r="P212" s="62">
        <v>2018</v>
      </c>
      <c r="Q212" s="62">
        <v>2019</v>
      </c>
      <c r="R212" s="62">
        <v>2020</v>
      </c>
      <c r="S212" s="62">
        <v>2021</v>
      </c>
      <c r="T212" s="62" t="s">
        <v>14</v>
      </c>
      <c r="U212" s="62" t="s">
        <v>11</v>
      </c>
      <c r="V212" s="63" t="s">
        <v>12</v>
      </c>
      <c r="W212" s="62">
        <v>2016</v>
      </c>
      <c r="X212" s="62">
        <v>2017</v>
      </c>
      <c r="Y212" s="62">
        <v>2018</v>
      </c>
      <c r="Z212" s="62">
        <v>2019</v>
      </c>
      <c r="AA212" s="62">
        <v>2020</v>
      </c>
      <c r="AB212" s="62">
        <v>2021</v>
      </c>
      <c r="AC212" s="62" t="s">
        <v>14</v>
      </c>
      <c r="AD212" s="62" t="s">
        <v>11</v>
      </c>
      <c r="AE212" s="63" t="s">
        <v>12</v>
      </c>
      <c r="AF212" s="62">
        <v>2016</v>
      </c>
      <c r="AG212" s="62">
        <v>2017</v>
      </c>
      <c r="AH212" s="62">
        <v>2018</v>
      </c>
      <c r="AI212" s="62">
        <v>2019</v>
      </c>
      <c r="AJ212" s="62">
        <v>2020</v>
      </c>
      <c r="AK212" s="62">
        <v>2021</v>
      </c>
      <c r="AL212" s="62" t="s">
        <v>14</v>
      </c>
      <c r="AM212" s="62" t="s">
        <v>11</v>
      </c>
      <c r="AN212" s="63" t="s">
        <v>12</v>
      </c>
      <c r="AO212" s="62">
        <v>2016</v>
      </c>
      <c r="AP212" s="62">
        <v>2017</v>
      </c>
      <c r="AQ212" s="62">
        <v>2018</v>
      </c>
      <c r="AR212" s="62">
        <v>2019</v>
      </c>
      <c r="AS212" s="62">
        <v>2020</v>
      </c>
      <c r="AT212" s="62">
        <v>2021</v>
      </c>
      <c r="AU212" s="62" t="s">
        <v>14</v>
      </c>
      <c r="AV212" s="62" t="s">
        <v>11</v>
      </c>
      <c r="AW212" s="63" t="s">
        <v>12</v>
      </c>
      <c r="AX212" s="62">
        <v>2016</v>
      </c>
      <c r="AY212" s="62">
        <v>2017</v>
      </c>
      <c r="AZ212" s="62">
        <v>2018</v>
      </c>
      <c r="BA212" s="62">
        <v>2019</v>
      </c>
      <c r="BB212" s="62">
        <v>2020</v>
      </c>
      <c r="BC212" s="62">
        <v>2021</v>
      </c>
      <c r="BD212" s="62" t="s">
        <v>14</v>
      </c>
      <c r="BE212" s="62" t="s">
        <v>11</v>
      </c>
      <c r="BF212" s="63" t="s">
        <v>12</v>
      </c>
      <c r="BG212" s="62">
        <v>2020</v>
      </c>
      <c r="BH212" s="62">
        <v>2021</v>
      </c>
      <c r="BI212" s="62" t="s">
        <v>14</v>
      </c>
      <c r="BJ212" s="62" t="s">
        <v>11</v>
      </c>
      <c r="BK212" s="63" t="s">
        <v>12</v>
      </c>
      <c r="BL212" s="62">
        <v>2016</v>
      </c>
      <c r="BM212" s="62">
        <v>2017</v>
      </c>
      <c r="BN212" s="62">
        <v>2018</v>
      </c>
      <c r="BO212" s="62">
        <v>2019</v>
      </c>
      <c r="BP212" s="62">
        <v>2020</v>
      </c>
      <c r="BQ212" s="62">
        <v>2021</v>
      </c>
      <c r="BR212" s="62" t="s">
        <v>14</v>
      </c>
      <c r="BS212" s="62" t="s">
        <v>11</v>
      </c>
      <c r="BT212" s="62" t="s">
        <v>12</v>
      </c>
    </row>
    <row r="213" spans="1:72" ht="15.5">
      <c r="A213" s="1952" t="s">
        <v>15</v>
      </c>
      <c r="B213" s="460" t="s">
        <v>15</v>
      </c>
      <c r="C213" s="39" t="s">
        <v>16</v>
      </c>
      <c r="D213" s="39" t="s">
        <v>17</v>
      </c>
      <c r="E213" s="40">
        <v>590000</v>
      </c>
      <c r="F213" s="40">
        <v>590000</v>
      </c>
      <c r="G213" s="40">
        <v>590000</v>
      </c>
      <c r="H213" s="40">
        <v>590000</v>
      </c>
      <c r="I213" s="40">
        <v>600000</v>
      </c>
      <c r="J213" s="40">
        <v>590000</v>
      </c>
      <c r="K213" s="40">
        <v>590000</v>
      </c>
      <c r="L213" s="40">
        <v>590000</v>
      </c>
      <c r="M213" s="45">
        <v>590001</v>
      </c>
      <c r="N213" s="19">
        <v>150000</v>
      </c>
      <c r="O213" s="19">
        <v>150000</v>
      </c>
      <c r="P213" s="19">
        <v>300000</v>
      </c>
      <c r="Q213" s="19">
        <v>490000</v>
      </c>
      <c r="R213" s="19">
        <v>600000</v>
      </c>
      <c r="S213" s="19">
        <v>590000</v>
      </c>
      <c r="T213" s="19">
        <v>650000</v>
      </c>
      <c r="U213" s="19">
        <v>650000</v>
      </c>
      <c r="V213" s="19">
        <v>650000</v>
      </c>
      <c r="W213" s="67">
        <f t="shared" ref="W213:AE216" si="6">MAX(0,E213-N213)</f>
        <v>440000</v>
      </c>
      <c r="X213" s="67">
        <f t="shared" si="6"/>
        <v>440000</v>
      </c>
      <c r="Y213" s="67">
        <f t="shared" si="6"/>
        <v>290000</v>
      </c>
      <c r="Z213" s="67">
        <f t="shared" si="6"/>
        <v>100000</v>
      </c>
      <c r="AA213" s="67">
        <f t="shared" si="6"/>
        <v>0</v>
      </c>
      <c r="AB213" s="67">
        <f t="shared" si="6"/>
        <v>0</v>
      </c>
      <c r="AC213" s="67">
        <f t="shared" si="6"/>
        <v>0</v>
      </c>
      <c r="AD213" s="67">
        <f t="shared" si="6"/>
        <v>0</v>
      </c>
      <c r="AE213" s="68">
        <f t="shared" si="6"/>
        <v>0</v>
      </c>
      <c r="AF213" s="31">
        <v>0.56000000000000005</v>
      </c>
      <c r="AG213" s="31">
        <v>0.67400000000000004</v>
      </c>
      <c r="AH213" s="31">
        <v>0.71499999999999997</v>
      </c>
      <c r="AI213" s="31">
        <v>0.745</v>
      </c>
      <c r="AJ213" s="31">
        <v>0.59425666666666666</v>
      </c>
      <c r="AK213" s="247">
        <f>BC213/S213</f>
        <v>0.75335762711864407</v>
      </c>
      <c r="AL213" s="70">
        <v>0.8</v>
      </c>
      <c r="AM213" s="298">
        <v>0.9</v>
      </c>
      <c r="AN213" s="300">
        <v>1</v>
      </c>
      <c r="AO213" s="518"/>
      <c r="AP213" s="518"/>
      <c r="AQ213" s="518"/>
      <c r="AR213" s="518"/>
      <c r="AS213" s="518"/>
      <c r="AT213" s="518"/>
      <c r="AU213" s="518"/>
      <c r="AV213" s="518"/>
      <c r="AW213" s="300"/>
      <c r="AX213" s="19">
        <v>83940</v>
      </c>
      <c r="AY213" s="19">
        <v>101027</v>
      </c>
      <c r="AZ213" s="19">
        <v>214459</v>
      </c>
      <c r="BA213" s="19">
        <v>365232</v>
      </c>
      <c r="BB213" s="19">
        <v>356554</v>
      </c>
      <c r="BC213" s="19">
        <v>444481</v>
      </c>
      <c r="BD213" s="75">
        <f t="shared" ref="BD213:BF216" si="7">AL213*T213</f>
        <v>520000</v>
      </c>
      <c r="BE213" s="75">
        <f t="shared" si="7"/>
        <v>585000</v>
      </c>
      <c r="BF213" s="76">
        <f>AN213*V213</f>
        <v>650000</v>
      </c>
      <c r="BG213" s="75" t="e">
        <f>BB213*($BG$7/$BB$7)</f>
        <v>#DIV/0!</v>
      </c>
      <c r="BH213" s="75" t="e">
        <f t="shared" ref="BH213:BK216" si="8">BC213*($BG$7/$BB$7)</f>
        <v>#DIV/0!</v>
      </c>
      <c r="BI213" s="75" t="e">
        <f t="shared" si="8"/>
        <v>#DIV/0!</v>
      </c>
      <c r="BJ213" s="75" t="e">
        <f t="shared" si="8"/>
        <v>#DIV/0!</v>
      </c>
      <c r="BK213" s="76" t="e">
        <f t="shared" si="8"/>
        <v>#DIV/0!</v>
      </c>
      <c r="BL213" s="19">
        <v>76285</v>
      </c>
      <c r="BM213" s="19">
        <v>103181</v>
      </c>
      <c r="BN213" s="41">
        <v>245240</v>
      </c>
      <c r="BO213" s="19">
        <v>367656</v>
      </c>
      <c r="BP213" s="19">
        <v>356554</v>
      </c>
      <c r="BQ213" s="19">
        <v>452042</v>
      </c>
      <c r="BR213" s="75">
        <f>BD213</f>
        <v>520000</v>
      </c>
      <c r="BS213" s="75">
        <f t="shared" ref="BR213:BT215" si="9">BE213</f>
        <v>585000</v>
      </c>
      <c r="BT213" s="75">
        <f t="shared" si="9"/>
        <v>650000</v>
      </c>
    </row>
    <row r="214" spans="1:72" ht="15.5">
      <c r="A214" s="1952"/>
      <c r="B214" s="460"/>
      <c r="C214" s="39" t="s">
        <v>18</v>
      </c>
      <c r="D214" s="39" t="s">
        <v>19</v>
      </c>
      <c r="E214" s="40">
        <v>0</v>
      </c>
      <c r="F214" s="40">
        <v>0</v>
      </c>
      <c r="G214" s="40">
        <v>0</v>
      </c>
      <c r="H214" s="40">
        <v>450000</v>
      </c>
      <c r="I214" s="40">
        <v>450000</v>
      </c>
      <c r="J214" s="237">
        <v>1000000</v>
      </c>
      <c r="K214" s="237">
        <f>J214</f>
        <v>1000000</v>
      </c>
      <c r="L214" s="237">
        <f>K214</f>
        <v>1000000</v>
      </c>
      <c r="M214" s="274">
        <f>L214</f>
        <v>1000000</v>
      </c>
      <c r="N214" s="19">
        <v>0</v>
      </c>
      <c r="O214" s="19">
        <v>0</v>
      </c>
      <c r="P214" s="19">
        <v>0</v>
      </c>
      <c r="Q214" s="19">
        <v>0</v>
      </c>
      <c r="R214" s="238">
        <f>3500*52</f>
        <v>182000</v>
      </c>
      <c r="S214" s="238">
        <f>50000*12</f>
        <v>600000</v>
      </c>
      <c r="T214" s="238">
        <v>750000</v>
      </c>
      <c r="U214" s="238">
        <v>1000000</v>
      </c>
      <c r="V214" s="275">
        <v>1000000</v>
      </c>
      <c r="W214" s="67">
        <f t="shared" si="6"/>
        <v>0</v>
      </c>
      <c r="X214" s="67">
        <f t="shared" si="6"/>
        <v>0</v>
      </c>
      <c r="Y214" s="67">
        <f t="shared" si="6"/>
        <v>0</v>
      </c>
      <c r="Z214" s="67">
        <f t="shared" si="6"/>
        <v>450000</v>
      </c>
      <c r="AA214" s="67">
        <f t="shared" si="6"/>
        <v>268000</v>
      </c>
      <c r="AB214" s="67">
        <f t="shared" si="6"/>
        <v>400000</v>
      </c>
      <c r="AC214" s="67">
        <f t="shared" si="6"/>
        <v>250000</v>
      </c>
      <c r="AD214" s="67">
        <f t="shared" si="6"/>
        <v>0</v>
      </c>
      <c r="AE214" s="68">
        <f t="shared" si="6"/>
        <v>0</v>
      </c>
      <c r="AF214" s="31"/>
      <c r="AG214" s="31"/>
      <c r="AH214" s="31"/>
      <c r="AI214" s="31"/>
      <c r="AJ214" s="31">
        <v>0.61299999999999999</v>
      </c>
      <c r="AK214" s="247">
        <f>BC214/S214</f>
        <v>0.80964499999999995</v>
      </c>
      <c r="AL214" s="298">
        <v>0.9</v>
      </c>
      <c r="AM214" s="298">
        <v>0.8</v>
      </c>
      <c r="AN214" s="300">
        <v>0.85</v>
      </c>
      <c r="AO214" s="518"/>
      <c r="AP214" s="518"/>
      <c r="AQ214" s="518"/>
      <c r="AR214" s="518"/>
      <c r="AS214" s="518"/>
      <c r="AT214" s="518"/>
      <c r="AU214" s="518"/>
      <c r="AV214" s="518"/>
      <c r="AW214" s="300"/>
      <c r="AX214" s="19">
        <v>0</v>
      </c>
      <c r="AY214" s="19">
        <v>0</v>
      </c>
      <c r="AZ214" s="19">
        <v>0</v>
      </c>
      <c r="BA214" s="19">
        <v>0</v>
      </c>
      <c r="BB214" s="19">
        <v>153183</v>
      </c>
      <c r="BC214" s="19">
        <v>485787</v>
      </c>
      <c r="BD214" s="75">
        <f t="shared" si="7"/>
        <v>675000</v>
      </c>
      <c r="BE214" s="75">
        <f t="shared" si="7"/>
        <v>800000</v>
      </c>
      <c r="BF214" s="76">
        <f t="shared" si="7"/>
        <v>850000</v>
      </c>
      <c r="BG214" s="75" t="e">
        <f t="shared" ref="BG214:BG216" si="10">BB214*($BG$7/$BB$7)</f>
        <v>#DIV/0!</v>
      </c>
      <c r="BH214" s="75" t="e">
        <f t="shared" si="8"/>
        <v>#DIV/0!</v>
      </c>
      <c r="BI214" s="75" t="e">
        <f t="shared" si="8"/>
        <v>#DIV/0!</v>
      </c>
      <c r="BJ214" s="75" t="e">
        <f t="shared" si="8"/>
        <v>#DIV/0!</v>
      </c>
      <c r="BK214" s="76" t="e">
        <f t="shared" si="8"/>
        <v>#DIV/0!</v>
      </c>
      <c r="BL214" s="19">
        <v>0</v>
      </c>
      <c r="BM214" s="19">
        <v>0</v>
      </c>
      <c r="BN214" s="19">
        <v>0</v>
      </c>
      <c r="BO214" s="19">
        <v>0</v>
      </c>
      <c r="BP214" s="19">
        <v>146138</v>
      </c>
      <c r="BQ214" s="19">
        <v>484130</v>
      </c>
      <c r="BR214" s="75">
        <f t="shared" si="9"/>
        <v>675000</v>
      </c>
      <c r="BS214" s="75">
        <f t="shared" si="9"/>
        <v>800000</v>
      </c>
      <c r="BT214" s="75">
        <f t="shared" si="9"/>
        <v>850000</v>
      </c>
    </row>
    <row r="215" spans="1:72" ht="15.5">
      <c r="A215" s="1952"/>
      <c r="B215" s="460"/>
      <c r="C215" s="39" t="s">
        <v>20</v>
      </c>
      <c r="D215" s="39" t="s">
        <v>21</v>
      </c>
      <c r="E215" s="19">
        <v>0</v>
      </c>
      <c r="F215" s="19">
        <v>0</v>
      </c>
      <c r="G215" s="19">
        <v>0</v>
      </c>
      <c r="H215" s="19">
        <v>0</v>
      </c>
      <c r="I215" s="19">
        <v>0</v>
      </c>
      <c r="J215" s="19">
        <v>500000</v>
      </c>
      <c r="K215" s="19">
        <v>500000</v>
      </c>
      <c r="L215" s="19">
        <v>500000</v>
      </c>
      <c r="M215" s="46">
        <v>500000</v>
      </c>
      <c r="N215" s="19">
        <v>0</v>
      </c>
      <c r="O215" s="19">
        <v>0</v>
      </c>
      <c r="P215" s="19">
        <v>0</v>
      </c>
      <c r="Q215" s="19">
        <v>0</v>
      </c>
      <c r="R215" s="19">
        <v>0</v>
      </c>
      <c r="S215" s="19">
        <v>0</v>
      </c>
      <c r="T215" s="238">
        <v>250000</v>
      </c>
      <c r="U215" s="238">
        <f>L215/3*2</f>
        <v>333333.33333333331</v>
      </c>
      <c r="V215" s="275">
        <v>500000</v>
      </c>
      <c r="W215" s="67">
        <f t="shared" si="6"/>
        <v>0</v>
      </c>
      <c r="X215" s="67">
        <f t="shared" si="6"/>
        <v>0</v>
      </c>
      <c r="Y215" s="67">
        <f t="shared" si="6"/>
        <v>0</v>
      </c>
      <c r="Z215" s="67">
        <f t="shared" si="6"/>
        <v>0</v>
      </c>
      <c r="AA215" s="67">
        <f t="shared" si="6"/>
        <v>0</v>
      </c>
      <c r="AB215" s="67">
        <f t="shared" si="6"/>
        <v>500000</v>
      </c>
      <c r="AC215" s="67">
        <f t="shared" si="6"/>
        <v>250000</v>
      </c>
      <c r="AD215" s="67">
        <f t="shared" si="6"/>
        <v>166666.66666666669</v>
      </c>
      <c r="AE215" s="68">
        <f t="shared" si="6"/>
        <v>0</v>
      </c>
      <c r="AF215" s="31"/>
      <c r="AG215" s="31"/>
      <c r="AH215" s="31"/>
      <c r="AI215" s="31"/>
      <c r="AJ215" s="31"/>
      <c r="AK215" s="247"/>
      <c r="AL215" s="70">
        <f>AF213/2</f>
        <v>0.28000000000000003</v>
      </c>
      <c r="AM215" s="298">
        <f>AF213</f>
        <v>0.56000000000000005</v>
      </c>
      <c r="AN215" s="298">
        <f>AG213</f>
        <v>0.67400000000000004</v>
      </c>
      <c r="AO215" s="518"/>
      <c r="AP215" s="518"/>
      <c r="AQ215" s="518"/>
      <c r="AR215" s="518"/>
      <c r="AS215" s="518"/>
      <c r="AT215" s="518"/>
      <c r="AU215" s="518"/>
      <c r="AV215" s="518"/>
      <c r="AW215" s="300"/>
      <c r="AX215" s="19">
        <v>0</v>
      </c>
      <c r="AY215" s="19">
        <v>0</v>
      </c>
      <c r="AZ215" s="19">
        <v>0</v>
      </c>
      <c r="BA215" s="19">
        <v>0</v>
      </c>
      <c r="BB215" s="19">
        <v>0</v>
      </c>
      <c r="BC215" s="19">
        <v>154</v>
      </c>
      <c r="BD215" s="75">
        <f t="shared" si="7"/>
        <v>70000</v>
      </c>
      <c r="BE215" s="75">
        <f t="shared" si="7"/>
        <v>186666.66666666669</v>
      </c>
      <c r="BF215" s="76">
        <f t="shared" si="7"/>
        <v>337000</v>
      </c>
      <c r="BG215" s="75" t="e">
        <f t="shared" si="10"/>
        <v>#DIV/0!</v>
      </c>
      <c r="BH215" s="75" t="e">
        <f t="shared" si="8"/>
        <v>#DIV/0!</v>
      </c>
      <c r="BI215" s="75" t="e">
        <f t="shared" si="8"/>
        <v>#DIV/0!</v>
      </c>
      <c r="BJ215" s="75" t="e">
        <f t="shared" si="8"/>
        <v>#DIV/0!</v>
      </c>
      <c r="BK215" s="76" t="e">
        <f t="shared" si="8"/>
        <v>#DIV/0!</v>
      </c>
      <c r="BL215" s="19">
        <v>0</v>
      </c>
      <c r="BM215" s="19">
        <v>0</v>
      </c>
      <c r="BN215" s="19">
        <v>0</v>
      </c>
      <c r="BO215" s="19">
        <v>0</v>
      </c>
      <c r="BP215" s="19">
        <v>0</v>
      </c>
      <c r="BQ215" s="19">
        <v>0</v>
      </c>
      <c r="BR215" s="75">
        <f t="shared" si="9"/>
        <v>70000</v>
      </c>
      <c r="BS215" s="75">
        <f t="shared" si="9"/>
        <v>186666.66666666669</v>
      </c>
      <c r="BT215" s="75">
        <f t="shared" si="9"/>
        <v>337000</v>
      </c>
    </row>
    <row r="216" spans="1:72" ht="15.5">
      <c r="A216" s="1952"/>
      <c r="B216" s="460"/>
      <c r="C216" s="39" t="s">
        <v>22</v>
      </c>
      <c r="D216" s="39" t="s">
        <v>23</v>
      </c>
      <c r="E216" s="19">
        <v>0</v>
      </c>
      <c r="F216" s="19">
        <v>0</v>
      </c>
      <c r="G216" s="19">
        <v>0</v>
      </c>
      <c r="H216" s="19">
        <v>0</v>
      </c>
      <c r="I216" s="19">
        <v>0</v>
      </c>
      <c r="J216" s="19">
        <v>0</v>
      </c>
      <c r="K216" s="19">
        <v>500000</v>
      </c>
      <c r="L216" s="19">
        <v>500000</v>
      </c>
      <c r="M216" s="46">
        <v>500000</v>
      </c>
      <c r="N216" s="19">
        <v>0</v>
      </c>
      <c r="O216" s="19">
        <v>0</v>
      </c>
      <c r="P216" s="19">
        <v>0</v>
      </c>
      <c r="Q216" s="19">
        <v>0</v>
      </c>
      <c r="R216" s="19">
        <v>0</v>
      </c>
      <c r="S216" s="19">
        <v>0</v>
      </c>
      <c r="T216" s="238">
        <v>250000</v>
      </c>
      <c r="U216" s="238">
        <f>L216/3*2</f>
        <v>333333.33333333331</v>
      </c>
      <c r="V216" s="275">
        <f>M216/3*2</f>
        <v>333333.33333333331</v>
      </c>
      <c r="W216" s="67">
        <f t="shared" si="6"/>
        <v>0</v>
      </c>
      <c r="X216" s="67">
        <f t="shared" si="6"/>
        <v>0</v>
      </c>
      <c r="Y216" s="67">
        <f t="shared" si="6"/>
        <v>0</v>
      </c>
      <c r="Z216" s="67">
        <f t="shared" si="6"/>
        <v>0</v>
      </c>
      <c r="AA216" s="67">
        <f t="shared" si="6"/>
        <v>0</v>
      </c>
      <c r="AB216" s="67">
        <f t="shared" si="6"/>
        <v>0</v>
      </c>
      <c r="AC216" s="67">
        <f t="shared" si="6"/>
        <v>250000</v>
      </c>
      <c r="AD216" s="67">
        <f t="shared" si="6"/>
        <v>166666.66666666669</v>
      </c>
      <c r="AE216" s="68">
        <f t="shared" si="6"/>
        <v>166666.66666666669</v>
      </c>
      <c r="AF216" s="31"/>
      <c r="AG216" s="31"/>
      <c r="AH216" s="31"/>
      <c r="AI216" s="31"/>
      <c r="AJ216" s="31"/>
      <c r="AK216" s="69"/>
      <c r="AL216" s="70">
        <f>AF213/2</f>
        <v>0.28000000000000003</v>
      </c>
      <c r="AM216" s="298">
        <f>AG213</f>
        <v>0.67400000000000004</v>
      </c>
      <c r="AN216" s="300">
        <f>AH213</f>
        <v>0.71499999999999997</v>
      </c>
      <c r="AO216" s="518"/>
      <c r="AP216" s="518"/>
      <c r="AQ216" s="518"/>
      <c r="AR216" s="518"/>
      <c r="AS216" s="518"/>
      <c r="AT216" s="518"/>
      <c r="AU216" s="518"/>
      <c r="AV216" s="518"/>
      <c r="AW216" s="300"/>
      <c r="AX216" s="19">
        <v>0</v>
      </c>
      <c r="AY216" s="19">
        <v>0</v>
      </c>
      <c r="AZ216" s="19">
        <v>0</v>
      </c>
      <c r="BA216" s="19">
        <v>0</v>
      </c>
      <c r="BB216" s="19">
        <v>0</v>
      </c>
      <c r="BC216" s="19">
        <v>0</v>
      </c>
      <c r="BD216" s="75">
        <f t="shared" si="7"/>
        <v>70000</v>
      </c>
      <c r="BE216" s="75">
        <f t="shared" si="7"/>
        <v>224666.66666666666</v>
      </c>
      <c r="BF216" s="76">
        <f t="shared" si="7"/>
        <v>238333.33333333331</v>
      </c>
      <c r="BG216" s="75" t="e">
        <f t="shared" si="10"/>
        <v>#DIV/0!</v>
      </c>
      <c r="BH216" s="75" t="e">
        <f t="shared" si="8"/>
        <v>#DIV/0!</v>
      </c>
      <c r="BI216" s="75" t="e">
        <f t="shared" si="8"/>
        <v>#DIV/0!</v>
      </c>
      <c r="BJ216" s="75" t="e">
        <f t="shared" si="8"/>
        <v>#DIV/0!</v>
      </c>
      <c r="BK216" s="76" t="e">
        <f t="shared" si="8"/>
        <v>#DIV/0!</v>
      </c>
      <c r="BL216" s="19">
        <v>0</v>
      </c>
      <c r="BM216" s="19">
        <v>0</v>
      </c>
      <c r="BN216" s="19">
        <v>0</v>
      </c>
      <c r="BO216" s="19">
        <v>0</v>
      </c>
      <c r="BP216" s="19">
        <v>0</v>
      </c>
      <c r="BQ216" s="19">
        <v>0</v>
      </c>
      <c r="BR216" s="75">
        <f>BD216</f>
        <v>70000</v>
      </c>
      <c r="BS216" s="75">
        <f>BE216</f>
        <v>224666.66666666666</v>
      </c>
      <c r="BT216" s="75">
        <f>BF216</f>
        <v>238333.33333333331</v>
      </c>
    </row>
    <row r="217" spans="1:72">
      <c r="A217" s="1952"/>
      <c r="B217" s="460"/>
      <c r="C217" s="42" t="s">
        <v>24</v>
      </c>
      <c r="D217" s="42"/>
      <c r="E217" s="71">
        <f>SUM(E213:E216)</f>
        <v>590000</v>
      </c>
      <c r="F217" s="71">
        <f t="shared" ref="F217:M217" si="11">SUM(F213:F216)</f>
        <v>590000</v>
      </c>
      <c r="G217" s="71">
        <f t="shared" si="11"/>
        <v>590000</v>
      </c>
      <c r="H217" s="71">
        <f t="shared" si="11"/>
        <v>1040000</v>
      </c>
      <c r="I217" s="71">
        <f t="shared" si="11"/>
        <v>1050000</v>
      </c>
      <c r="J217" s="71">
        <f t="shared" si="11"/>
        <v>2090000</v>
      </c>
      <c r="K217" s="71">
        <f t="shared" si="11"/>
        <v>2590000</v>
      </c>
      <c r="L217" s="71">
        <f t="shared" si="11"/>
        <v>2590000</v>
      </c>
      <c r="M217" s="72">
        <f t="shared" si="11"/>
        <v>2590001</v>
      </c>
      <c r="N217" s="71">
        <f>SUM(N213:N216)</f>
        <v>150000</v>
      </c>
      <c r="O217" s="71">
        <f t="shared" ref="O217:V217" si="12">SUM(O213:O216)</f>
        <v>150000</v>
      </c>
      <c r="P217" s="71">
        <f t="shared" si="12"/>
        <v>300000</v>
      </c>
      <c r="Q217" s="71">
        <f t="shared" si="12"/>
        <v>490000</v>
      </c>
      <c r="R217" s="71">
        <f t="shared" si="12"/>
        <v>782000</v>
      </c>
      <c r="S217" s="71">
        <f t="shared" si="12"/>
        <v>1190000</v>
      </c>
      <c r="T217" s="71">
        <f t="shared" si="12"/>
        <v>1900000</v>
      </c>
      <c r="U217" s="71">
        <f t="shared" si="12"/>
        <v>2316666.6666666665</v>
      </c>
      <c r="V217" s="72">
        <f t="shared" si="12"/>
        <v>2483333.3333333335</v>
      </c>
      <c r="W217" s="71">
        <f>SUM(W213:W216)</f>
        <v>440000</v>
      </c>
      <c r="X217" s="71">
        <f t="shared" ref="X217:AE217" si="13">SUM(X213:X216)</f>
        <v>440000</v>
      </c>
      <c r="Y217" s="71">
        <f t="shared" si="13"/>
        <v>290000</v>
      </c>
      <c r="Z217" s="71">
        <f t="shared" si="13"/>
        <v>550000</v>
      </c>
      <c r="AA217" s="71">
        <f t="shared" si="13"/>
        <v>268000</v>
      </c>
      <c r="AB217" s="71">
        <f t="shared" si="13"/>
        <v>900000</v>
      </c>
      <c r="AC217" s="71">
        <f t="shared" si="13"/>
        <v>750000</v>
      </c>
      <c r="AD217" s="71">
        <f t="shared" si="13"/>
        <v>333333.33333333337</v>
      </c>
      <c r="AE217" s="72">
        <f t="shared" si="13"/>
        <v>166666.66666666669</v>
      </c>
      <c r="AF217" s="73">
        <f t="shared" ref="AF217:AN217" si="14">AX217/N217</f>
        <v>0.55959999999999999</v>
      </c>
      <c r="AG217" s="73">
        <f t="shared" si="14"/>
        <v>0.6735133333333333</v>
      </c>
      <c r="AH217" s="73">
        <f t="shared" si="14"/>
        <v>0.7148633333333333</v>
      </c>
      <c r="AI217" s="73">
        <f t="shared" si="14"/>
        <v>0.74537142857142857</v>
      </c>
      <c r="AJ217" s="73">
        <f t="shared" si="14"/>
        <v>0.65183759590792834</v>
      </c>
      <c r="AK217" s="73">
        <f t="shared" si="14"/>
        <v>0.78186722689075627</v>
      </c>
      <c r="AL217" s="73">
        <f t="shared" si="14"/>
        <v>0.70263157894736838</v>
      </c>
      <c r="AM217" s="73">
        <f t="shared" si="14"/>
        <v>0.77539568345323751</v>
      </c>
      <c r="AN217" s="74">
        <f t="shared" si="14"/>
        <v>0.83570469798657709</v>
      </c>
      <c r="AO217" s="520">
        <v>0.69</v>
      </c>
      <c r="AP217" s="520">
        <v>0.66</v>
      </c>
      <c r="AQ217" s="520">
        <v>1.07</v>
      </c>
      <c r="AR217" s="520">
        <v>1.23</v>
      </c>
      <c r="AS217" s="520">
        <v>1.45</v>
      </c>
      <c r="AT217" s="520">
        <v>1.97</v>
      </c>
      <c r="AU217" s="520">
        <v>2.35</v>
      </c>
      <c r="AV217" s="520"/>
      <c r="AW217" s="520"/>
      <c r="AX217" s="71">
        <f>SUM(AX213:AX216)</f>
        <v>83940</v>
      </c>
      <c r="AY217" s="71">
        <f t="shared" ref="AY217:BE217" si="15">SUM(AY213:AY216)</f>
        <v>101027</v>
      </c>
      <c r="AZ217" s="71">
        <f t="shared" si="15"/>
        <v>214459</v>
      </c>
      <c r="BA217" s="71">
        <f t="shared" si="15"/>
        <v>365232</v>
      </c>
      <c r="BB217" s="71">
        <f t="shared" si="15"/>
        <v>509737</v>
      </c>
      <c r="BC217" s="71">
        <f>SUM(BC213:BC216)</f>
        <v>930422</v>
      </c>
      <c r="BD217" s="71">
        <f t="shared" si="15"/>
        <v>1335000</v>
      </c>
      <c r="BE217" s="71">
        <f t="shared" si="15"/>
        <v>1796333.3333333335</v>
      </c>
      <c r="BF217" s="72">
        <f>SUM(BF213:BF216)</f>
        <v>2075333.3333333333</v>
      </c>
      <c r="BG217" s="517">
        <v>462448</v>
      </c>
      <c r="BH217" s="517">
        <v>951948</v>
      </c>
      <c r="BI217" s="517">
        <v>1408574.2125128233</v>
      </c>
      <c r="BJ217" s="517">
        <v>1707624.6056260152</v>
      </c>
      <c r="BK217" s="524">
        <v>1925004.7177016572</v>
      </c>
      <c r="BL217" s="71">
        <f>SUM(BL213:BL216)</f>
        <v>76285</v>
      </c>
      <c r="BM217" s="71">
        <f>SUM(BM213:BM216)</f>
        <v>103181</v>
      </c>
      <c r="BN217" s="71">
        <f t="shared" ref="BN217:BP217" si="16">SUM(BN213:BN216)</f>
        <v>245240</v>
      </c>
      <c r="BO217" s="71">
        <f t="shared" si="16"/>
        <v>367656</v>
      </c>
      <c r="BP217" s="71">
        <f t="shared" si="16"/>
        <v>502692</v>
      </c>
      <c r="BQ217" s="71">
        <f>SUM(BQ213:BQ216)</f>
        <v>936172</v>
      </c>
      <c r="BR217" s="71">
        <f>MIN(BD217,BI217)</f>
        <v>1335000</v>
      </c>
      <c r="BS217" s="71">
        <f t="shared" ref="BS217" si="17">MIN(BE217,BJ217)</f>
        <v>1707624.6056260152</v>
      </c>
      <c r="BT217" s="71">
        <f>MIN(BF217,BK217)</f>
        <v>1925004.7177016572</v>
      </c>
    </row>
    <row r="218" spans="1:72">
      <c r="C218" s="1956" t="s">
        <v>1</v>
      </c>
      <c r="D218" s="1950" t="s">
        <v>3</v>
      </c>
      <c r="E218" s="1950"/>
      <c r="F218" s="1950"/>
      <c r="G218" s="1950"/>
      <c r="H218" s="1950"/>
      <c r="I218" s="1950"/>
      <c r="J218" s="1950"/>
      <c r="K218" s="1950"/>
      <c r="L218" s="507"/>
    </row>
    <row r="219" spans="1:72">
      <c r="C219" s="1956"/>
      <c r="D219" s="62">
        <v>2016</v>
      </c>
      <c r="E219" s="62">
        <v>2017</v>
      </c>
      <c r="F219" s="62">
        <v>2018</v>
      </c>
      <c r="G219" s="62">
        <v>2019</v>
      </c>
      <c r="H219" s="62">
        <v>2020</v>
      </c>
      <c r="I219" s="62">
        <v>2021</v>
      </c>
      <c r="J219" s="62" t="s">
        <v>14</v>
      </c>
      <c r="K219" s="62" t="s">
        <v>11</v>
      </c>
      <c r="L219" s="63" t="s">
        <v>12</v>
      </c>
    </row>
    <row r="220" spans="1:72">
      <c r="C220" s="39" t="s">
        <v>16</v>
      </c>
      <c r="D220" s="19">
        <v>150000</v>
      </c>
      <c r="E220" s="19">
        <v>150000</v>
      </c>
      <c r="F220" s="19">
        <v>300000</v>
      </c>
      <c r="G220" s="19">
        <v>490000</v>
      </c>
      <c r="H220" s="19">
        <v>600000</v>
      </c>
      <c r="I220" s="19">
        <v>590000</v>
      </c>
      <c r="J220" s="19">
        <v>650000</v>
      </c>
      <c r="K220" s="19">
        <v>650000</v>
      </c>
      <c r="L220" s="19">
        <v>650000</v>
      </c>
    </row>
    <row r="221" spans="1:72">
      <c r="C221" s="39" t="s">
        <v>18</v>
      </c>
      <c r="D221" s="19">
        <v>0</v>
      </c>
      <c r="E221" s="19">
        <v>0</v>
      </c>
      <c r="F221" s="19">
        <v>0</v>
      </c>
      <c r="G221" s="19">
        <v>0</v>
      </c>
      <c r="H221" s="238">
        <f>3500*52</f>
        <v>182000</v>
      </c>
      <c r="I221" s="238">
        <f>50000*12</f>
        <v>600000</v>
      </c>
      <c r="J221" s="238">
        <v>750000</v>
      </c>
      <c r="K221" s="238">
        <v>1000000</v>
      </c>
      <c r="L221" s="275">
        <v>1000000</v>
      </c>
    </row>
    <row r="222" spans="1:72">
      <c r="C222" s="39" t="s">
        <v>20</v>
      </c>
      <c r="D222" s="19">
        <v>0</v>
      </c>
      <c r="E222" s="19">
        <v>0</v>
      </c>
      <c r="F222" s="19">
        <v>0</v>
      </c>
      <c r="G222" s="19">
        <v>0</v>
      </c>
      <c r="H222" s="19">
        <v>0</v>
      </c>
      <c r="I222" s="19">
        <v>0</v>
      </c>
      <c r="J222" s="238">
        <v>250000</v>
      </c>
      <c r="K222" s="238">
        <f>B222/3*2</f>
        <v>0</v>
      </c>
      <c r="L222" s="275">
        <v>500000</v>
      </c>
    </row>
    <row r="223" spans="1:72">
      <c r="C223" s="39" t="s">
        <v>22</v>
      </c>
      <c r="D223" s="19">
        <v>0</v>
      </c>
      <c r="E223" s="19">
        <v>0</v>
      </c>
      <c r="F223" s="19">
        <v>0</v>
      </c>
      <c r="G223" s="19">
        <v>0</v>
      </c>
      <c r="H223" s="19">
        <v>0</v>
      </c>
      <c r="I223" s="19">
        <v>0</v>
      </c>
      <c r="J223" s="238">
        <v>250000</v>
      </c>
      <c r="K223" s="238">
        <f>B223/3*2</f>
        <v>0</v>
      </c>
      <c r="L223" s="275" t="e">
        <f>C223/3*2</f>
        <v>#VALUE!</v>
      </c>
    </row>
    <row r="224" spans="1:72">
      <c r="C224" s="42" t="s">
        <v>24</v>
      </c>
      <c r="D224" s="71">
        <f>SUM(D220:D223)</f>
        <v>150000</v>
      </c>
      <c r="E224" s="71">
        <f t="shared" ref="E224:L224" si="18">SUM(E220:E223)</f>
        <v>150000</v>
      </c>
      <c r="F224" s="71">
        <f t="shared" si="18"/>
        <v>300000</v>
      </c>
      <c r="G224" s="71">
        <f t="shared" si="18"/>
        <v>490000</v>
      </c>
      <c r="H224" s="71">
        <f t="shared" si="18"/>
        <v>782000</v>
      </c>
      <c r="I224" s="71">
        <f t="shared" si="18"/>
        <v>1190000</v>
      </c>
      <c r="J224" s="71">
        <f t="shared" si="18"/>
        <v>1900000</v>
      </c>
      <c r="K224" s="71">
        <f t="shared" si="18"/>
        <v>1650000</v>
      </c>
      <c r="L224" s="72" t="e">
        <f t="shared" si="18"/>
        <v>#VALUE!</v>
      </c>
    </row>
    <row r="225" spans="1:12">
      <c r="D225" t="s">
        <v>7</v>
      </c>
    </row>
    <row r="226" spans="1:12">
      <c r="D226">
        <v>2016</v>
      </c>
      <c r="E226">
        <v>2017</v>
      </c>
      <c r="F226">
        <v>2018</v>
      </c>
      <c r="G226">
        <v>2019</v>
      </c>
      <c r="H226">
        <v>2020</v>
      </c>
      <c r="I226">
        <v>2021</v>
      </c>
      <c r="J226" t="s">
        <v>14</v>
      </c>
      <c r="K226" t="s">
        <v>11</v>
      </c>
      <c r="L226" t="s">
        <v>12</v>
      </c>
    </row>
    <row r="227" spans="1:12">
      <c r="C227" s="39" t="s">
        <v>16</v>
      </c>
      <c r="D227">
        <v>83940</v>
      </c>
      <c r="E227">
        <v>101027</v>
      </c>
      <c r="F227">
        <v>214459</v>
      </c>
      <c r="G227">
        <v>365232</v>
      </c>
      <c r="H227">
        <v>356554</v>
      </c>
      <c r="I227">
        <v>444481</v>
      </c>
      <c r="J227">
        <v>520000</v>
      </c>
      <c r="K227">
        <v>585000</v>
      </c>
      <c r="L227">
        <v>650000</v>
      </c>
    </row>
    <row r="228" spans="1:12">
      <c r="C228" s="39" t="s">
        <v>18</v>
      </c>
      <c r="D228">
        <v>0</v>
      </c>
      <c r="E228">
        <v>0</v>
      </c>
      <c r="F228">
        <v>0</v>
      </c>
      <c r="G228">
        <v>0</v>
      </c>
      <c r="H228">
        <v>153183</v>
      </c>
      <c r="I228">
        <v>485787</v>
      </c>
      <c r="J228">
        <v>675000</v>
      </c>
      <c r="K228">
        <v>800000</v>
      </c>
      <c r="L228">
        <v>850000</v>
      </c>
    </row>
    <row r="229" spans="1:12">
      <c r="C229" s="39" t="s">
        <v>20</v>
      </c>
      <c r="D229">
        <v>0</v>
      </c>
      <c r="E229">
        <v>0</v>
      </c>
      <c r="F229">
        <v>0</v>
      </c>
      <c r="G229">
        <v>0</v>
      </c>
      <c r="H229">
        <v>0</v>
      </c>
      <c r="I229">
        <v>154</v>
      </c>
      <c r="J229">
        <v>70000</v>
      </c>
      <c r="K229">
        <v>186666.66666666669</v>
      </c>
      <c r="L229">
        <v>337000</v>
      </c>
    </row>
    <row r="230" spans="1:12">
      <c r="C230" s="39" t="s">
        <v>22</v>
      </c>
      <c r="D230">
        <v>0</v>
      </c>
      <c r="E230">
        <v>0</v>
      </c>
      <c r="F230">
        <v>0</v>
      </c>
      <c r="G230">
        <v>0</v>
      </c>
      <c r="H230">
        <v>0</v>
      </c>
      <c r="I230">
        <v>0</v>
      </c>
      <c r="J230">
        <v>70000</v>
      </c>
      <c r="K230">
        <v>224666.66666666666</v>
      </c>
      <c r="L230">
        <v>238333.33333333331</v>
      </c>
    </row>
    <row r="231" spans="1:12">
      <c r="C231" s="42" t="s">
        <v>24</v>
      </c>
      <c r="D231">
        <v>83940</v>
      </c>
      <c r="E231">
        <v>101027</v>
      </c>
      <c r="F231">
        <v>214459</v>
      </c>
      <c r="G231">
        <v>365232</v>
      </c>
      <c r="H231">
        <v>509737</v>
      </c>
      <c r="I231">
        <v>930422</v>
      </c>
      <c r="J231">
        <v>1335000</v>
      </c>
      <c r="K231">
        <v>1796333.3333333335</v>
      </c>
      <c r="L231">
        <v>2075333.3333333333</v>
      </c>
    </row>
    <row r="238" spans="1:12">
      <c r="A238" t="s">
        <v>15</v>
      </c>
    </row>
    <row r="239" spans="1:12">
      <c r="A239" s="260"/>
      <c r="B239" s="38">
        <v>2016</v>
      </c>
      <c r="C239" s="38">
        <v>2017</v>
      </c>
      <c r="D239" s="38">
        <v>2018</v>
      </c>
      <c r="E239" s="38">
        <v>2019</v>
      </c>
      <c r="F239" s="38">
        <v>2020</v>
      </c>
      <c r="G239" s="62">
        <v>2021</v>
      </c>
      <c r="H239" s="362" t="s">
        <v>2079</v>
      </c>
      <c r="I239" s="362" t="s">
        <v>219</v>
      </c>
      <c r="J239" s="362" t="s">
        <v>12</v>
      </c>
    </row>
    <row r="240" spans="1:12">
      <c r="A240" t="s">
        <v>275</v>
      </c>
      <c r="B240" s="608">
        <v>56.589039790326424</v>
      </c>
      <c r="C240" s="608">
        <v>73.571916418383211</v>
      </c>
      <c r="D240" s="608">
        <v>66.089648837306896</v>
      </c>
      <c r="E240" s="608">
        <v>44.897489814693124</v>
      </c>
      <c r="F240" s="608">
        <v>43.808168702210843</v>
      </c>
      <c r="G240" s="608">
        <v>35.078596730073492</v>
      </c>
      <c r="H240" s="608">
        <v>34.285985323827518</v>
      </c>
      <c r="I240" s="608">
        <v>34.791943071187248</v>
      </c>
      <c r="J240" s="608">
        <v>32.34983750353075</v>
      </c>
    </row>
    <row r="255" spans="2:8" ht="15.5">
      <c r="B255" s="518"/>
      <c r="C255" s="518"/>
      <c r="D255" s="518"/>
      <c r="E255" s="518"/>
      <c r="F255" s="518"/>
      <c r="G255" s="518"/>
      <c r="H255" s="518"/>
    </row>
    <row r="256" spans="2:8" ht="15.5">
      <c r="B256" s="518"/>
      <c r="C256" s="518"/>
      <c r="D256" s="518"/>
      <c r="E256" s="518"/>
      <c r="F256" s="518"/>
      <c r="G256" s="518"/>
      <c r="H256" s="518"/>
    </row>
    <row r="257" spans="1:12" ht="15.5">
      <c r="B257" s="518"/>
      <c r="C257" s="518"/>
      <c r="D257" s="518"/>
      <c r="E257" s="518"/>
      <c r="F257" s="518"/>
      <c r="G257" s="518"/>
      <c r="H257" s="518"/>
    </row>
    <row r="258" spans="1:12">
      <c r="B258" s="62">
        <v>2016</v>
      </c>
      <c r="C258" s="62">
        <v>2017</v>
      </c>
      <c r="D258" s="62">
        <v>2018</v>
      </c>
      <c r="E258" s="62">
        <v>2019</v>
      </c>
      <c r="F258" s="62">
        <v>2020</v>
      </c>
      <c r="G258" s="62">
        <v>2021</v>
      </c>
      <c r="H258" s="62" t="s">
        <v>14</v>
      </c>
    </row>
    <row r="259" spans="1:12">
      <c r="A259" t="s">
        <v>6</v>
      </c>
      <c r="B259" s="520">
        <v>0.69</v>
      </c>
      <c r="C259" s="520">
        <v>0.66</v>
      </c>
      <c r="D259" s="520">
        <v>1.07</v>
      </c>
      <c r="E259" s="520">
        <v>1.23</v>
      </c>
      <c r="F259" s="520">
        <v>1.45</v>
      </c>
      <c r="G259" s="520">
        <v>1.97</v>
      </c>
      <c r="H259" s="520">
        <v>2.35</v>
      </c>
    </row>
    <row r="271" spans="1:12">
      <c r="B271" s="38">
        <v>2016</v>
      </c>
      <c r="C271" s="38">
        <v>2017</v>
      </c>
      <c r="D271" s="38">
        <v>2018</v>
      </c>
      <c r="E271" s="38">
        <v>2019</v>
      </c>
      <c r="F271" s="38">
        <v>2020</v>
      </c>
      <c r="G271" s="62">
        <v>2021</v>
      </c>
      <c r="H271" s="515" t="s">
        <v>2079</v>
      </c>
      <c r="I271" s="515" t="s">
        <v>219</v>
      </c>
      <c r="J271" s="515" t="s">
        <v>12</v>
      </c>
      <c r="K271" s="515" t="s">
        <v>13</v>
      </c>
      <c r="L271" t="s">
        <v>2080</v>
      </c>
    </row>
    <row r="272" spans="1:12" ht="15.5">
      <c r="A272" s="266" t="s">
        <v>528</v>
      </c>
      <c r="B272" s="82">
        <v>0.20459465818415631</v>
      </c>
      <c r="C272" s="82">
        <v>0.21060088220212073</v>
      </c>
      <c r="D272" s="82">
        <v>0.13207760195332885</v>
      </c>
      <c r="E272" s="82">
        <v>0.11371958662218244</v>
      </c>
      <c r="F272" s="82">
        <v>9.9727295788939629E-2</v>
      </c>
      <c r="G272" s="82">
        <v>8.3923229845976624E-2</v>
      </c>
      <c r="H272" s="82">
        <v>4.8439763325231394E-2</v>
      </c>
      <c r="I272" s="313">
        <v>4.3595786992708253E-2</v>
      </c>
      <c r="J272" s="313">
        <v>3.9236208293437429E-2</v>
      </c>
      <c r="K272" s="313">
        <v>3.5312587464093687E-2</v>
      </c>
      <c r="L272" s="258"/>
    </row>
    <row r="289" spans="1:18">
      <c r="Q289" t="s">
        <v>148</v>
      </c>
      <c r="R289" t="s">
        <v>21</v>
      </c>
    </row>
    <row r="290" spans="1:18">
      <c r="P290" s="561">
        <v>2020</v>
      </c>
      <c r="Q290" s="255">
        <v>137459</v>
      </c>
      <c r="R290" s="255">
        <v>81067</v>
      </c>
    </row>
    <row r="291" spans="1:18">
      <c r="B291" s="561">
        <v>2020</v>
      </c>
      <c r="C291" s="561">
        <v>2021</v>
      </c>
      <c r="D291" s="588" t="s">
        <v>14</v>
      </c>
      <c r="E291" s="588" t="s">
        <v>11</v>
      </c>
      <c r="F291" s="588" t="s">
        <v>12</v>
      </c>
      <c r="G291" s="588" t="s">
        <v>13</v>
      </c>
      <c r="H291" t="s">
        <v>2081</v>
      </c>
      <c r="P291" s="561">
        <v>2021</v>
      </c>
      <c r="Q291" s="255">
        <v>150890</v>
      </c>
      <c r="R291" s="255">
        <v>185093</v>
      </c>
    </row>
    <row r="292" spans="1:18">
      <c r="A292" t="s">
        <v>21</v>
      </c>
      <c r="B292" s="255">
        <v>81067</v>
      </c>
      <c r="C292" s="255">
        <v>185093</v>
      </c>
      <c r="D292" s="255">
        <v>245610.09432142857</v>
      </c>
      <c r="E292" s="255">
        <v>290130.07008474023</v>
      </c>
      <c r="F292" s="255">
        <v>329307.10880362662</v>
      </c>
      <c r="G292" s="255">
        <v>347462.26354344777</v>
      </c>
      <c r="P292" s="588" t="s">
        <v>14</v>
      </c>
      <c r="Q292" s="255">
        <v>124456</v>
      </c>
      <c r="R292" s="255">
        <v>245610.09432142857</v>
      </c>
    </row>
    <row r="293" spans="1:18">
      <c r="P293" s="588" t="s">
        <v>11</v>
      </c>
      <c r="Q293" s="255">
        <v>169160.20632591745</v>
      </c>
      <c r="R293" s="255">
        <v>290130.07008474023</v>
      </c>
    </row>
    <row r="294" spans="1:18">
      <c r="P294" s="588" t="s">
        <v>12</v>
      </c>
      <c r="Q294" s="255">
        <v>215789.26250028473</v>
      </c>
      <c r="R294" s="255">
        <v>329307.10880362662</v>
      </c>
    </row>
    <row r="295" spans="1:18">
      <c r="P295" s="588" t="s">
        <v>13</v>
      </c>
      <c r="Q295" s="255">
        <v>258904.28976005487</v>
      </c>
      <c r="R295" s="255">
        <v>347462.26354344777</v>
      </c>
    </row>
    <row r="297" spans="1:18">
      <c r="B297" s="561">
        <v>2020</v>
      </c>
      <c r="C297" s="561">
        <v>2021</v>
      </c>
      <c r="D297" s="588" t="s">
        <v>2079</v>
      </c>
      <c r="E297" s="588" t="s">
        <v>11</v>
      </c>
      <c r="F297" s="588" t="s">
        <v>12</v>
      </c>
      <c r="G297" s="588" t="s">
        <v>13</v>
      </c>
      <c r="H297" t="s">
        <v>2082</v>
      </c>
    </row>
    <row r="298" spans="1:18">
      <c r="A298" t="s">
        <v>148</v>
      </c>
      <c r="B298" s="255">
        <v>137459</v>
      </c>
      <c r="C298" s="255">
        <v>150890</v>
      </c>
      <c r="D298" s="255">
        <v>124456</v>
      </c>
      <c r="E298" s="255">
        <v>169160.20632591745</v>
      </c>
      <c r="F298" s="255">
        <v>215789.26250028473</v>
      </c>
      <c r="G298" s="255">
        <v>258904.28976005487</v>
      </c>
    </row>
    <row r="316" spans="1:302" ht="14.5">
      <c r="A316" s="633" t="s">
        <v>2083</v>
      </c>
      <c r="B316" s="634">
        <v>44564</v>
      </c>
      <c r="C316" s="634">
        <v>44565</v>
      </c>
      <c r="D316" s="634">
        <v>44566</v>
      </c>
      <c r="E316" s="634">
        <v>44567</v>
      </c>
      <c r="F316" s="634">
        <v>44568</v>
      </c>
      <c r="G316" s="634">
        <v>44571</v>
      </c>
      <c r="H316" s="634">
        <v>44572</v>
      </c>
      <c r="I316" s="634">
        <v>44573</v>
      </c>
      <c r="J316" s="634">
        <v>44574</v>
      </c>
      <c r="K316" s="634">
        <v>44575</v>
      </c>
      <c r="L316" s="634">
        <v>44579</v>
      </c>
      <c r="M316" s="634">
        <v>44580</v>
      </c>
      <c r="N316" s="634">
        <v>44581</v>
      </c>
      <c r="O316" s="634">
        <v>44582</v>
      </c>
      <c r="P316" s="634">
        <v>44585</v>
      </c>
      <c r="Q316" s="634">
        <v>44586</v>
      </c>
      <c r="R316" s="634">
        <v>44587</v>
      </c>
      <c r="S316" s="634">
        <v>44588</v>
      </c>
      <c r="T316" s="634">
        <v>44589</v>
      </c>
      <c r="U316" s="634">
        <v>44592</v>
      </c>
      <c r="V316" s="634">
        <v>44593</v>
      </c>
      <c r="W316" s="634">
        <v>44594</v>
      </c>
      <c r="X316" s="634">
        <v>44595</v>
      </c>
      <c r="Y316" s="634">
        <v>44596</v>
      </c>
      <c r="Z316" s="634">
        <v>44599</v>
      </c>
      <c r="AA316" s="634">
        <v>44600</v>
      </c>
      <c r="AB316" s="634">
        <v>44601</v>
      </c>
      <c r="AC316" s="634">
        <v>44602</v>
      </c>
      <c r="AD316" s="634">
        <v>44603</v>
      </c>
      <c r="AE316" s="634">
        <v>44606</v>
      </c>
      <c r="AF316" s="634">
        <v>44607</v>
      </c>
      <c r="AG316" s="634">
        <v>44608</v>
      </c>
      <c r="AH316" s="634">
        <v>44609</v>
      </c>
      <c r="AI316" s="634">
        <v>44610</v>
      </c>
      <c r="AJ316" s="634">
        <v>44614</v>
      </c>
      <c r="AK316" s="634">
        <v>44615</v>
      </c>
      <c r="AL316" s="634">
        <v>44616</v>
      </c>
      <c r="AM316" s="634">
        <v>44617</v>
      </c>
      <c r="AN316" s="634">
        <v>44620</v>
      </c>
      <c r="AO316" s="634">
        <v>44621</v>
      </c>
      <c r="AP316" s="634">
        <v>44622</v>
      </c>
      <c r="AQ316" s="634">
        <v>44623</v>
      </c>
      <c r="AR316" s="634">
        <v>44624</v>
      </c>
      <c r="AS316" s="634">
        <v>44627</v>
      </c>
      <c r="AT316" s="634">
        <v>44628</v>
      </c>
      <c r="AU316" s="634">
        <v>44629</v>
      </c>
      <c r="AV316" s="634">
        <v>44630</v>
      </c>
      <c r="AW316" s="634">
        <v>44631</v>
      </c>
      <c r="AX316" s="634">
        <v>44634</v>
      </c>
      <c r="AY316" s="634">
        <v>44635</v>
      </c>
      <c r="AZ316" s="634">
        <v>44636</v>
      </c>
      <c r="BA316" s="634">
        <v>44637</v>
      </c>
      <c r="BB316" s="634">
        <v>44638</v>
      </c>
      <c r="BC316" s="634">
        <v>44641</v>
      </c>
      <c r="BD316" s="634">
        <v>44642</v>
      </c>
      <c r="BE316" s="634">
        <v>44643</v>
      </c>
      <c r="BF316" s="634">
        <v>44644</v>
      </c>
      <c r="BG316" s="634">
        <v>44645</v>
      </c>
      <c r="BH316" s="634">
        <v>44648</v>
      </c>
      <c r="BI316" s="634">
        <v>44649</v>
      </c>
      <c r="BJ316" s="634">
        <v>44650</v>
      </c>
      <c r="BK316" s="634">
        <v>44651</v>
      </c>
      <c r="BL316" s="634">
        <v>44652</v>
      </c>
      <c r="BM316" s="634">
        <v>44655</v>
      </c>
      <c r="BN316" s="634">
        <v>44656</v>
      </c>
      <c r="BO316" s="634">
        <v>44657</v>
      </c>
      <c r="BP316" s="634">
        <v>44658</v>
      </c>
      <c r="BQ316" s="634">
        <v>44659</v>
      </c>
      <c r="BR316" s="634">
        <v>44662</v>
      </c>
      <c r="BS316" s="634">
        <v>44663</v>
      </c>
      <c r="BT316" s="634">
        <v>44664</v>
      </c>
      <c r="BU316" s="634">
        <v>44665</v>
      </c>
      <c r="BV316" s="634">
        <v>44669</v>
      </c>
      <c r="BW316" s="634">
        <v>44670</v>
      </c>
      <c r="BX316" s="634">
        <v>44671</v>
      </c>
      <c r="BY316" s="634">
        <v>44672</v>
      </c>
      <c r="BZ316" s="634">
        <v>44673</v>
      </c>
      <c r="CA316" s="634">
        <v>44676</v>
      </c>
      <c r="CB316" s="634">
        <v>44677</v>
      </c>
      <c r="CC316" s="634">
        <v>44678</v>
      </c>
      <c r="CD316" s="634">
        <v>44679</v>
      </c>
      <c r="CE316" s="634">
        <v>44680</v>
      </c>
      <c r="CF316" s="634">
        <v>44683</v>
      </c>
      <c r="CG316" s="634">
        <v>44684</v>
      </c>
      <c r="CH316" s="634">
        <v>44685</v>
      </c>
      <c r="CI316" s="634">
        <v>44686</v>
      </c>
      <c r="CJ316" s="634">
        <v>44687</v>
      </c>
      <c r="CK316" s="634">
        <v>44690</v>
      </c>
      <c r="CL316" s="634">
        <v>44691</v>
      </c>
      <c r="CM316" s="634">
        <v>44692</v>
      </c>
      <c r="CN316" s="634">
        <v>44693</v>
      </c>
      <c r="CO316" s="634">
        <v>44694</v>
      </c>
      <c r="CP316" s="634">
        <v>44697</v>
      </c>
      <c r="CQ316" s="634">
        <v>44698</v>
      </c>
      <c r="CR316" s="634">
        <v>44699</v>
      </c>
      <c r="CS316" s="634">
        <v>44700</v>
      </c>
      <c r="CT316" s="634">
        <v>44701</v>
      </c>
      <c r="CU316" s="634">
        <v>44704</v>
      </c>
      <c r="CV316" s="634">
        <v>44705</v>
      </c>
      <c r="CW316" s="634">
        <v>44706</v>
      </c>
      <c r="CX316" s="634">
        <v>44707</v>
      </c>
      <c r="CY316" s="634">
        <v>44708</v>
      </c>
      <c r="CZ316" s="634">
        <v>44712</v>
      </c>
      <c r="DA316" s="634">
        <v>44713</v>
      </c>
      <c r="DB316" s="634">
        <v>44714</v>
      </c>
      <c r="DC316" s="634">
        <v>44715</v>
      </c>
      <c r="DD316" s="634">
        <v>44718</v>
      </c>
      <c r="DE316" s="634">
        <v>44719</v>
      </c>
      <c r="DF316" s="634">
        <v>44720</v>
      </c>
      <c r="DG316" s="634">
        <v>44721</v>
      </c>
      <c r="DH316" s="634">
        <v>44722</v>
      </c>
      <c r="DI316" s="634">
        <v>44725</v>
      </c>
      <c r="DJ316" s="634">
        <v>44726</v>
      </c>
      <c r="DK316" s="634">
        <v>44727</v>
      </c>
      <c r="DL316" s="634">
        <v>44728</v>
      </c>
      <c r="DM316" s="634">
        <v>44729</v>
      </c>
      <c r="DN316" s="634">
        <v>44733</v>
      </c>
      <c r="DO316" s="634">
        <v>44734</v>
      </c>
      <c r="DP316" s="634">
        <v>44735</v>
      </c>
      <c r="DQ316" s="634">
        <v>44736</v>
      </c>
      <c r="DR316" s="634">
        <v>44739</v>
      </c>
      <c r="DS316" s="634">
        <v>44740</v>
      </c>
      <c r="DT316" s="634">
        <v>44741</v>
      </c>
      <c r="DU316" s="634">
        <v>44742</v>
      </c>
      <c r="DV316" s="634">
        <v>44743</v>
      </c>
      <c r="DW316" s="634">
        <v>44747</v>
      </c>
      <c r="DX316" s="634">
        <v>44748</v>
      </c>
      <c r="DY316" s="634">
        <v>44749</v>
      </c>
      <c r="DZ316" s="634">
        <v>44750</v>
      </c>
      <c r="EA316" s="634">
        <v>44753</v>
      </c>
      <c r="EB316" s="634">
        <v>44754</v>
      </c>
      <c r="EC316" s="634">
        <v>44755</v>
      </c>
      <c r="ED316" s="634">
        <v>44756</v>
      </c>
      <c r="EE316" s="634">
        <v>44757</v>
      </c>
      <c r="EF316" s="634">
        <v>44760</v>
      </c>
      <c r="EG316" s="634">
        <v>44761</v>
      </c>
      <c r="EH316" s="634">
        <v>44762</v>
      </c>
      <c r="EI316" s="634">
        <v>44763</v>
      </c>
      <c r="EJ316" s="634">
        <v>44764</v>
      </c>
      <c r="EK316" s="634">
        <v>44767</v>
      </c>
      <c r="EL316" s="634">
        <v>44768</v>
      </c>
      <c r="EM316" s="634">
        <v>44769</v>
      </c>
      <c r="EN316" s="634">
        <v>44770</v>
      </c>
      <c r="EO316" s="634">
        <v>44771</v>
      </c>
      <c r="EP316" s="634">
        <v>44774</v>
      </c>
      <c r="EQ316" s="634">
        <v>44775</v>
      </c>
      <c r="ER316" s="634">
        <v>44776</v>
      </c>
      <c r="ES316" s="634">
        <v>44777</v>
      </c>
      <c r="ET316" s="634">
        <v>44778</v>
      </c>
      <c r="EU316" s="634">
        <v>44781</v>
      </c>
      <c r="EV316" s="634">
        <v>44782</v>
      </c>
      <c r="EW316" s="634">
        <v>44783</v>
      </c>
      <c r="EX316" s="634">
        <v>44784</v>
      </c>
      <c r="EY316" s="634">
        <v>44785</v>
      </c>
      <c r="EZ316" s="634">
        <v>44788</v>
      </c>
      <c r="FA316" s="634">
        <v>44789</v>
      </c>
      <c r="FB316" s="634">
        <v>44790</v>
      </c>
      <c r="FC316" s="634">
        <v>44791</v>
      </c>
      <c r="FD316" s="634">
        <v>44792</v>
      </c>
      <c r="FE316" s="634">
        <v>44795</v>
      </c>
      <c r="FF316" s="634">
        <v>44796</v>
      </c>
      <c r="FG316" s="634">
        <v>44797</v>
      </c>
      <c r="FH316" s="634">
        <v>44798</v>
      </c>
      <c r="FI316" s="634">
        <v>44799</v>
      </c>
      <c r="FJ316" s="634">
        <v>44802</v>
      </c>
      <c r="FK316" s="634">
        <v>44803</v>
      </c>
      <c r="FL316" s="634">
        <v>44804</v>
      </c>
      <c r="FM316" s="634">
        <v>44805</v>
      </c>
      <c r="FN316" s="634">
        <v>44806</v>
      </c>
      <c r="FO316" s="634">
        <v>44810</v>
      </c>
      <c r="FP316" s="634">
        <v>44811</v>
      </c>
      <c r="FQ316" s="634">
        <v>44812</v>
      </c>
      <c r="FR316" s="634">
        <v>44813</v>
      </c>
      <c r="FS316" s="634">
        <v>44816</v>
      </c>
      <c r="FT316" s="634">
        <v>44817</v>
      </c>
      <c r="FU316" s="634">
        <v>44818</v>
      </c>
      <c r="FV316" s="634">
        <v>44819</v>
      </c>
      <c r="FW316" s="634">
        <v>44820</v>
      </c>
      <c r="FX316" s="634">
        <v>44823</v>
      </c>
      <c r="FY316" s="634">
        <v>44824</v>
      </c>
      <c r="FZ316" s="634">
        <v>44825</v>
      </c>
      <c r="GA316" s="634">
        <v>44826</v>
      </c>
      <c r="GB316" s="634">
        <v>44827</v>
      </c>
      <c r="GC316" s="634">
        <v>44830</v>
      </c>
      <c r="GD316" s="634">
        <v>44831</v>
      </c>
      <c r="GE316" s="634">
        <v>44832</v>
      </c>
      <c r="GF316" s="634">
        <v>44833</v>
      </c>
      <c r="GG316" s="634">
        <v>44834</v>
      </c>
      <c r="GH316" s="634">
        <v>44837</v>
      </c>
      <c r="GI316" s="634">
        <v>44838</v>
      </c>
      <c r="GJ316" s="634">
        <v>44839</v>
      </c>
      <c r="GK316" s="634">
        <v>44840</v>
      </c>
      <c r="GL316" s="634">
        <v>44841</v>
      </c>
      <c r="GM316" s="634">
        <v>44844</v>
      </c>
      <c r="GN316" s="634">
        <v>44845</v>
      </c>
      <c r="GO316" s="634">
        <v>44846</v>
      </c>
      <c r="GP316" s="634">
        <v>44847</v>
      </c>
      <c r="GQ316" s="634">
        <v>44848</v>
      </c>
      <c r="GR316" s="634">
        <v>44851</v>
      </c>
      <c r="GS316" s="634">
        <v>44852</v>
      </c>
      <c r="GT316" s="634">
        <v>44853</v>
      </c>
      <c r="GU316" s="634">
        <v>44854</v>
      </c>
      <c r="GV316" s="634">
        <v>44855</v>
      </c>
      <c r="GW316" s="634">
        <v>44858</v>
      </c>
      <c r="GX316" s="634">
        <v>44859</v>
      </c>
      <c r="GY316" s="634">
        <v>44860</v>
      </c>
      <c r="GZ316" s="634">
        <v>44861</v>
      </c>
      <c r="HA316" s="634">
        <v>44862</v>
      </c>
      <c r="HB316" s="634">
        <v>44865</v>
      </c>
      <c r="HC316" s="634">
        <v>44866</v>
      </c>
      <c r="HD316" s="634">
        <v>44867</v>
      </c>
      <c r="HE316" s="634">
        <v>44868</v>
      </c>
      <c r="HF316" s="634">
        <v>44869</v>
      </c>
      <c r="HG316" s="634">
        <v>44872</v>
      </c>
      <c r="HH316" s="634">
        <v>44873</v>
      </c>
      <c r="HI316" s="634">
        <v>44874</v>
      </c>
      <c r="HJ316" s="634">
        <v>44875</v>
      </c>
      <c r="HK316" s="634">
        <v>44876</v>
      </c>
      <c r="HL316" s="634">
        <v>44879</v>
      </c>
      <c r="HM316" s="634">
        <v>44880</v>
      </c>
      <c r="HN316" s="634">
        <v>44881</v>
      </c>
      <c r="HO316" s="634">
        <v>44882</v>
      </c>
      <c r="HP316" s="634">
        <v>44883</v>
      </c>
      <c r="HQ316" s="634">
        <v>44886</v>
      </c>
      <c r="HR316" s="634">
        <v>44887</v>
      </c>
      <c r="HS316" s="634">
        <v>44888</v>
      </c>
      <c r="HT316" s="634">
        <v>44890</v>
      </c>
      <c r="HU316" s="634">
        <v>44893</v>
      </c>
      <c r="HV316" s="634">
        <v>44894</v>
      </c>
      <c r="HW316" s="634">
        <v>44895</v>
      </c>
      <c r="HX316" s="634">
        <v>44896</v>
      </c>
      <c r="HY316" s="634">
        <v>44897</v>
      </c>
      <c r="HZ316" s="634">
        <v>44900</v>
      </c>
      <c r="IA316" s="634">
        <v>44901</v>
      </c>
      <c r="IB316" s="634">
        <v>44902</v>
      </c>
      <c r="IC316" s="634">
        <v>44903</v>
      </c>
      <c r="ID316" s="634">
        <v>44904</v>
      </c>
      <c r="IE316" s="634">
        <v>44907</v>
      </c>
      <c r="IF316" s="634">
        <v>44908</v>
      </c>
      <c r="IG316" s="634">
        <v>44909</v>
      </c>
      <c r="IH316" s="634">
        <v>44910</v>
      </c>
      <c r="II316" s="634">
        <v>44911</v>
      </c>
      <c r="IJ316" s="634">
        <v>44914</v>
      </c>
      <c r="IK316" s="634">
        <v>44915</v>
      </c>
      <c r="IL316" s="634">
        <v>44916</v>
      </c>
      <c r="IM316" s="634">
        <v>44917</v>
      </c>
      <c r="IN316" s="634">
        <v>44918</v>
      </c>
      <c r="IO316" s="634">
        <v>44922</v>
      </c>
      <c r="IP316" s="634">
        <v>44923</v>
      </c>
      <c r="IQ316" s="634">
        <v>44924</v>
      </c>
      <c r="IR316" s="634">
        <v>44925</v>
      </c>
      <c r="IS316" s="634">
        <v>44929</v>
      </c>
      <c r="IT316" s="634">
        <v>44930</v>
      </c>
      <c r="IU316" s="634">
        <v>44931</v>
      </c>
      <c r="IV316" s="634">
        <v>44932</v>
      </c>
      <c r="IW316" s="634">
        <v>44935</v>
      </c>
      <c r="IX316" s="634">
        <v>44936</v>
      </c>
      <c r="IY316" s="634">
        <v>44937</v>
      </c>
      <c r="IZ316" s="634">
        <v>44938</v>
      </c>
      <c r="JA316" s="634">
        <v>44939</v>
      </c>
      <c r="JB316" s="634">
        <v>44943</v>
      </c>
      <c r="JC316" s="634">
        <v>44944</v>
      </c>
      <c r="JD316" s="634">
        <v>44945</v>
      </c>
      <c r="JE316" s="634">
        <v>44946</v>
      </c>
      <c r="JF316" s="634">
        <v>44949</v>
      </c>
      <c r="JG316" s="634">
        <v>44950</v>
      </c>
      <c r="JH316" s="634">
        <v>44951</v>
      </c>
      <c r="JI316" s="634">
        <v>44952</v>
      </c>
      <c r="JJ316" s="634">
        <v>44953</v>
      </c>
      <c r="JK316" s="634">
        <v>44956</v>
      </c>
      <c r="JL316" s="634">
        <v>44957</v>
      </c>
      <c r="JM316" s="846">
        <v>44958</v>
      </c>
      <c r="JN316" s="846">
        <v>44959</v>
      </c>
      <c r="JO316" s="846">
        <v>44960</v>
      </c>
      <c r="JP316" s="846">
        <v>44963</v>
      </c>
      <c r="JQ316" s="846">
        <v>44964</v>
      </c>
      <c r="JR316" s="846">
        <v>44965</v>
      </c>
      <c r="JS316" s="846">
        <v>44966</v>
      </c>
      <c r="JT316" s="846">
        <v>44967</v>
      </c>
      <c r="JU316" s="846">
        <v>44970</v>
      </c>
      <c r="JV316" s="846">
        <v>44971</v>
      </c>
      <c r="JW316" s="846">
        <v>44972</v>
      </c>
      <c r="JX316" s="846">
        <v>44973</v>
      </c>
      <c r="JY316" s="846">
        <v>44974</v>
      </c>
      <c r="JZ316" s="846">
        <v>44978</v>
      </c>
      <c r="KA316" s="846">
        <v>44979</v>
      </c>
      <c r="KB316" s="846">
        <v>44980</v>
      </c>
      <c r="KC316" s="846">
        <v>44981</v>
      </c>
      <c r="KD316" s="846">
        <v>44984</v>
      </c>
      <c r="KE316" s="846">
        <v>44985</v>
      </c>
      <c r="KF316" s="846">
        <v>44986</v>
      </c>
      <c r="KG316" s="846">
        <v>44987</v>
      </c>
      <c r="KH316" s="846">
        <v>44988</v>
      </c>
      <c r="KI316" s="846">
        <v>44991</v>
      </c>
      <c r="KJ316" s="846">
        <v>44992</v>
      </c>
      <c r="KK316" s="846">
        <v>44993</v>
      </c>
      <c r="KL316" s="846">
        <v>44994</v>
      </c>
      <c r="KM316" s="846">
        <v>44995</v>
      </c>
      <c r="KN316" s="846">
        <v>44998</v>
      </c>
      <c r="KO316" s="846">
        <v>44999</v>
      </c>
      <c r="KP316" s="846">
        <v>45000</v>
      </c>
    </row>
    <row r="317" spans="1:302" ht="14.5">
      <c r="A317" s="633" t="s">
        <v>2084</v>
      </c>
      <c r="B317" s="633">
        <v>1199.78</v>
      </c>
      <c r="C317" s="633">
        <v>1149.5899999999999</v>
      </c>
      <c r="D317" s="633">
        <v>1088.1199999999999</v>
      </c>
      <c r="E317" s="633">
        <v>1064.7</v>
      </c>
      <c r="F317" s="633">
        <v>1026.96</v>
      </c>
      <c r="G317" s="633">
        <v>1058.1199999999999</v>
      </c>
      <c r="H317" s="633">
        <v>1064.4000000000001</v>
      </c>
      <c r="I317" s="633">
        <v>1106.22</v>
      </c>
      <c r="J317" s="633">
        <v>1031.56</v>
      </c>
      <c r="K317" s="633">
        <v>1049.6099999999999</v>
      </c>
      <c r="L317" s="633">
        <v>1030.51</v>
      </c>
      <c r="M317" s="633">
        <v>995.65</v>
      </c>
      <c r="N317" s="633">
        <v>996.27</v>
      </c>
      <c r="O317" s="633">
        <v>943.9</v>
      </c>
      <c r="P317" s="633">
        <v>930</v>
      </c>
      <c r="Q317" s="633">
        <v>918.4</v>
      </c>
      <c r="R317" s="633">
        <v>937.41</v>
      </c>
      <c r="S317" s="633">
        <v>829.1</v>
      </c>
      <c r="T317" s="633">
        <v>846.35</v>
      </c>
      <c r="U317" s="633">
        <v>936.72</v>
      </c>
      <c r="V317" s="633">
        <v>931.25</v>
      </c>
      <c r="W317" s="633">
        <v>905.66</v>
      </c>
      <c r="X317" s="633">
        <v>891.14</v>
      </c>
      <c r="Y317" s="633">
        <v>923.32</v>
      </c>
      <c r="Z317" s="633">
        <v>907.34</v>
      </c>
      <c r="AA317" s="633">
        <v>922</v>
      </c>
      <c r="AB317" s="633">
        <v>932</v>
      </c>
      <c r="AC317" s="633">
        <v>904.55</v>
      </c>
      <c r="AD317" s="633">
        <v>860</v>
      </c>
      <c r="AE317" s="633">
        <v>875.76</v>
      </c>
      <c r="AF317" s="633">
        <v>922.43</v>
      </c>
      <c r="AG317" s="633">
        <v>923.39</v>
      </c>
      <c r="AH317" s="633">
        <v>876.35</v>
      </c>
      <c r="AI317" s="633">
        <v>856.98</v>
      </c>
      <c r="AJ317" s="633">
        <v>821.53</v>
      </c>
      <c r="AK317" s="633">
        <v>764.04</v>
      </c>
      <c r="AL317" s="633">
        <v>800.77</v>
      </c>
      <c r="AM317" s="633">
        <v>809.87</v>
      </c>
      <c r="AN317" s="633">
        <v>870.43</v>
      </c>
      <c r="AO317" s="633">
        <v>864.37</v>
      </c>
      <c r="AP317" s="633">
        <v>879.89</v>
      </c>
      <c r="AQ317" s="633">
        <v>839.29</v>
      </c>
      <c r="AR317" s="633">
        <v>838.29</v>
      </c>
      <c r="AS317" s="633">
        <v>804.58</v>
      </c>
      <c r="AT317" s="633">
        <v>824.4</v>
      </c>
      <c r="AU317" s="633">
        <v>858.97</v>
      </c>
      <c r="AV317" s="633">
        <v>838.3</v>
      </c>
      <c r="AW317" s="633">
        <v>795.35</v>
      </c>
      <c r="AX317" s="633">
        <v>766.37</v>
      </c>
      <c r="AY317" s="633">
        <v>801.89</v>
      </c>
      <c r="AZ317" s="633">
        <v>840.23</v>
      </c>
      <c r="BA317" s="633">
        <v>871.6</v>
      </c>
      <c r="BB317" s="633">
        <v>905.39</v>
      </c>
      <c r="BC317" s="633">
        <v>921.16</v>
      </c>
      <c r="BD317" s="633">
        <v>993.98</v>
      </c>
      <c r="BE317" s="633">
        <v>999.11</v>
      </c>
      <c r="BF317" s="633">
        <v>1013.92</v>
      </c>
      <c r="BG317" s="633">
        <v>1010.64</v>
      </c>
      <c r="BH317" s="633">
        <v>1091.8399999999999</v>
      </c>
      <c r="BI317" s="633">
        <v>1099.57</v>
      </c>
      <c r="BJ317" s="633">
        <v>1093.99</v>
      </c>
      <c r="BK317" s="633">
        <v>1077.5999999999999</v>
      </c>
      <c r="BL317" s="633">
        <v>1084.5899999999999</v>
      </c>
      <c r="BM317" s="633">
        <v>1145.45</v>
      </c>
      <c r="BN317" s="633">
        <v>1091.26</v>
      </c>
      <c r="BO317" s="633">
        <v>1045.76</v>
      </c>
      <c r="BP317" s="633">
        <v>1057.26</v>
      </c>
      <c r="BQ317" s="633">
        <v>1025.49</v>
      </c>
      <c r="BR317" s="633">
        <v>975.93</v>
      </c>
      <c r="BS317" s="633">
        <v>986.95</v>
      </c>
      <c r="BT317" s="633">
        <v>1022.37</v>
      </c>
      <c r="BU317" s="633">
        <v>985</v>
      </c>
      <c r="BV317" s="633">
        <v>1004.29</v>
      </c>
      <c r="BW317" s="633">
        <v>1028.1500000000001</v>
      </c>
      <c r="BX317" s="633">
        <v>977.2</v>
      </c>
      <c r="BY317" s="633">
        <v>1008.78</v>
      </c>
      <c r="BZ317" s="633">
        <v>1005.05</v>
      </c>
      <c r="CA317" s="633">
        <v>998.02</v>
      </c>
      <c r="CB317" s="633">
        <v>876.42</v>
      </c>
      <c r="CC317" s="633">
        <v>881.51</v>
      </c>
      <c r="CD317" s="633">
        <v>877.51</v>
      </c>
      <c r="CE317" s="633">
        <v>870.76</v>
      </c>
      <c r="CF317" s="633">
        <v>902.94</v>
      </c>
      <c r="CG317" s="633">
        <v>909.25</v>
      </c>
      <c r="CH317" s="633">
        <v>952.62</v>
      </c>
      <c r="CI317" s="633">
        <v>873.28</v>
      </c>
      <c r="CJ317" s="633">
        <v>865.65</v>
      </c>
      <c r="CK317" s="633">
        <v>787.11</v>
      </c>
      <c r="CL317" s="633">
        <v>800.04</v>
      </c>
      <c r="CM317" s="633">
        <v>734</v>
      </c>
      <c r="CN317" s="633">
        <v>728</v>
      </c>
      <c r="CO317" s="633">
        <v>769.59</v>
      </c>
      <c r="CP317" s="633">
        <v>724.37</v>
      </c>
      <c r="CQ317" s="633">
        <v>761.61</v>
      </c>
      <c r="CR317" s="633">
        <v>709.81</v>
      </c>
      <c r="CS317" s="633">
        <v>709.42</v>
      </c>
      <c r="CT317" s="633">
        <v>663.9</v>
      </c>
      <c r="CU317" s="633">
        <v>674.9</v>
      </c>
      <c r="CV317" s="633">
        <v>628.16</v>
      </c>
      <c r="CW317" s="633">
        <v>658.8</v>
      </c>
      <c r="CX317" s="633">
        <v>707.73</v>
      </c>
      <c r="CY317" s="633">
        <v>759.63</v>
      </c>
      <c r="CZ317" s="633">
        <v>758.26</v>
      </c>
      <c r="DA317" s="633">
        <v>740.37</v>
      </c>
      <c r="DB317" s="633">
        <v>775</v>
      </c>
      <c r="DC317" s="633">
        <v>703.55</v>
      </c>
      <c r="DD317" s="633">
        <v>714.84</v>
      </c>
      <c r="DE317" s="633">
        <v>716.66</v>
      </c>
      <c r="DF317" s="633">
        <v>725.6</v>
      </c>
      <c r="DG317" s="633">
        <v>719.12</v>
      </c>
      <c r="DH317" s="633">
        <v>696.69</v>
      </c>
      <c r="DI317" s="633">
        <v>647.21</v>
      </c>
      <c r="DJ317" s="633">
        <v>662.67</v>
      </c>
      <c r="DK317" s="633">
        <v>699</v>
      </c>
      <c r="DL317" s="633">
        <v>639.29999999999995</v>
      </c>
      <c r="DM317" s="633">
        <v>650.28</v>
      </c>
      <c r="DN317" s="633">
        <v>711.11</v>
      </c>
      <c r="DO317" s="633">
        <v>708.26</v>
      </c>
      <c r="DP317" s="633">
        <v>705.21</v>
      </c>
      <c r="DQ317" s="633">
        <v>737.12</v>
      </c>
      <c r="DR317" s="633">
        <v>734.76</v>
      </c>
      <c r="DS317" s="633">
        <v>697.99</v>
      </c>
      <c r="DT317" s="633">
        <v>685.47</v>
      </c>
      <c r="DU317" s="633">
        <v>673.42</v>
      </c>
      <c r="DV317" s="633">
        <v>681.79</v>
      </c>
      <c r="DW317" s="633">
        <v>699.2</v>
      </c>
      <c r="DX317" s="633">
        <v>695.2</v>
      </c>
      <c r="DY317" s="633">
        <v>733.63</v>
      </c>
      <c r="DZ317" s="633">
        <v>752.29</v>
      </c>
      <c r="EA317" s="633">
        <v>703.03</v>
      </c>
      <c r="EB317" s="633">
        <v>699.21</v>
      </c>
      <c r="EC317" s="633">
        <v>711.12</v>
      </c>
      <c r="ED317" s="633">
        <v>714.94</v>
      </c>
      <c r="EE317" s="633">
        <v>720.2</v>
      </c>
      <c r="EF317" s="633">
        <v>721.64</v>
      </c>
      <c r="EG317" s="633">
        <v>736.59</v>
      </c>
      <c r="EH317" s="633">
        <v>742.5</v>
      </c>
      <c r="EI317" s="633">
        <v>815.12</v>
      </c>
      <c r="EJ317" s="633">
        <v>816.73</v>
      </c>
      <c r="EK317" s="633">
        <v>805.3</v>
      </c>
      <c r="EL317" s="633">
        <v>776.58</v>
      </c>
      <c r="EM317" s="633">
        <v>824.46</v>
      </c>
      <c r="EN317" s="633">
        <v>842.7</v>
      </c>
      <c r="EO317" s="633">
        <v>891.45</v>
      </c>
      <c r="EP317" s="633">
        <v>891.83</v>
      </c>
      <c r="EQ317" s="633">
        <v>901.76</v>
      </c>
      <c r="ER317" s="633">
        <v>922.19</v>
      </c>
      <c r="ES317" s="633">
        <v>925.9</v>
      </c>
      <c r="ET317" s="633">
        <v>864.51</v>
      </c>
      <c r="EU317" s="633">
        <v>871.27</v>
      </c>
      <c r="EV317" s="633">
        <v>850</v>
      </c>
      <c r="EW317" s="633">
        <v>883.07</v>
      </c>
      <c r="EX317" s="633">
        <v>859.89</v>
      </c>
      <c r="EY317" s="633">
        <v>900.09</v>
      </c>
      <c r="EZ317" s="633">
        <v>927.96</v>
      </c>
      <c r="FA317" s="633">
        <v>919.69</v>
      </c>
      <c r="FB317" s="633">
        <v>911.99</v>
      </c>
      <c r="FC317" s="633">
        <v>908.61</v>
      </c>
      <c r="FD317" s="633">
        <v>890</v>
      </c>
      <c r="FE317" s="633">
        <v>869.74</v>
      </c>
      <c r="FF317" s="633">
        <v>889.36</v>
      </c>
      <c r="FG317" s="633">
        <v>891.29</v>
      </c>
      <c r="FH317" s="633">
        <v>296.07</v>
      </c>
      <c r="FI317" s="633">
        <v>288.08999999999997</v>
      </c>
      <c r="FJ317" s="633">
        <v>284.82</v>
      </c>
      <c r="FK317" s="633">
        <v>277.7</v>
      </c>
      <c r="FL317" s="633">
        <v>275.61</v>
      </c>
      <c r="FM317" s="633">
        <v>277.16000000000003</v>
      </c>
      <c r="FN317" s="633">
        <v>270.20999999999998</v>
      </c>
      <c r="FO317" s="633">
        <v>274.42</v>
      </c>
      <c r="FP317" s="633">
        <v>283.7</v>
      </c>
      <c r="FQ317" s="633">
        <v>289.26</v>
      </c>
      <c r="FR317" s="633">
        <v>299.68</v>
      </c>
      <c r="FS317" s="633">
        <v>304.42</v>
      </c>
      <c r="FT317" s="633">
        <v>292.13</v>
      </c>
      <c r="FU317" s="633">
        <v>302.61</v>
      </c>
      <c r="FV317" s="633">
        <v>303.75</v>
      </c>
      <c r="FW317" s="633">
        <v>303.35000000000002</v>
      </c>
      <c r="FX317" s="633">
        <v>309.07</v>
      </c>
      <c r="FY317" s="633">
        <v>308.73</v>
      </c>
      <c r="FZ317" s="633">
        <v>300.8</v>
      </c>
      <c r="GA317" s="633">
        <v>288.58999999999997</v>
      </c>
      <c r="GB317" s="633">
        <v>275.33</v>
      </c>
      <c r="GC317" s="633">
        <v>276.01</v>
      </c>
      <c r="GD317" s="633">
        <v>282.94</v>
      </c>
      <c r="GE317" s="633">
        <v>287.81</v>
      </c>
      <c r="GF317" s="633">
        <v>268.20999999999998</v>
      </c>
      <c r="GG317" s="633">
        <v>265.25</v>
      </c>
      <c r="GH317" s="633">
        <v>242.4</v>
      </c>
      <c r="GI317" s="633">
        <v>249.44</v>
      </c>
      <c r="GJ317" s="633">
        <v>240.81</v>
      </c>
      <c r="GK317" s="633">
        <v>238.13</v>
      </c>
      <c r="GL317" s="633">
        <v>223.07</v>
      </c>
      <c r="GM317" s="633">
        <v>222.96</v>
      </c>
      <c r="GN317" s="633">
        <v>216.5</v>
      </c>
      <c r="GO317" s="633">
        <v>217.24</v>
      </c>
      <c r="GP317" s="633">
        <v>221.72</v>
      </c>
      <c r="GQ317" s="633">
        <v>204.99</v>
      </c>
      <c r="GR317" s="633">
        <v>219.35</v>
      </c>
      <c r="GS317" s="633">
        <v>220.19</v>
      </c>
      <c r="GT317" s="633">
        <v>222.04</v>
      </c>
      <c r="GU317" s="633">
        <v>207.28</v>
      </c>
      <c r="GV317" s="633">
        <v>214.44</v>
      </c>
      <c r="GW317" s="633">
        <v>211.25</v>
      </c>
      <c r="GX317" s="633">
        <v>222.42</v>
      </c>
      <c r="GY317" s="633">
        <v>224.64</v>
      </c>
      <c r="GZ317" s="633">
        <v>225.09</v>
      </c>
      <c r="HA317" s="633">
        <v>228.52</v>
      </c>
      <c r="HB317" s="633">
        <v>227.54</v>
      </c>
      <c r="HC317" s="633">
        <v>227.82</v>
      </c>
      <c r="HD317" s="633">
        <v>214.98</v>
      </c>
      <c r="HE317" s="633">
        <v>215.31</v>
      </c>
      <c r="HF317" s="633">
        <v>207.47</v>
      </c>
      <c r="HG317" s="633">
        <v>197.08</v>
      </c>
      <c r="HH317" s="633">
        <v>191.3</v>
      </c>
      <c r="HI317" s="633">
        <v>177.59</v>
      </c>
      <c r="HJ317" s="633">
        <v>190.72</v>
      </c>
      <c r="HK317" s="633">
        <v>195.97</v>
      </c>
      <c r="HL317" s="633">
        <v>190.95</v>
      </c>
      <c r="HM317" s="633">
        <v>194.42</v>
      </c>
      <c r="HN317" s="633">
        <v>186.92</v>
      </c>
      <c r="HO317" s="633">
        <v>183.17</v>
      </c>
      <c r="HP317" s="633">
        <v>180.19</v>
      </c>
      <c r="HQ317" s="633">
        <v>167.87</v>
      </c>
      <c r="HR317" s="633">
        <v>169.91</v>
      </c>
      <c r="HS317" s="633">
        <v>183.2</v>
      </c>
      <c r="HT317" s="633">
        <v>182.86</v>
      </c>
      <c r="HU317" s="633">
        <v>182.92</v>
      </c>
      <c r="HV317" s="633">
        <v>180.83</v>
      </c>
      <c r="HW317" s="633">
        <v>194.7</v>
      </c>
      <c r="HX317" s="633">
        <v>194.7</v>
      </c>
      <c r="HY317" s="633">
        <v>194.86</v>
      </c>
      <c r="HZ317" s="633">
        <v>182.45</v>
      </c>
      <c r="IA317" s="633">
        <v>179.82</v>
      </c>
      <c r="IB317" s="633">
        <v>174.04</v>
      </c>
      <c r="IC317" s="633">
        <v>173.44</v>
      </c>
      <c r="ID317" s="633">
        <v>179.05</v>
      </c>
      <c r="IE317" s="633">
        <v>167.82</v>
      </c>
      <c r="IF317" s="633">
        <v>160.94999999999999</v>
      </c>
      <c r="IG317" s="633">
        <v>156.80000000000001</v>
      </c>
      <c r="IH317" s="633">
        <v>157.66999999999999</v>
      </c>
      <c r="II317" s="633">
        <v>150.22999999999999</v>
      </c>
      <c r="IJ317" s="633">
        <v>149.87</v>
      </c>
      <c r="IK317" s="633">
        <v>137.80000000000001</v>
      </c>
      <c r="IL317" s="633">
        <v>137.57</v>
      </c>
      <c r="IM317" s="633">
        <v>125.35</v>
      </c>
      <c r="IN317" s="633">
        <v>123.15</v>
      </c>
      <c r="IO317" s="633">
        <v>109.1</v>
      </c>
      <c r="IP317" s="633">
        <v>112.71</v>
      </c>
      <c r="IQ317" s="633">
        <v>121.82</v>
      </c>
      <c r="IR317" s="633">
        <v>123.18</v>
      </c>
      <c r="IS317" s="633">
        <v>108.1</v>
      </c>
      <c r="IT317" s="633">
        <v>113.64</v>
      </c>
      <c r="IU317" s="633">
        <v>110.34</v>
      </c>
      <c r="IV317" s="633">
        <v>113.06</v>
      </c>
      <c r="IW317" s="633">
        <v>119.77</v>
      </c>
      <c r="IX317" s="633">
        <v>118.85</v>
      </c>
      <c r="IY317" s="633">
        <v>123.22</v>
      </c>
      <c r="IZ317" s="633">
        <v>123.56</v>
      </c>
      <c r="JA317" s="633">
        <v>122.4</v>
      </c>
      <c r="JB317" s="633">
        <v>131.49</v>
      </c>
      <c r="JC317" s="633">
        <v>128.78</v>
      </c>
      <c r="JD317" s="633">
        <v>127.17</v>
      </c>
      <c r="JE317" s="633">
        <v>133.41999999999999</v>
      </c>
      <c r="JF317" s="633">
        <v>143.75</v>
      </c>
      <c r="JG317" s="633">
        <v>143.88999999999999</v>
      </c>
      <c r="JH317" s="633">
        <v>144.43</v>
      </c>
      <c r="JI317" s="633">
        <v>160.27000000000001</v>
      </c>
      <c r="JJ317" s="633">
        <v>177.9</v>
      </c>
      <c r="JK317" s="633">
        <v>166.66</v>
      </c>
      <c r="JL317" s="633">
        <v>173.22</v>
      </c>
      <c r="JM317">
        <v>181.41</v>
      </c>
      <c r="JN317">
        <v>188.27</v>
      </c>
      <c r="JO317">
        <v>189.98</v>
      </c>
      <c r="JP317">
        <v>194.76</v>
      </c>
      <c r="JQ317">
        <v>196.81</v>
      </c>
      <c r="JR317">
        <v>201.29</v>
      </c>
      <c r="JS317">
        <v>207.32</v>
      </c>
      <c r="JT317">
        <v>196.89</v>
      </c>
      <c r="JU317">
        <v>194.64</v>
      </c>
      <c r="JV317">
        <v>209.25</v>
      </c>
      <c r="JW317">
        <v>214.24</v>
      </c>
      <c r="JX317">
        <v>202.04</v>
      </c>
      <c r="JY317">
        <v>208.31</v>
      </c>
      <c r="JZ317">
        <v>197.37</v>
      </c>
      <c r="KA317">
        <v>200.86</v>
      </c>
      <c r="KB317">
        <v>202.07</v>
      </c>
      <c r="KC317">
        <v>196.88</v>
      </c>
      <c r="KD317">
        <v>207.63</v>
      </c>
      <c r="KE317">
        <v>205.71</v>
      </c>
      <c r="KF317">
        <v>202.77</v>
      </c>
      <c r="KG317">
        <v>190.9</v>
      </c>
      <c r="KH317">
        <v>197.79</v>
      </c>
      <c r="KI317">
        <v>193.81</v>
      </c>
      <c r="KJ317">
        <v>187.71</v>
      </c>
      <c r="KK317">
        <v>182</v>
      </c>
      <c r="KL317">
        <v>172.92</v>
      </c>
      <c r="KM317">
        <v>173.44</v>
      </c>
      <c r="KN317">
        <v>174.48</v>
      </c>
      <c r="KO317">
        <v>183.26</v>
      </c>
      <c r="KP317">
        <v>180.45</v>
      </c>
    </row>
    <row r="318" spans="1:302">
      <c r="E318" s="625"/>
      <c r="F318" s="625"/>
      <c r="G318" s="625"/>
      <c r="H318" s="625"/>
      <c r="I318" s="625"/>
      <c r="J318" s="625"/>
    </row>
    <row r="319" spans="1:302">
      <c r="E319" s="625"/>
      <c r="F319" s="625"/>
      <c r="G319" s="625"/>
      <c r="H319" s="625"/>
      <c r="I319" s="625"/>
      <c r="J319" s="625"/>
    </row>
    <row r="320" spans="1:302">
      <c r="E320" s="625"/>
      <c r="F320" s="625"/>
      <c r="G320" s="625"/>
      <c r="H320" s="625"/>
      <c r="I320" s="625"/>
      <c r="J320" s="625"/>
    </row>
    <row r="321" spans="1:813">
      <c r="E321" s="625"/>
      <c r="F321" s="625"/>
      <c r="G321" s="625"/>
      <c r="H321" s="625"/>
      <c r="I321" s="625"/>
      <c r="J321" s="625"/>
    </row>
    <row r="335" spans="1:813">
      <c r="AEF335" t="s">
        <v>1445</v>
      </c>
      <c r="AEG335" t="s">
        <v>2085</v>
      </c>
    </row>
    <row r="336" spans="1:813" ht="15.5">
      <c r="A336" s="635" t="s">
        <v>2083</v>
      </c>
      <c r="B336" s="636">
        <v>43832</v>
      </c>
      <c r="C336" s="636">
        <v>43833</v>
      </c>
      <c r="D336" s="636">
        <v>43836</v>
      </c>
      <c r="E336" s="636">
        <v>43837</v>
      </c>
      <c r="F336" s="636">
        <v>43838</v>
      </c>
      <c r="G336" s="636">
        <v>43839</v>
      </c>
      <c r="H336" s="636">
        <v>43840</v>
      </c>
      <c r="I336" s="636">
        <v>43843</v>
      </c>
      <c r="J336" s="636">
        <v>43844</v>
      </c>
      <c r="K336" s="636">
        <v>43845</v>
      </c>
      <c r="L336" s="636">
        <v>43846</v>
      </c>
      <c r="M336" s="636">
        <v>43847</v>
      </c>
      <c r="N336" s="636">
        <v>43851</v>
      </c>
      <c r="O336" s="636">
        <v>43852</v>
      </c>
      <c r="P336" s="636">
        <v>43853</v>
      </c>
      <c r="Q336" s="636">
        <v>43854</v>
      </c>
      <c r="R336" s="636">
        <v>43857</v>
      </c>
      <c r="S336" s="636">
        <v>43858</v>
      </c>
      <c r="T336" s="636">
        <v>43859</v>
      </c>
      <c r="U336" s="636">
        <v>43860</v>
      </c>
      <c r="V336" s="636">
        <v>43861</v>
      </c>
      <c r="W336" s="636">
        <v>43864</v>
      </c>
      <c r="X336" s="636">
        <v>43865</v>
      </c>
      <c r="Y336" s="636">
        <v>43866</v>
      </c>
      <c r="Z336" s="636">
        <v>43867</v>
      </c>
      <c r="AA336" s="636">
        <v>43868</v>
      </c>
      <c r="AB336" s="636">
        <v>43871</v>
      </c>
      <c r="AC336" s="636">
        <v>43872</v>
      </c>
      <c r="AD336" s="636">
        <v>43873</v>
      </c>
      <c r="AE336" s="636">
        <v>43874</v>
      </c>
      <c r="AF336" s="636">
        <v>43875</v>
      </c>
      <c r="AG336" s="636">
        <v>43879</v>
      </c>
      <c r="AH336" s="636">
        <v>43880</v>
      </c>
      <c r="AI336" s="636">
        <v>43881</v>
      </c>
      <c r="AJ336" s="636">
        <v>43882</v>
      </c>
      <c r="AK336" s="636">
        <v>43885</v>
      </c>
      <c r="AL336" s="636">
        <v>43886</v>
      </c>
      <c r="AM336" s="636">
        <v>43887</v>
      </c>
      <c r="AN336" s="636">
        <v>43888</v>
      </c>
      <c r="AO336" s="636">
        <v>43889</v>
      </c>
      <c r="AP336" s="636">
        <v>43892</v>
      </c>
      <c r="AQ336" s="636">
        <v>43893</v>
      </c>
      <c r="AR336" s="636">
        <v>43894</v>
      </c>
      <c r="AS336" s="636">
        <v>43895</v>
      </c>
      <c r="AT336" s="636">
        <v>43896</v>
      </c>
      <c r="AU336" s="636">
        <v>43899</v>
      </c>
      <c r="AV336" s="636">
        <v>43900</v>
      </c>
      <c r="AW336" s="636">
        <v>43901</v>
      </c>
      <c r="AX336" s="636">
        <v>43902</v>
      </c>
      <c r="AY336" s="636">
        <v>43903</v>
      </c>
      <c r="AZ336" s="636">
        <v>43906</v>
      </c>
      <c r="BA336" s="636">
        <v>43907</v>
      </c>
      <c r="BB336" s="636">
        <v>43908</v>
      </c>
      <c r="BC336" s="636">
        <v>43909</v>
      </c>
      <c r="BD336" s="636">
        <v>43910</v>
      </c>
      <c r="BE336" s="636">
        <v>43913</v>
      </c>
      <c r="BF336" s="636">
        <v>43914</v>
      </c>
      <c r="BG336" s="636">
        <v>43915</v>
      </c>
      <c r="BH336" s="636">
        <v>43916</v>
      </c>
      <c r="BI336" s="636">
        <v>43917</v>
      </c>
      <c r="BJ336" s="636">
        <v>43920</v>
      </c>
      <c r="BK336" s="636">
        <v>43921</v>
      </c>
      <c r="BL336" s="636">
        <v>43922</v>
      </c>
      <c r="BM336" s="636">
        <v>43923</v>
      </c>
      <c r="BN336" s="636">
        <v>43924</v>
      </c>
      <c r="BO336" s="636">
        <v>43927</v>
      </c>
      <c r="BP336" s="636">
        <v>43928</v>
      </c>
      <c r="BQ336" s="636">
        <v>43929</v>
      </c>
      <c r="BR336" s="636">
        <v>43930</v>
      </c>
      <c r="BS336" s="636">
        <v>43934</v>
      </c>
      <c r="BT336" s="636">
        <v>43935</v>
      </c>
      <c r="BU336" s="636">
        <v>43936</v>
      </c>
      <c r="BV336" s="636">
        <v>43937</v>
      </c>
      <c r="BW336" s="636">
        <v>43938</v>
      </c>
      <c r="BX336" s="636">
        <v>43941</v>
      </c>
      <c r="BY336" s="636">
        <v>43942</v>
      </c>
      <c r="BZ336" s="636">
        <v>43943</v>
      </c>
      <c r="CA336" s="636">
        <v>43944</v>
      </c>
      <c r="CB336" s="636">
        <v>43945</v>
      </c>
      <c r="CC336" s="636">
        <v>43948</v>
      </c>
      <c r="CD336" s="636">
        <v>43949</v>
      </c>
      <c r="CE336" s="636">
        <v>43950</v>
      </c>
      <c r="CF336" s="636">
        <v>43951</v>
      </c>
      <c r="CG336" s="636">
        <v>43952</v>
      </c>
      <c r="CH336" s="636">
        <v>43955</v>
      </c>
      <c r="CI336" s="636">
        <v>43956</v>
      </c>
      <c r="CJ336" s="636">
        <v>43957</v>
      </c>
      <c r="CK336" s="636">
        <v>43958</v>
      </c>
      <c r="CL336" s="636">
        <v>43959</v>
      </c>
      <c r="CM336" s="636">
        <v>43962</v>
      </c>
      <c r="CN336" s="636">
        <v>43963</v>
      </c>
      <c r="CO336" s="636">
        <v>43964</v>
      </c>
      <c r="CP336" s="636">
        <v>43965</v>
      </c>
      <c r="CQ336" s="636">
        <v>43966</v>
      </c>
      <c r="CR336" s="636">
        <v>43969</v>
      </c>
      <c r="CS336" s="636">
        <v>43970</v>
      </c>
      <c r="CT336" s="636">
        <v>43971</v>
      </c>
      <c r="CU336" s="636">
        <v>43972</v>
      </c>
      <c r="CV336" s="636">
        <v>43973</v>
      </c>
      <c r="CW336" s="636">
        <v>43977</v>
      </c>
      <c r="CX336" s="636">
        <v>43978</v>
      </c>
      <c r="CY336" s="636">
        <v>43979</v>
      </c>
      <c r="CZ336" s="636">
        <v>43980</v>
      </c>
      <c r="DA336" s="636">
        <v>43983</v>
      </c>
      <c r="DB336" s="636">
        <v>43984</v>
      </c>
      <c r="DC336" s="636">
        <v>43985</v>
      </c>
      <c r="DD336" s="636">
        <v>43986</v>
      </c>
      <c r="DE336" s="636">
        <v>43987</v>
      </c>
      <c r="DF336" s="636">
        <v>43990</v>
      </c>
      <c r="DG336" s="636">
        <v>43991</v>
      </c>
      <c r="DH336" s="636">
        <v>43992</v>
      </c>
      <c r="DI336" s="636">
        <v>43993</v>
      </c>
      <c r="DJ336" s="636">
        <v>43994</v>
      </c>
      <c r="DK336" s="636">
        <v>43997</v>
      </c>
      <c r="DL336" s="636">
        <v>43998</v>
      </c>
      <c r="DM336" s="636">
        <v>43999</v>
      </c>
      <c r="DN336" s="636">
        <v>44000</v>
      </c>
      <c r="DO336" s="636">
        <v>44001</v>
      </c>
      <c r="DP336" s="636">
        <v>44004</v>
      </c>
      <c r="DQ336" s="636">
        <v>44005</v>
      </c>
      <c r="DR336" s="636">
        <v>44006</v>
      </c>
      <c r="DS336" s="636">
        <v>44007</v>
      </c>
      <c r="DT336" s="636">
        <v>44008</v>
      </c>
      <c r="DU336" s="636">
        <v>44011</v>
      </c>
      <c r="DV336" s="636">
        <v>44012</v>
      </c>
      <c r="DW336" s="636">
        <v>44013</v>
      </c>
      <c r="DX336" s="636">
        <v>44014</v>
      </c>
      <c r="DY336" s="636">
        <v>44018</v>
      </c>
      <c r="DZ336" s="636">
        <v>44019</v>
      </c>
      <c r="EA336" s="636">
        <v>44020</v>
      </c>
      <c r="EB336" s="636">
        <v>44021</v>
      </c>
      <c r="EC336" s="636">
        <v>44022</v>
      </c>
      <c r="ED336" s="636">
        <v>44025</v>
      </c>
      <c r="EE336" s="636">
        <v>44026</v>
      </c>
      <c r="EF336" s="636">
        <v>44027</v>
      </c>
      <c r="EG336" s="636">
        <v>44028</v>
      </c>
      <c r="EH336" s="636">
        <v>44029</v>
      </c>
      <c r="EI336" s="636">
        <v>44032</v>
      </c>
      <c r="EJ336" s="636">
        <v>44033</v>
      </c>
      <c r="EK336" s="636">
        <v>44034</v>
      </c>
      <c r="EL336" s="636">
        <v>44035</v>
      </c>
      <c r="EM336" s="636">
        <v>44036</v>
      </c>
      <c r="EN336" s="636">
        <v>44039</v>
      </c>
      <c r="EO336" s="636">
        <v>44040</v>
      </c>
      <c r="EP336" s="636">
        <v>44041</v>
      </c>
      <c r="EQ336" s="636">
        <v>44042</v>
      </c>
      <c r="ER336" s="636">
        <v>44043</v>
      </c>
      <c r="ES336" s="636">
        <v>44046</v>
      </c>
      <c r="ET336" s="636">
        <v>44047</v>
      </c>
      <c r="EU336" s="636">
        <v>44048</v>
      </c>
      <c r="EV336" s="636">
        <v>44049</v>
      </c>
      <c r="EW336" s="636">
        <v>44050</v>
      </c>
      <c r="EX336" s="636">
        <v>44053</v>
      </c>
      <c r="EY336" s="636">
        <v>44054</v>
      </c>
      <c r="EZ336" s="636">
        <v>44055</v>
      </c>
      <c r="FA336" s="636">
        <v>44056</v>
      </c>
      <c r="FB336" s="636">
        <v>44057</v>
      </c>
      <c r="FC336" s="636">
        <v>44060</v>
      </c>
      <c r="FD336" s="636">
        <v>44061</v>
      </c>
      <c r="FE336" s="636">
        <v>44062</v>
      </c>
      <c r="FF336" s="636">
        <v>44063</v>
      </c>
      <c r="FG336" s="636">
        <v>44064</v>
      </c>
      <c r="FH336" s="636">
        <v>44067</v>
      </c>
      <c r="FI336" s="636">
        <v>44068</v>
      </c>
      <c r="FJ336" s="636">
        <v>44069</v>
      </c>
      <c r="FK336" s="636">
        <v>44070</v>
      </c>
      <c r="FL336" s="636">
        <v>44071</v>
      </c>
      <c r="FM336" s="636">
        <v>44074</v>
      </c>
      <c r="FN336" s="636">
        <v>44075</v>
      </c>
      <c r="FO336" s="636">
        <v>44076</v>
      </c>
      <c r="FP336" s="636">
        <v>44077</v>
      </c>
      <c r="FQ336" s="636">
        <v>44078</v>
      </c>
      <c r="FR336" s="636">
        <v>44082</v>
      </c>
      <c r="FS336" s="636">
        <v>44083</v>
      </c>
      <c r="FT336" s="636">
        <v>44084</v>
      </c>
      <c r="FU336" s="636">
        <v>44085</v>
      </c>
      <c r="FV336" s="636">
        <v>44088</v>
      </c>
      <c r="FW336" s="636">
        <v>44089</v>
      </c>
      <c r="FX336" s="636">
        <v>44090</v>
      </c>
      <c r="FY336" s="636">
        <v>44091</v>
      </c>
      <c r="FZ336" s="636">
        <v>44092</v>
      </c>
      <c r="GA336" s="636">
        <v>44095</v>
      </c>
      <c r="GB336" s="636">
        <v>44096</v>
      </c>
      <c r="GC336" s="636">
        <v>44097</v>
      </c>
      <c r="GD336" s="636">
        <v>44098</v>
      </c>
      <c r="GE336" s="636">
        <v>44099</v>
      </c>
      <c r="GF336" s="636">
        <v>44102</v>
      </c>
      <c r="GG336" s="636">
        <v>44103</v>
      </c>
      <c r="GH336" s="636">
        <v>44104</v>
      </c>
      <c r="GI336" s="636">
        <v>44105</v>
      </c>
      <c r="GJ336" s="636">
        <v>44106</v>
      </c>
      <c r="GK336" s="636">
        <v>44109</v>
      </c>
      <c r="GL336" s="636">
        <v>44110</v>
      </c>
      <c r="GM336" s="636">
        <v>44111</v>
      </c>
      <c r="GN336" s="636">
        <v>44112</v>
      </c>
      <c r="GO336" s="636">
        <v>44113</v>
      </c>
      <c r="GP336" s="636">
        <v>44116</v>
      </c>
      <c r="GQ336" s="636">
        <v>44117</v>
      </c>
      <c r="GR336" s="636">
        <v>44118</v>
      </c>
      <c r="GS336" s="636">
        <v>44119</v>
      </c>
      <c r="GT336" s="636">
        <v>44120</v>
      </c>
      <c r="GU336" s="636">
        <v>44123</v>
      </c>
      <c r="GV336" s="636">
        <v>44124</v>
      </c>
      <c r="GW336" s="636">
        <v>44125</v>
      </c>
      <c r="GX336" s="636">
        <v>44126</v>
      </c>
      <c r="GY336" s="636">
        <v>44127</v>
      </c>
      <c r="GZ336" s="636">
        <v>44130</v>
      </c>
      <c r="HA336" s="636">
        <v>44131</v>
      </c>
      <c r="HB336" s="636">
        <v>44132</v>
      </c>
      <c r="HC336" s="636">
        <v>44133</v>
      </c>
      <c r="HD336" s="636">
        <v>44134</v>
      </c>
      <c r="HE336" s="636">
        <v>44137</v>
      </c>
      <c r="HF336" s="636">
        <v>44138</v>
      </c>
      <c r="HG336" s="636">
        <v>44139</v>
      </c>
      <c r="HH336" s="636">
        <v>44140</v>
      </c>
      <c r="HI336" s="636">
        <v>44141</v>
      </c>
      <c r="HJ336" s="636">
        <v>44144</v>
      </c>
      <c r="HK336" s="636">
        <v>44145</v>
      </c>
      <c r="HL336" s="636">
        <v>44146</v>
      </c>
      <c r="HM336" s="636">
        <v>44147</v>
      </c>
      <c r="HN336" s="636">
        <v>44148</v>
      </c>
      <c r="HO336" s="636">
        <v>44151</v>
      </c>
      <c r="HP336" s="636">
        <v>44152</v>
      </c>
      <c r="HQ336" s="636">
        <v>44153</v>
      </c>
      <c r="HR336" s="636">
        <v>44154</v>
      </c>
      <c r="HS336" s="636">
        <v>44155</v>
      </c>
      <c r="HT336" s="636">
        <v>44158</v>
      </c>
      <c r="HU336" s="636">
        <v>44159</v>
      </c>
      <c r="HV336" s="636">
        <v>44160</v>
      </c>
      <c r="HW336" s="636">
        <v>44162</v>
      </c>
      <c r="HX336" s="636">
        <v>44165</v>
      </c>
      <c r="HY336" s="636">
        <v>44166</v>
      </c>
      <c r="HZ336" s="636">
        <v>44167</v>
      </c>
      <c r="IA336" s="636">
        <v>44168</v>
      </c>
      <c r="IB336" s="636">
        <v>44169</v>
      </c>
      <c r="IC336" s="636">
        <v>44172</v>
      </c>
      <c r="ID336" s="636">
        <v>44173</v>
      </c>
      <c r="IE336" s="636">
        <v>44174</v>
      </c>
      <c r="IF336" s="636">
        <v>44175</v>
      </c>
      <c r="IG336" s="636">
        <v>44176</v>
      </c>
      <c r="IH336" s="636">
        <v>44179</v>
      </c>
      <c r="II336" s="636">
        <v>44180</v>
      </c>
      <c r="IJ336" s="636">
        <v>44181</v>
      </c>
      <c r="IK336" s="636">
        <v>44182</v>
      </c>
      <c r="IL336" s="636">
        <v>44183</v>
      </c>
      <c r="IM336" s="636">
        <v>44186</v>
      </c>
      <c r="IN336" s="636">
        <v>44187</v>
      </c>
      <c r="IO336" s="636">
        <v>44188</v>
      </c>
      <c r="IP336" s="636">
        <v>44189</v>
      </c>
      <c r="IQ336" s="636">
        <v>44193</v>
      </c>
      <c r="IR336" s="636">
        <v>44194</v>
      </c>
      <c r="IS336" s="636">
        <v>44195</v>
      </c>
      <c r="IT336" s="636">
        <v>44196</v>
      </c>
      <c r="IU336" s="636">
        <v>44200</v>
      </c>
      <c r="IV336" s="636">
        <v>44201</v>
      </c>
      <c r="IW336" s="636">
        <v>44202</v>
      </c>
      <c r="IX336" s="636">
        <v>44203</v>
      </c>
      <c r="IY336" s="636">
        <v>44204</v>
      </c>
      <c r="IZ336" s="636">
        <v>44207</v>
      </c>
      <c r="JA336" s="636">
        <v>44208</v>
      </c>
      <c r="JB336" s="636">
        <v>44209</v>
      </c>
      <c r="JC336" s="636">
        <v>44210</v>
      </c>
      <c r="JD336" s="636">
        <v>44211</v>
      </c>
      <c r="JE336" s="636">
        <v>44215</v>
      </c>
      <c r="JF336" s="636">
        <v>44216</v>
      </c>
      <c r="JG336" s="636">
        <v>44217</v>
      </c>
      <c r="JH336" s="636">
        <v>44218</v>
      </c>
      <c r="JI336" s="636">
        <v>44221</v>
      </c>
      <c r="JJ336" s="636">
        <v>44222</v>
      </c>
      <c r="JK336" s="636">
        <v>44223</v>
      </c>
      <c r="JL336" s="636">
        <v>44224</v>
      </c>
      <c r="JM336" s="636">
        <v>44225</v>
      </c>
      <c r="JN336" s="636">
        <v>44228</v>
      </c>
      <c r="JO336" s="636">
        <v>44229</v>
      </c>
      <c r="JP336" s="636">
        <v>44230</v>
      </c>
      <c r="JQ336" s="636">
        <v>44231</v>
      </c>
      <c r="JR336" s="636">
        <v>44232</v>
      </c>
      <c r="JS336" s="636">
        <v>44235</v>
      </c>
      <c r="JT336" s="636">
        <v>44236</v>
      </c>
      <c r="JU336" s="636">
        <v>44237</v>
      </c>
      <c r="JV336" s="636">
        <v>44238</v>
      </c>
      <c r="JW336" s="636">
        <v>44239</v>
      </c>
      <c r="JX336" s="636">
        <v>44243</v>
      </c>
      <c r="JY336" s="636">
        <v>44244</v>
      </c>
      <c r="JZ336" s="636">
        <v>44245</v>
      </c>
      <c r="KA336" s="636">
        <v>44246</v>
      </c>
      <c r="KB336" s="636">
        <v>44249</v>
      </c>
      <c r="KC336" s="636">
        <v>44250</v>
      </c>
      <c r="KD336" s="636">
        <v>44251</v>
      </c>
      <c r="KE336" s="636">
        <v>44252</v>
      </c>
      <c r="KF336" s="636">
        <v>44253</v>
      </c>
      <c r="KG336" s="636">
        <v>44256</v>
      </c>
      <c r="KH336" s="636">
        <v>44257</v>
      </c>
      <c r="KI336" s="636">
        <v>44258</v>
      </c>
      <c r="KJ336" s="636">
        <v>44259</v>
      </c>
      <c r="KK336" s="636">
        <v>44260</v>
      </c>
      <c r="KL336" s="636">
        <v>44263</v>
      </c>
      <c r="KM336" s="636">
        <v>44264</v>
      </c>
      <c r="KN336" s="636">
        <v>44265</v>
      </c>
      <c r="KO336" s="636">
        <v>44266</v>
      </c>
      <c r="KP336" s="636">
        <v>44267</v>
      </c>
      <c r="KQ336" s="636">
        <v>44270</v>
      </c>
      <c r="KR336" s="636">
        <v>44271</v>
      </c>
      <c r="KS336" s="636">
        <v>44272</v>
      </c>
      <c r="KT336" s="636">
        <v>44273</v>
      </c>
      <c r="KU336" s="636">
        <v>44274</v>
      </c>
      <c r="KV336" s="636">
        <v>44277</v>
      </c>
      <c r="KW336" s="636">
        <v>44278</v>
      </c>
      <c r="KX336" s="636">
        <v>44279</v>
      </c>
      <c r="KY336" s="636">
        <v>44280</v>
      </c>
      <c r="KZ336" s="636">
        <v>44281</v>
      </c>
      <c r="LA336" s="636">
        <v>44284</v>
      </c>
      <c r="LB336" s="636">
        <v>44285</v>
      </c>
      <c r="LC336" s="636">
        <v>44286</v>
      </c>
      <c r="LD336" s="636">
        <v>44287</v>
      </c>
      <c r="LE336" s="636">
        <v>44291</v>
      </c>
      <c r="LF336" s="636">
        <v>44292</v>
      </c>
      <c r="LG336" s="636">
        <v>44293</v>
      </c>
      <c r="LH336" s="636">
        <v>44294</v>
      </c>
      <c r="LI336" s="636">
        <v>44295</v>
      </c>
      <c r="LJ336" s="636">
        <v>44298</v>
      </c>
      <c r="LK336" s="636">
        <v>44299</v>
      </c>
      <c r="LL336" s="636">
        <v>44300</v>
      </c>
      <c r="LM336" s="636">
        <v>44301</v>
      </c>
      <c r="LN336" s="636">
        <v>44302</v>
      </c>
      <c r="LO336" s="636">
        <v>44305</v>
      </c>
      <c r="LP336" s="636">
        <v>44306</v>
      </c>
      <c r="LQ336" s="636">
        <v>44307</v>
      </c>
      <c r="LR336" s="636">
        <v>44308</v>
      </c>
      <c r="LS336" s="636">
        <v>44309</v>
      </c>
      <c r="LT336" s="636">
        <v>44312</v>
      </c>
      <c r="LU336" s="636">
        <v>44313</v>
      </c>
      <c r="LV336" s="636">
        <v>44314</v>
      </c>
      <c r="LW336" s="636">
        <v>44315</v>
      </c>
      <c r="LX336" s="636">
        <v>44316</v>
      </c>
      <c r="LY336" s="636">
        <v>44319</v>
      </c>
      <c r="LZ336" s="636">
        <v>44320</v>
      </c>
      <c r="MA336" s="636">
        <v>44321</v>
      </c>
      <c r="MB336" s="636">
        <v>44322</v>
      </c>
      <c r="MC336" s="636">
        <v>44323</v>
      </c>
      <c r="MD336" s="636">
        <v>44326</v>
      </c>
      <c r="ME336" s="636">
        <v>44327</v>
      </c>
      <c r="MF336" s="636">
        <v>44328</v>
      </c>
      <c r="MG336" s="636">
        <v>44329</v>
      </c>
      <c r="MH336" s="636">
        <v>44330</v>
      </c>
      <c r="MI336" s="636">
        <v>44333</v>
      </c>
      <c r="MJ336" s="636">
        <v>44334</v>
      </c>
      <c r="MK336" s="636">
        <v>44335</v>
      </c>
      <c r="ML336" s="636">
        <v>44336</v>
      </c>
      <c r="MM336" s="636">
        <v>44337</v>
      </c>
      <c r="MN336" s="636">
        <v>44340</v>
      </c>
      <c r="MO336" s="636">
        <v>44341</v>
      </c>
      <c r="MP336" s="636">
        <v>44342</v>
      </c>
      <c r="MQ336" s="636">
        <v>44343</v>
      </c>
      <c r="MR336" s="636">
        <v>44344</v>
      </c>
      <c r="MS336" s="636">
        <v>44348</v>
      </c>
      <c r="MT336" s="636">
        <v>44349</v>
      </c>
      <c r="MU336" s="636">
        <v>44350</v>
      </c>
      <c r="MV336" s="636">
        <v>44351</v>
      </c>
      <c r="MW336" s="636">
        <v>44354</v>
      </c>
      <c r="MX336" s="636">
        <v>44355</v>
      </c>
      <c r="MY336" s="636">
        <v>44356</v>
      </c>
      <c r="MZ336" s="636">
        <v>44357</v>
      </c>
      <c r="NA336" s="636">
        <v>44358</v>
      </c>
      <c r="NB336" s="636">
        <v>44361</v>
      </c>
      <c r="NC336" s="636">
        <v>44362</v>
      </c>
      <c r="ND336" s="636">
        <v>44363</v>
      </c>
      <c r="NE336" s="636">
        <v>44364</v>
      </c>
      <c r="NF336" s="636">
        <v>44365</v>
      </c>
      <c r="NG336" s="636">
        <v>44368</v>
      </c>
      <c r="NH336" s="636">
        <v>44369</v>
      </c>
      <c r="NI336" s="636">
        <v>44370</v>
      </c>
      <c r="NJ336" s="636">
        <v>44371</v>
      </c>
      <c r="NK336" s="636">
        <v>44372</v>
      </c>
      <c r="NL336" s="636">
        <v>44375</v>
      </c>
      <c r="NM336" s="636">
        <v>44376</v>
      </c>
      <c r="NN336" s="636">
        <v>44377</v>
      </c>
      <c r="NO336" s="636">
        <v>44378</v>
      </c>
      <c r="NP336" s="636">
        <v>44379</v>
      </c>
      <c r="NQ336" s="636">
        <v>44383</v>
      </c>
      <c r="NR336" s="636">
        <v>44384</v>
      </c>
      <c r="NS336" s="636">
        <v>44385</v>
      </c>
      <c r="NT336" s="636">
        <v>44386</v>
      </c>
      <c r="NU336" s="636">
        <v>44389</v>
      </c>
      <c r="NV336" s="636">
        <v>44390</v>
      </c>
      <c r="NW336" s="636">
        <v>44391</v>
      </c>
      <c r="NX336" s="636">
        <v>44392</v>
      </c>
      <c r="NY336" s="636">
        <v>44393</v>
      </c>
      <c r="NZ336" s="636">
        <v>44396</v>
      </c>
      <c r="OA336" s="636">
        <v>44397</v>
      </c>
      <c r="OB336" s="636">
        <v>44398</v>
      </c>
      <c r="OC336" s="636">
        <v>44399</v>
      </c>
      <c r="OD336" s="636">
        <v>44400</v>
      </c>
      <c r="OE336" s="636">
        <v>44403</v>
      </c>
      <c r="OF336" s="636">
        <v>44404</v>
      </c>
      <c r="OG336" s="636">
        <v>44405</v>
      </c>
      <c r="OH336" s="636">
        <v>44406</v>
      </c>
      <c r="OI336" s="636">
        <v>44407</v>
      </c>
      <c r="OJ336" s="636">
        <v>44410</v>
      </c>
      <c r="OK336" s="636">
        <v>44411</v>
      </c>
      <c r="OL336" s="636">
        <v>44412</v>
      </c>
      <c r="OM336" s="636">
        <v>44413</v>
      </c>
      <c r="ON336" s="636">
        <v>44414</v>
      </c>
      <c r="OO336" s="636">
        <v>44417</v>
      </c>
      <c r="OP336" s="636">
        <v>44418</v>
      </c>
      <c r="OQ336" s="636">
        <v>44419</v>
      </c>
      <c r="OR336" s="636">
        <v>44420</v>
      </c>
      <c r="OS336" s="636">
        <v>44421</v>
      </c>
      <c r="OT336" s="636">
        <v>44424</v>
      </c>
      <c r="OU336" s="636">
        <v>44425</v>
      </c>
      <c r="OV336" s="636">
        <v>44426</v>
      </c>
      <c r="OW336" s="636">
        <v>44427</v>
      </c>
      <c r="OX336" s="636">
        <v>44428</v>
      </c>
      <c r="OY336" s="636">
        <v>44431</v>
      </c>
      <c r="OZ336" s="636">
        <v>44432</v>
      </c>
      <c r="PA336" s="636">
        <v>44433</v>
      </c>
      <c r="PB336" s="636">
        <v>44434</v>
      </c>
      <c r="PC336" s="636">
        <v>44435</v>
      </c>
      <c r="PD336" s="636">
        <v>44438</v>
      </c>
      <c r="PE336" s="636">
        <v>44439</v>
      </c>
      <c r="PF336" s="636">
        <v>44440</v>
      </c>
      <c r="PG336" s="636">
        <v>44441</v>
      </c>
      <c r="PH336" s="636">
        <v>44442</v>
      </c>
      <c r="PI336" s="636">
        <v>44446</v>
      </c>
      <c r="PJ336" s="636">
        <v>44447</v>
      </c>
      <c r="PK336" s="636">
        <v>44448</v>
      </c>
      <c r="PL336" s="636">
        <v>44449</v>
      </c>
      <c r="PM336" s="636">
        <v>44452</v>
      </c>
      <c r="PN336" s="636">
        <v>44453</v>
      </c>
      <c r="PO336" s="636">
        <v>44454</v>
      </c>
      <c r="PP336" s="636">
        <v>44455</v>
      </c>
      <c r="PQ336" s="636">
        <v>44456</v>
      </c>
      <c r="PR336" s="636">
        <v>44459</v>
      </c>
      <c r="PS336" s="636">
        <v>44460</v>
      </c>
      <c r="PT336" s="636">
        <v>44461</v>
      </c>
      <c r="PU336" s="636">
        <v>44462</v>
      </c>
      <c r="PV336" s="636">
        <v>44463</v>
      </c>
      <c r="PW336" s="636">
        <v>44466</v>
      </c>
      <c r="PX336" s="636">
        <v>44467</v>
      </c>
      <c r="PY336" s="636">
        <v>44468</v>
      </c>
      <c r="PZ336" s="636">
        <v>44469</v>
      </c>
      <c r="QA336" s="636">
        <v>44470</v>
      </c>
      <c r="QB336" s="636">
        <v>44473</v>
      </c>
      <c r="QC336" s="636">
        <v>44474</v>
      </c>
      <c r="QD336" s="636">
        <v>44475</v>
      </c>
      <c r="QE336" s="636">
        <v>44476</v>
      </c>
      <c r="QF336" s="636">
        <v>44477</v>
      </c>
      <c r="QG336" s="636">
        <v>44480</v>
      </c>
      <c r="QH336" s="636">
        <v>44481</v>
      </c>
      <c r="QI336" s="636">
        <v>44482</v>
      </c>
      <c r="QJ336" s="636">
        <v>44483</v>
      </c>
      <c r="QK336" s="636">
        <v>44484</v>
      </c>
      <c r="QL336" s="636">
        <v>44487</v>
      </c>
      <c r="QM336" s="636">
        <v>44488</v>
      </c>
      <c r="QN336" s="636">
        <v>44489</v>
      </c>
      <c r="QO336" s="636">
        <v>44490</v>
      </c>
      <c r="QP336" s="636">
        <v>44491</v>
      </c>
      <c r="QQ336" s="636">
        <v>44494</v>
      </c>
      <c r="QR336" s="636">
        <v>44495</v>
      </c>
      <c r="QS336" s="636">
        <v>44496</v>
      </c>
      <c r="QT336" s="636">
        <v>44497</v>
      </c>
      <c r="QU336" s="636">
        <v>44498</v>
      </c>
      <c r="QV336" s="636">
        <v>44501</v>
      </c>
      <c r="QW336" s="636">
        <v>44502</v>
      </c>
      <c r="QX336" s="636">
        <v>44503</v>
      </c>
      <c r="QY336" s="636">
        <v>44504</v>
      </c>
      <c r="QZ336" s="636">
        <v>44505</v>
      </c>
      <c r="RA336" s="636">
        <v>44508</v>
      </c>
      <c r="RB336" s="636">
        <v>44509</v>
      </c>
      <c r="RC336" s="636">
        <v>44510</v>
      </c>
      <c r="RD336" s="636">
        <v>44511</v>
      </c>
      <c r="RE336" s="636">
        <v>44512</v>
      </c>
      <c r="RF336" s="636">
        <v>44515</v>
      </c>
      <c r="RG336" s="636">
        <v>44516</v>
      </c>
      <c r="RH336" s="636">
        <v>44517</v>
      </c>
      <c r="RI336" s="636">
        <v>44518</v>
      </c>
      <c r="RJ336" s="636">
        <v>44519</v>
      </c>
      <c r="RK336" s="636">
        <v>44522</v>
      </c>
      <c r="RL336" s="636">
        <v>44523</v>
      </c>
      <c r="RM336" s="636">
        <v>44524</v>
      </c>
      <c r="RN336" s="636">
        <v>44526</v>
      </c>
      <c r="RO336" s="636">
        <v>44529</v>
      </c>
      <c r="RP336" s="636">
        <v>44530</v>
      </c>
      <c r="RQ336" s="636">
        <v>44531</v>
      </c>
      <c r="RR336" s="636">
        <v>44532</v>
      </c>
      <c r="RS336" s="636">
        <v>44533</v>
      </c>
      <c r="RT336" s="636">
        <v>44536</v>
      </c>
      <c r="RU336" s="636">
        <v>44537</v>
      </c>
      <c r="RV336" s="636">
        <v>44538</v>
      </c>
      <c r="RW336" s="636">
        <v>44539</v>
      </c>
      <c r="RX336" s="636">
        <v>44540</v>
      </c>
      <c r="RY336" s="636">
        <v>44543</v>
      </c>
      <c r="RZ336" s="636">
        <v>44544</v>
      </c>
      <c r="SA336" s="636">
        <v>44545</v>
      </c>
      <c r="SB336" s="636">
        <v>44546</v>
      </c>
      <c r="SC336" s="636">
        <v>44547</v>
      </c>
      <c r="SD336" s="636">
        <v>44550</v>
      </c>
      <c r="SE336" s="636">
        <v>44551</v>
      </c>
      <c r="SF336" s="636">
        <v>44552</v>
      </c>
      <c r="SG336" s="636">
        <v>44553</v>
      </c>
      <c r="SH336" s="636">
        <v>44557</v>
      </c>
      <c r="SI336" s="636">
        <v>44558</v>
      </c>
      <c r="SJ336" s="636">
        <v>44559</v>
      </c>
      <c r="SK336" s="636">
        <v>44560</v>
      </c>
      <c r="SL336" s="636">
        <v>44561</v>
      </c>
      <c r="SM336" s="636">
        <v>44564</v>
      </c>
      <c r="SN336" s="636">
        <v>44565</v>
      </c>
      <c r="SO336" s="636">
        <v>44566</v>
      </c>
      <c r="SP336" s="636">
        <v>44567</v>
      </c>
      <c r="SQ336" s="636">
        <v>44568</v>
      </c>
      <c r="SR336" s="636">
        <v>44571</v>
      </c>
      <c r="SS336" s="636">
        <v>44572</v>
      </c>
      <c r="ST336" s="636">
        <v>44573</v>
      </c>
      <c r="SU336" s="636">
        <v>44574</v>
      </c>
      <c r="SV336" s="636">
        <v>44575</v>
      </c>
      <c r="SW336" s="636">
        <v>44579</v>
      </c>
      <c r="SX336" s="636">
        <v>44580</v>
      </c>
      <c r="SY336" s="636">
        <v>44581</v>
      </c>
      <c r="SZ336" s="636">
        <v>44582</v>
      </c>
      <c r="TA336" s="636">
        <v>44585</v>
      </c>
      <c r="TB336" s="636">
        <v>44586</v>
      </c>
      <c r="TC336" s="636">
        <v>44587</v>
      </c>
      <c r="TD336" s="636">
        <v>44588</v>
      </c>
      <c r="TE336" s="636">
        <v>44589</v>
      </c>
      <c r="TF336" s="636">
        <v>44592</v>
      </c>
      <c r="TG336" s="636">
        <v>44593</v>
      </c>
      <c r="TH336" s="636">
        <v>44594</v>
      </c>
      <c r="TI336" s="636">
        <v>44595</v>
      </c>
      <c r="TJ336" s="636">
        <v>44596</v>
      </c>
      <c r="TK336" s="636">
        <v>44599</v>
      </c>
      <c r="TL336" s="636">
        <v>44600</v>
      </c>
      <c r="TM336" s="636">
        <v>44601</v>
      </c>
      <c r="TN336" s="636">
        <v>44602</v>
      </c>
      <c r="TO336" s="636">
        <v>44603</v>
      </c>
      <c r="TP336" s="636">
        <v>44606</v>
      </c>
      <c r="TQ336" s="636">
        <v>44607</v>
      </c>
      <c r="TR336" s="636">
        <v>44608</v>
      </c>
      <c r="TS336" s="636">
        <v>44609</v>
      </c>
      <c r="TT336" s="636">
        <v>44610</v>
      </c>
      <c r="TU336" s="636">
        <v>44614</v>
      </c>
      <c r="TV336" s="636">
        <v>44615</v>
      </c>
      <c r="TW336" s="636">
        <v>44616</v>
      </c>
      <c r="TX336" s="636">
        <v>44617</v>
      </c>
      <c r="TY336" s="636">
        <v>44620</v>
      </c>
      <c r="TZ336" s="636">
        <v>44621</v>
      </c>
      <c r="UA336" s="636">
        <v>44622</v>
      </c>
      <c r="UB336" s="636">
        <v>44623</v>
      </c>
      <c r="UC336" s="636">
        <v>44624</v>
      </c>
      <c r="UD336" s="636">
        <v>44627</v>
      </c>
      <c r="UE336" s="636">
        <v>44628</v>
      </c>
      <c r="UF336" s="636">
        <v>44629</v>
      </c>
      <c r="UG336" s="636">
        <v>44630</v>
      </c>
      <c r="UH336" s="636">
        <v>44631</v>
      </c>
      <c r="UI336" s="636">
        <v>44634</v>
      </c>
      <c r="UJ336" s="636">
        <v>44635</v>
      </c>
      <c r="UK336" s="636">
        <v>44636</v>
      </c>
      <c r="UL336" s="636">
        <v>44637</v>
      </c>
      <c r="UM336" s="636">
        <v>44638</v>
      </c>
      <c r="UN336" s="636">
        <v>44641</v>
      </c>
      <c r="UO336" s="636">
        <v>44642</v>
      </c>
      <c r="UP336" s="636">
        <v>44643</v>
      </c>
      <c r="UQ336" s="636">
        <v>44644</v>
      </c>
      <c r="UR336" s="636">
        <v>44645</v>
      </c>
      <c r="US336" s="636">
        <v>44648</v>
      </c>
      <c r="UT336" s="636">
        <v>44649</v>
      </c>
      <c r="UU336" s="636">
        <v>44650</v>
      </c>
      <c r="UV336" s="636">
        <v>44651</v>
      </c>
      <c r="UW336" s="636">
        <v>44652</v>
      </c>
      <c r="UX336" s="636">
        <v>44655</v>
      </c>
      <c r="UY336" s="636">
        <v>44656</v>
      </c>
      <c r="UZ336" s="636">
        <v>44657</v>
      </c>
      <c r="VA336" s="636">
        <v>44658</v>
      </c>
      <c r="VB336" s="636">
        <v>44659</v>
      </c>
      <c r="VC336" s="636">
        <v>44662</v>
      </c>
      <c r="VD336" s="636">
        <v>44663</v>
      </c>
      <c r="VE336" s="636">
        <v>44664</v>
      </c>
      <c r="VF336" s="636">
        <v>44665</v>
      </c>
      <c r="VG336" s="636">
        <v>44669</v>
      </c>
      <c r="VH336" s="636">
        <v>44670</v>
      </c>
      <c r="VI336" s="636">
        <v>44671</v>
      </c>
      <c r="VJ336" s="636">
        <v>44672</v>
      </c>
      <c r="VK336" s="636">
        <v>44673</v>
      </c>
      <c r="VL336" s="636">
        <v>44676</v>
      </c>
      <c r="VM336" s="636">
        <v>44677</v>
      </c>
      <c r="VN336" s="636">
        <v>44678</v>
      </c>
      <c r="VO336" s="636">
        <v>44679</v>
      </c>
      <c r="VP336" s="636">
        <v>44680</v>
      </c>
      <c r="VQ336" s="636">
        <v>44683</v>
      </c>
      <c r="VR336" s="636">
        <v>44684</v>
      </c>
      <c r="VS336" s="636">
        <v>44685</v>
      </c>
      <c r="VT336" s="636">
        <v>44686</v>
      </c>
      <c r="VU336" s="636">
        <v>44687</v>
      </c>
      <c r="VV336" s="636">
        <v>44690</v>
      </c>
      <c r="VW336" s="636">
        <v>44691</v>
      </c>
      <c r="VX336" s="636">
        <v>44692</v>
      </c>
      <c r="VY336" s="636">
        <v>44693</v>
      </c>
      <c r="VZ336" s="636">
        <v>44694</v>
      </c>
      <c r="WA336" s="636">
        <v>44697</v>
      </c>
      <c r="WB336" s="636">
        <v>44698</v>
      </c>
      <c r="WC336" s="636">
        <v>44699</v>
      </c>
      <c r="WD336" s="636">
        <v>44700</v>
      </c>
      <c r="WE336" s="636">
        <v>44701</v>
      </c>
      <c r="WF336" s="636">
        <v>44704</v>
      </c>
      <c r="WG336" s="636">
        <v>44705</v>
      </c>
      <c r="WH336" s="636">
        <v>44706</v>
      </c>
      <c r="WI336" s="636">
        <v>44707</v>
      </c>
      <c r="WJ336" s="636">
        <v>44708</v>
      </c>
      <c r="WK336" s="636">
        <v>44712</v>
      </c>
      <c r="WL336" s="636">
        <v>44713</v>
      </c>
      <c r="WM336" s="636">
        <v>44714</v>
      </c>
      <c r="WN336" s="636">
        <v>44715</v>
      </c>
      <c r="WO336" s="636">
        <v>44718</v>
      </c>
      <c r="WP336" s="636">
        <v>44719</v>
      </c>
      <c r="WQ336" s="636">
        <v>44720</v>
      </c>
      <c r="WR336" s="636">
        <v>44721</v>
      </c>
      <c r="WS336" s="636">
        <v>44722</v>
      </c>
      <c r="WT336" s="636">
        <v>44725</v>
      </c>
      <c r="WU336" s="636">
        <v>44726</v>
      </c>
      <c r="WV336" s="636">
        <v>44727</v>
      </c>
      <c r="WW336" s="636">
        <v>44728</v>
      </c>
      <c r="WX336" s="636">
        <v>44729</v>
      </c>
      <c r="WY336" s="636">
        <v>44733</v>
      </c>
      <c r="WZ336" s="636">
        <v>44734</v>
      </c>
      <c r="XA336" s="636">
        <v>44735</v>
      </c>
      <c r="XB336" s="636">
        <v>44736</v>
      </c>
      <c r="XC336" s="636">
        <v>44739</v>
      </c>
      <c r="XD336" s="636">
        <v>44740</v>
      </c>
      <c r="XE336" s="636">
        <v>44741</v>
      </c>
      <c r="XF336" s="636">
        <v>44742</v>
      </c>
      <c r="XG336" s="636">
        <v>44743</v>
      </c>
      <c r="XH336" s="636">
        <v>44747</v>
      </c>
      <c r="XI336" s="636">
        <v>44748</v>
      </c>
      <c r="XJ336" s="636">
        <v>44749</v>
      </c>
      <c r="XK336" s="636">
        <v>44750</v>
      </c>
      <c r="XL336" s="636">
        <v>44753</v>
      </c>
      <c r="XM336" s="636">
        <v>44754</v>
      </c>
      <c r="XN336" s="636">
        <v>44755</v>
      </c>
      <c r="XO336" s="636">
        <v>44756</v>
      </c>
      <c r="XP336" s="636">
        <v>44757</v>
      </c>
      <c r="XQ336" s="636">
        <v>44760</v>
      </c>
      <c r="XR336" s="636">
        <v>44761</v>
      </c>
      <c r="XS336" s="636">
        <v>44762</v>
      </c>
      <c r="XT336" s="636">
        <v>44763</v>
      </c>
      <c r="XU336" s="636">
        <v>44764</v>
      </c>
      <c r="XV336" s="636">
        <v>44767</v>
      </c>
      <c r="XW336" s="636">
        <v>44768</v>
      </c>
      <c r="XX336" s="636">
        <v>44769</v>
      </c>
      <c r="XY336" s="636">
        <v>44770</v>
      </c>
      <c r="XZ336" s="636">
        <v>44771</v>
      </c>
      <c r="YA336" s="636">
        <v>44774</v>
      </c>
      <c r="YB336" s="636">
        <v>44775</v>
      </c>
      <c r="YC336" s="636">
        <v>44776</v>
      </c>
      <c r="YD336" s="636">
        <v>44777</v>
      </c>
      <c r="YE336" s="636">
        <v>44778</v>
      </c>
      <c r="YF336" s="636">
        <v>44781</v>
      </c>
      <c r="YG336" s="636">
        <v>44782</v>
      </c>
      <c r="YH336" s="636">
        <v>44783</v>
      </c>
      <c r="YI336" s="636">
        <v>44784</v>
      </c>
      <c r="YJ336" s="636">
        <v>44785</v>
      </c>
      <c r="YK336" s="636">
        <v>44788</v>
      </c>
      <c r="YL336" s="636">
        <v>44789</v>
      </c>
      <c r="YM336" s="636">
        <v>44790</v>
      </c>
      <c r="YN336" s="636">
        <v>44791</v>
      </c>
      <c r="YO336" s="636">
        <v>44792</v>
      </c>
      <c r="YP336" s="636">
        <v>44795</v>
      </c>
      <c r="YQ336" s="636">
        <v>44796</v>
      </c>
      <c r="YR336" s="636">
        <v>44797</v>
      </c>
      <c r="YS336" s="636">
        <v>44798</v>
      </c>
      <c r="YT336" s="636">
        <v>44799</v>
      </c>
      <c r="YU336" s="636">
        <v>44802</v>
      </c>
      <c r="YV336" s="636">
        <v>44803</v>
      </c>
      <c r="YW336" s="636">
        <v>44804</v>
      </c>
      <c r="YX336" s="636">
        <v>44805</v>
      </c>
      <c r="YY336" s="636">
        <v>44806</v>
      </c>
      <c r="YZ336" s="636">
        <v>44810</v>
      </c>
      <c r="ZA336" s="636">
        <v>44811</v>
      </c>
      <c r="ZB336" s="636">
        <v>44812</v>
      </c>
      <c r="ZC336" s="636">
        <v>44813</v>
      </c>
      <c r="ZD336" s="636">
        <v>44816</v>
      </c>
      <c r="ZE336" s="636">
        <v>44817</v>
      </c>
      <c r="ZF336" s="636">
        <v>44818</v>
      </c>
      <c r="ZG336" s="636">
        <v>44819</v>
      </c>
      <c r="ZH336" s="636">
        <v>44820</v>
      </c>
      <c r="ZI336" s="636">
        <v>44823</v>
      </c>
      <c r="ZJ336" s="636">
        <v>44824</v>
      </c>
      <c r="ZK336" s="636">
        <v>44825</v>
      </c>
      <c r="ZL336" s="636">
        <v>44826</v>
      </c>
      <c r="ZM336" s="636">
        <v>44827</v>
      </c>
      <c r="ZN336" s="636">
        <v>44830</v>
      </c>
      <c r="ZO336" s="636">
        <v>44831</v>
      </c>
      <c r="ZP336" s="636">
        <v>44832</v>
      </c>
      <c r="ZQ336" s="636">
        <v>44833</v>
      </c>
      <c r="ZR336" s="636">
        <v>44834</v>
      </c>
      <c r="ZS336" s="636">
        <v>44837</v>
      </c>
      <c r="ZT336" s="636">
        <v>44838</v>
      </c>
      <c r="ZU336" s="636">
        <v>44839</v>
      </c>
      <c r="ZV336" s="636">
        <v>44840</v>
      </c>
      <c r="ZW336" s="636">
        <v>44841</v>
      </c>
      <c r="ZX336" s="636">
        <v>44844</v>
      </c>
      <c r="ZY336" s="636">
        <v>44845</v>
      </c>
      <c r="ZZ336" s="636">
        <v>44846</v>
      </c>
      <c r="AAA336" s="636">
        <v>44847</v>
      </c>
      <c r="AAB336" s="636">
        <v>44848</v>
      </c>
      <c r="AAC336" s="636">
        <v>44851</v>
      </c>
      <c r="AAD336" s="636">
        <v>44852</v>
      </c>
      <c r="AAE336" s="636">
        <v>44853</v>
      </c>
      <c r="AAF336" s="636">
        <v>44854</v>
      </c>
      <c r="AAG336" s="636">
        <v>44855</v>
      </c>
      <c r="AAH336" s="636">
        <v>44858</v>
      </c>
      <c r="AAI336" s="636">
        <v>44859</v>
      </c>
      <c r="AAJ336" s="636">
        <v>44860</v>
      </c>
      <c r="AAK336" s="636">
        <v>44861</v>
      </c>
      <c r="AAL336" s="636">
        <v>44862</v>
      </c>
      <c r="AAM336" s="636">
        <v>44865</v>
      </c>
      <c r="AAN336" s="636">
        <v>44866</v>
      </c>
      <c r="AAO336" s="636">
        <v>44867</v>
      </c>
      <c r="AAP336" s="636">
        <v>44868</v>
      </c>
      <c r="AAQ336" s="636">
        <v>44869</v>
      </c>
      <c r="AAR336" s="636">
        <v>44872</v>
      </c>
      <c r="AAS336" s="636">
        <v>44873</v>
      </c>
      <c r="AAT336" s="636">
        <v>44874</v>
      </c>
      <c r="AAU336" s="636">
        <v>44875</v>
      </c>
      <c r="AAV336" s="636">
        <v>44876</v>
      </c>
      <c r="AAW336" s="636">
        <v>44879</v>
      </c>
      <c r="AAX336" s="636">
        <v>44880</v>
      </c>
      <c r="AAY336" s="636">
        <v>44881</v>
      </c>
      <c r="AAZ336" s="636">
        <v>44882</v>
      </c>
      <c r="ABA336" s="636">
        <v>44883</v>
      </c>
      <c r="ABB336" s="636">
        <v>44886</v>
      </c>
      <c r="ABC336" s="636">
        <v>44887</v>
      </c>
      <c r="ABD336" s="636">
        <v>44888</v>
      </c>
      <c r="ABE336" s="636">
        <v>44890</v>
      </c>
      <c r="ABF336" s="636">
        <v>44893</v>
      </c>
      <c r="ABG336" s="636">
        <v>44894</v>
      </c>
      <c r="ABH336" s="636">
        <v>44895</v>
      </c>
      <c r="ABI336" s="636">
        <v>44896</v>
      </c>
      <c r="ABJ336" s="636">
        <v>44897</v>
      </c>
      <c r="ABK336" s="636">
        <v>44900</v>
      </c>
      <c r="ABL336" s="636">
        <v>44901</v>
      </c>
      <c r="ABM336" s="636">
        <v>44902</v>
      </c>
      <c r="ABN336" s="636">
        <v>44903</v>
      </c>
      <c r="ABO336" s="636">
        <v>44904</v>
      </c>
      <c r="ABP336" s="636">
        <v>44907</v>
      </c>
      <c r="ABQ336" s="636">
        <v>44908</v>
      </c>
      <c r="ABR336" s="636">
        <v>44909</v>
      </c>
      <c r="ABS336" s="636">
        <v>44910</v>
      </c>
      <c r="ABT336" s="636">
        <v>44911</v>
      </c>
      <c r="ABU336" s="636">
        <v>44914</v>
      </c>
      <c r="ABV336" s="636">
        <v>44915</v>
      </c>
      <c r="ABW336" s="636">
        <v>44916</v>
      </c>
      <c r="ABX336" s="636">
        <v>44917</v>
      </c>
      <c r="ABY336" s="636">
        <v>44918</v>
      </c>
      <c r="ABZ336" s="636">
        <v>44922</v>
      </c>
      <c r="ACA336" s="636">
        <v>44923</v>
      </c>
      <c r="ACB336" s="636">
        <v>44924</v>
      </c>
      <c r="ACC336" s="636">
        <v>44925</v>
      </c>
      <c r="ACD336" s="636">
        <v>44929</v>
      </c>
      <c r="ACE336" s="636">
        <v>44930</v>
      </c>
      <c r="ACF336" s="636">
        <v>44931</v>
      </c>
      <c r="ACG336" s="636">
        <v>44932</v>
      </c>
      <c r="ACH336" s="636">
        <v>44935</v>
      </c>
      <c r="ACI336" s="636">
        <v>44936</v>
      </c>
      <c r="ACJ336" s="636">
        <v>44937</v>
      </c>
      <c r="ACK336" s="636">
        <v>44938</v>
      </c>
      <c r="ACL336" s="636">
        <v>44939</v>
      </c>
      <c r="ACM336" s="636">
        <v>44943</v>
      </c>
      <c r="ACN336" s="636">
        <v>44944</v>
      </c>
      <c r="ACO336" s="636">
        <v>44945</v>
      </c>
      <c r="ACP336" s="636">
        <v>44946</v>
      </c>
      <c r="ACQ336" s="636">
        <v>44949</v>
      </c>
      <c r="ACR336" s="636">
        <v>44950</v>
      </c>
      <c r="ACS336" s="636">
        <v>44951</v>
      </c>
      <c r="ACT336" s="636">
        <v>44952</v>
      </c>
      <c r="ACU336" s="636">
        <v>44953</v>
      </c>
      <c r="ACV336" s="636">
        <v>44956</v>
      </c>
      <c r="ACW336" s="636">
        <v>44957</v>
      </c>
      <c r="ACX336" s="636">
        <v>44958</v>
      </c>
      <c r="ACY336" s="636">
        <v>44959</v>
      </c>
      <c r="ACZ336" s="636">
        <v>44960</v>
      </c>
      <c r="ADA336" s="636">
        <v>44963</v>
      </c>
      <c r="ADB336" s="636">
        <v>44964</v>
      </c>
      <c r="ADC336" s="636">
        <v>44965</v>
      </c>
      <c r="ADD336" s="636">
        <v>44966</v>
      </c>
      <c r="ADE336" s="636">
        <v>44967</v>
      </c>
      <c r="ADF336" s="636">
        <v>44970</v>
      </c>
      <c r="ADG336" s="636">
        <v>44971</v>
      </c>
      <c r="ADH336" s="636">
        <v>44972</v>
      </c>
      <c r="ADI336" s="636">
        <v>44973</v>
      </c>
      <c r="ADJ336" s="636">
        <v>44974</v>
      </c>
      <c r="ADK336" s="636">
        <v>44978</v>
      </c>
      <c r="ADL336" s="636">
        <v>44979</v>
      </c>
      <c r="ADM336" s="636">
        <v>44980</v>
      </c>
      <c r="ADN336" s="636">
        <v>44981</v>
      </c>
      <c r="ADO336" s="636">
        <v>44984</v>
      </c>
      <c r="ADP336" s="636">
        <v>44985</v>
      </c>
      <c r="ADQ336" s="636">
        <v>44986</v>
      </c>
      <c r="ADR336" s="636">
        <v>44987</v>
      </c>
      <c r="ADS336" s="636">
        <v>44988</v>
      </c>
      <c r="ADT336" s="636">
        <v>44991</v>
      </c>
      <c r="ADU336" s="636">
        <v>44992</v>
      </c>
      <c r="ADV336" s="636">
        <v>44993</v>
      </c>
      <c r="ADW336" s="636">
        <v>44994</v>
      </c>
      <c r="ADX336" s="636">
        <v>44995</v>
      </c>
      <c r="ADY336" s="636">
        <v>44998</v>
      </c>
      <c r="ADZ336" s="636">
        <v>44999</v>
      </c>
      <c r="AEA336" s="636">
        <v>45000</v>
      </c>
      <c r="AEE336" s="636">
        <v>43832</v>
      </c>
      <c r="AEF336" s="635">
        <v>-93.77</v>
      </c>
      <c r="AEG336" s="635">
        <v>3.1760000000000002</v>
      </c>
    </row>
    <row r="337" spans="1:813" ht="15.5">
      <c r="A337" s="635" t="s">
        <v>1445</v>
      </c>
      <c r="B337" s="635">
        <v>-93.77</v>
      </c>
      <c r="C337" s="635">
        <v>-96.54</v>
      </c>
      <c r="D337" s="635">
        <v>-98.4</v>
      </c>
      <c r="E337" s="635">
        <v>-102.22</v>
      </c>
      <c r="F337" s="635">
        <v>-107.25</v>
      </c>
      <c r="G337" s="635">
        <v>-104.9</v>
      </c>
      <c r="H337" s="635">
        <v>-104.2</v>
      </c>
      <c r="I337" s="635">
        <v>-114.38</v>
      </c>
      <c r="J337" s="635">
        <v>-117.23</v>
      </c>
      <c r="K337" s="635">
        <v>-113</v>
      </c>
      <c r="L337" s="635">
        <v>-111.9</v>
      </c>
      <c r="M337" s="635">
        <v>-111.25</v>
      </c>
      <c r="N337" s="635">
        <v>-119.25</v>
      </c>
      <c r="O337" s="635">
        <v>-124.12</v>
      </c>
      <c r="P337" s="635">
        <v>-124.7</v>
      </c>
      <c r="Q337" s="635">
        <v>-123.09</v>
      </c>
      <c r="R337" s="635">
        <v>-121.61</v>
      </c>
      <c r="S337" s="635">
        <v>-123.54</v>
      </c>
      <c r="T337" s="635">
        <v>-121.49</v>
      </c>
      <c r="U337" s="635">
        <v>-133.99</v>
      </c>
      <c r="V337" s="635">
        <v>-136.04</v>
      </c>
      <c r="W337" s="635">
        <v>-163.1</v>
      </c>
      <c r="X337" s="635">
        <v>-185.49</v>
      </c>
      <c r="Y337" s="635">
        <v>-153.63</v>
      </c>
      <c r="Z337" s="635">
        <v>-156.61000000000001</v>
      </c>
      <c r="AA337" s="635">
        <v>-156.41999999999999</v>
      </c>
      <c r="AB337" s="635">
        <v>-161.28</v>
      </c>
      <c r="AC337" s="635">
        <v>-161.91999999999999</v>
      </c>
      <c r="AD337" s="635">
        <v>-160.44</v>
      </c>
      <c r="AE337" s="635">
        <v>-171.35</v>
      </c>
      <c r="AF337" s="635">
        <v>-170.51</v>
      </c>
      <c r="AG337" s="635">
        <v>-182.95</v>
      </c>
      <c r="AH337" s="635">
        <v>-195.52</v>
      </c>
      <c r="AI337" s="635">
        <v>-191.69</v>
      </c>
      <c r="AJ337" s="635">
        <v>-192.02</v>
      </c>
      <c r="AK337" s="635">
        <v>-177.7</v>
      </c>
      <c r="AL337" s="635">
        <v>-170.48</v>
      </c>
      <c r="AM337" s="635">
        <v>-165.98</v>
      </c>
      <c r="AN337" s="635">
        <v>-144.71</v>
      </c>
      <c r="AO337" s="635">
        <v>-142.36000000000001</v>
      </c>
      <c r="AP337" s="635">
        <v>-158.47999999999999</v>
      </c>
      <c r="AQ337" s="635">
        <v>-158.88999999999999</v>
      </c>
      <c r="AR337" s="635">
        <v>-159.74</v>
      </c>
      <c r="AS337" s="635">
        <v>-154.41999999999999</v>
      </c>
      <c r="AT337" s="635">
        <v>-149.93</v>
      </c>
      <c r="AU337" s="635">
        <v>-129.58000000000001</v>
      </c>
      <c r="AV337" s="635">
        <v>-137.54</v>
      </c>
      <c r="AW337" s="635">
        <v>-135.16999999999999</v>
      </c>
      <c r="AX337" s="635">
        <v>-119.47</v>
      </c>
      <c r="AY337" s="635">
        <v>-116.5</v>
      </c>
      <c r="AZ337" s="635">
        <v>-94.86</v>
      </c>
      <c r="BA337" s="635">
        <v>-91.69</v>
      </c>
      <c r="BB337" s="635">
        <v>-76.98</v>
      </c>
      <c r="BC337" s="635">
        <v>-91.14</v>
      </c>
      <c r="BD337" s="635">
        <v>-91.12</v>
      </c>
      <c r="BE337" s="635">
        <v>-92.56</v>
      </c>
      <c r="BF337" s="635">
        <v>-107.63</v>
      </c>
      <c r="BG337" s="635">
        <v>-114.93</v>
      </c>
      <c r="BH337" s="635">
        <v>-112.56</v>
      </c>
      <c r="BI337" s="635">
        <v>-109.62</v>
      </c>
      <c r="BJ337" s="635">
        <v>-107.02</v>
      </c>
      <c r="BK337" s="635">
        <v>-111.68</v>
      </c>
      <c r="BL337" s="635">
        <v>-102.63</v>
      </c>
      <c r="BM337" s="635">
        <v>-96.86</v>
      </c>
      <c r="BN337" s="635">
        <v>-102.3</v>
      </c>
      <c r="BO337" s="635">
        <v>-110.02</v>
      </c>
      <c r="BP337" s="635">
        <v>-116.25</v>
      </c>
      <c r="BQ337" s="635">
        <v>-116.97</v>
      </c>
      <c r="BR337" s="635">
        <v>-122.12</v>
      </c>
      <c r="BS337" s="635">
        <v>-138.72999999999999</v>
      </c>
      <c r="BT337" s="635">
        <v>-151.29</v>
      </c>
      <c r="BU337" s="635">
        <v>-155.54</v>
      </c>
      <c r="BV337" s="635">
        <v>-158.82</v>
      </c>
      <c r="BW337" s="635">
        <v>-160.66999999999999</v>
      </c>
      <c r="BX337" s="635">
        <v>-159.07</v>
      </c>
      <c r="BY337" s="635">
        <v>-146.36000000000001</v>
      </c>
      <c r="BZ337" s="635">
        <v>-156.03</v>
      </c>
      <c r="CA337" s="635">
        <v>-150.38999999999999</v>
      </c>
      <c r="CB337" s="635">
        <v>-154.55000000000001</v>
      </c>
      <c r="CC337" s="635">
        <v>-170.23</v>
      </c>
      <c r="CD337" s="635">
        <v>-163.92</v>
      </c>
      <c r="CE337" s="637">
        <v>-1022.232</v>
      </c>
      <c r="CF337" s="637">
        <v>-1007.458</v>
      </c>
      <c r="CG337" s="635">
        <v>-903.66</v>
      </c>
      <c r="CH337" s="635">
        <v>-980.8</v>
      </c>
      <c r="CI337" s="635">
        <v>-989.84</v>
      </c>
      <c r="CJ337" s="637">
        <v>-1008.36</v>
      </c>
      <c r="CK337" s="637">
        <v>-1005.087</v>
      </c>
      <c r="CL337" s="637">
        <v>-1055.829</v>
      </c>
      <c r="CM337" s="637">
        <v>-1045.3530000000001</v>
      </c>
      <c r="CN337" s="637">
        <v>-1041.953</v>
      </c>
      <c r="CO337" s="637">
        <v>-1018.202</v>
      </c>
      <c r="CP337" s="637">
        <v>-1034.126</v>
      </c>
      <c r="CQ337" s="637">
        <v>-1028.771</v>
      </c>
      <c r="CR337" s="637">
        <v>-1047.385</v>
      </c>
      <c r="CS337" s="637">
        <v>-1040.1510000000001</v>
      </c>
      <c r="CT337" s="637">
        <v>-1049.8699999999999</v>
      </c>
      <c r="CU337" s="637">
        <v>-1065.3689999999999</v>
      </c>
      <c r="CV337" s="637">
        <v>-1051.569</v>
      </c>
      <c r="CW337" s="637">
        <v>-1054.1310000000001</v>
      </c>
      <c r="CX337" s="637">
        <v>-1055.8820000000001</v>
      </c>
      <c r="CY337" s="637">
        <v>-1037.319</v>
      </c>
      <c r="CZ337" s="637">
        <v>-1074.895</v>
      </c>
      <c r="DA337" s="637">
        <v>-1156.124</v>
      </c>
      <c r="DB337" s="637">
        <v>-1134.8320000000001</v>
      </c>
      <c r="DC337" s="637">
        <v>-1136.634</v>
      </c>
      <c r="DD337" s="637">
        <v>-1112.7159999999999</v>
      </c>
      <c r="DE337" s="637">
        <v>-1140.1099999999999</v>
      </c>
      <c r="DF337" s="637">
        <v>-1222.8309999999999</v>
      </c>
      <c r="DG337" s="637">
        <v>-1210.924</v>
      </c>
      <c r="DH337" s="637">
        <v>-1319.546</v>
      </c>
      <c r="DI337" s="637">
        <v>-1252.336</v>
      </c>
      <c r="DJ337" s="637">
        <v>-1203.9849999999999</v>
      </c>
      <c r="DK337" s="637">
        <v>-1275.585</v>
      </c>
      <c r="DL337" s="637">
        <v>-1264.2950000000001</v>
      </c>
      <c r="DM337" s="637">
        <v>-1276.731</v>
      </c>
      <c r="DN337" s="637">
        <v>-1292.3969999999999</v>
      </c>
      <c r="DO337" s="637">
        <v>-1288.4580000000001</v>
      </c>
      <c r="DP337" s="637">
        <v>-1279.9870000000001</v>
      </c>
      <c r="DQ337" s="637">
        <v>-1289.5909999999999</v>
      </c>
      <c r="DR337" s="637">
        <v>-1236.902</v>
      </c>
      <c r="DS337" s="637">
        <v>-1269.251</v>
      </c>
      <c r="DT337" s="637">
        <v>-1235.473</v>
      </c>
      <c r="DU337" s="637">
        <v>-1299.336</v>
      </c>
      <c r="DV337" s="637">
        <v>-1390.039</v>
      </c>
      <c r="DW337" s="637">
        <v>-1441.299</v>
      </c>
      <c r="DX337" s="637">
        <v>-1555.9069999999999</v>
      </c>
      <c r="DY337" s="637">
        <v>-1765.634</v>
      </c>
      <c r="DZ337" s="637">
        <v>-1789.1659999999999</v>
      </c>
      <c r="EA337" s="637">
        <v>-1758.296</v>
      </c>
      <c r="EB337" s="637">
        <v>-1794.856</v>
      </c>
      <c r="EC337" s="637">
        <v>-1988.4269999999999</v>
      </c>
      <c r="ED337" s="637">
        <v>-1927.164</v>
      </c>
      <c r="EE337" s="637">
        <v>-1952.576</v>
      </c>
      <c r="EF337" s="637">
        <v>-1990.1780000000001</v>
      </c>
      <c r="EG337" s="637">
        <v>-1931.7729999999999</v>
      </c>
      <c r="EH337" s="637">
        <v>-1932.03</v>
      </c>
      <c r="EI337" s="637">
        <v>-2115.0329999999999</v>
      </c>
      <c r="EJ337" s="637">
        <v>-2018.9490000000001</v>
      </c>
      <c r="EK337" s="635">
        <v>801.8</v>
      </c>
      <c r="EL337" s="635">
        <v>761.89</v>
      </c>
      <c r="EM337" s="635">
        <v>713.52</v>
      </c>
      <c r="EN337" s="635">
        <v>775.25</v>
      </c>
      <c r="EO337" s="635">
        <v>747.72</v>
      </c>
      <c r="EP337" s="635">
        <v>759.18</v>
      </c>
      <c r="EQ337" s="635">
        <v>753.29</v>
      </c>
      <c r="ER337" s="635">
        <v>724.56</v>
      </c>
      <c r="ES337" s="635">
        <v>752.03</v>
      </c>
      <c r="ET337" s="635">
        <v>753.04</v>
      </c>
      <c r="EU337" s="635">
        <v>752.04</v>
      </c>
      <c r="EV337" s="635">
        <v>754.35</v>
      </c>
      <c r="EW337" s="635">
        <v>735.68</v>
      </c>
      <c r="EX337" s="635">
        <v>718.39</v>
      </c>
      <c r="EY337" s="635">
        <v>696.02</v>
      </c>
      <c r="EZ337" s="635">
        <v>787.36</v>
      </c>
      <c r="FA337" s="635">
        <v>820.9</v>
      </c>
      <c r="FB337" s="635">
        <v>835.95</v>
      </c>
      <c r="FC337" s="635">
        <v>929.6</v>
      </c>
      <c r="FD337" s="635">
        <v>955.66</v>
      </c>
      <c r="FE337" s="635">
        <v>951.32</v>
      </c>
      <c r="FF337" s="637">
        <v>1013.7619999999999</v>
      </c>
      <c r="FG337" s="637">
        <v>1038.146</v>
      </c>
      <c r="FH337" s="637">
        <v>1020.027</v>
      </c>
      <c r="FI337" s="637">
        <v>1024.655</v>
      </c>
      <c r="FJ337" s="637">
        <v>1090.403</v>
      </c>
      <c r="FK337" s="637">
        <v>1133.7429999999999</v>
      </c>
      <c r="FL337" s="637">
        <v>1120.905</v>
      </c>
      <c r="FM337" s="637">
        <v>1261.79</v>
      </c>
      <c r="FN337" s="637">
        <v>1202.8689999999999</v>
      </c>
      <c r="FO337" s="637">
        <v>1132.7809999999999</v>
      </c>
      <c r="FP337" s="637">
        <v>1030.56</v>
      </c>
      <c r="FQ337" s="637">
        <v>1059.223</v>
      </c>
      <c r="FR337" s="635">
        <v>836.12</v>
      </c>
      <c r="FS337" s="635">
        <v>927.45</v>
      </c>
      <c r="FT337" s="635">
        <v>940.27</v>
      </c>
      <c r="FU337" s="635">
        <v>943.76</v>
      </c>
      <c r="FV337" s="637">
        <v>1062.5150000000001</v>
      </c>
      <c r="FW337" s="637">
        <v>1138.8320000000001</v>
      </c>
      <c r="FX337" s="637">
        <v>1118.575</v>
      </c>
      <c r="FY337" s="637">
        <v>1072.162</v>
      </c>
      <c r="FZ337" s="637">
        <v>1119.5630000000001</v>
      </c>
      <c r="GA337" s="637">
        <v>1137.895</v>
      </c>
      <c r="GB337" s="637">
        <v>1074.1880000000001</v>
      </c>
      <c r="GC337" s="635">
        <v>963.11</v>
      </c>
      <c r="GD337" s="635">
        <v>981.92</v>
      </c>
      <c r="GE337" s="637">
        <v>1031.421</v>
      </c>
      <c r="GF337" s="637">
        <v>1066.5160000000001</v>
      </c>
      <c r="GG337" s="637">
        <v>1061.1220000000001</v>
      </c>
      <c r="GH337" s="637">
        <v>1086.2909999999999</v>
      </c>
      <c r="GI337" s="637">
        <v>1134.7809999999999</v>
      </c>
      <c r="GJ337" s="637">
        <v>1051.0450000000001</v>
      </c>
      <c r="GK337" s="637">
        <v>1077.8599999999999</v>
      </c>
      <c r="GL337" s="637">
        <v>1048.2339999999999</v>
      </c>
      <c r="GM337" s="637">
        <v>1076.8969999999999</v>
      </c>
      <c r="GN337" s="637">
        <v>1078.4670000000001</v>
      </c>
      <c r="GO337" s="637">
        <v>1098.9259999999999</v>
      </c>
      <c r="GP337" s="637">
        <v>1119.943</v>
      </c>
      <c r="GQ337" s="637">
        <v>1130.9570000000001</v>
      </c>
      <c r="GR337" s="637">
        <v>1168.0530000000001</v>
      </c>
      <c r="GS337" s="637">
        <v>1136.604</v>
      </c>
      <c r="GT337" s="637">
        <v>1113.2829999999999</v>
      </c>
      <c r="GU337" s="637">
        <v>1090.9000000000001</v>
      </c>
      <c r="GV337" s="637">
        <v>1068.3889999999999</v>
      </c>
      <c r="GW337" s="635">
        <v>708.31</v>
      </c>
      <c r="GX337" s="635">
        <v>713.59</v>
      </c>
      <c r="GY337" s="635">
        <v>704.94</v>
      </c>
      <c r="GZ337" s="635">
        <v>716.52</v>
      </c>
      <c r="HA337" s="635">
        <v>724.02</v>
      </c>
      <c r="HB337" s="635">
        <v>692.21</v>
      </c>
      <c r="HC337" s="635">
        <v>700.41</v>
      </c>
      <c r="HD337" s="635">
        <v>661.55</v>
      </c>
      <c r="HE337" s="635">
        <v>682.81</v>
      </c>
      <c r="HF337" s="635">
        <v>722.69</v>
      </c>
      <c r="HG337" s="635">
        <v>717.71</v>
      </c>
      <c r="HH337" s="635">
        <v>746.88</v>
      </c>
      <c r="HI337" s="635">
        <v>733</v>
      </c>
      <c r="HJ337" s="635">
        <v>718.19</v>
      </c>
      <c r="HK337" s="635">
        <v>699.61</v>
      </c>
      <c r="HL337" s="635">
        <v>711.15</v>
      </c>
      <c r="HM337" s="635">
        <v>701.99</v>
      </c>
      <c r="HN337" s="635">
        <v>696.43</v>
      </c>
      <c r="HO337" s="635">
        <v>695.74</v>
      </c>
      <c r="HP337" s="635">
        <v>752.88</v>
      </c>
      <c r="HQ337" s="635">
        <v>829.65</v>
      </c>
      <c r="HR337" s="635">
        <v>851.18</v>
      </c>
      <c r="HS337" s="635">
        <v>834.72</v>
      </c>
      <c r="HT337" s="635">
        <v>889.68</v>
      </c>
      <c r="HU337" s="635">
        <v>946.84</v>
      </c>
      <c r="HV337" s="635">
        <v>978.59</v>
      </c>
      <c r="HW337" s="635">
        <v>998.64</v>
      </c>
      <c r="HX337" s="635">
        <v>967.68</v>
      </c>
      <c r="HY337" s="635">
        <v>996.93</v>
      </c>
      <c r="HZ337" s="635">
        <v>969.76</v>
      </c>
      <c r="IA337" s="637">
        <v>1011.628</v>
      </c>
      <c r="IB337" s="637">
        <v>1021.278</v>
      </c>
      <c r="IC337" s="637">
        <v>1094.1089999999999</v>
      </c>
      <c r="ID337" s="637">
        <v>1107.953</v>
      </c>
      <c r="IE337" s="637">
        <v>1030.5519999999999</v>
      </c>
      <c r="IF337" s="637">
        <v>1069.0650000000001</v>
      </c>
      <c r="IG337" s="637">
        <v>1039.9459999999999</v>
      </c>
      <c r="IH337" s="637">
        <v>1090.819</v>
      </c>
      <c r="II337" s="637">
        <v>1079.6010000000001</v>
      </c>
      <c r="IJ337" s="637">
        <v>1061.7339999999999</v>
      </c>
      <c r="IK337" s="637">
        <v>1118.2159999999999</v>
      </c>
      <c r="IL337" s="637">
        <v>1184.876</v>
      </c>
      <c r="IM337" s="637">
        <v>1107.9190000000001</v>
      </c>
      <c r="IN337" s="637">
        <v>1091.6880000000001</v>
      </c>
      <c r="IO337" s="637">
        <v>1101.3040000000001</v>
      </c>
      <c r="IP337" s="637">
        <v>1128.2239999999999</v>
      </c>
      <c r="IQ337" s="637">
        <v>1131.4970000000001</v>
      </c>
      <c r="IR337" s="637">
        <v>1135.4179999999999</v>
      </c>
      <c r="IS337" s="637">
        <v>1184.501</v>
      </c>
      <c r="IT337" s="637">
        <v>1203.067</v>
      </c>
      <c r="IU337" s="637">
        <v>1244.154</v>
      </c>
      <c r="IV337" s="637">
        <v>1253.258</v>
      </c>
      <c r="IW337" s="637">
        <v>1288.838</v>
      </c>
      <c r="IX337" s="637">
        <v>1391.232</v>
      </c>
      <c r="IY337" s="637">
        <v>1500.309</v>
      </c>
      <c r="IZ337" s="637">
        <v>1382.963</v>
      </c>
      <c r="JA337" s="637">
        <v>1448.174</v>
      </c>
      <c r="JB337" s="637">
        <v>1456.6469999999999</v>
      </c>
      <c r="JC337" s="637">
        <v>1440.605</v>
      </c>
      <c r="JD337" s="637">
        <v>1408.4849999999999</v>
      </c>
      <c r="JE337" s="637">
        <v>1439.837</v>
      </c>
      <c r="JF337" s="637">
        <v>1449.896</v>
      </c>
      <c r="JG337" s="637">
        <v>1440.587</v>
      </c>
      <c r="JH337" s="637">
        <v>1443.4</v>
      </c>
      <c r="JI337" s="637">
        <v>1501.6379999999999</v>
      </c>
      <c r="JJ337" s="637">
        <v>1505.5429999999999</v>
      </c>
      <c r="JK337" s="637">
        <v>1136.114</v>
      </c>
      <c r="JL337" s="637">
        <v>1098.3420000000001</v>
      </c>
      <c r="JM337" s="637">
        <v>1043.2560000000001</v>
      </c>
      <c r="JN337" s="637">
        <v>1104.1010000000001</v>
      </c>
      <c r="JO337" s="637">
        <v>1147.4590000000001</v>
      </c>
      <c r="JP337" s="637">
        <v>1123.663</v>
      </c>
      <c r="JQ337" s="637">
        <v>1117.4839999999999</v>
      </c>
      <c r="JR337" s="637">
        <v>1120.4290000000001</v>
      </c>
      <c r="JS337" s="637">
        <v>1149.4549999999999</v>
      </c>
      <c r="JT337" s="637">
        <v>1130.8699999999999</v>
      </c>
      <c r="JU337" s="637">
        <v>1071.441</v>
      </c>
      <c r="JV337" s="637">
        <v>1080.547</v>
      </c>
      <c r="JW337" s="637">
        <v>1086.4849999999999</v>
      </c>
      <c r="JX337" s="637">
        <v>1059.992</v>
      </c>
      <c r="JY337" s="637">
        <v>1062.5619999999999</v>
      </c>
      <c r="JZ337" s="637">
        <v>1048.2239999999999</v>
      </c>
      <c r="KA337" s="637">
        <v>1040.1300000000001</v>
      </c>
      <c r="KB337" s="635">
        <v>951.2</v>
      </c>
      <c r="KC337" s="635">
        <v>930.35</v>
      </c>
      <c r="KD337" s="635">
        <v>987.84</v>
      </c>
      <c r="KE337" s="635">
        <v>908.23</v>
      </c>
      <c r="KF337" s="635">
        <v>899.28</v>
      </c>
      <c r="KG337" s="635">
        <v>956.43</v>
      </c>
      <c r="KH337" s="635">
        <v>913.84</v>
      </c>
      <c r="KI337" s="635">
        <v>869.59</v>
      </c>
      <c r="KJ337" s="635">
        <v>827.31</v>
      </c>
      <c r="KK337" s="635">
        <v>796.04</v>
      </c>
      <c r="KL337" s="635">
        <v>749.51</v>
      </c>
      <c r="KM337" s="635">
        <v>896.72</v>
      </c>
      <c r="KN337" s="635">
        <v>889.38</v>
      </c>
      <c r="KO337" s="635">
        <v>931.36</v>
      </c>
      <c r="KP337" s="635">
        <v>923.55</v>
      </c>
      <c r="KQ337" s="635">
        <v>942.47</v>
      </c>
      <c r="KR337" s="635">
        <v>901.12</v>
      </c>
      <c r="KS337" s="635">
        <v>934.31</v>
      </c>
      <c r="KT337" s="635">
        <v>869.54</v>
      </c>
      <c r="KU337" s="635">
        <v>871.82</v>
      </c>
      <c r="KV337" s="635">
        <v>891.96</v>
      </c>
      <c r="KW337" s="635">
        <v>881.52</v>
      </c>
      <c r="KX337" s="635">
        <v>839.07</v>
      </c>
      <c r="KY337" s="635">
        <v>852.54</v>
      </c>
      <c r="KZ337" s="635">
        <v>823.68</v>
      </c>
      <c r="LA337" s="635">
        <v>813.8</v>
      </c>
      <c r="LB337" s="635">
        <v>846.19</v>
      </c>
      <c r="LC337" s="635">
        <v>889.2</v>
      </c>
      <c r="LD337" s="635">
        <v>880.98</v>
      </c>
      <c r="LE337" s="635">
        <v>919.98</v>
      </c>
      <c r="LF337" s="635">
        <v>920.74</v>
      </c>
      <c r="LG337" s="635">
        <v>893.25</v>
      </c>
      <c r="LH337" s="635">
        <v>910.33</v>
      </c>
      <c r="LI337" s="635">
        <v>901.3</v>
      </c>
      <c r="LJ337" s="635">
        <v>934.53</v>
      </c>
      <c r="LK337" s="637">
        <v>1014.862</v>
      </c>
      <c r="LL337" s="635">
        <v>974.8</v>
      </c>
      <c r="LM337" s="635">
        <v>983.62</v>
      </c>
      <c r="LN337" s="635">
        <v>984.86</v>
      </c>
      <c r="LO337" s="635">
        <v>951.37</v>
      </c>
      <c r="LP337" s="635">
        <v>957.18</v>
      </c>
      <c r="LQ337" s="635">
        <v>990.63</v>
      </c>
      <c r="LR337" s="635">
        <v>958.11</v>
      </c>
      <c r="LS337" s="635">
        <v>971.04</v>
      </c>
      <c r="LT337" s="635">
        <v>619.91999999999996</v>
      </c>
      <c r="LU337" s="635">
        <v>591.82000000000005</v>
      </c>
      <c r="LV337" s="635">
        <v>585.25</v>
      </c>
      <c r="LW337" s="635">
        <v>570.58000000000004</v>
      </c>
      <c r="LX337" s="635">
        <v>597.91999999999996</v>
      </c>
      <c r="LY337" s="635">
        <v>577.24</v>
      </c>
      <c r="LZ337" s="635">
        <v>567.72</v>
      </c>
      <c r="MA337" s="635">
        <v>565.47</v>
      </c>
      <c r="MB337" s="635">
        <v>559.24</v>
      </c>
      <c r="MC337" s="635">
        <v>566.67999999999995</v>
      </c>
      <c r="MD337" s="635">
        <v>530.16</v>
      </c>
      <c r="ME337" s="635">
        <v>520.17999999999995</v>
      </c>
      <c r="MF337" s="635">
        <v>497.16</v>
      </c>
      <c r="MG337" s="635">
        <v>481.83</v>
      </c>
      <c r="MH337" s="635">
        <v>497.04</v>
      </c>
      <c r="MI337" s="635">
        <v>486.16</v>
      </c>
      <c r="MJ337" s="635">
        <v>487.03</v>
      </c>
      <c r="MK337" s="635">
        <v>474.89</v>
      </c>
      <c r="ML337" s="635">
        <v>494.54</v>
      </c>
      <c r="MM337" s="635">
        <v>489.57</v>
      </c>
      <c r="MN337" s="635">
        <v>511.11</v>
      </c>
      <c r="MO337" s="635">
        <v>509.64</v>
      </c>
      <c r="MP337" s="635">
        <v>521.80999999999995</v>
      </c>
      <c r="MQ337" s="635">
        <v>531.69000000000005</v>
      </c>
      <c r="MR337" s="635">
        <v>526.94000000000005</v>
      </c>
      <c r="MS337" s="635">
        <v>525.83000000000004</v>
      </c>
      <c r="MT337" s="635">
        <v>510</v>
      </c>
      <c r="MU337" s="635">
        <v>482.8</v>
      </c>
      <c r="MV337" s="635">
        <v>504.89</v>
      </c>
      <c r="MW337" s="635">
        <v>510.01</v>
      </c>
      <c r="MX337" s="635">
        <v>508.71</v>
      </c>
      <c r="MY337" s="635">
        <v>504.66</v>
      </c>
      <c r="MZ337" s="635">
        <v>514.21</v>
      </c>
      <c r="NA337" s="635">
        <v>514.02</v>
      </c>
      <c r="NB337" s="635">
        <v>520.6</v>
      </c>
      <c r="NC337" s="635">
        <v>505.15</v>
      </c>
      <c r="ND337" s="635">
        <v>509.79</v>
      </c>
      <c r="NE337" s="635">
        <v>519.67999999999995</v>
      </c>
      <c r="NF337" s="635">
        <v>525.33000000000004</v>
      </c>
      <c r="NG337" s="635">
        <v>523.24</v>
      </c>
      <c r="NH337" s="635">
        <v>525.66999999999996</v>
      </c>
      <c r="NI337" s="635">
        <v>553.36</v>
      </c>
      <c r="NJ337" s="635">
        <v>572.96</v>
      </c>
      <c r="NK337" s="635">
        <v>566.26</v>
      </c>
      <c r="NL337" s="635">
        <v>580.46</v>
      </c>
      <c r="NM337" s="635">
        <v>573.75</v>
      </c>
      <c r="NN337" s="635">
        <v>572.86</v>
      </c>
      <c r="NO337" s="635">
        <v>571.36</v>
      </c>
      <c r="NP337" s="635">
        <v>572.17999999999995</v>
      </c>
      <c r="NQ337" s="635">
        <v>555.9</v>
      </c>
      <c r="NR337" s="635">
        <v>543.32000000000005</v>
      </c>
      <c r="NS337" s="635">
        <v>550.19000000000005</v>
      </c>
      <c r="NT337" s="635">
        <v>553.67999999999995</v>
      </c>
      <c r="NU337" s="635">
        <v>577.91</v>
      </c>
      <c r="NV337" s="635">
        <v>563.45000000000005</v>
      </c>
      <c r="NW337" s="635">
        <v>550.66999999999996</v>
      </c>
      <c r="NX337" s="635">
        <v>548.33000000000004</v>
      </c>
      <c r="NY337" s="635">
        <v>542.95000000000005</v>
      </c>
      <c r="NZ337" s="635">
        <v>544.64</v>
      </c>
      <c r="OA337" s="635">
        <v>556.67999999999995</v>
      </c>
      <c r="OB337" s="635">
        <v>552.28</v>
      </c>
      <c r="OC337" s="635">
        <v>547.20000000000005</v>
      </c>
      <c r="OD337" s="635">
        <v>542.25</v>
      </c>
      <c r="OE337" s="635">
        <v>290.47000000000003</v>
      </c>
      <c r="OF337" s="635">
        <v>292.68</v>
      </c>
      <c r="OG337" s="635">
        <v>293.68</v>
      </c>
      <c r="OH337" s="635">
        <v>307.47000000000003</v>
      </c>
      <c r="OI337" s="635">
        <v>311.94</v>
      </c>
      <c r="OJ337" s="635">
        <v>322.14</v>
      </c>
      <c r="OK337" s="635">
        <v>322.17</v>
      </c>
      <c r="OL337" s="635">
        <v>322.70999999999998</v>
      </c>
      <c r="OM337" s="635">
        <v>324.39</v>
      </c>
      <c r="ON337" s="635">
        <v>317.33999999999997</v>
      </c>
      <c r="OO337" s="635">
        <v>324</v>
      </c>
      <c r="OP337" s="635">
        <v>322.27999999999997</v>
      </c>
      <c r="OQ337" s="635">
        <v>321.3</v>
      </c>
      <c r="OR337" s="635">
        <v>327.85</v>
      </c>
      <c r="OS337" s="635">
        <v>325.54000000000002</v>
      </c>
      <c r="OT337" s="635">
        <v>311.47000000000003</v>
      </c>
      <c r="OU337" s="635">
        <v>302.18</v>
      </c>
      <c r="OV337" s="635">
        <v>312.75</v>
      </c>
      <c r="OW337" s="635">
        <v>305.70999999999998</v>
      </c>
      <c r="OX337" s="635">
        <v>308.79000000000002</v>
      </c>
      <c r="OY337" s="635">
        <v>320.61</v>
      </c>
      <c r="OZ337" s="635">
        <v>321.60000000000002</v>
      </c>
      <c r="PA337" s="635">
        <v>322.83</v>
      </c>
      <c r="PB337" s="635">
        <v>318.27999999999997</v>
      </c>
      <c r="PC337" s="635">
        <v>323.16000000000003</v>
      </c>
      <c r="PD337" s="635">
        <v>331.78</v>
      </c>
      <c r="PE337" s="635">
        <v>333.96</v>
      </c>
      <c r="PF337" s="635">
        <v>333.22</v>
      </c>
      <c r="PG337" s="635">
        <v>332.45</v>
      </c>
      <c r="PH337" s="635">
        <v>332.99</v>
      </c>
      <c r="PI337" s="635">
        <v>341.77</v>
      </c>
      <c r="PJ337" s="635">
        <v>342.2</v>
      </c>
      <c r="PK337" s="635">
        <v>342.65</v>
      </c>
      <c r="PL337" s="635">
        <v>334.21</v>
      </c>
      <c r="PM337" s="635">
        <v>337.27</v>
      </c>
      <c r="PN337" s="635">
        <v>337.94</v>
      </c>
      <c r="PO337" s="635">
        <v>343.09</v>
      </c>
      <c r="PP337" s="635">
        <v>343.62</v>
      </c>
      <c r="PQ337" s="635">
        <v>344.75</v>
      </c>
      <c r="PR337" s="635">
        <v>331.44</v>
      </c>
      <c r="PS337" s="635">
        <v>335.63</v>
      </c>
      <c r="PT337" s="635">
        <v>341.33</v>
      </c>
      <c r="PU337" s="635">
        <v>342.1</v>
      </c>
      <c r="PV337" s="635">
        <v>351.52</v>
      </c>
      <c r="PW337" s="635">
        <v>359.22</v>
      </c>
      <c r="PX337" s="635">
        <v>352.96</v>
      </c>
      <c r="PY337" s="635">
        <v>354.66</v>
      </c>
      <c r="PZ337" s="635">
        <v>352.01</v>
      </c>
      <c r="QA337" s="635">
        <v>351.89</v>
      </c>
      <c r="QB337" s="635">
        <v>354.76</v>
      </c>
      <c r="QC337" s="635">
        <v>354.33</v>
      </c>
      <c r="QD337" s="635">
        <v>355.31</v>
      </c>
      <c r="QE337" s="635">
        <v>360.24</v>
      </c>
      <c r="QF337" s="635">
        <v>356.56</v>
      </c>
      <c r="QG337" s="635">
        <v>359.48</v>
      </c>
      <c r="QH337" s="635">
        <v>365.74</v>
      </c>
      <c r="QI337" s="635">
        <v>368.17</v>
      </c>
      <c r="QJ337" s="635">
        <v>371.46</v>
      </c>
      <c r="QK337" s="635">
        <v>382.67</v>
      </c>
      <c r="QL337" s="635">
        <v>394.97</v>
      </c>
      <c r="QM337" s="635">
        <v>392.32</v>
      </c>
      <c r="QN337" s="635">
        <v>247.16</v>
      </c>
      <c r="QO337" s="635">
        <v>255.21</v>
      </c>
      <c r="QP337" s="635">
        <v>259.69</v>
      </c>
      <c r="QQ337" s="635">
        <v>296.77999999999997</v>
      </c>
      <c r="QR337" s="635">
        <v>294.92</v>
      </c>
      <c r="QS337" s="635">
        <v>300.54000000000002</v>
      </c>
      <c r="QT337" s="635">
        <v>311.89</v>
      </c>
      <c r="QU337" s="635">
        <v>322.58999999999997</v>
      </c>
      <c r="QV337" s="635">
        <v>349.98</v>
      </c>
      <c r="QW337" s="635">
        <v>339.39</v>
      </c>
      <c r="QX337" s="635">
        <v>351.51</v>
      </c>
      <c r="QY337" s="635">
        <v>356.16</v>
      </c>
      <c r="QZ337" s="635">
        <v>353.89</v>
      </c>
      <c r="RA337" s="635">
        <v>336.77</v>
      </c>
      <c r="RB337" s="635">
        <v>296.39</v>
      </c>
      <c r="RC337" s="635">
        <v>309.26</v>
      </c>
      <c r="RD337" s="635">
        <v>307.97000000000003</v>
      </c>
      <c r="RE337" s="635">
        <v>299.26</v>
      </c>
      <c r="RF337" s="635">
        <v>293.45999999999998</v>
      </c>
      <c r="RG337" s="635">
        <v>305.43</v>
      </c>
      <c r="RH337" s="635">
        <v>315.36</v>
      </c>
      <c r="RI337" s="635">
        <v>317.49</v>
      </c>
      <c r="RJ337" s="635">
        <v>329.27</v>
      </c>
      <c r="RK337" s="635">
        <v>335.01</v>
      </c>
      <c r="RL337" s="635">
        <v>321.14999999999998</v>
      </c>
      <c r="RM337" s="635">
        <v>323.17</v>
      </c>
      <c r="RN337" s="635">
        <v>313.3</v>
      </c>
      <c r="RO337" s="635">
        <v>329.25</v>
      </c>
      <c r="RP337" s="635">
        <v>331.5</v>
      </c>
      <c r="RQ337" s="635">
        <v>317.08999999999997</v>
      </c>
      <c r="RR337" s="635">
        <v>314.08</v>
      </c>
      <c r="RS337" s="635">
        <v>293.92</v>
      </c>
      <c r="RT337" s="635">
        <v>292.19</v>
      </c>
      <c r="RU337" s="635">
        <v>304.57</v>
      </c>
      <c r="RV337" s="635">
        <v>309.55</v>
      </c>
      <c r="RW337" s="635">
        <v>290.68</v>
      </c>
      <c r="RX337" s="635">
        <v>294.51</v>
      </c>
      <c r="RY337" s="635">
        <v>279.85000000000002</v>
      </c>
      <c r="RZ337" s="635">
        <v>277.57</v>
      </c>
      <c r="SA337" s="635">
        <v>282.63</v>
      </c>
      <c r="SB337" s="635">
        <v>268.42</v>
      </c>
      <c r="SC337" s="635">
        <v>270.05</v>
      </c>
      <c r="SD337" s="635">
        <v>260.61</v>
      </c>
      <c r="SE337" s="635">
        <v>271.77999999999997</v>
      </c>
      <c r="SF337" s="635">
        <v>292.14999999999998</v>
      </c>
      <c r="SG337" s="635">
        <v>308.98</v>
      </c>
      <c r="SH337" s="635">
        <v>316.77999999999997</v>
      </c>
      <c r="SI337" s="635">
        <v>315.2</v>
      </c>
      <c r="SJ337" s="635">
        <v>314.54000000000002</v>
      </c>
      <c r="SK337" s="635">
        <v>309.95</v>
      </c>
      <c r="SL337" s="635">
        <v>306.02</v>
      </c>
      <c r="SM337" s="635">
        <v>347.43</v>
      </c>
      <c r="SN337" s="635">
        <v>332.9</v>
      </c>
      <c r="SO337" s="635">
        <v>315.10000000000002</v>
      </c>
      <c r="SP337" s="635">
        <v>308.32</v>
      </c>
      <c r="SQ337" s="635">
        <v>297.39</v>
      </c>
      <c r="SR337" s="635">
        <v>306.41000000000003</v>
      </c>
      <c r="SS337" s="635">
        <v>308.23</v>
      </c>
      <c r="ST337" s="635">
        <v>320.33999999999997</v>
      </c>
      <c r="SU337" s="635">
        <v>298.72000000000003</v>
      </c>
      <c r="SV337" s="635">
        <v>303.95</v>
      </c>
      <c r="SW337" s="635">
        <v>298.42</v>
      </c>
      <c r="SX337" s="635">
        <v>288.32</v>
      </c>
      <c r="SY337" s="635">
        <v>288.5</v>
      </c>
      <c r="SZ337" s="635">
        <v>273.33999999999997</v>
      </c>
      <c r="TA337" s="635">
        <v>269.31</v>
      </c>
      <c r="TB337" s="635">
        <v>265.95</v>
      </c>
      <c r="TC337" s="635">
        <v>170.58</v>
      </c>
      <c r="TD337" s="635">
        <v>150.87</v>
      </c>
      <c r="TE337" s="635">
        <v>154.01</v>
      </c>
      <c r="TF337" s="635">
        <v>170.45</v>
      </c>
      <c r="TG337" s="635">
        <v>169.46</v>
      </c>
      <c r="TH337" s="635">
        <v>164.8</v>
      </c>
      <c r="TI337" s="635">
        <v>162.16</v>
      </c>
      <c r="TJ337" s="635">
        <v>168.01</v>
      </c>
      <c r="TK337" s="635">
        <v>169.91</v>
      </c>
      <c r="TL337" s="635">
        <v>172.66</v>
      </c>
      <c r="TM337" s="635">
        <v>174.53</v>
      </c>
      <c r="TN337" s="635">
        <v>169.39</v>
      </c>
      <c r="TO337" s="635">
        <v>161.05000000000001</v>
      </c>
      <c r="TP337" s="635">
        <v>164</v>
      </c>
      <c r="TQ337" s="635">
        <v>172.74</v>
      </c>
      <c r="TR337" s="635">
        <v>172.92</v>
      </c>
      <c r="TS337" s="635">
        <v>164.11</v>
      </c>
      <c r="TT337" s="635">
        <v>160.47999999999999</v>
      </c>
      <c r="TU337" s="635">
        <v>153.84</v>
      </c>
      <c r="TV337" s="635">
        <v>143.08000000000001</v>
      </c>
      <c r="TW337" s="635">
        <v>149.96</v>
      </c>
      <c r="TX337" s="635">
        <v>151.66</v>
      </c>
      <c r="TY337" s="635">
        <v>163</v>
      </c>
      <c r="TZ337" s="635">
        <v>161.87</v>
      </c>
      <c r="UA337" s="635">
        <v>164.77</v>
      </c>
      <c r="UB337" s="635">
        <v>157.16999999999999</v>
      </c>
      <c r="UC337" s="635">
        <v>156.97999999999999</v>
      </c>
      <c r="UD337" s="635">
        <v>150.66999999999999</v>
      </c>
      <c r="UE337" s="635">
        <v>154.38</v>
      </c>
      <c r="UF337" s="635">
        <v>160.85</v>
      </c>
      <c r="UG337" s="635">
        <v>156.97999999999999</v>
      </c>
      <c r="UH337" s="635">
        <v>148.94</v>
      </c>
      <c r="UI337" s="635">
        <v>143.51</v>
      </c>
      <c r="UJ337" s="635">
        <v>150.16999999999999</v>
      </c>
      <c r="UK337" s="635">
        <v>157.34</v>
      </c>
      <c r="UL337" s="635">
        <v>163.22</v>
      </c>
      <c r="UM337" s="635">
        <v>169.55</v>
      </c>
      <c r="UN337" s="635">
        <v>172.5</v>
      </c>
      <c r="UO337" s="635">
        <v>186.14</v>
      </c>
      <c r="UP337" s="635">
        <v>187.1</v>
      </c>
      <c r="UQ337" s="635">
        <v>189.87</v>
      </c>
      <c r="UR337" s="635">
        <v>189.26</v>
      </c>
      <c r="US337" s="635">
        <v>204.46</v>
      </c>
      <c r="UT337" s="635">
        <v>205.91</v>
      </c>
      <c r="UU337" s="635">
        <v>204.86</v>
      </c>
      <c r="UV337" s="635">
        <v>201.8</v>
      </c>
      <c r="UW337" s="635">
        <v>203.1</v>
      </c>
      <c r="UX337" s="635">
        <v>214.5</v>
      </c>
      <c r="UY337" s="635">
        <v>204.35</v>
      </c>
      <c r="UZ337" s="635">
        <v>195.83</v>
      </c>
      <c r="VA337" s="635">
        <v>197.99</v>
      </c>
      <c r="VB337" s="635">
        <v>192.04</v>
      </c>
      <c r="VC337" s="635">
        <v>182.76</v>
      </c>
      <c r="VD337" s="635">
        <v>184.82</v>
      </c>
      <c r="VE337" s="635">
        <v>191.45</v>
      </c>
      <c r="VF337" s="635">
        <v>184.46</v>
      </c>
      <c r="VG337" s="635">
        <v>188.07</v>
      </c>
      <c r="VH337" s="635">
        <v>192.54</v>
      </c>
      <c r="VI337" s="635">
        <v>120.25</v>
      </c>
      <c r="VJ337" s="635">
        <v>124.13</v>
      </c>
      <c r="VK337" s="635">
        <v>123.67</v>
      </c>
      <c r="VL337" s="635">
        <v>123.11</v>
      </c>
      <c r="VM337" s="635">
        <v>108.11</v>
      </c>
      <c r="VN337" s="635">
        <v>108.73</v>
      </c>
      <c r="VO337" s="635">
        <v>108.24</v>
      </c>
      <c r="VP337" s="635">
        <v>107.41</v>
      </c>
      <c r="VQ337" s="635">
        <v>111.38</v>
      </c>
      <c r="VR337" s="635">
        <v>112.16</v>
      </c>
      <c r="VS337" s="635">
        <v>117.51</v>
      </c>
      <c r="VT337" s="635">
        <v>107.72</v>
      </c>
      <c r="VU337" s="635">
        <v>106.78</v>
      </c>
      <c r="VV337" s="635">
        <v>97.09</v>
      </c>
      <c r="VW337" s="635">
        <v>98.68</v>
      </c>
      <c r="VX337" s="635">
        <v>90.54</v>
      </c>
      <c r="VY337" s="635">
        <v>89.8</v>
      </c>
      <c r="VZ337" s="635">
        <v>94.93</v>
      </c>
      <c r="WA337" s="635">
        <v>89.35</v>
      </c>
      <c r="WB337" s="635">
        <v>93.94</v>
      </c>
      <c r="WC337" s="635">
        <v>87.55</v>
      </c>
      <c r="WD337" s="635">
        <v>87.51</v>
      </c>
      <c r="WE337" s="635">
        <v>81.89</v>
      </c>
      <c r="WF337" s="635">
        <v>83.25</v>
      </c>
      <c r="WG337" s="635">
        <v>77.48</v>
      </c>
      <c r="WH337" s="635">
        <v>81.260000000000005</v>
      </c>
      <c r="WI337" s="635">
        <v>87.3</v>
      </c>
      <c r="WJ337" s="635">
        <v>93.7</v>
      </c>
      <c r="WK337" s="635">
        <v>93.53</v>
      </c>
      <c r="WL337" s="635">
        <v>91.32</v>
      </c>
      <c r="WM337" s="635">
        <v>95.6</v>
      </c>
      <c r="WN337" s="635">
        <v>86.78</v>
      </c>
      <c r="WO337" s="635">
        <v>88.18</v>
      </c>
      <c r="WP337" s="635">
        <v>88.4</v>
      </c>
      <c r="WQ337" s="635">
        <v>89.5</v>
      </c>
      <c r="WR337" s="635">
        <v>88.7</v>
      </c>
      <c r="WS337" s="635">
        <v>85.94</v>
      </c>
      <c r="WT337" s="635">
        <v>79.83</v>
      </c>
      <c r="WU337" s="635">
        <v>81.739999999999995</v>
      </c>
      <c r="WV337" s="635">
        <v>86.22</v>
      </c>
      <c r="WW337" s="635">
        <v>78.86</v>
      </c>
      <c r="WX337" s="635">
        <v>80.209999999999994</v>
      </c>
      <c r="WY337" s="635">
        <v>87.72</v>
      </c>
      <c r="WZ337" s="635">
        <v>87.36</v>
      </c>
      <c r="XA337" s="635">
        <v>86.99</v>
      </c>
      <c r="XB337" s="635">
        <v>90.92</v>
      </c>
      <c r="XC337" s="635">
        <v>90.63</v>
      </c>
      <c r="XD337" s="635">
        <v>86.1</v>
      </c>
      <c r="XE337" s="635">
        <v>84.55</v>
      </c>
      <c r="XF337" s="635">
        <v>83.07</v>
      </c>
      <c r="XG337" s="635">
        <v>84.1</v>
      </c>
      <c r="XH337" s="635">
        <v>86.25</v>
      </c>
      <c r="XI337" s="635">
        <v>85.75</v>
      </c>
      <c r="XJ337" s="635">
        <v>90.49</v>
      </c>
      <c r="XK337" s="635">
        <v>92.79</v>
      </c>
      <c r="XL337" s="635">
        <v>86.72</v>
      </c>
      <c r="XM337" s="635">
        <v>86.25</v>
      </c>
      <c r="XN337" s="635">
        <v>87.72</v>
      </c>
      <c r="XO337" s="635">
        <v>88.19</v>
      </c>
      <c r="XP337" s="635">
        <v>88.84</v>
      </c>
      <c r="XQ337" s="635">
        <v>89.01</v>
      </c>
      <c r="XR337" s="635">
        <v>90.86</v>
      </c>
      <c r="XS337" s="635">
        <v>80.84</v>
      </c>
      <c r="XT337" s="635">
        <v>88.74</v>
      </c>
      <c r="XU337" s="635">
        <v>88.92</v>
      </c>
      <c r="XV337" s="635">
        <v>88.39</v>
      </c>
      <c r="XW337" s="635">
        <v>85.24</v>
      </c>
      <c r="XX337" s="635">
        <v>90.49</v>
      </c>
      <c r="XY337" s="635">
        <v>92.5</v>
      </c>
      <c r="XZ337" s="635">
        <v>97.85</v>
      </c>
      <c r="YA337" s="635">
        <v>97.89</v>
      </c>
      <c r="YB337" s="635">
        <v>98.98</v>
      </c>
      <c r="YC337" s="635">
        <v>101.22</v>
      </c>
      <c r="YD337" s="635">
        <v>101.63</v>
      </c>
      <c r="YE337" s="635">
        <v>94.89</v>
      </c>
      <c r="YF337" s="635">
        <v>95.63</v>
      </c>
      <c r="YG337" s="635">
        <v>93.3</v>
      </c>
      <c r="YH337" s="635">
        <v>96.93</v>
      </c>
      <c r="YI337" s="635">
        <v>94.38</v>
      </c>
      <c r="YJ337" s="635">
        <v>98.8</v>
      </c>
      <c r="YK337" s="635">
        <v>101.85</v>
      </c>
      <c r="YL337" s="635">
        <v>100.95</v>
      </c>
      <c r="YM337" s="635">
        <v>100.1</v>
      </c>
      <c r="YN337" s="635">
        <v>99.73</v>
      </c>
      <c r="YO337" s="635">
        <v>97.69</v>
      </c>
      <c r="YP337" s="635">
        <v>95.46</v>
      </c>
      <c r="YQ337" s="635">
        <v>97.62</v>
      </c>
      <c r="YR337" s="635">
        <v>97.83</v>
      </c>
      <c r="YS337" s="635">
        <v>97.49</v>
      </c>
      <c r="YT337" s="635">
        <v>94.86</v>
      </c>
      <c r="YU337" s="635">
        <v>93.79</v>
      </c>
      <c r="YV337" s="635">
        <v>91.44</v>
      </c>
      <c r="YW337" s="635">
        <v>90.75</v>
      </c>
      <c r="YX337" s="635">
        <v>91.26</v>
      </c>
      <c r="YY337" s="635">
        <v>88.98</v>
      </c>
      <c r="YZ337" s="635">
        <v>90.36</v>
      </c>
      <c r="ZA337" s="635">
        <v>93.42</v>
      </c>
      <c r="ZB337" s="635">
        <v>95.25</v>
      </c>
      <c r="ZC337" s="635">
        <v>98.68</v>
      </c>
      <c r="ZD337" s="635">
        <v>100.24</v>
      </c>
      <c r="ZE337" s="635">
        <v>96.19</v>
      </c>
      <c r="ZF337" s="635">
        <v>99.65</v>
      </c>
      <c r="ZG337" s="635">
        <v>100.02</v>
      </c>
      <c r="ZH337" s="635">
        <v>99.89</v>
      </c>
      <c r="ZI337" s="635">
        <v>101.77</v>
      </c>
      <c r="ZJ337" s="635">
        <v>101.66</v>
      </c>
      <c r="ZK337" s="635">
        <v>99.05</v>
      </c>
      <c r="ZL337" s="635">
        <v>95.03</v>
      </c>
      <c r="ZM337" s="635">
        <v>90.66</v>
      </c>
      <c r="ZN337" s="635">
        <v>90.89</v>
      </c>
      <c r="ZO337" s="635">
        <v>93.17</v>
      </c>
      <c r="ZP337" s="635">
        <v>94.77</v>
      </c>
      <c r="ZQ337" s="635">
        <v>88.32</v>
      </c>
      <c r="ZR337" s="635">
        <v>87.34</v>
      </c>
      <c r="ZS337" s="635">
        <v>79.819999999999993</v>
      </c>
      <c r="ZT337" s="635">
        <v>82.14</v>
      </c>
      <c r="ZU337" s="635">
        <v>79.3</v>
      </c>
      <c r="ZV337" s="635">
        <v>78.41</v>
      </c>
      <c r="ZW337" s="635">
        <v>73.45</v>
      </c>
      <c r="ZX337" s="635">
        <v>73.42</v>
      </c>
      <c r="ZY337" s="635">
        <v>71.290000000000006</v>
      </c>
      <c r="ZZ337" s="635">
        <v>71.53</v>
      </c>
      <c r="AAA337" s="635">
        <v>73.010000000000005</v>
      </c>
      <c r="AAB337" s="635">
        <v>67.5</v>
      </c>
      <c r="AAC337" s="635">
        <v>72.23</v>
      </c>
      <c r="AAD337" s="635">
        <v>72.510000000000005</v>
      </c>
      <c r="AAE337" s="635">
        <v>62.18</v>
      </c>
      <c r="AAF337" s="635">
        <v>58.04</v>
      </c>
      <c r="AAG337" s="635">
        <v>60.05</v>
      </c>
      <c r="AAH337" s="635">
        <v>59.61</v>
      </c>
      <c r="AAI337" s="635">
        <v>62.76</v>
      </c>
      <c r="AAJ337" s="635">
        <v>63.39</v>
      </c>
      <c r="AAK337" s="635">
        <v>63.52</v>
      </c>
      <c r="AAL337" s="635">
        <v>64.489999999999995</v>
      </c>
      <c r="AAM337" s="635">
        <v>64.209999999999994</v>
      </c>
      <c r="AAN337" s="635">
        <v>64.290000000000006</v>
      </c>
      <c r="AAO337" s="635">
        <v>60.67</v>
      </c>
      <c r="AAP337" s="635">
        <v>60.76</v>
      </c>
      <c r="AAQ337" s="635">
        <v>58.55</v>
      </c>
      <c r="AAR337" s="635">
        <v>55.62</v>
      </c>
      <c r="AAS337" s="635">
        <v>53.98</v>
      </c>
      <c r="AAT337" s="635">
        <v>50.12</v>
      </c>
      <c r="AAU337" s="635">
        <v>53.82</v>
      </c>
      <c r="AAV337" s="635">
        <v>55.3</v>
      </c>
      <c r="AAW337" s="635">
        <v>53.89</v>
      </c>
      <c r="AAX337" s="635">
        <v>54.86</v>
      </c>
      <c r="AAY337" s="635">
        <v>52.75</v>
      </c>
      <c r="AAZ337" s="635">
        <v>51.69</v>
      </c>
      <c r="ABA337" s="635">
        <v>50.85</v>
      </c>
      <c r="ABB337" s="635">
        <v>47.37</v>
      </c>
      <c r="ABC337" s="635">
        <v>47.95</v>
      </c>
      <c r="ABD337" s="635">
        <v>51.7</v>
      </c>
      <c r="ABE337" s="635">
        <v>51.6</v>
      </c>
      <c r="ABF337" s="635">
        <v>51.62</v>
      </c>
      <c r="ABG337" s="635">
        <v>51.03</v>
      </c>
      <c r="ABH337" s="635">
        <v>54.94</v>
      </c>
      <c r="ABI337" s="635">
        <v>54.94</v>
      </c>
      <c r="ABJ337" s="635">
        <v>54.99</v>
      </c>
      <c r="ABK337" s="635">
        <v>51.49</v>
      </c>
      <c r="ABL337" s="635">
        <v>50.74</v>
      </c>
      <c r="ABM337" s="635">
        <v>49.11</v>
      </c>
      <c r="ABN337" s="635">
        <v>48.94</v>
      </c>
      <c r="ABO337" s="635">
        <v>50.53</v>
      </c>
      <c r="ABP337" s="635">
        <v>47.36</v>
      </c>
      <c r="ABQ337" s="635">
        <v>45.42</v>
      </c>
      <c r="ABR337" s="635">
        <v>44.25</v>
      </c>
      <c r="ABS337" s="635">
        <v>44.49</v>
      </c>
      <c r="ABT337" s="635">
        <v>42.39</v>
      </c>
      <c r="ABU337" s="635">
        <v>42.29</v>
      </c>
      <c r="ABV337" s="635">
        <v>38.89</v>
      </c>
      <c r="ABW337" s="635">
        <v>38.82</v>
      </c>
      <c r="ABX337" s="635">
        <v>35.369999999999997</v>
      </c>
      <c r="ABY337" s="635">
        <v>34.75</v>
      </c>
      <c r="ABZ337" s="635">
        <v>30.79</v>
      </c>
      <c r="ACA337" s="635">
        <v>31.81</v>
      </c>
      <c r="ACB337" s="635">
        <v>34.380000000000003</v>
      </c>
      <c r="ACC337" s="635">
        <v>34.76</v>
      </c>
      <c r="ACD337" s="635">
        <v>30.51</v>
      </c>
      <c r="ACE337" s="635">
        <v>32.07</v>
      </c>
      <c r="ACF337" s="635">
        <v>31.14</v>
      </c>
      <c r="ACG337" s="635">
        <v>31.91</v>
      </c>
      <c r="ACH337" s="635">
        <v>33.799999999999997</v>
      </c>
      <c r="ACI337" s="635">
        <v>33.54</v>
      </c>
      <c r="ACJ337" s="635">
        <v>34.770000000000003</v>
      </c>
      <c r="ACK337" s="635">
        <v>34.869999999999997</v>
      </c>
      <c r="ACL337" s="635">
        <v>34.54</v>
      </c>
      <c r="ACM337" s="635">
        <v>37.11</v>
      </c>
      <c r="ACN337" s="635">
        <v>36.340000000000003</v>
      </c>
      <c r="ACO337" s="635">
        <v>35.89</v>
      </c>
      <c r="ACP337" s="635">
        <v>36.82</v>
      </c>
      <c r="ACQ337" s="635">
        <v>39.67</v>
      </c>
      <c r="ACR337" s="635">
        <v>39.71</v>
      </c>
      <c r="ACS337" s="635">
        <v>39.86</v>
      </c>
      <c r="ACT337" s="635">
        <v>44.23</v>
      </c>
      <c r="ACU337" s="635">
        <v>49.1</v>
      </c>
      <c r="ACV337" s="635">
        <v>46</v>
      </c>
      <c r="ACW337" s="635">
        <v>47.81</v>
      </c>
      <c r="ACX337" s="635">
        <v>50.07</v>
      </c>
      <c r="ACY337" s="635">
        <v>51.96</v>
      </c>
      <c r="ACZ337" s="635">
        <v>52.43</v>
      </c>
      <c r="ADA337" s="635">
        <v>53.75</v>
      </c>
      <c r="ADB337" s="635">
        <v>54.32</v>
      </c>
      <c r="ADC337" s="635">
        <v>55.55</v>
      </c>
      <c r="ADD337">
        <v>57.22</v>
      </c>
      <c r="ADE337">
        <v>54.34</v>
      </c>
      <c r="ADF337">
        <v>53.72</v>
      </c>
      <c r="ADG337">
        <v>57.75</v>
      </c>
      <c r="ADH337">
        <v>59.13</v>
      </c>
      <c r="ADI337">
        <v>55.76</v>
      </c>
      <c r="ADJ337">
        <v>57.49</v>
      </c>
      <c r="ADK337">
        <v>54.47</v>
      </c>
      <c r="ADL337">
        <v>55.44</v>
      </c>
      <c r="ADM337">
        <v>55.77</v>
      </c>
      <c r="ADN337">
        <v>54.34</v>
      </c>
      <c r="ADO337">
        <v>57.3</v>
      </c>
      <c r="ADP337">
        <v>56.77</v>
      </c>
      <c r="ADQ337">
        <v>55.96</v>
      </c>
      <c r="ADR337">
        <v>52.69</v>
      </c>
      <c r="ADS337">
        <v>54.59</v>
      </c>
      <c r="ADT337">
        <v>53.49</v>
      </c>
      <c r="ADU337">
        <v>51.81</v>
      </c>
      <c r="ADV337">
        <v>50.23</v>
      </c>
      <c r="ADW337">
        <v>47.72</v>
      </c>
      <c r="ADX337">
        <v>47.87</v>
      </c>
      <c r="ADY337">
        <v>48.15</v>
      </c>
      <c r="ADZ337">
        <v>50.58</v>
      </c>
      <c r="AEA337">
        <v>48.83</v>
      </c>
      <c r="AEE337" s="636">
        <v>43833</v>
      </c>
      <c r="AEF337" s="635">
        <v>-96.54</v>
      </c>
      <c r="AEG337" s="635">
        <v>3.27</v>
      </c>
    </row>
    <row r="338" spans="1:813" ht="15.5">
      <c r="AEE338" s="636">
        <v>43836</v>
      </c>
      <c r="AEF338" s="635">
        <v>-98.4</v>
      </c>
      <c r="AEG338" s="635">
        <v>3.3330000000000002</v>
      </c>
    </row>
    <row r="339" spans="1:813" ht="15.5">
      <c r="AEE339" s="636">
        <v>43837</v>
      </c>
      <c r="AEF339" s="635">
        <v>-102.22</v>
      </c>
      <c r="AEG339" s="635">
        <v>3.4620000000000002</v>
      </c>
    </row>
    <row r="340" spans="1:813" ht="15.5">
      <c r="AEE340" s="636">
        <v>43838</v>
      </c>
      <c r="AEF340" s="635">
        <v>-107.25</v>
      </c>
      <c r="AEG340" s="635">
        <v>3.6320000000000001</v>
      </c>
    </row>
    <row r="341" spans="1:813" ht="15.5">
      <c r="AEE341" s="636">
        <v>43839</v>
      </c>
      <c r="AEF341" s="635">
        <v>-104.9</v>
      </c>
      <c r="AEG341" s="635">
        <v>3.5529999999999999</v>
      </c>
    </row>
    <row r="342" spans="1:813" ht="15.5">
      <c r="AEE342" s="636">
        <v>43840</v>
      </c>
      <c r="AEF342" s="635">
        <v>-104.2</v>
      </c>
      <c r="AEG342" s="635">
        <v>3.5289999999999999</v>
      </c>
    </row>
    <row r="343" spans="1:813" ht="15.5">
      <c r="AEE343" s="636">
        <v>43843</v>
      </c>
      <c r="AEF343" s="635">
        <v>-114.38</v>
      </c>
      <c r="AEG343" s="635">
        <v>3.8740000000000001</v>
      </c>
    </row>
    <row r="344" spans="1:813" ht="15.5">
      <c r="AEE344" s="636">
        <v>43844</v>
      </c>
      <c r="AEF344" s="635">
        <v>-117.23</v>
      </c>
      <c r="AEG344" s="635">
        <v>3.97</v>
      </c>
    </row>
    <row r="345" spans="1:813" ht="15.5">
      <c r="AEE345" s="636">
        <v>43845</v>
      </c>
      <c r="AEF345" s="635">
        <v>-113</v>
      </c>
      <c r="AEG345" s="635">
        <v>3.827</v>
      </c>
    </row>
    <row r="346" spans="1:813" ht="15.5">
      <c r="AEE346" s="636">
        <v>43846</v>
      </c>
      <c r="AEF346" s="635">
        <v>-111.9</v>
      </c>
      <c r="AEG346" s="635">
        <v>3.79</v>
      </c>
    </row>
    <row r="347" spans="1:813" ht="15.5">
      <c r="AEE347" s="636">
        <v>43847</v>
      </c>
      <c r="AEF347" s="635">
        <v>-111.25</v>
      </c>
      <c r="AEG347" s="635">
        <v>3.7679999999999998</v>
      </c>
    </row>
    <row r="348" spans="1:813" ht="15.5">
      <c r="AEE348" s="636">
        <v>43851</v>
      </c>
      <c r="AEF348" s="635">
        <v>-119.25</v>
      </c>
      <c r="AEG348" s="635">
        <v>4.0389999999999997</v>
      </c>
    </row>
    <row r="349" spans="1:813" ht="15.5">
      <c r="AEE349" s="636">
        <v>43852</v>
      </c>
      <c r="AEF349" s="635">
        <v>-124.12</v>
      </c>
      <c r="AEG349" s="635">
        <v>4.2039999999999997</v>
      </c>
    </row>
    <row r="350" spans="1:813" ht="15.5">
      <c r="AEE350" s="636">
        <v>43853</v>
      </c>
      <c r="AEF350" s="635">
        <v>-124.7</v>
      </c>
      <c r="AEG350" s="635">
        <v>4.2229999999999999</v>
      </c>
    </row>
    <row r="351" spans="1:813" ht="15.5">
      <c r="AEE351" s="636">
        <v>43854</v>
      </c>
      <c r="AEF351" s="635">
        <v>-123.09</v>
      </c>
      <c r="AEG351" s="635">
        <v>4.1689999999999996</v>
      </c>
    </row>
    <row r="352" spans="1:813" ht="15.5">
      <c r="AEE352" s="636">
        <v>43857</v>
      </c>
      <c r="AEF352" s="635">
        <v>-121.61</v>
      </c>
      <c r="AEG352" s="635">
        <v>4.1189999999999998</v>
      </c>
    </row>
    <row r="353" spans="1:813" ht="15.5">
      <c r="AEE353" s="636">
        <v>43858</v>
      </c>
      <c r="AEF353" s="635">
        <v>-123.54</v>
      </c>
      <c r="AEG353" s="635">
        <v>4.1840000000000002</v>
      </c>
    </row>
    <row r="354" spans="1:813" ht="15.5">
      <c r="AEE354" s="636">
        <v>43859</v>
      </c>
      <c r="AEF354" s="635">
        <v>-121.49</v>
      </c>
      <c r="AEG354" s="635">
        <v>4.2610000000000001</v>
      </c>
    </row>
    <row r="355" spans="1:813" ht="15.5">
      <c r="AEE355" s="636">
        <v>43860</v>
      </c>
      <c r="AEF355" s="635">
        <v>-133.99</v>
      </c>
      <c r="AEG355" s="635">
        <v>4.6989999999999998</v>
      </c>
    </row>
    <row r="356" spans="1:813" ht="15.5">
      <c r="A356" s="635" t="s">
        <v>2083</v>
      </c>
      <c r="B356" s="636">
        <v>43832</v>
      </c>
      <c r="C356" s="636">
        <v>43833</v>
      </c>
      <c r="D356" s="636">
        <v>43836</v>
      </c>
      <c r="E356" s="636">
        <v>43837</v>
      </c>
      <c r="F356" s="636">
        <v>43838</v>
      </c>
      <c r="G356" s="636">
        <v>43839</v>
      </c>
      <c r="H356" s="636">
        <v>43840</v>
      </c>
      <c r="I356" s="636">
        <v>43843</v>
      </c>
      <c r="J356" s="636">
        <v>43844</v>
      </c>
      <c r="K356" s="636">
        <v>43845</v>
      </c>
      <c r="L356" s="636">
        <v>43846</v>
      </c>
      <c r="M356" s="636">
        <v>43847</v>
      </c>
      <c r="N356" s="636">
        <v>43851</v>
      </c>
      <c r="O356" s="636">
        <v>43852</v>
      </c>
      <c r="P356" s="636">
        <v>43853</v>
      </c>
      <c r="Q356" s="636">
        <v>43854</v>
      </c>
      <c r="R356" s="636">
        <v>43857</v>
      </c>
      <c r="S356" s="636">
        <v>43858</v>
      </c>
      <c r="T356" s="636">
        <v>43859</v>
      </c>
      <c r="U356" s="636">
        <v>43860</v>
      </c>
      <c r="V356" s="636">
        <v>43861</v>
      </c>
      <c r="W356" s="636">
        <v>43864</v>
      </c>
      <c r="X356" s="636">
        <v>43865</v>
      </c>
      <c r="Y356" s="636">
        <v>43866</v>
      </c>
      <c r="Z356" s="636">
        <v>43867</v>
      </c>
      <c r="AA356" s="636">
        <v>43868</v>
      </c>
      <c r="AB356" s="636">
        <v>43871</v>
      </c>
      <c r="AC356" s="636">
        <v>43872</v>
      </c>
      <c r="AD356" s="636">
        <v>43873</v>
      </c>
      <c r="AE356" s="636">
        <v>43874</v>
      </c>
      <c r="AF356" s="636">
        <v>43875</v>
      </c>
      <c r="AG356" s="636">
        <v>43879</v>
      </c>
      <c r="AH356" s="636">
        <v>43880</v>
      </c>
      <c r="AI356" s="636">
        <v>43881</v>
      </c>
      <c r="AJ356" s="636">
        <v>43882</v>
      </c>
      <c r="AK356" s="636">
        <v>43885</v>
      </c>
      <c r="AL356" s="636">
        <v>43886</v>
      </c>
      <c r="AM356" s="636">
        <v>43887</v>
      </c>
      <c r="AN356" s="636">
        <v>43888</v>
      </c>
      <c r="AO356" s="636">
        <v>43889</v>
      </c>
      <c r="AP356" s="636">
        <v>43892</v>
      </c>
      <c r="AQ356" s="636">
        <v>43893</v>
      </c>
      <c r="AR356" s="636">
        <v>43894</v>
      </c>
      <c r="AS356" s="636">
        <v>43895</v>
      </c>
      <c r="AT356" s="636">
        <v>43896</v>
      </c>
      <c r="AU356" s="636">
        <v>43899</v>
      </c>
      <c r="AV356" s="636">
        <v>43900</v>
      </c>
      <c r="AW356" s="636">
        <v>43901</v>
      </c>
      <c r="AX356" s="636">
        <v>43902</v>
      </c>
      <c r="AY356" s="636">
        <v>43903</v>
      </c>
      <c r="AZ356" s="636">
        <v>43906</v>
      </c>
      <c r="BA356" s="636">
        <v>43907</v>
      </c>
      <c r="BB356" s="636">
        <v>43908</v>
      </c>
      <c r="BC356" s="636">
        <v>43909</v>
      </c>
      <c r="BD356" s="636">
        <v>43910</v>
      </c>
      <c r="BE356" s="636">
        <v>43913</v>
      </c>
      <c r="BF356" s="636">
        <v>43914</v>
      </c>
      <c r="BG356" s="636">
        <v>43915</v>
      </c>
      <c r="BH356" s="636">
        <v>43916</v>
      </c>
      <c r="BI356" s="636">
        <v>43917</v>
      </c>
      <c r="BJ356" s="636">
        <v>43920</v>
      </c>
      <c r="BK356" s="636">
        <v>43921</v>
      </c>
      <c r="BL356" s="636">
        <v>43922</v>
      </c>
      <c r="BM356" s="636">
        <v>43923</v>
      </c>
      <c r="BN356" s="636">
        <v>43924</v>
      </c>
      <c r="BO356" s="636">
        <v>43927</v>
      </c>
      <c r="BP356" s="636">
        <v>43928</v>
      </c>
      <c r="BQ356" s="636">
        <v>43929</v>
      </c>
      <c r="BR356" s="636">
        <v>43930</v>
      </c>
      <c r="BS356" s="636">
        <v>43934</v>
      </c>
      <c r="BT356" s="636">
        <v>43935</v>
      </c>
      <c r="BU356" s="636">
        <v>43936</v>
      </c>
      <c r="BV356" s="636">
        <v>43937</v>
      </c>
      <c r="BW356" s="636">
        <v>43938</v>
      </c>
      <c r="BX356" s="636">
        <v>43941</v>
      </c>
      <c r="BY356" s="636">
        <v>43942</v>
      </c>
      <c r="BZ356" s="636">
        <v>43943</v>
      </c>
      <c r="CA356" s="636">
        <v>43944</v>
      </c>
      <c r="CB356" s="636">
        <v>43945</v>
      </c>
      <c r="CC356" s="636">
        <v>43948</v>
      </c>
      <c r="CD356" s="636">
        <v>43949</v>
      </c>
      <c r="CE356" s="636">
        <v>43950</v>
      </c>
      <c r="CF356" s="636">
        <v>43951</v>
      </c>
      <c r="CG356" s="636">
        <v>43952</v>
      </c>
      <c r="CH356" s="636">
        <v>43955</v>
      </c>
      <c r="CI356" s="636">
        <v>43956</v>
      </c>
      <c r="CJ356" s="636">
        <v>43957</v>
      </c>
      <c r="CK356" s="636">
        <v>43958</v>
      </c>
      <c r="CL356" s="636">
        <v>43959</v>
      </c>
      <c r="CM356" s="636">
        <v>43962</v>
      </c>
      <c r="CN356" s="636">
        <v>43963</v>
      </c>
      <c r="CO356" s="636">
        <v>43964</v>
      </c>
      <c r="CP356" s="636">
        <v>43965</v>
      </c>
      <c r="CQ356" s="636">
        <v>43966</v>
      </c>
      <c r="CR356" s="636">
        <v>43969</v>
      </c>
      <c r="CS356" s="636">
        <v>43970</v>
      </c>
      <c r="CT356" s="636">
        <v>43971</v>
      </c>
      <c r="CU356" s="636">
        <v>43972</v>
      </c>
      <c r="CV356" s="636">
        <v>43973</v>
      </c>
      <c r="CW356" s="636">
        <v>43977</v>
      </c>
      <c r="CX356" s="636">
        <v>43978</v>
      </c>
      <c r="CY356" s="636">
        <v>43979</v>
      </c>
      <c r="CZ356" s="636">
        <v>43980</v>
      </c>
      <c r="DA356" s="636">
        <v>43983</v>
      </c>
      <c r="DB356" s="636">
        <v>43984</v>
      </c>
      <c r="DC356" s="636">
        <v>43985</v>
      </c>
      <c r="DD356" s="636">
        <v>43986</v>
      </c>
      <c r="DE356" s="636">
        <v>43987</v>
      </c>
      <c r="DF356" s="636">
        <v>43990</v>
      </c>
      <c r="DG356" s="636">
        <v>43991</v>
      </c>
      <c r="DH356" s="636">
        <v>43992</v>
      </c>
      <c r="DI356" s="636">
        <v>43993</v>
      </c>
      <c r="DJ356" s="636">
        <v>43994</v>
      </c>
      <c r="DK356" s="636">
        <v>43997</v>
      </c>
      <c r="DL356" s="636">
        <v>43998</v>
      </c>
      <c r="DM356" s="636">
        <v>43999</v>
      </c>
      <c r="DN356" s="636">
        <v>44000</v>
      </c>
      <c r="DO356" s="636">
        <v>44001</v>
      </c>
      <c r="DP356" s="636">
        <v>44004</v>
      </c>
      <c r="DQ356" s="636">
        <v>44005</v>
      </c>
      <c r="DR356" s="636">
        <v>44006</v>
      </c>
      <c r="DS356" s="636">
        <v>44007</v>
      </c>
      <c r="DT356" s="636">
        <v>44008</v>
      </c>
      <c r="DU356" s="636">
        <v>44011</v>
      </c>
      <c r="DV356" s="636">
        <v>44012</v>
      </c>
      <c r="DW356" s="636">
        <v>44013</v>
      </c>
      <c r="DX356" s="636">
        <v>44014</v>
      </c>
      <c r="DY356" s="636">
        <v>44018</v>
      </c>
      <c r="DZ356" s="636">
        <v>44019</v>
      </c>
      <c r="EA356" s="636">
        <v>44020</v>
      </c>
      <c r="EB356" s="636">
        <v>44021</v>
      </c>
      <c r="EC356" s="636">
        <v>44022</v>
      </c>
      <c r="ED356" s="636">
        <v>44025</v>
      </c>
      <c r="EE356" s="636">
        <v>44026</v>
      </c>
      <c r="EF356" s="636">
        <v>44027</v>
      </c>
      <c r="EG356" s="636">
        <v>44028</v>
      </c>
      <c r="EH356" s="636">
        <v>44029</v>
      </c>
      <c r="EI356" s="636">
        <v>44032</v>
      </c>
      <c r="EJ356" s="636">
        <v>44033</v>
      </c>
      <c r="EK356" s="636">
        <v>44034</v>
      </c>
      <c r="EL356" s="636">
        <v>44035</v>
      </c>
      <c r="EM356" s="636">
        <v>44036</v>
      </c>
      <c r="EN356" s="636">
        <v>44039</v>
      </c>
      <c r="EO356" s="636">
        <v>44040</v>
      </c>
      <c r="EP356" s="636">
        <v>44041</v>
      </c>
      <c r="EQ356" s="636">
        <v>44042</v>
      </c>
      <c r="ER356" s="636">
        <v>44043</v>
      </c>
      <c r="ES356" s="636">
        <v>44046</v>
      </c>
      <c r="ET356" s="636">
        <v>44047</v>
      </c>
      <c r="EU356" s="636">
        <v>44048</v>
      </c>
      <c r="EV356" s="636">
        <v>44049</v>
      </c>
      <c r="EW356" s="636">
        <v>44050</v>
      </c>
      <c r="EX356" s="636">
        <v>44053</v>
      </c>
      <c r="EY356" s="636">
        <v>44054</v>
      </c>
      <c r="EZ356" s="636">
        <v>44055</v>
      </c>
      <c r="FA356" s="636">
        <v>44056</v>
      </c>
      <c r="FB356" s="636">
        <v>44057</v>
      </c>
      <c r="FC356" s="636">
        <v>44060</v>
      </c>
      <c r="FD356" s="636">
        <v>44061</v>
      </c>
      <c r="FE356" s="636">
        <v>44062</v>
      </c>
      <c r="FF356" s="636">
        <v>44063</v>
      </c>
      <c r="FG356" s="636">
        <v>44064</v>
      </c>
      <c r="FH356" s="636">
        <v>44067</v>
      </c>
      <c r="FI356" s="636">
        <v>44068</v>
      </c>
      <c r="FJ356" s="636">
        <v>44069</v>
      </c>
      <c r="FK356" s="636">
        <v>44070</v>
      </c>
      <c r="FL356" s="636">
        <v>44071</v>
      </c>
      <c r="FM356" s="636">
        <v>44074</v>
      </c>
      <c r="FN356" s="636">
        <v>44075</v>
      </c>
      <c r="FO356" s="636">
        <v>44076</v>
      </c>
      <c r="FP356" s="636">
        <v>44077</v>
      </c>
      <c r="FQ356" s="636">
        <v>44078</v>
      </c>
      <c r="FR356" s="636">
        <v>44082</v>
      </c>
      <c r="FS356" s="636">
        <v>44083</v>
      </c>
      <c r="FT356" s="636">
        <v>44084</v>
      </c>
      <c r="FU356" s="636">
        <v>44085</v>
      </c>
      <c r="FV356" s="636">
        <v>44088</v>
      </c>
      <c r="FW356" s="636">
        <v>44089</v>
      </c>
      <c r="FX356" s="636">
        <v>44090</v>
      </c>
      <c r="FY356" s="636">
        <v>44091</v>
      </c>
      <c r="FZ356" s="636">
        <v>44092</v>
      </c>
      <c r="GA356" s="636">
        <v>44095</v>
      </c>
      <c r="GB356" s="636">
        <v>44096</v>
      </c>
      <c r="GC356" s="636">
        <v>44097</v>
      </c>
      <c r="GD356" s="636">
        <v>44098</v>
      </c>
      <c r="GE356" s="636">
        <v>44099</v>
      </c>
      <c r="GF356" s="636">
        <v>44102</v>
      </c>
      <c r="GG356" s="636">
        <v>44103</v>
      </c>
      <c r="GH356" s="636">
        <v>44104</v>
      </c>
      <c r="GI356" s="636">
        <v>44105</v>
      </c>
      <c r="GJ356" s="636">
        <v>44106</v>
      </c>
      <c r="GK356" s="636">
        <v>44109</v>
      </c>
      <c r="GL356" s="636">
        <v>44110</v>
      </c>
      <c r="GM356" s="636">
        <v>44111</v>
      </c>
      <c r="GN356" s="636">
        <v>44112</v>
      </c>
      <c r="GO356" s="636">
        <v>44113</v>
      </c>
      <c r="GP356" s="636">
        <v>44116</v>
      </c>
      <c r="GQ356" s="636">
        <v>44117</v>
      </c>
      <c r="GR356" s="636">
        <v>44118</v>
      </c>
      <c r="GS356" s="636">
        <v>44119</v>
      </c>
      <c r="GT356" s="636">
        <v>44120</v>
      </c>
      <c r="GU356" s="636">
        <v>44123</v>
      </c>
      <c r="GV356" s="636">
        <v>44124</v>
      </c>
      <c r="GW356" s="636">
        <v>44125</v>
      </c>
      <c r="GX356" s="636">
        <v>44126</v>
      </c>
      <c r="GY356" s="636">
        <v>44127</v>
      </c>
      <c r="GZ356" s="636">
        <v>44130</v>
      </c>
      <c r="HA356" s="636">
        <v>44131</v>
      </c>
      <c r="HB356" s="636">
        <v>44132</v>
      </c>
      <c r="HC356" s="636">
        <v>44133</v>
      </c>
      <c r="HD356" s="636">
        <v>44134</v>
      </c>
      <c r="HE356" s="636">
        <v>44137</v>
      </c>
      <c r="HF356" s="636">
        <v>44138</v>
      </c>
      <c r="HG356" s="636">
        <v>44139</v>
      </c>
      <c r="HH356" s="636">
        <v>44140</v>
      </c>
      <c r="HI356" s="636">
        <v>44141</v>
      </c>
      <c r="HJ356" s="636">
        <v>44144</v>
      </c>
      <c r="HK356" s="636">
        <v>44145</v>
      </c>
      <c r="HL356" s="636">
        <v>44146</v>
      </c>
      <c r="HM356" s="636">
        <v>44147</v>
      </c>
      <c r="HN356" s="636">
        <v>44148</v>
      </c>
      <c r="HO356" s="636">
        <v>44151</v>
      </c>
      <c r="HP356" s="636">
        <v>44152</v>
      </c>
      <c r="HQ356" s="636">
        <v>44153</v>
      </c>
      <c r="HR356" s="636">
        <v>44154</v>
      </c>
      <c r="HS356" s="636">
        <v>44155</v>
      </c>
      <c r="HT356" s="636">
        <v>44158</v>
      </c>
      <c r="HU356" s="636">
        <v>44159</v>
      </c>
      <c r="HV356" s="636">
        <v>44160</v>
      </c>
      <c r="HW356" s="636">
        <v>44162</v>
      </c>
      <c r="HX356" s="636">
        <v>44165</v>
      </c>
      <c r="HY356" s="636">
        <v>44166</v>
      </c>
      <c r="HZ356" s="636">
        <v>44167</v>
      </c>
      <c r="IA356" s="636">
        <v>44168</v>
      </c>
      <c r="IB356" s="636">
        <v>44169</v>
      </c>
      <c r="IC356" s="636">
        <v>44172</v>
      </c>
      <c r="ID356" s="636">
        <v>44173</v>
      </c>
      <c r="IE356" s="636">
        <v>44174</v>
      </c>
      <c r="IF356" s="636">
        <v>44175</v>
      </c>
      <c r="IG356" s="636">
        <v>44176</v>
      </c>
      <c r="IH356" s="636">
        <v>44179</v>
      </c>
      <c r="II356" s="636">
        <v>44180</v>
      </c>
      <c r="IJ356" s="636">
        <v>44181</v>
      </c>
      <c r="IK356" s="636">
        <v>44182</v>
      </c>
      <c r="IL356" s="636">
        <v>44183</v>
      </c>
      <c r="IM356" s="636">
        <v>44186</v>
      </c>
      <c r="IN356" s="636">
        <v>44187</v>
      </c>
      <c r="IO356" s="636">
        <v>44188</v>
      </c>
      <c r="IP356" s="636">
        <v>44189</v>
      </c>
      <c r="IQ356" s="636">
        <v>44193</v>
      </c>
      <c r="IR356" s="636">
        <v>44194</v>
      </c>
      <c r="IS356" s="636">
        <v>44195</v>
      </c>
      <c r="IT356" s="636">
        <v>44196</v>
      </c>
      <c r="IU356" s="636">
        <v>44200</v>
      </c>
      <c r="IV356" s="636">
        <v>44201</v>
      </c>
      <c r="IW356" s="636">
        <v>44202</v>
      </c>
      <c r="IX356" s="636">
        <v>44203</v>
      </c>
      <c r="IY356" s="636">
        <v>44204</v>
      </c>
      <c r="IZ356" s="636">
        <v>44207</v>
      </c>
      <c r="JA356" s="636">
        <v>44208</v>
      </c>
      <c r="JB356" s="636">
        <v>44209</v>
      </c>
      <c r="JC356" s="636">
        <v>44210</v>
      </c>
      <c r="JD356" s="636">
        <v>44211</v>
      </c>
      <c r="JE356" s="636">
        <v>44215</v>
      </c>
      <c r="JF356" s="636">
        <v>44216</v>
      </c>
      <c r="JG356" s="636">
        <v>44217</v>
      </c>
      <c r="JH356" s="636">
        <v>44218</v>
      </c>
      <c r="JI356" s="636">
        <v>44221</v>
      </c>
      <c r="JJ356" s="636">
        <v>44222</v>
      </c>
      <c r="JK356" s="636">
        <v>44223</v>
      </c>
      <c r="JL356" s="636">
        <v>44224</v>
      </c>
      <c r="JM356" s="636">
        <v>44225</v>
      </c>
      <c r="JN356" s="636">
        <v>44228</v>
      </c>
      <c r="JO356" s="636">
        <v>44229</v>
      </c>
      <c r="JP356" s="636">
        <v>44230</v>
      </c>
      <c r="JQ356" s="636">
        <v>44231</v>
      </c>
      <c r="JR356" s="636">
        <v>44232</v>
      </c>
      <c r="JS356" s="636">
        <v>44235</v>
      </c>
      <c r="JT356" s="636">
        <v>44236</v>
      </c>
      <c r="JU356" s="636">
        <v>44237</v>
      </c>
      <c r="JV356" s="636">
        <v>44238</v>
      </c>
      <c r="JW356" s="636">
        <v>44239</v>
      </c>
      <c r="JX356" s="636">
        <v>44243</v>
      </c>
      <c r="JY356" s="636">
        <v>44244</v>
      </c>
      <c r="JZ356" s="636">
        <v>44245</v>
      </c>
      <c r="KA356" s="636">
        <v>44246</v>
      </c>
      <c r="KB356" s="636">
        <v>44249</v>
      </c>
      <c r="KC356" s="636">
        <v>44250</v>
      </c>
      <c r="KD356" s="636">
        <v>44251</v>
      </c>
      <c r="KE356" s="636">
        <v>44252</v>
      </c>
      <c r="KF356" s="636">
        <v>44253</v>
      </c>
      <c r="KG356" s="636">
        <v>44256</v>
      </c>
      <c r="KH356" s="636">
        <v>44257</v>
      </c>
      <c r="KI356" s="636">
        <v>44258</v>
      </c>
      <c r="KJ356" s="636">
        <v>44259</v>
      </c>
      <c r="KK356" s="636">
        <v>44260</v>
      </c>
      <c r="KL356" s="636">
        <v>44263</v>
      </c>
      <c r="KM356" s="636">
        <v>44264</v>
      </c>
      <c r="KN356" s="636">
        <v>44265</v>
      </c>
      <c r="KO356" s="636">
        <v>44266</v>
      </c>
      <c r="KP356" s="636">
        <v>44267</v>
      </c>
      <c r="KQ356" s="636">
        <v>44270</v>
      </c>
      <c r="KR356" s="636">
        <v>44271</v>
      </c>
      <c r="KS356" s="636">
        <v>44272</v>
      </c>
      <c r="KT356" s="636">
        <v>44273</v>
      </c>
      <c r="KU356" s="636">
        <v>44274</v>
      </c>
      <c r="KV356" s="636">
        <v>44277</v>
      </c>
      <c r="KW356" s="636">
        <v>44278</v>
      </c>
      <c r="KX356" s="636">
        <v>44279</v>
      </c>
      <c r="KY356" s="636">
        <v>44280</v>
      </c>
      <c r="KZ356" s="636">
        <v>44281</v>
      </c>
      <c r="LA356" s="636">
        <v>44284</v>
      </c>
      <c r="LB356" s="636">
        <v>44285</v>
      </c>
      <c r="LC356" s="636">
        <v>44286</v>
      </c>
      <c r="LD356" s="636">
        <v>44287</v>
      </c>
      <c r="LE356" s="636">
        <v>44291</v>
      </c>
      <c r="LF356" s="636">
        <v>44292</v>
      </c>
      <c r="LG356" s="636">
        <v>44293</v>
      </c>
      <c r="LH356" s="636">
        <v>44294</v>
      </c>
      <c r="LI356" s="636">
        <v>44295</v>
      </c>
      <c r="LJ356" s="636">
        <v>44298</v>
      </c>
      <c r="LK356" s="636">
        <v>44299</v>
      </c>
      <c r="LL356" s="636">
        <v>44300</v>
      </c>
      <c r="LM356" s="636">
        <v>44301</v>
      </c>
      <c r="LN356" s="636">
        <v>44302</v>
      </c>
      <c r="LO356" s="636">
        <v>44305</v>
      </c>
      <c r="LP356" s="636">
        <v>44306</v>
      </c>
      <c r="LQ356" s="636">
        <v>44307</v>
      </c>
      <c r="LR356" s="636">
        <v>44308</v>
      </c>
      <c r="LS356" s="636">
        <v>44309</v>
      </c>
      <c r="LT356" s="636">
        <v>44312</v>
      </c>
      <c r="LU356" s="636">
        <v>44313</v>
      </c>
      <c r="LV356" s="636">
        <v>44314</v>
      </c>
      <c r="LW356" s="636">
        <v>44315</v>
      </c>
      <c r="LX356" s="636">
        <v>44316</v>
      </c>
      <c r="LY356" s="636">
        <v>44319</v>
      </c>
      <c r="LZ356" s="636">
        <v>44320</v>
      </c>
      <c r="MA356" s="636">
        <v>44321</v>
      </c>
      <c r="MB356" s="636">
        <v>44322</v>
      </c>
      <c r="MC356" s="636">
        <v>44323</v>
      </c>
      <c r="MD356" s="636">
        <v>44326</v>
      </c>
      <c r="ME356" s="636">
        <v>44327</v>
      </c>
      <c r="MF356" s="636">
        <v>44328</v>
      </c>
      <c r="MG356" s="636">
        <v>44329</v>
      </c>
      <c r="MH356" s="636">
        <v>44330</v>
      </c>
      <c r="MI356" s="636">
        <v>44333</v>
      </c>
      <c r="MJ356" s="636">
        <v>44334</v>
      </c>
      <c r="MK356" s="636">
        <v>44335</v>
      </c>
      <c r="ML356" s="636">
        <v>44336</v>
      </c>
      <c r="MM356" s="636">
        <v>44337</v>
      </c>
      <c r="MN356" s="636">
        <v>44340</v>
      </c>
      <c r="MO356" s="636">
        <v>44341</v>
      </c>
      <c r="MP356" s="636">
        <v>44342</v>
      </c>
      <c r="MQ356" s="636">
        <v>44343</v>
      </c>
      <c r="MR356" s="636">
        <v>44344</v>
      </c>
      <c r="MS356" s="636">
        <v>44348</v>
      </c>
      <c r="MT356" s="636">
        <v>44349</v>
      </c>
      <c r="MU356" s="636">
        <v>44350</v>
      </c>
      <c r="MV356" s="636">
        <v>44351</v>
      </c>
      <c r="MW356" s="636">
        <v>44354</v>
      </c>
      <c r="MX356" s="636">
        <v>44355</v>
      </c>
      <c r="MY356" s="636">
        <v>44356</v>
      </c>
      <c r="MZ356" s="636">
        <v>44357</v>
      </c>
      <c r="NA356" s="636">
        <v>44358</v>
      </c>
      <c r="NB356" s="636">
        <v>44361</v>
      </c>
      <c r="NC356" s="636">
        <v>44362</v>
      </c>
      <c r="ND356" s="636">
        <v>44363</v>
      </c>
      <c r="NE356" s="636">
        <v>44364</v>
      </c>
      <c r="NF356" s="636">
        <v>44365</v>
      </c>
      <c r="NG356" s="636">
        <v>44368</v>
      </c>
      <c r="NH356" s="636">
        <v>44369</v>
      </c>
      <c r="NI356" s="636">
        <v>44370</v>
      </c>
      <c r="NJ356" s="636">
        <v>44371</v>
      </c>
      <c r="NK356" s="636">
        <v>44372</v>
      </c>
      <c r="NL356" s="636">
        <v>44375</v>
      </c>
      <c r="NM356" s="636">
        <v>44376</v>
      </c>
      <c r="NN356" s="636">
        <v>44377</v>
      </c>
      <c r="NO356" s="636">
        <v>44378</v>
      </c>
      <c r="NP356" s="636">
        <v>44379</v>
      </c>
      <c r="NQ356" s="636">
        <v>44383</v>
      </c>
      <c r="NR356" s="636">
        <v>44384</v>
      </c>
      <c r="NS356" s="636">
        <v>44385</v>
      </c>
      <c r="NT356" s="636">
        <v>44386</v>
      </c>
      <c r="NU356" s="636">
        <v>44389</v>
      </c>
      <c r="NV356" s="636">
        <v>44390</v>
      </c>
      <c r="NW356" s="636">
        <v>44391</v>
      </c>
      <c r="NX356" s="636">
        <v>44392</v>
      </c>
      <c r="NY356" s="636">
        <v>44393</v>
      </c>
      <c r="NZ356" s="636">
        <v>44396</v>
      </c>
      <c r="OA356" s="636">
        <v>44397</v>
      </c>
      <c r="OB356" s="636">
        <v>44398</v>
      </c>
      <c r="OC356" s="636">
        <v>44399</v>
      </c>
      <c r="OD356" s="636">
        <v>44400</v>
      </c>
      <c r="OE356" s="636">
        <v>44403</v>
      </c>
      <c r="OF356" s="636">
        <v>44404</v>
      </c>
      <c r="OG356" s="636">
        <v>44405</v>
      </c>
      <c r="OH356" s="636">
        <v>44406</v>
      </c>
      <c r="OI356" s="636">
        <v>44407</v>
      </c>
      <c r="OJ356" s="636">
        <v>44410</v>
      </c>
      <c r="OK356" s="636">
        <v>44411</v>
      </c>
      <c r="OL356" s="636">
        <v>44412</v>
      </c>
      <c r="OM356" s="636">
        <v>44413</v>
      </c>
      <c r="ON356" s="636">
        <v>44414</v>
      </c>
      <c r="OO356" s="636">
        <v>44417</v>
      </c>
      <c r="OP356" s="636">
        <v>44418</v>
      </c>
      <c r="OQ356" s="636">
        <v>44419</v>
      </c>
      <c r="OR356" s="636">
        <v>44420</v>
      </c>
      <c r="OS356" s="636">
        <v>44421</v>
      </c>
      <c r="OT356" s="636">
        <v>44424</v>
      </c>
      <c r="OU356" s="636">
        <v>44425</v>
      </c>
      <c r="OV356" s="636">
        <v>44426</v>
      </c>
      <c r="OW356" s="636">
        <v>44427</v>
      </c>
      <c r="OX356" s="636">
        <v>44428</v>
      </c>
      <c r="OY356" s="636">
        <v>44431</v>
      </c>
      <c r="OZ356" s="636">
        <v>44432</v>
      </c>
      <c r="PA356" s="636">
        <v>44433</v>
      </c>
      <c r="PB356" s="636">
        <v>44434</v>
      </c>
      <c r="PC356" s="636">
        <v>44435</v>
      </c>
      <c r="PD356" s="636">
        <v>44438</v>
      </c>
      <c r="PE356" s="636">
        <v>44439</v>
      </c>
      <c r="PF356" s="636">
        <v>44440</v>
      </c>
      <c r="PG356" s="636">
        <v>44441</v>
      </c>
      <c r="PH356" s="636">
        <v>44442</v>
      </c>
      <c r="PI356" s="636">
        <v>44446</v>
      </c>
      <c r="PJ356" s="636">
        <v>44447</v>
      </c>
      <c r="PK356" s="636">
        <v>44448</v>
      </c>
      <c r="PL356" s="636">
        <v>44449</v>
      </c>
      <c r="PM356" s="636">
        <v>44452</v>
      </c>
      <c r="PN356" s="636">
        <v>44453</v>
      </c>
      <c r="PO356" s="636">
        <v>44454</v>
      </c>
      <c r="PP356" s="636">
        <v>44455</v>
      </c>
      <c r="PQ356" s="636">
        <v>44456</v>
      </c>
      <c r="PR356" s="636">
        <v>44459</v>
      </c>
      <c r="PS356" s="636">
        <v>44460</v>
      </c>
      <c r="PT356" s="636">
        <v>44461</v>
      </c>
      <c r="PU356" s="636">
        <v>44462</v>
      </c>
      <c r="PV356" s="636">
        <v>44463</v>
      </c>
      <c r="PW356" s="636">
        <v>44466</v>
      </c>
      <c r="PX356" s="636">
        <v>44467</v>
      </c>
      <c r="PY356" s="636">
        <v>44468</v>
      </c>
      <c r="PZ356" s="636">
        <v>44469</v>
      </c>
      <c r="QA356" s="636">
        <v>44470</v>
      </c>
      <c r="QB356" s="636">
        <v>44473</v>
      </c>
      <c r="QC356" s="636">
        <v>44474</v>
      </c>
      <c r="QD356" s="636">
        <v>44475</v>
      </c>
      <c r="QE356" s="636">
        <v>44476</v>
      </c>
      <c r="QF356" s="636">
        <v>44477</v>
      </c>
      <c r="QG356" s="636">
        <v>44480</v>
      </c>
      <c r="QH356" s="636">
        <v>44481</v>
      </c>
      <c r="QI356" s="636">
        <v>44482</v>
      </c>
      <c r="QJ356" s="636">
        <v>44483</v>
      </c>
      <c r="QK356" s="636">
        <v>44484</v>
      </c>
      <c r="QL356" s="636">
        <v>44487</v>
      </c>
      <c r="QM356" s="636">
        <v>44488</v>
      </c>
      <c r="QN356" s="636">
        <v>44489</v>
      </c>
      <c r="QO356" s="636">
        <v>44490</v>
      </c>
      <c r="QP356" s="636">
        <v>44491</v>
      </c>
      <c r="QQ356" s="636">
        <v>44494</v>
      </c>
      <c r="QR356" s="636">
        <v>44495</v>
      </c>
      <c r="QS356" s="636">
        <v>44496</v>
      </c>
      <c r="QT356" s="636">
        <v>44497</v>
      </c>
      <c r="QU356" s="636">
        <v>44498</v>
      </c>
      <c r="QV356" s="636">
        <v>44501</v>
      </c>
      <c r="QW356" s="636">
        <v>44502</v>
      </c>
      <c r="QX356" s="636">
        <v>44503</v>
      </c>
      <c r="QY356" s="636">
        <v>44504</v>
      </c>
      <c r="QZ356" s="636">
        <v>44505</v>
      </c>
      <c r="RA356" s="636">
        <v>44508</v>
      </c>
      <c r="RB356" s="636">
        <v>44509</v>
      </c>
      <c r="RC356" s="636">
        <v>44510</v>
      </c>
      <c r="RD356" s="636">
        <v>44511</v>
      </c>
      <c r="RE356" s="636">
        <v>44512</v>
      </c>
      <c r="RF356" s="636">
        <v>44515</v>
      </c>
      <c r="RG356" s="636">
        <v>44516</v>
      </c>
      <c r="RH356" s="636">
        <v>44517</v>
      </c>
      <c r="RI356" s="636">
        <v>44518</v>
      </c>
      <c r="RJ356" s="636">
        <v>44519</v>
      </c>
      <c r="RK356" s="636">
        <v>44522</v>
      </c>
      <c r="RL356" s="636">
        <v>44523</v>
      </c>
      <c r="RM356" s="636">
        <v>44524</v>
      </c>
      <c r="RN356" s="636">
        <v>44526</v>
      </c>
      <c r="RO356" s="636">
        <v>44529</v>
      </c>
      <c r="RP356" s="636">
        <v>44530</v>
      </c>
      <c r="RQ356" s="636">
        <v>44531</v>
      </c>
      <c r="RR356" s="636">
        <v>44532</v>
      </c>
      <c r="RS356" s="636">
        <v>44533</v>
      </c>
      <c r="RT356" s="636">
        <v>44536</v>
      </c>
      <c r="RU356" s="636">
        <v>44537</v>
      </c>
      <c r="RV356" s="636">
        <v>44538</v>
      </c>
      <c r="RW356" s="636">
        <v>44539</v>
      </c>
      <c r="RX356" s="636">
        <v>44540</v>
      </c>
      <c r="RY356" s="636">
        <v>44543</v>
      </c>
      <c r="RZ356" s="636">
        <v>44544</v>
      </c>
      <c r="SA356" s="636">
        <v>44545</v>
      </c>
      <c r="SB356" s="636">
        <v>44546</v>
      </c>
      <c r="SC356" s="636">
        <v>44547</v>
      </c>
      <c r="SD356" s="636">
        <v>44550</v>
      </c>
      <c r="SE356" s="636">
        <v>44551</v>
      </c>
      <c r="SF356" s="636">
        <v>44552</v>
      </c>
      <c r="SG356" s="636">
        <v>44553</v>
      </c>
      <c r="SH356" s="636">
        <v>44557</v>
      </c>
      <c r="SI356" s="636">
        <v>44558</v>
      </c>
      <c r="SJ356" s="636">
        <v>44559</v>
      </c>
      <c r="SK356" s="636">
        <v>44560</v>
      </c>
      <c r="SL356" s="636">
        <v>44561</v>
      </c>
      <c r="SM356" s="636">
        <v>44564</v>
      </c>
      <c r="SN356" s="636">
        <v>44565</v>
      </c>
      <c r="SO356" s="636">
        <v>44566</v>
      </c>
      <c r="SP356" s="636">
        <v>44567</v>
      </c>
      <c r="SQ356" s="636">
        <v>44568</v>
      </c>
      <c r="SR356" s="636">
        <v>44571</v>
      </c>
      <c r="SS356" s="636">
        <v>44572</v>
      </c>
      <c r="ST356" s="636">
        <v>44573</v>
      </c>
      <c r="SU356" s="636">
        <v>44574</v>
      </c>
      <c r="SV356" s="636">
        <v>44575</v>
      </c>
      <c r="SW356" s="636">
        <v>44579</v>
      </c>
      <c r="SX356" s="636">
        <v>44580</v>
      </c>
      <c r="SY356" s="636">
        <v>44581</v>
      </c>
      <c r="SZ356" s="636">
        <v>44582</v>
      </c>
      <c r="TA356" s="636">
        <v>44585</v>
      </c>
      <c r="TB356" s="636">
        <v>44586</v>
      </c>
      <c r="TC356" s="636">
        <v>44587</v>
      </c>
      <c r="TD356" s="636">
        <v>44588</v>
      </c>
      <c r="TE356" s="636">
        <v>44589</v>
      </c>
      <c r="TF356" s="636">
        <v>44592</v>
      </c>
      <c r="TG356" s="636">
        <v>44593</v>
      </c>
      <c r="TH356" s="636">
        <v>44594</v>
      </c>
      <c r="TI356" s="636">
        <v>44595</v>
      </c>
      <c r="TJ356" s="636">
        <v>44596</v>
      </c>
      <c r="TK356" s="636">
        <v>44599</v>
      </c>
      <c r="TL356" s="636">
        <v>44600</v>
      </c>
      <c r="TM356" s="636">
        <v>44601</v>
      </c>
      <c r="TN356" s="636">
        <v>44602</v>
      </c>
      <c r="TO356" s="636">
        <v>44603</v>
      </c>
      <c r="TP356" s="636">
        <v>44606</v>
      </c>
      <c r="TQ356" s="636">
        <v>44607</v>
      </c>
      <c r="TR356" s="636">
        <v>44608</v>
      </c>
      <c r="TS356" s="636">
        <v>44609</v>
      </c>
      <c r="TT356" s="636">
        <v>44610</v>
      </c>
      <c r="TU356" s="636">
        <v>44614</v>
      </c>
      <c r="TV356" s="636">
        <v>44615</v>
      </c>
      <c r="TW356" s="636">
        <v>44616</v>
      </c>
      <c r="TX356" s="636">
        <v>44617</v>
      </c>
      <c r="TY356" s="636">
        <v>44620</v>
      </c>
      <c r="TZ356" s="636">
        <v>44621</v>
      </c>
      <c r="UA356" s="636">
        <v>44622</v>
      </c>
      <c r="UB356" s="636">
        <v>44623</v>
      </c>
      <c r="UC356" s="636">
        <v>44624</v>
      </c>
      <c r="UD356" s="636">
        <v>44627</v>
      </c>
      <c r="UE356" s="636">
        <v>44628</v>
      </c>
      <c r="UF356" s="636">
        <v>44629</v>
      </c>
      <c r="UG356" s="636">
        <v>44630</v>
      </c>
      <c r="UH356" s="636">
        <v>44631</v>
      </c>
      <c r="UI356" s="636">
        <v>44634</v>
      </c>
      <c r="UJ356" s="636">
        <v>44635</v>
      </c>
      <c r="UK356" s="636">
        <v>44636</v>
      </c>
      <c r="UL356" s="636">
        <v>44637</v>
      </c>
      <c r="UM356" s="636">
        <v>44638</v>
      </c>
      <c r="UN356" s="636">
        <v>44641</v>
      </c>
      <c r="UO356" s="636">
        <v>44642</v>
      </c>
      <c r="UP356" s="636">
        <v>44643</v>
      </c>
      <c r="UQ356" s="636">
        <v>44644</v>
      </c>
      <c r="UR356" s="636">
        <v>44645</v>
      </c>
      <c r="US356" s="636">
        <v>44648</v>
      </c>
      <c r="UT356" s="636">
        <v>44649</v>
      </c>
      <c r="UU356" s="636">
        <v>44650</v>
      </c>
      <c r="UV356" s="636">
        <v>44651</v>
      </c>
      <c r="UW356" s="636">
        <v>44652</v>
      </c>
      <c r="UX356" s="636">
        <v>44655</v>
      </c>
      <c r="UY356" s="636">
        <v>44656</v>
      </c>
      <c r="UZ356" s="636">
        <v>44657</v>
      </c>
      <c r="VA356" s="636">
        <v>44658</v>
      </c>
      <c r="VB356" s="636">
        <v>44659</v>
      </c>
      <c r="VC356" s="636">
        <v>44662</v>
      </c>
      <c r="VD356" s="636">
        <v>44663</v>
      </c>
      <c r="VE356" s="636">
        <v>44664</v>
      </c>
      <c r="VF356" s="636">
        <v>44665</v>
      </c>
      <c r="VG356" s="636">
        <v>44669</v>
      </c>
      <c r="VH356" s="636">
        <v>44670</v>
      </c>
      <c r="VI356" s="636">
        <v>44671</v>
      </c>
      <c r="VJ356" s="636">
        <v>44672</v>
      </c>
      <c r="VK356" s="636">
        <v>44673</v>
      </c>
      <c r="VL356" s="636">
        <v>44676</v>
      </c>
      <c r="VM356" s="636">
        <v>44677</v>
      </c>
      <c r="VN356" s="636">
        <v>44678</v>
      </c>
      <c r="VO356" s="636">
        <v>44679</v>
      </c>
      <c r="VP356" s="636">
        <v>44680</v>
      </c>
      <c r="VQ356" s="636">
        <v>44683</v>
      </c>
      <c r="VR356" s="636">
        <v>44684</v>
      </c>
      <c r="VS356" s="636">
        <v>44685</v>
      </c>
      <c r="VT356" s="636">
        <v>44686</v>
      </c>
      <c r="VU356" s="636">
        <v>44687</v>
      </c>
      <c r="VV356" s="636">
        <v>44690</v>
      </c>
      <c r="VW356" s="636">
        <v>44691</v>
      </c>
      <c r="VX356" s="636">
        <v>44692</v>
      </c>
      <c r="VY356" s="636">
        <v>44693</v>
      </c>
      <c r="VZ356" s="636">
        <v>44694</v>
      </c>
      <c r="WA356" s="636">
        <v>44697</v>
      </c>
      <c r="WB356" s="636">
        <v>44698</v>
      </c>
      <c r="WC356" s="636">
        <v>44699</v>
      </c>
      <c r="WD356" s="636">
        <v>44700</v>
      </c>
      <c r="WE356" s="636">
        <v>44701</v>
      </c>
      <c r="WF356" s="636">
        <v>44704</v>
      </c>
      <c r="WG356" s="636">
        <v>44705</v>
      </c>
      <c r="WH356" s="636">
        <v>44706</v>
      </c>
      <c r="WI356" s="636">
        <v>44707</v>
      </c>
      <c r="WJ356" s="636">
        <v>44708</v>
      </c>
      <c r="WK356" s="636">
        <v>44712</v>
      </c>
      <c r="WL356" s="636">
        <v>44713</v>
      </c>
      <c r="WM356" s="636">
        <v>44714</v>
      </c>
      <c r="WN356" s="636">
        <v>44715</v>
      </c>
      <c r="WO356" s="636">
        <v>44718</v>
      </c>
      <c r="WP356" s="636">
        <v>44719</v>
      </c>
      <c r="WQ356" s="636">
        <v>44720</v>
      </c>
      <c r="WR356" s="636">
        <v>44721</v>
      </c>
      <c r="WS356" s="636">
        <v>44722</v>
      </c>
      <c r="WT356" s="636">
        <v>44725</v>
      </c>
      <c r="WU356" s="636">
        <v>44726</v>
      </c>
      <c r="WV356" s="636">
        <v>44727</v>
      </c>
      <c r="WW356" s="636">
        <v>44728</v>
      </c>
      <c r="WX356" s="636">
        <v>44729</v>
      </c>
      <c r="WY356" s="636">
        <v>44733</v>
      </c>
      <c r="WZ356" s="636">
        <v>44734</v>
      </c>
      <c r="XA356" s="636">
        <v>44735</v>
      </c>
      <c r="XB356" s="636">
        <v>44736</v>
      </c>
      <c r="XC356" s="636">
        <v>44739</v>
      </c>
      <c r="XD356" s="636">
        <v>44740</v>
      </c>
      <c r="XE356" s="636">
        <v>44741</v>
      </c>
      <c r="XF356" s="636">
        <v>44742</v>
      </c>
      <c r="XG356" s="636">
        <v>44743</v>
      </c>
      <c r="XH356" s="636">
        <v>44747</v>
      </c>
      <c r="XI356" s="636">
        <v>44748</v>
      </c>
      <c r="XJ356" s="636">
        <v>44749</v>
      </c>
      <c r="XK356" s="636">
        <v>44750</v>
      </c>
      <c r="XL356" s="636">
        <v>44753</v>
      </c>
      <c r="XM356" s="636">
        <v>44754</v>
      </c>
      <c r="XN356" s="636">
        <v>44755</v>
      </c>
      <c r="XO356" s="636">
        <v>44756</v>
      </c>
      <c r="XP356" s="636">
        <v>44757</v>
      </c>
      <c r="XQ356" s="636">
        <v>44760</v>
      </c>
      <c r="XR356" s="636">
        <v>44761</v>
      </c>
      <c r="XS356" s="636">
        <v>44762</v>
      </c>
      <c r="XT356" s="636">
        <v>44763</v>
      </c>
      <c r="XU356" s="636">
        <v>44764</v>
      </c>
      <c r="XV356" s="636">
        <v>44767</v>
      </c>
      <c r="XW356" s="636">
        <v>44768</v>
      </c>
      <c r="XX356" s="636">
        <v>44769</v>
      </c>
      <c r="XY356" s="636">
        <v>44770</v>
      </c>
      <c r="XZ356" s="636">
        <v>44771</v>
      </c>
      <c r="YA356" s="636">
        <v>44774</v>
      </c>
      <c r="YB356" s="636">
        <v>44775</v>
      </c>
      <c r="YC356" s="636">
        <v>44776</v>
      </c>
      <c r="YD356" s="636">
        <v>44777</v>
      </c>
      <c r="YE356" s="636">
        <v>44778</v>
      </c>
      <c r="YF356" s="636">
        <v>44781</v>
      </c>
      <c r="YG356" s="636">
        <v>44782</v>
      </c>
      <c r="YH356" s="636">
        <v>44783</v>
      </c>
      <c r="YI356" s="636">
        <v>44784</v>
      </c>
      <c r="YJ356" s="636">
        <v>44785</v>
      </c>
      <c r="YK356" s="636">
        <v>44788</v>
      </c>
      <c r="YL356" s="636">
        <v>44789</v>
      </c>
      <c r="YM356" s="636">
        <v>44790</v>
      </c>
      <c r="YN356" s="636">
        <v>44791</v>
      </c>
      <c r="YO356" s="636">
        <v>44792</v>
      </c>
      <c r="YP356" s="636">
        <v>44795</v>
      </c>
      <c r="YQ356" s="636">
        <v>44796</v>
      </c>
      <c r="YR356" s="636">
        <v>44797</v>
      </c>
      <c r="YS356" s="636">
        <v>44798</v>
      </c>
      <c r="YT356" s="636">
        <v>44799</v>
      </c>
      <c r="YU356" s="636">
        <v>44802</v>
      </c>
      <c r="YV356" s="636">
        <v>44803</v>
      </c>
      <c r="YW356" s="636">
        <v>44804</v>
      </c>
      <c r="YX356" s="636">
        <v>44805</v>
      </c>
      <c r="YY356" s="636">
        <v>44806</v>
      </c>
      <c r="YZ356" s="636">
        <v>44810</v>
      </c>
      <c r="ZA356" s="636">
        <v>44811</v>
      </c>
      <c r="ZB356" s="636">
        <v>44812</v>
      </c>
      <c r="ZC356" s="636">
        <v>44813</v>
      </c>
      <c r="ZD356" s="636">
        <v>44816</v>
      </c>
      <c r="ZE356" s="636">
        <v>44817</v>
      </c>
      <c r="ZF356" s="636">
        <v>44818</v>
      </c>
      <c r="ZG356" s="636">
        <v>44819</v>
      </c>
      <c r="ZH356" s="636">
        <v>44820</v>
      </c>
      <c r="ZI356" s="636">
        <v>44823</v>
      </c>
      <c r="ZJ356" s="636">
        <v>44824</v>
      </c>
      <c r="ZK356" s="636">
        <v>44825</v>
      </c>
      <c r="ZL356" s="636">
        <v>44826</v>
      </c>
      <c r="ZM356" s="636">
        <v>44827</v>
      </c>
      <c r="ZN356" s="636">
        <v>44830</v>
      </c>
      <c r="ZO356" s="636">
        <v>44831</v>
      </c>
      <c r="ZP356" s="636">
        <v>44832</v>
      </c>
      <c r="ZQ356" s="636">
        <v>44833</v>
      </c>
      <c r="ZR356" s="636">
        <v>44834</v>
      </c>
      <c r="ZS356" s="636">
        <v>44837</v>
      </c>
      <c r="ZT356" s="636">
        <v>44838</v>
      </c>
      <c r="ZU356" s="636">
        <v>44839</v>
      </c>
      <c r="ZV356" s="636">
        <v>44840</v>
      </c>
      <c r="ZW356" s="636">
        <v>44841</v>
      </c>
      <c r="ZX356" s="636">
        <v>44844</v>
      </c>
      <c r="ZY356" s="636">
        <v>44845</v>
      </c>
      <c r="ZZ356" s="636">
        <v>44846</v>
      </c>
      <c r="AAA356" s="636">
        <v>44847</v>
      </c>
      <c r="AAB356" s="636">
        <v>44848</v>
      </c>
      <c r="AAC356" s="636">
        <v>44851</v>
      </c>
      <c r="AAD356" s="636">
        <v>44852</v>
      </c>
      <c r="AAE356" s="636">
        <v>44853</v>
      </c>
      <c r="AAF356" s="636">
        <v>44854</v>
      </c>
      <c r="AAG356" s="636">
        <v>44855</v>
      </c>
      <c r="AAH356" s="636">
        <v>44858</v>
      </c>
      <c r="AAI356" s="636">
        <v>44859</v>
      </c>
      <c r="AAJ356" s="636">
        <v>44860</v>
      </c>
      <c r="AAK356" s="636">
        <v>44861</v>
      </c>
      <c r="AAL356" s="636">
        <v>44862</v>
      </c>
      <c r="AAM356" s="636">
        <v>44865</v>
      </c>
      <c r="AAN356" s="636">
        <v>44866</v>
      </c>
      <c r="AAO356" s="636">
        <v>44867</v>
      </c>
      <c r="AAP356" s="636">
        <v>44868</v>
      </c>
      <c r="AAQ356" s="636">
        <v>44869</v>
      </c>
      <c r="AAR356" s="636">
        <v>44872</v>
      </c>
      <c r="AAS356" s="636">
        <v>44873</v>
      </c>
      <c r="AAT356" s="636">
        <v>44874</v>
      </c>
      <c r="AAU356" s="636">
        <v>44875</v>
      </c>
      <c r="AAV356" s="636">
        <v>44876</v>
      </c>
      <c r="AAW356" s="636">
        <v>44879</v>
      </c>
      <c r="AAX356" s="636">
        <v>44880</v>
      </c>
      <c r="AAY356" s="636">
        <v>44881</v>
      </c>
      <c r="AAZ356" s="636">
        <v>44882</v>
      </c>
      <c r="ABA356" s="636">
        <v>44883</v>
      </c>
      <c r="ABB356" s="636">
        <v>44886</v>
      </c>
      <c r="ABC356" s="636">
        <v>44887</v>
      </c>
      <c r="ABD356" s="636">
        <v>44888</v>
      </c>
      <c r="ABE356" s="636">
        <v>44890</v>
      </c>
      <c r="ABF356" s="636">
        <v>44893</v>
      </c>
      <c r="ABG356" s="636">
        <v>44894</v>
      </c>
      <c r="ABH356" s="636">
        <v>44895</v>
      </c>
      <c r="ABI356" s="636">
        <v>44896</v>
      </c>
      <c r="ABJ356" s="636">
        <v>44897</v>
      </c>
      <c r="ABK356" s="636">
        <v>44900</v>
      </c>
      <c r="ABL356" s="636">
        <v>44901</v>
      </c>
      <c r="ABM356" s="636">
        <v>44902</v>
      </c>
      <c r="ABN356" s="636">
        <v>44903</v>
      </c>
      <c r="ABO356" s="636">
        <v>44904</v>
      </c>
      <c r="ABP356" s="636">
        <v>44907</v>
      </c>
      <c r="ABQ356" s="636">
        <v>44908</v>
      </c>
      <c r="ABR356" s="636">
        <v>44909</v>
      </c>
      <c r="ABS356" s="636">
        <v>44910</v>
      </c>
      <c r="ABT356" s="636">
        <v>44911</v>
      </c>
      <c r="ABU356" s="636">
        <v>44914</v>
      </c>
      <c r="ABV356" s="636">
        <v>44915</v>
      </c>
      <c r="ABW356" s="636">
        <v>44916</v>
      </c>
      <c r="ABX356" s="636">
        <v>44917</v>
      </c>
      <c r="ABY356" s="636">
        <v>44918</v>
      </c>
      <c r="ABZ356" s="636">
        <v>44922</v>
      </c>
      <c r="ACA356" s="636">
        <v>44923</v>
      </c>
      <c r="ACB356" s="636">
        <v>44924</v>
      </c>
      <c r="ACC356" s="636">
        <v>44925</v>
      </c>
      <c r="ACD356" s="636">
        <v>44929</v>
      </c>
      <c r="ACE356" s="636">
        <v>44930</v>
      </c>
      <c r="ACF356" s="636">
        <v>44931</v>
      </c>
      <c r="ACG356" s="636">
        <v>44932</v>
      </c>
      <c r="ACH356" s="636">
        <v>44935</v>
      </c>
      <c r="ACI356" s="636">
        <v>44936</v>
      </c>
      <c r="ACJ356" s="636">
        <v>44937</v>
      </c>
      <c r="ACK356" s="636">
        <v>44938</v>
      </c>
      <c r="ACL356" s="636">
        <v>44939</v>
      </c>
      <c r="ACM356" s="636">
        <v>44943</v>
      </c>
      <c r="ACN356" s="636">
        <v>44944</v>
      </c>
      <c r="ACO356" s="636">
        <v>44945</v>
      </c>
      <c r="ACP356" s="636">
        <v>44946</v>
      </c>
      <c r="ACQ356" s="636">
        <v>44949</v>
      </c>
      <c r="ACR356" s="636">
        <v>44950</v>
      </c>
      <c r="ACS356" s="636">
        <v>44951</v>
      </c>
      <c r="ACT356" s="636">
        <v>44952</v>
      </c>
      <c r="ACU356" s="636">
        <v>44953</v>
      </c>
      <c r="ACV356" s="636">
        <v>44956</v>
      </c>
      <c r="ACW356" s="636">
        <v>44957</v>
      </c>
      <c r="ACX356" s="636">
        <v>44958</v>
      </c>
      <c r="ACY356" s="636">
        <v>44959</v>
      </c>
      <c r="ACZ356" s="636">
        <v>44960</v>
      </c>
      <c r="ADA356" s="636">
        <v>44963</v>
      </c>
      <c r="ADB356" s="636">
        <v>44964</v>
      </c>
      <c r="ADC356" s="636">
        <v>44965</v>
      </c>
      <c r="ADD356" s="636">
        <v>44966</v>
      </c>
      <c r="ADE356" s="636">
        <v>44967</v>
      </c>
      <c r="ADF356" s="636">
        <v>44970</v>
      </c>
      <c r="ADG356" s="636">
        <v>44971</v>
      </c>
      <c r="ADH356" s="636">
        <v>44972</v>
      </c>
      <c r="ADI356" s="636">
        <v>44973</v>
      </c>
      <c r="ADJ356" s="636">
        <v>44974</v>
      </c>
      <c r="ADK356" s="636">
        <v>44978</v>
      </c>
      <c r="ADL356" s="636">
        <v>44979</v>
      </c>
      <c r="ADM356" s="636">
        <v>44980</v>
      </c>
      <c r="ADN356" s="636">
        <v>44981</v>
      </c>
      <c r="ADO356" s="636">
        <v>44984</v>
      </c>
      <c r="ADP356" s="636">
        <v>44985</v>
      </c>
      <c r="ADQ356" s="636">
        <v>44986</v>
      </c>
      <c r="ADR356" s="636">
        <v>44987</v>
      </c>
      <c r="ADS356" s="636">
        <v>44988</v>
      </c>
      <c r="ADT356" s="636">
        <v>44991</v>
      </c>
      <c r="ADU356" s="636">
        <v>44992</v>
      </c>
      <c r="ADV356" s="636">
        <v>44993</v>
      </c>
      <c r="ADW356" s="636">
        <v>44994</v>
      </c>
      <c r="ADX356" s="636">
        <v>44995</v>
      </c>
      <c r="ADY356" s="636">
        <v>44998</v>
      </c>
      <c r="ADZ356" s="636">
        <v>44999</v>
      </c>
      <c r="AEA356" s="636">
        <v>45000</v>
      </c>
      <c r="AEE356" s="636">
        <v>43861</v>
      </c>
      <c r="AEF356" s="635">
        <v>-136.04</v>
      </c>
      <c r="AEG356" s="635">
        <v>4.7709999999999999</v>
      </c>
    </row>
    <row r="357" spans="1:813" ht="15.5">
      <c r="A357" s="635" t="s">
        <v>2085</v>
      </c>
      <c r="B357" s="635">
        <v>3.1760000000000002</v>
      </c>
      <c r="C357" s="635">
        <v>3.27</v>
      </c>
      <c r="D357" s="635">
        <v>3.3330000000000002</v>
      </c>
      <c r="E357" s="635">
        <v>3.4620000000000002</v>
      </c>
      <c r="F357" s="635">
        <v>3.6320000000000001</v>
      </c>
      <c r="G357" s="635">
        <v>3.5529999999999999</v>
      </c>
      <c r="H357" s="635">
        <v>3.5289999999999999</v>
      </c>
      <c r="I357" s="635">
        <v>3.8740000000000001</v>
      </c>
      <c r="J357" s="635">
        <v>3.97</v>
      </c>
      <c r="K357" s="635">
        <v>3.827</v>
      </c>
      <c r="L357" s="635">
        <v>3.79</v>
      </c>
      <c r="M357" s="635">
        <v>3.7679999999999998</v>
      </c>
      <c r="N357" s="635">
        <v>4.0389999999999997</v>
      </c>
      <c r="O357" s="635">
        <v>4.2039999999999997</v>
      </c>
      <c r="P357" s="635">
        <v>4.2229999999999999</v>
      </c>
      <c r="Q357" s="635">
        <v>4.1689999999999996</v>
      </c>
      <c r="R357" s="635">
        <v>4.1189999999999998</v>
      </c>
      <c r="S357" s="635">
        <v>4.1840000000000002</v>
      </c>
      <c r="T357" s="635">
        <v>4.2610000000000001</v>
      </c>
      <c r="U357" s="635">
        <v>4.6989999999999998</v>
      </c>
      <c r="V357" s="635">
        <v>4.7709999999999999</v>
      </c>
      <c r="W357" s="635">
        <v>5.72</v>
      </c>
      <c r="X357" s="635">
        <v>6.5049999999999999</v>
      </c>
      <c r="Y357" s="635">
        <v>5.3879999999999999</v>
      </c>
      <c r="Z357" s="635">
        <v>5.4930000000000003</v>
      </c>
      <c r="AA357" s="635">
        <v>5.4859999999999998</v>
      </c>
      <c r="AB357" s="635">
        <v>5.6559999999999997</v>
      </c>
      <c r="AC357" s="635">
        <v>5.6790000000000003</v>
      </c>
      <c r="AD357" s="635">
        <v>5.6269999999999998</v>
      </c>
      <c r="AE357" s="635">
        <v>6.01</v>
      </c>
      <c r="AF357" s="635">
        <v>5.98</v>
      </c>
      <c r="AG357" s="635">
        <v>6.4160000000000004</v>
      </c>
      <c r="AH357" s="635">
        <v>6.8570000000000002</v>
      </c>
      <c r="AI357" s="635">
        <v>6.7229999999999999</v>
      </c>
      <c r="AJ357" s="635">
        <v>6.7350000000000003</v>
      </c>
      <c r="AK357" s="635">
        <v>6.2320000000000002</v>
      </c>
      <c r="AL357" s="635">
        <v>5.9790000000000001</v>
      </c>
      <c r="AM357" s="635">
        <v>5.8209999999999997</v>
      </c>
      <c r="AN357" s="635">
        <v>5.0750000000000002</v>
      </c>
      <c r="AO357" s="635">
        <v>4.9930000000000003</v>
      </c>
      <c r="AP357" s="635">
        <v>5.5579999999999998</v>
      </c>
      <c r="AQ357" s="635">
        <v>5.5720000000000001</v>
      </c>
      <c r="AR357" s="635">
        <v>5.6020000000000003</v>
      </c>
      <c r="AS357" s="635">
        <v>5.4160000000000004</v>
      </c>
      <c r="AT357" s="635">
        <v>5.258</v>
      </c>
      <c r="AU357" s="635">
        <v>4.5449999999999999</v>
      </c>
      <c r="AV357" s="635">
        <v>4.8239999999999998</v>
      </c>
      <c r="AW357" s="635">
        <v>4.7409999999999997</v>
      </c>
      <c r="AX357" s="635">
        <v>4.1900000000000004</v>
      </c>
      <c r="AY357" s="635">
        <v>4.0860000000000003</v>
      </c>
      <c r="AZ357" s="635">
        <v>3.327</v>
      </c>
      <c r="BA357" s="635">
        <v>3.2160000000000002</v>
      </c>
      <c r="BB357" s="635">
        <v>2.7</v>
      </c>
      <c r="BC357" s="635">
        <v>3.1960000000000002</v>
      </c>
      <c r="BD357" s="635">
        <v>3.1960000000000002</v>
      </c>
      <c r="BE357" s="635">
        <v>3.246</v>
      </c>
      <c r="BF357" s="635">
        <v>3.7749999999999999</v>
      </c>
      <c r="BG357" s="635">
        <v>4.0309999999999997</v>
      </c>
      <c r="BH357" s="635">
        <v>3.948</v>
      </c>
      <c r="BI357" s="635">
        <v>3.8450000000000002</v>
      </c>
      <c r="BJ357" s="635">
        <v>3.7530000000000001</v>
      </c>
      <c r="BK357" s="635">
        <v>3.9169999999999998</v>
      </c>
      <c r="BL357" s="635">
        <v>3.5990000000000002</v>
      </c>
      <c r="BM357" s="635">
        <v>3.3969999999999998</v>
      </c>
      <c r="BN357" s="635">
        <v>3.5880000000000001</v>
      </c>
      <c r="BO357" s="635">
        <v>3.859</v>
      </c>
      <c r="BP357" s="635">
        <v>4.077</v>
      </c>
      <c r="BQ357" s="635">
        <v>4.1020000000000003</v>
      </c>
      <c r="BR357" s="635">
        <v>4.2830000000000004</v>
      </c>
      <c r="BS357" s="635">
        <v>4.8659999999999997</v>
      </c>
      <c r="BT357" s="635">
        <v>5.306</v>
      </c>
      <c r="BU357" s="635">
        <v>5.4550000000000001</v>
      </c>
      <c r="BV357" s="635">
        <v>5.57</v>
      </c>
      <c r="BW357" s="635">
        <v>5.6349999999999998</v>
      </c>
      <c r="BX357" s="635">
        <v>5.5789999999999997</v>
      </c>
      <c r="BY357" s="635">
        <v>5.133</v>
      </c>
      <c r="BZ357" s="635">
        <v>5.4720000000000004</v>
      </c>
      <c r="CA357" s="635">
        <v>5.274</v>
      </c>
      <c r="CB357" s="635">
        <v>5.42</v>
      </c>
      <c r="CC357" s="635">
        <v>5.97</v>
      </c>
      <c r="CD357" s="635">
        <v>5.7489999999999997</v>
      </c>
      <c r="CE357" s="635">
        <v>5.6520000000000001</v>
      </c>
      <c r="CF357" s="635">
        <v>5.57</v>
      </c>
      <c r="CG357" s="635">
        <v>4.9960000000000004</v>
      </c>
      <c r="CH357" s="635">
        <v>5.423</v>
      </c>
      <c r="CI357" s="635">
        <v>5.4729999999999999</v>
      </c>
      <c r="CJ357" s="635">
        <v>5.5750000000000002</v>
      </c>
      <c r="CK357" s="635">
        <v>5.5570000000000004</v>
      </c>
      <c r="CL357" s="635">
        <v>5.8369999999999997</v>
      </c>
      <c r="CM357" s="635">
        <v>5.7789999999999999</v>
      </c>
      <c r="CN357" s="635">
        <v>5.766</v>
      </c>
      <c r="CO357" s="635">
        <v>5.6349999999999998</v>
      </c>
      <c r="CP357" s="635">
        <v>5.7229999999999999</v>
      </c>
      <c r="CQ357" s="635">
        <v>5.6929999999999996</v>
      </c>
      <c r="CR357" s="635">
        <v>5.7960000000000003</v>
      </c>
      <c r="CS357" s="635">
        <v>5.7560000000000002</v>
      </c>
      <c r="CT357" s="635">
        <v>5.81</v>
      </c>
      <c r="CU357" s="635">
        <v>5.8959999999999999</v>
      </c>
      <c r="CV357" s="635">
        <v>5.819</v>
      </c>
      <c r="CW357" s="635">
        <v>5.8330000000000002</v>
      </c>
      <c r="CX357" s="635">
        <v>5.843</v>
      </c>
      <c r="CY357" s="635">
        <v>5.74</v>
      </c>
      <c r="CZ357" s="635">
        <v>5.9480000000000004</v>
      </c>
      <c r="DA357" s="635">
        <v>6.3979999999999997</v>
      </c>
      <c r="DB357" s="635">
        <v>6.28</v>
      </c>
      <c r="DC357" s="635">
        <v>6.29</v>
      </c>
      <c r="DD357" s="635">
        <v>6.1580000000000004</v>
      </c>
      <c r="DE357" s="635">
        <v>6.3090000000000002</v>
      </c>
      <c r="DF357" s="635">
        <v>6.7670000000000003</v>
      </c>
      <c r="DG357" s="635">
        <v>6.7009999999999996</v>
      </c>
      <c r="DH357" s="635">
        <v>7.3019999999999996</v>
      </c>
      <c r="DI357" s="635">
        <v>6.93</v>
      </c>
      <c r="DJ357" s="635">
        <v>6.6630000000000003</v>
      </c>
      <c r="DK357" s="635">
        <v>7.0590000000000002</v>
      </c>
      <c r="DL357" s="635">
        <v>6.9960000000000004</v>
      </c>
      <c r="DM357" s="635">
        <v>7.0650000000000004</v>
      </c>
      <c r="DN357" s="635">
        <v>7.1520000000000001</v>
      </c>
      <c r="DO357" s="635">
        <v>7.13</v>
      </c>
      <c r="DP357" s="635">
        <v>7.0830000000000002</v>
      </c>
      <c r="DQ357" s="635">
        <v>7.1360000000000001</v>
      </c>
      <c r="DR357" s="635">
        <v>6.8449999999999998</v>
      </c>
      <c r="DS357" s="635">
        <v>7.024</v>
      </c>
      <c r="DT357" s="635">
        <v>6.8369999999999997</v>
      </c>
      <c r="DU357" s="635">
        <v>7.19</v>
      </c>
      <c r="DV357" s="635">
        <v>7.6920000000000002</v>
      </c>
      <c r="DW357" s="635">
        <v>7.976</v>
      </c>
      <c r="DX357" s="635">
        <v>8.61</v>
      </c>
      <c r="DY357" s="635">
        <v>9.7710000000000008</v>
      </c>
      <c r="DZ357" s="635">
        <v>9.9009999999999998</v>
      </c>
      <c r="EA357" s="635">
        <v>9.73</v>
      </c>
      <c r="EB357" s="635">
        <v>9.9320000000000004</v>
      </c>
      <c r="EC357" s="635">
        <v>11.004</v>
      </c>
      <c r="ED357" s="635">
        <v>10.664999999999999</v>
      </c>
      <c r="EE357" s="635">
        <v>10.805</v>
      </c>
      <c r="EF357" s="635">
        <v>11.013</v>
      </c>
      <c r="EG357" s="635">
        <v>10.69</v>
      </c>
      <c r="EH357" s="635">
        <v>10.691000000000001</v>
      </c>
      <c r="EI357" s="635">
        <v>11.704000000000001</v>
      </c>
      <c r="EJ357" s="635">
        <v>11.172000000000001</v>
      </c>
      <c r="EK357" s="635">
        <v>11.481999999999999</v>
      </c>
      <c r="EL357" s="635">
        <v>10.91</v>
      </c>
      <c r="EM357" s="635">
        <v>10.218</v>
      </c>
      <c r="EN357" s="635">
        <v>11.102</v>
      </c>
      <c r="EO357" s="635">
        <v>10.702999999999999</v>
      </c>
      <c r="EP357" s="635">
        <v>10.867000000000001</v>
      </c>
      <c r="EQ357" s="635">
        <v>10.782999999999999</v>
      </c>
      <c r="ER357" s="635">
        <v>10.372</v>
      </c>
      <c r="ES357" s="635">
        <v>10.765000000000001</v>
      </c>
      <c r="ET357" s="635">
        <v>10.78</v>
      </c>
      <c r="EU357" s="635">
        <v>10.765000000000001</v>
      </c>
      <c r="EV357" s="635">
        <v>10.798</v>
      </c>
      <c r="EW357" s="635">
        <v>10.531000000000001</v>
      </c>
      <c r="EX357" s="635">
        <v>10.282999999999999</v>
      </c>
      <c r="EY357" s="635">
        <v>9.9629999999999992</v>
      </c>
      <c r="EZ357" s="635">
        <v>11.271000000000001</v>
      </c>
      <c r="FA357" s="635">
        <v>11.750999999999999</v>
      </c>
      <c r="FB357" s="635">
        <v>11.965999999999999</v>
      </c>
      <c r="FC357" s="635">
        <v>13.307</v>
      </c>
      <c r="FD357" s="635">
        <v>13.68</v>
      </c>
      <c r="FE357" s="635">
        <v>13.618</v>
      </c>
      <c r="FF357" s="635">
        <v>14.512</v>
      </c>
      <c r="FG357" s="635">
        <v>14.861000000000001</v>
      </c>
      <c r="FH357" s="635">
        <v>14.601000000000001</v>
      </c>
      <c r="FI357" s="635">
        <v>14.667999999999999</v>
      </c>
      <c r="FJ357" s="635">
        <v>15.609</v>
      </c>
      <c r="FK357" s="635">
        <v>16.228999999999999</v>
      </c>
      <c r="FL357" s="635">
        <v>16.045000000000002</v>
      </c>
      <c r="FM357" s="635">
        <v>18.062000000000001</v>
      </c>
      <c r="FN357" s="635">
        <v>17.219000000000001</v>
      </c>
      <c r="FO357" s="635">
        <v>16.215</v>
      </c>
      <c r="FP357" s="635">
        <v>14.752000000000001</v>
      </c>
      <c r="FQ357" s="635">
        <v>15.162000000000001</v>
      </c>
      <c r="FR357" s="635">
        <v>11.968999999999999</v>
      </c>
      <c r="FS357" s="635">
        <v>13.276</v>
      </c>
      <c r="FT357" s="635">
        <v>13.46</v>
      </c>
      <c r="FU357" s="635">
        <v>13.51</v>
      </c>
      <c r="FV357" s="635">
        <v>15.209</v>
      </c>
      <c r="FW357" s="635">
        <v>16.302</v>
      </c>
      <c r="FX357" s="635">
        <v>16.012</v>
      </c>
      <c r="FY357" s="635">
        <v>15.348000000000001</v>
      </c>
      <c r="FZ357" s="635">
        <v>16.026</v>
      </c>
      <c r="GA357" s="635">
        <v>16.289000000000001</v>
      </c>
      <c r="GB357" s="635">
        <v>15.377000000000001</v>
      </c>
      <c r="GC357" s="635">
        <v>13.786</v>
      </c>
      <c r="GD357" s="635">
        <v>14.055999999999999</v>
      </c>
      <c r="GE357" s="635">
        <v>14.763999999999999</v>
      </c>
      <c r="GF357" s="635">
        <v>15.266999999999999</v>
      </c>
      <c r="GG357" s="635">
        <v>15.19</v>
      </c>
      <c r="GH357" s="635">
        <v>15.55</v>
      </c>
      <c r="GI357" s="635">
        <v>16.244</v>
      </c>
      <c r="GJ357" s="635">
        <v>15.045</v>
      </c>
      <c r="GK357" s="635">
        <v>15.429</v>
      </c>
      <c r="GL357" s="635">
        <v>15.005000000000001</v>
      </c>
      <c r="GM357" s="635">
        <v>15.414999999999999</v>
      </c>
      <c r="GN357" s="635">
        <v>15.438000000000001</v>
      </c>
      <c r="GO357" s="635">
        <v>15.731</v>
      </c>
      <c r="GP357" s="635">
        <v>16.032</v>
      </c>
      <c r="GQ357" s="635">
        <v>16.189</v>
      </c>
      <c r="GR357" s="635">
        <v>16.72</v>
      </c>
      <c r="GS357" s="635">
        <v>16.27</v>
      </c>
      <c r="GT357" s="635">
        <v>15.936</v>
      </c>
      <c r="GU357" s="635">
        <v>15.616</v>
      </c>
      <c r="GV357" s="635">
        <v>15.294</v>
      </c>
      <c r="GW357" s="635">
        <v>13.977</v>
      </c>
      <c r="GX357" s="635">
        <v>14.081</v>
      </c>
      <c r="GY357" s="635">
        <v>13.911</v>
      </c>
      <c r="GZ357" s="635">
        <v>14.138999999999999</v>
      </c>
      <c r="HA357" s="635">
        <v>14.287000000000001</v>
      </c>
      <c r="HB357" s="635">
        <v>13.659000000000001</v>
      </c>
      <c r="HC357" s="635">
        <v>13.821</v>
      </c>
      <c r="HD357" s="635">
        <v>13.054</v>
      </c>
      <c r="HE357" s="635">
        <v>13.474</v>
      </c>
      <c r="HF357" s="635">
        <v>14.260999999999999</v>
      </c>
      <c r="HG357" s="635">
        <v>14.163</v>
      </c>
      <c r="HH357" s="635">
        <v>14.738</v>
      </c>
      <c r="HI357" s="635">
        <v>14.464</v>
      </c>
      <c r="HJ357" s="635">
        <v>14.172000000000001</v>
      </c>
      <c r="HK357" s="635">
        <v>13.805</v>
      </c>
      <c r="HL357" s="635">
        <v>14.032999999999999</v>
      </c>
      <c r="HM357" s="635">
        <v>13.852</v>
      </c>
      <c r="HN357" s="635">
        <v>13.743</v>
      </c>
      <c r="HO357" s="635">
        <v>13.728999999999999</v>
      </c>
      <c r="HP357" s="635">
        <v>14.856999999999999</v>
      </c>
      <c r="HQ357" s="635">
        <v>16.372</v>
      </c>
      <c r="HR357" s="635">
        <v>16.797000000000001</v>
      </c>
      <c r="HS357" s="635">
        <v>16.472000000000001</v>
      </c>
      <c r="HT357" s="635">
        <v>17.556000000000001</v>
      </c>
      <c r="HU357" s="635">
        <v>18.684000000000001</v>
      </c>
      <c r="HV357" s="635">
        <v>19.311</v>
      </c>
      <c r="HW357" s="635">
        <v>19.706</v>
      </c>
      <c r="HX357" s="635">
        <v>19.094999999999999</v>
      </c>
      <c r="HY357" s="635">
        <v>19.672999999999998</v>
      </c>
      <c r="HZ357" s="635">
        <v>19.135999999999999</v>
      </c>
      <c r="IA357" s="635">
        <v>19.963000000000001</v>
      </c>
      <c r="IB357" s="635">
        <v>20.152999999999999</v>
      </c>
      <c r="IC357" s="635">
        <v>21.59</v>
      </c>
      <c r="ID357" s="635">
        <v>21.863</v>
      </c>
      <c r="IE357" s="635">
        <v>20.335999999999999</v>
      </c>
      <c r="IF357" s="635">
        <v>21.096</v>
      </c>
      <c r="IG357" s="635">
        <v>20.521000000000001</v>
      </c>
      <c r="IH357" s="635">
        <v>21.524999999999999</v>
      </c>
      <c r="II357" s="635">
        <v>21.303999999999998</v>
      </c>
      <c r="IJ357" s="635">
        <v>20.951000000000001</v>
      </c>
      <c r="IK357" s="635">
        <v>22.065999999999999</v>
      </c>
      <c r="IL357" s="635">
        <v>23.381</v>
      </c>
      <c r="IM357" s="635">
        <v>21.863</v>
      </c>
      <c r="IN357" s="635">
        <v>21.542000000000002</v>
      </c>
      <c r="IO357" s="635">
        <v>21.731999999999999</v>
      </c>
      <c r="IP357" s="635">
        <v>22.263000000000002</v>
      </c>
      <c r="IQ357" s="635">
        <v>22.327999999999999</v>
      </c>
      <c r="IR357" s="635">
        <v>22.405000000000001</v>
      </c>
      <c r="IS357" s="635">
        <v>23.373999999999999</v>
      </c>
      <c r="IT357" s="635">
        <v>23.74</v>
      </c>
      <c r="IU357" s="635">
        <v>24.550999999999998</v>
      </c>
      <c r="IV357" s="635">
        <v>24.731000000000002</v>
      </c>
      <c r="IW357" s="635">
        <v>25.433</v>
      </c>
      <c r="IX357" s="635">
        <v>27.452999999999999</v>
      </c>
      <c r="IY357" s="635">
        <v>29.606000000000002</v>
      </c>
      <c r="IZ357" s="635">
        <v>27.29</v>
      </c>
      <c r="JA357" s="635">
        <v>28.577000000000002</v>
      </c>
      <c r="JB357" s="635">
        <v>28.744</v>
      </c>
      <c r="JC357" s="635">
        <v>28.428000000000001</v>
      </c>
      <c r="JD357" s="635">
        <v>27.794</v>
      </c>
      <c r="JE357" s="635">
        <v>28.411999999999999</v>
      </c>
      <c r="JF357" s="635">
        <v>28.611000000000001</v>
      </c>
      <c r="JG357" s="635">
        <v>28.427</v>
      </c>
      <c r="JH357" s="635">
        <v>28.483000000000001</v>
      </c>
      <c r="JI357" s="635">
        <v>29.632000000000001</v>
      </c>
      <c r="JJ357" s="635">
        <v>29.709</v>
      </c>
      <c r="JK357" s="635">
        <v>25.975000000000001</v>
      </c>
      <c r="JL357" s="635">
        <v>25.111000000000001</v>
      </c>
      <c r="JM357" s="635">
        <v>23.852</v>
      </c>
      <c r="JN357" s="635">
        <v>25.242999999999999</v>
      </c>
      <c r="JO357" s="635">
        <v>26.234000000000002</v>
      </c>
      <c r="JP357" s="635">
        <v>25.69</v>
      </c>
      <c r="JQ357" s="635">
        <v>25.548999999999999</v>
      </c>
      <c r="JR357" s="635">
        <v>25.616</v>
      </c>
      <c r="JS357" s="635">
        <v>26.28</v>
      </c>
      <c r="JT357" s="635">
        <v>25.855</v>
      </c>
      <c r="JU357" s="635">
        <v>24.495999999999999</v>
      </c>
      <c r="JV357" s="635">
        <v>24.704000000000001</v>
      </c>
      <c r="JW357" s="635">
        <v>24.84</v>
      </c>
      <c r="JX357" s="635">
        <v>24.234000000000002</v>
      </c>
      <c r="JY357" s="635">
        <v>24.292999999999999</v>
      </c>
      <c r="JZ357" s="635">
        <v>23.965</v>
      </c>
      <c r="KA357" s="635">
        <v>23.78</v>
      </c>
      <c r="KB357" s="635">
        <v>21.747</v>
      </c>
      <c r="KC357" s="635">
        <v>21.27</v>
      </c>
      <c r="KD357" s="635">
        <v>22.585000000000001</v>
      </c>
      <c r="KE357" s="635">
        <v>20.765000000000001</v>
      </c>
      <c r="KF357" s="635">
        <v>20.56</v>
      </c>
      <c r="KG357" s="635">
        <v>21.867000000000001</v>
      </c>
      <c r="KH357" s="635">
        <v>20.893000000000001</v>
      </c>
      <c r="KI357" s="635">
        <v>19.881</v>
      </c>
      <c r="KJ357" s="635">
        <v>18.914999999999999</v>
      </c>
      <c r="KK357" s="635">
        <v>18.2</v>
      </c>
      <c r="KL357" s="635">
        <v>17.135999999999999</v>
      </c>
      <c r="KM357" s="635">
        <v>20.501999999999999</v>
      </c>
      <c r="KN357" s="635">
        <v>20.334</v>
      </c>
      <c r="KO357" s="635">
        <v>21.294</v>
      </c>
      <c r="KP357" s="635">
        <v>21.114999999999998</v>
      </c>
      <c r="KQ357" s="635">
        <v>21.547000000000001</v>
      </c>
      <c r="KR357" s="635">
        <v>20.602</v>
      </c>
      <c r="KS357" s="635">
        <v>21.361000000000001</v>
      </c>
      <c r="KT357" s="635">
        <v>19.88</v>
      </c>
      <c r="KU357" s="635">
        <v>19.931999999999999</v>
      </c>
      <c r="KV357" s="635">
        <v>20.393000000000001</v>
      </c>
      <c r="KW357" s="635">
        <v>20.154</v>
      </c>
      <c r="KX357" s="635">
        <v>19.183</v>
      </c>
      <c r="KY357" s="635">
        <v>19.491</v>
      </c>
      <c r="KZ357" s="635">
        <v>18.832000000000001</v>
      </c>
      <c r="LA357" s="635">
        <v>18.606000000000002</v>
      </c>
      <c r="LB357" s="635">
        <v>19.346</v>
      </c>
      <c r="LC357" s="635">
        <v>20.329999999999998</v>
      </c>
      <c r="LD357" s="635">
        <v>20.141999999999999</v>
      </c>
      <c r="LE357" s="635">
        <v>21.033000000000001</v>
      </c>
      <c r="LF357" s="635">
        <v>21.050999999999998</v>
      </c>
      <c r="LG357" s="635">
        <v>20.422000000000001</v>
      </c>
      <c r="LH357" s="635">
        <v>20.812999999999999</v>
      </c>
      <c r="LI357" s="635">
        <v>20.606000000000002</v>
      </c>
      <c r="LJ357" s="635">
        <v>21.366</v>
      </c>
      <c r="LK357" s="635">
        <v>23.202999999999999</v>
      </c>
      <c r="LL357" s="635">
        <v>22.286999999999999</v>
      </c>
      <c r="LM357" s="635">
        <v>22.488</v>
      </c>
      <c r="LN357" s="635">
        <v>22.516999999999999</v>
      </c>
      <c r="LO357" s="635">
        <v>21.751000000000001</v>
      </c>
      <c r="LP357" s="635">
        <v>21.884</v>
      </c>
      <c r="LQ357" s="635">
        <v>22.649000000000001</v>
      </c>
      <c r="LR357" s="635">
        <v>21.905000000000001</v>
      </c>
      <c r="LS357" s="635">
        <v>22.201000000000001</v>
      </c>
      <c r="LT357" s="635">
        <v>19.715</v>
      </c>
      <c r="LU357" s="635">
        <v>18.821999999999999</v>
      </c>
      <c r="LV357" s="635">
        <v>18.613</v>
      </c>
      <c r="LW357" s="635">
        <v>18.146000000000001</v>
      </c>
      <c r="LX357" s="635">
        <v>19.015999999999998</v>
      </c>
      <c r="LY357" s="635">
        <v>18.358000000000001</v>
      </c>
      <c r="LZ357" s="635">
        <v>18.055</v>
      </c>
      <c r="MA357" s="635">
        <v>17.984000000000002</v>
      </c>
      <c r="MB357" s="635">
        <v>17.785</v>
      </c>
      <c r="MC357" s="635">
        <v>18.021999999999998</v>
      </c>
      <c r="MD357" s="635">
        <v>16.861000000000001</v>
      </c>
      <c r="ME357" s="635">
        <v>16.542999999999999</v>
      </c>
      <c r="MF357" s="635">
        <v>15.811</v>
      </c>
      <c r="MG357" s="635">
        <v>15.323</v>
      </c>
      <c r="MH357" s="635">
        <v>15.807</v>
      </c>
      <c r="MI357" s="635">
        <v>15.461</v>
      </c>
      <c r="MJ357" s="635">
        <v>15.489000000000001</v>
      </c>
      <c r="MK357" s="635">
        <v>15.103</v>
      </c>
      <c r="ML357" s="635">
        <v>15.728</v>
      </c>
      <c r="MM357" s="635">
        <v>15.57</v>
      </c>
      <c r="MN357" s="635">
        <v>16.254999999999999</v>
      </c>
      <c r="MO357" s="635">
        <v>16.207999999999998</v>
      </c>
      <c r="MP357" s="635">
        <v>16.594999999999999</v>
      </c>
      <c r="MQ357" s="635">
        <v>16.908999999999999</v>
      </c>
      <c r="MR357" s="635">
        <v>16.757999999999999</v>
      </c>
      <c r="MS357" s="635">
        <v>16.722999999999999</v>
      </c>
      <c r="MT357" s="635">
        <v>16.22</v>
      </c>
      <c r="MU357" s="635">
        <v>15.353999999999999</v>
      </c>
      <c r="MV357" s="635">
        <v>16.056999999999999</v>
      </c>
      <c r="MW357" s="635">
        <v>16.22</v>
      </c>
      <c r="MX357" s="635">
        <v>16.178999999999998</v>
      </c>
      <c r="MY357" s="635">
        <v>16.05</v>
      </c>
      <c r="MZ357" s="635">
        <v>16.353999999999999</v>
      </c>
      <c r="NA357" s="635">
        <v>16.347000000000001</v>
      </c>
      <c r="NB357" s="635">
        <v>16.556000000000001</v>
      </c>
      <c r="NC357" s="635">
        <v>16.065000000000001</v>
      </c>
      <c r="ND357" s="635">
        <v>16.213000000000001</v>
      </c>
      <c r="NE357" s="635">
        <v>16.527000000000001</v>
      </c>
      <c r="NF357" s="635">
        <v>16.707000000000001</v>
      </c>
      <c r="NG357" s="635">
        <v>16.640999999999998</v>
      </c>
      <c r="NH357" s="635">
        <v>16.718</v>
      </c>
      <c r="NI357" s="635">
        <v>17.599</v>
      </c>
      <c r="NJ357" s="635">
        <v>18.222000000000001</v>
      </c>
      <c r="NK357" s="635">
        <v>18.009</v>
      </c>
      <c r="NL357" s="635">
        <v>18.46</v>
      </c>
      <c r="NM357" s="635">
        <v>18.247</v>
      </c>
      <c r="NN357" s="635">
        <v>18.219000000000001</v>
      </c>
      <c r="NO357" s="635">
        <v>18.170999999999999</v>
      </c>
      <c r="NP357" s="635">
        <v>18.196999999999999</v>
      </c>
      <c r="NQ357" s="635">
        <v>17.678999999999998</v>
      </c>
      <c r="NR357" s="635">
        <v>17.279</v>
      </c>
      <c r="NS357" s="635">
        <v>17.498000000000001</v>
      </c>
      <c r="NT357" s="635">
        <v>17.609000000000002</v>
      </c>
      <c r="NU357" s="635">
        <v>18.379000000000001</v>
      </c>
      <c r="NV357" s="635">
        <v>17.919</v>
      </c>
      <c r="NW357" s="635">
        <v>17.513000000000002</v>
      </c>
      <c r="NX357" s="635">
        <v>17.439</v>
      </c>
      <c r="NY357" s="635">
        <v>17.268000000000001</v>
      </c>
      <c r="NZ357" s="635">
        <v>17.321000000000002</v>
      </c>
      <c r="OA357" s="635">
        <v>17.704000000000001</v>
      </c>
      <c r="OB357" s="635">
        <v>17.564</v>
      </c>
      <c r="OC357" s="635">
        <v>17.402999999999999</v>
      </c>
      <c r="OD357" s="635">
        <v>17.245000000000001</v>
      </c>
      <c r="OE357" s="635">
        <v>15.132999999999999</v>
      </c>
      <c r="OF357" s="635">
        <v>15.249000000000001</v>
      </c>
      <c r="OG357" s="635">
        <v>15.301</v>
      </c>
      <c r="OH357" s="635">
        <v>16.018999999999998</v>
      </c>
      <c r="OI357" s="635">
        <v>16.251999999999999</v>
      </c>
      <c r="OJ357" s="635">
        <v>16.783000000000001</v>
      </c>
      <c r="OK357" s="635">
        <v>16.785</v>
      </c>
      <c r="OL357" s="635">
        <v>16.812999999999999</v>
      </c>
      <c r="OM357" s="635">
        <v>16.901</v>
      </c>
      <c r="ON357" s="635">
        <v>16.533000000000001</v>
      </c>
      <c r="OO357" s="635">
        <v>16.88</v>
      </c>
      <c r="OP357" s="635">
        <v>16.791</v>
      </c>
      <c r="OQ357" s="635">
        <v>16.739999999999998</v>
      </c>
      <c r="OR357" s="635">
        <v>17.081</v>
      </c>
      <c r="OS357" s="635">
        <v>16.960999999999999</v>
      </c>
      <c r="OT357" s="635">
        <v>16.228000000000002</v>
      </c>
      <c r="OU357" s="635">
        <v>15.744</v>
      </c>
      <c r="OV357" s="635">
        <v>16.294</v>
      </c>
      <c r="OW357" s="635">
        <v>15.927</v>
      </c>
      <c r="OX357" s="635">
        <v>16.088000000000001</v>
      </c>
      <c r="OY357" s="635">
        <v>16.704000000000001</v>
      </c>
      <c r="OZ357" s="635">
        <v>16.754999999999999</v>
      </c>
      <c r="PA357" s="635">
        <v>16.82</v>
      </c>
      <c r="PB357" s="635">
        <v>16.582000000000001</v>
      </c>
      <c r="PC357" s="635">
        <v>16.837</v>
      </c>
      <c r="PD357" s="635">
        <v>17.286000000000001</v>
      </c>
      <c r="PE357" s="635">
        <v>17.399000000000001</v>
      </c>
      <c r="PF357" s="635">
        <v>17.361000000000001</v>
      </c>
      <c r="PG357" s="635">
        <v>17.321000000000002</v>
      </c>
      <c r="PH357" s="635">
        <v>17.349</v>
      </c>
      <c r="PI357" s="635">
        <v>17.806000000000001</v>
      </c>
      <c r="PJ357" s="635">
        <v>17.829000000000001</v>
      </c>
      <c r="PK357" s="635">
        <v>17.852</v>
      </c>
      <c r="PL357" s="635">
        <v>17.411999999999999</v>
      </c>
      <c r="PM357" s="635">
        <v>17.571999999999999</v>
      </c>
      <c r="PN357" s="635">
        <v>17.606999999999999</v>
      </c>
      <c r="PO357" s="635">
        <v>17.875</v>
      </c>
      <c r="PP357" s="635">
        <v>17.902000000000001</v>
      </c>
      <c r="PQ357" s="635">
        <v>17.962</v>
      </c>
      <c r="PR357" s="635">
        <v>17.268000000000001</v>
      </c>
      <c r="PS357" s="635">
        <v>17.486000000000001</v>
      </c>
      <c r="PT357" s="635">
        <v>17.783000000000001</v>
      </c>
      <c r="PU357" s="635">
        <v>17.823</v>
      </c>
      <c r="PV357" s="635">
        <v>18.314</v>
      </c>
      <c r="PW357" s="635">
        <v>18.715</v>
      </c>
      <c r="PX357" s="635">
        <v>18.388999999999999</v>
      </c>
      <c r="PY357" s="635">
        <v>18.478000000000002</v>
      </c>
      <c r="PZ357" s="635">
        <v>18.34</v>
      </c>
      <c r="QA357" s="635">
        <v>18.334</v>
      </c>
      <c r="QB357" s="635">
        <v>18.483000000000001</v>
      </c>
      <c r="QC357" s="635">
        <v>18.460999999999999</v>
      </c>
      <c r="QD357" s="635">
        <v>18.512</v>
      </c>
      <c r="QE357" s="635">
        <v>18.768000000000001</v>
      </c>
      <c r="QF357" s="635">
        <v>18.576000000000001</v>
      </c>
      <c r="QG357" s="635">
        <v>18.728999999999999</v>
      </c>
      <c r="QH357" s="635">
        <v>19.055</v>
      </c>
      <c r="QI357" s="635">
        <v>19.181999999999999</v>
      </c>
      <c r="QJ357" s="635">
        <v>19.353000000000002</v>
      </c>
      <c r="QK357" s="635">
        <v>19.937000000000001</v>
      </c>
      <c r="QL357" s="635">
        <v>20.577999999999999</v>
      </c>
      <c r="QM357" s="635">
        <v>20.440000000000001</v>
      </c>
      <c r="QN357" s="635">
        <v>18.297000000000001</v>
      </c>
      <c r="QO357" s="635">
        <v>18.891999999999999</v>
      </c>
      <c r="QP357" s="635">
        <v>19.224</v>
      </c>
      <c r="QQ357" s="635">
        <v>21.97</v>
      </c>
      <c r="QR357" s="635">
        <v>21.832000000000001</v>
      </c>
      <c r="QS357" s="635">
        <v>22.248000000000001</v>
      </c>
      <c r="QT357" s="635">
        <v>23.088000000000001</v>
      </c>
      <c r="QU357" s="635">
        <v>23.88</v>
      </c>
      <c r="QV357" s="635">
        <v>25.908000000000001</v>
      </c>
      <c r="QW357" s="635">
        <v>25.123999999999999</v>
      </c>
      <c r="QX357" s="635">
        <v>26.021000000000001</v>
      </c>
      <c r="QY357" s="635">
        <v>26.364999999999998</v>
      </c>
      <c r="QZ357" s="635">
        <v>26.198</v>
      </c>
      <c r="RA357" s="635">
        <v>24.93</v>
      </c>
      <c r="RB357" s="635">
        <v>21.94</v>
      </c>
      <c r="RC357" s="635">
        <v>22.893000000000001</v>
      </c>
      <c r="RD357" s="635">
        <v>22.797999999999998</v>
      </c>
      <c r="RE357" s="635">
        <v>22.152999999999999</v>
      </c>
      <c r="RF357" s="635">
        <v>21.724</v>
      </c>
      <c r="RG357" s="635">
        <v>22.61</v>
      </c>
      <c r="RH357" s="635">
        <v>23.344999999999999</v>
      </c>
      <c r="RI357" s="635">
        <v>23.503</v>
      </c>
      <c r="RJ357" s="635">
        <v>24.375</v>
      </c>
      <c r="RK357" s="635">
        <v>24.798999999999999</v>
      </c>
      <c r="RL357" s="635">
        <v>23.774000000000001</v>
      </c>
      <c r="RM357" s="635">
        <v>23.922999999999998</v>
      </c>
      <c r="RN357" s="635">
        <v>23.193000000000001</v>
      </c>
      <c r="RO357" s="635">
        <v>24.373000000000001</v>
      </c>
      <c r="RP357" s="635">
        <v>24.54</v>
      </c>
      <c r="RQ357" s="635">
        <v>23.472999999999999</v>
      </c>
      <c r="RR357" s="635">
        <v>23.25</v>
      </c>
      <c r="RS357" s="635">
        <v>21.757999999999999</v>
      </c>
      <c r="RT357" s="635">
        <v>21.63</v>
      </c>
      <c r="RU357" s="635">
        <v>22.545999999999999</v>
      </c>
      <c r="RV357" s="635">
        <v>22.914999999999999</v>
      </c>
      <c r="RW357" s="635">
        <v>21.518000000000001</v>
      </c>
      <c r="RX357" s="635">
        <v>21.802</v>
      </c>
      <c r="RY357" s="635">
        <v>20.716999999999999</v>
      </c>
      <c r="RZ357" s="635">
        <v>20.547000000000001</v>
      </c>
      <c r="SA357" s="635">
        <v>20.922000000000001</v>
      </c>
      <c r="SB357" s="635">
        <v>19.87</v>
      </c>
      <c r="SC357" s="635">
        <v>19.991</v>
      </c>
      <c r="SD357" s="635">
        <v>19.292000000000002</v>
      </c>
      <c r="SE357" s="635">
        <v>20.119</v>
      </c>
      <c r="SF357" s="635">
        <v>21.626999999999999</v>
      </c>
      <c r="SG357" s="635">
        <v>22.873000000000001</v>
      </c>
      <c r="SH357" s="635">
        <v>23.45</v>
      </c>
      <c r="SI357" s="635">
        <v>23.332999999999998</v>
      </c>
      <c r="SJ357" s="635">
        <v>23.283999999999999</v>
      </c>
      <c r="SK357" s="635">
        <v>22.945</v>
      </c>
      <c r="SL357" s="635">
        <v>22.654</v>
      </c>
      <c r="SM357" s="635">
        <v>25.719000000000001</v>
      </c>
      <c r="SN357" s="635">
        <v>24.643000000000001</v>
      </c>
      <c r="SO357" s="635">
        <v>23.326000000000001</v>
      </c>
      <c r="SP357" s="635">
        <v>22.824000000000002</v>
      </c>
      <c r="SQ357" s="635">
        <v>22.015000000000001</v>
      </c>
      <c r="SR357" s="635">
        <v>22.683</v>
      </c>
      <c r="SS357" s="635">
        <v>22.817</v>
      </c>
      <c r="ST357" s="635">
        <v>23.713999999999999</v>
      </c>
      <c r="SU357" s="635">
        <v>22.113</v>
      </c>
      <c r="SV357" s="635">
        <v>22.5</v>
      </c>
      <c r="SW357" s="635">
        <v>22.091000000000001</v>
      </c>
      <c r="SX357" s="635">
        <v>21.343</v>
      </c>
      <c r="SY357" s="635">
        <v>21.356999999999999</v>
      </c>
      <c r="SZ357" s="635">
        <v>20.234000000000002</v>
      </c>
      <c r="TA357" s="635">
        <v>19.936</v>
      </c>
      <c r="TB357" s="635">
        <v>19.687000000000001</v>
      </c>
      <c r="TC357" s="635">
        <v>17.491</v>
      </c>
      <c r="TD357" s="635">
        <v>15.47</v>
      </c>
      <c r="TE357" s="635">
        <v>15.792</v>
      </c>
      <c r="TF357" s="635">
        <v>17.478000000000002</v>
      </c>
      <c r="TG357" s="635">
        <v>17.376000000000001</v>
      </c>
      <c r="TH357" s="635">
        <v>16.898</v>
      </c>
      <c r="TI357" s="635">
        <v>16.626999999999999</v>
      </c>
      <c r="TJ357" s="635">
        <v>17.228000000000002</v>
      </c>
      <c r="TK357" s="635">
        <v>17.422999999999998</v>
      </c>
      <c r="TL357" s="635">
        <v>17.704000000000001</v>
      </c>
      <c r="TM357" s="635">
        <v>17.896000000000001</v>
      </c>
      <c r="TN357" s="635">
        <v>17.369</v>
      </c>
      <c r="TO357" s="635">
        <v>16.513999999999999</v>
      </c>
      <c r="TP357" s="635">
        <v>16.815999999999999</v>
      </c>
      <c r="TQ357" s="635">
        <v>17.712</v>
      </c>
      <c r="TR357" s="635">
        <v>17.731000000000002</v>
      </c>
      <c r="TS357" s="635">
        <v>16.827999999999999</v>
      </c>
      <c r="TT357" s="635">
        <v>16.456</v>
      </c>
      <c r="TU357" s="635">
        <v>15.775</v>
      </c>
      <c r="TV357" s="635">
        <v>14.670999999999999</v>
      </c>
      <c r="TW357" s="635">
        <v>15.375999999999999</v>
      </c>
      <c r="TX357" s="635">
        <v>15.551</v>
      </c>
      <c r="TY357" s="635">
        <v>16.713999999999999</v>
      </c>
      <c r="TZ357" s="635">
        <v>16.597999999999999</v>
      </c>
      <c r="UA357" s="635">
        <v>16.896000000000001</v>
      </c>
      <c r="UB357" s="635">
        <v>16.116</v>
      </c>
      <c r="UC357" s="635">
        <v>16.097000000000001</v>
      </c>
      <c r="UD357" s="635">
        <v>15.45</v>
      </c>
      <c r="UE357" s="635">
        <v>15.83</v>
      </c>
      <c r="UF357" s="635">
        <v>16.494</v>
      </c>
      <c r="UG357" s="635">
        <v>16.097000000000001</v>
      </c>
      <c r="UH357" s="635">
        <v>15.272</v>
      </c>
      <c r="UI357" s="635">
        <v>14.715999999999999</v>
      </c>
      <c r="UJ357" s="635">
        <v>15.398</v>
      </c>
      <c r="UK357" s="635">
        <v>16.134</v>
      </c>
      <c r="UL357" s="635">
        <v>16.736000000000001</v>
      </c>
      <c r="UM357" s="635">
        <v>17.385000000000002</v>
      </c>
      <c r="UN357" s="635">
        <v>17.687999999999999</v>
      </c>
      <c r="UO357" s="635">
        <v>19.085999999999999</v>
      </c>
      <c r="UP357" s="635">
        <v>19.184999999999999</v>
      </c>
      <c r="UQ357" s="635">
        <v>19.469000000000001</v>
      </c>
      <c r="UR357" s="635">
        <v>19.405999999999999</v>
      </c>
      <c r="US357" s="635">
        <v>20.965</v>
      </c>
      <c r="UT357" s="635">
        <v>21.114000000000001</v>
      </c>
      <c r="UU357" s="635">
        <v>21.007000000000001</v>
      </c>
      <c r="UV357" s="635">
        <v>20.692</v>
      </c>
      <c r="UW357" s="635">
        <v>20.826000000000001</v>
      </c>
      <c r="UX357" s="635">
        <v>21.995000000000001</v>
      </c>
      <c r="UY357" s="635">
        <v>20.954000000000001</v>
      </c>
      <c r="UZ357" s="635">
        <v>20.081</v>
      </c>
      <c r="VA357" s="635">
        <v>20.300999999999998</v>
      </c>
      <c r="VB357" s="635">
        <v>19.690999999999999</v>
      </c>
      <c r="VC357" s="635">
        <v>18.739999999999998</v>
      </c>
      <c r="VD357" s="635">
        <v>18.951000000000001</v>
      </c>
      <c r="VE357" s="635">
        <v>19.632000000000001</v>
      </c>
      <c r="VF357" s="635">
        <v>18.914000000000001</v>
      </c>
      <c r="VG357" s="635">
        <v>19.283999999999999</v>
      </c>
      <c r="VH357" s="635">
        <v>19.742999999999999</v>
      </c>
      <c r="VI357" s="635">
        <v>16.239999999999998</v>
      </c>
      <c r="VJ357" s="635">
        <v>16.763999999999999</v>
      </c>
      <c r="VK357" s="635">
        <v>16.702000000000002</v>
      </c>
      <c r="VL357" s="635">
        <v>16.626000000000001</v>
      </c>
      <c r="VM357" s="635">
        <v>14.6</v>
      </c>
      <c r="VN357" s="635">
        <v>14.685</v>
      </c>
      <c r="VO357" s="635">
        <v>14.618</v>
      </c>
      <c r="VP357" s="635">
        <v>14.506</v>
      </c>
      <c r="VQ357" s="635">
        <v>15.042</v>
      </c>
      <c r="VR357" s="635">
        <v>15.147</v>
      </c>
      <c r="VS357" s="635">
        <v>15.869</v>
      </c>
      <c r="VT357" s="635">
        <v>14.548</v>
      </c>
      <c r="VU357" s="635">
        <v>14.420999999999999</v>
      </c>
      <c r="VV357" s="635">
        <v>13.112</v>
      </c>
      <c r="VW357" s="635">
        <v>13.327999999999999</v>
      </c>
      <c r="VX357" s="635">
        <v>12.228</v>
      </c>
      <c r="VY357" s="635">
        <v>12.128</v>
      </c>
      <c r="VZ357" s="635">
        <v>12.82</v>
      </c>
      <c r="WA357" s="635">
        <v>12.067</v>
      </c>
      <c r="WB357" s="635">
        <v>12.686999999999999</v>
      </c>
      <c r="WC357" s="635">
        <v>11.824999999999999</v>
      </c>
      <c r="WD357" s="635">
        <v>11.818</v>
      </c>
      <c r="WE357" s="635">
        <v>11.06</v>
      </c>
      <c r="WF357" s="635">
        <v>11.243</v>
      </c>
      <c r="WG357" s="635">
        <v>10.464</v>
      </c>
      <c r="WH357" s="635">
        <v>10.975</v>
      </c>
      <c r="WI357" s="635">
        <v>11.79</v>
      </c>
      <c r="WJ357" s="635">
        <v>12.654999999999999</v>
      </c>
      <c r="WK357" s="635">
        <v>12.632</v>
      </c>
      <c r="WL357" s="635">
        <v>12.334</v>
      </c>
      <c r="WM357" s="635">
        <v>12.911</v>
      </c>
      <c r="WN357" s="635">
        <v>11.72</v>
      </c>
      <c r="WO357" s="635">
        <v>11.907999999999999</v>
      </c>
      <c r="WP357" s="635">
        <v>11.939</v>
      </c>
      <c r="WQ357" s="635">
        <v>12.087999999999999</v>
      </c>
      <c r="WR357" s="635">
        <v>11.98</v>
      </c>
      <c r="WS357" s="635">
        <v>11.606</v>
      </c>
      <c r="WT357" s="635">
        <v>10.782</v>
      </c>
      <c r="WU357" s="635">
        <v>11.039</v>
      </c>
      <c r="WV357" s="635">
        <v>11.644</v>
      </c>
      <c r="WW357" s="635">
        <v>10.65</v>
      </c>
      <c r="WX357" s="635">
        <v>10.833</v>
      </c>
      <c r="WY357" s="635">
        <v>11.846</v>
      </c>
      <c r="WZ357" s="635">
        <v>11.798999999999999</v>
      </c>
      <c r="XA357" s="635">
        <v>11.747999999999999</v>
      </c>
      <c r="XB357" s="635">
        <v>12.28</v>
      </c>
      <c r="XC357" s="635">
        <v>12.24</v>
      </c>
      <c r="XD357" s="635">
        <v>11.628</v>
      </c>
      <c r="XE357" s="635">
        <v>11.419</v>
      </c>
      <c r="XF357" s="635">
        <v>11.218</v>
      </c>
      <c r="XG357" s="635">
        <v>11.358000000000001</v>
      </c>
      <c r="XH357" s="635">
        <v>11.648</v>
      </c>
      <c r="XI357" s="635">
        <v>11.581</v>
      </c>
      <c r="XJ357" s="635">
        <v>12.221</v>
      </c>
      <c r="XK357" s="635">
        <v>12.532</v>
      </c>
      <c r="XL357" s="635">
        <v>11.712</v>
      </c>
      <c r="XM357" s="635">
        <v>11.648</v>
      </c>
      <c r="XN357" s="635">
        <v>11.846</v>
      </c>
      <c r="XO357" s="635">
        <v>11.91</v>
      </c>
      <c r="XP357" s="635">
        <v>11.997999999999999</v>
      </c>
      <c r="XQ357" s="635">
        <v>12.022</v>
      </c>
      <c r="XR357" s="635">
        <v>12.271000000000001</v>
      </c>
      <c r="XS357" s="635">
        <v>11.452999999999999</v>
      </c>
      <c r="XT357" s="635">
        <v>12.573</v>
      </c>
      <c r="XU357" s="635">
        <v>12.598000000000001</v>
      </c>
      <c r="XV357" s="635">
        <v>12.523</v>
      </c>
      <c r="XW357" s="635">
        <v>12.076000000000001</v>
      </c>
      <c r="XX357" s="635">
        <v>12.821</v>
      </c>
      <c r="XY357" s="635">
        <v>13.105</v>
      </c>
      <c r="XZ357" s="635">
        <v>13.863</v>
      </c>
      <c r="YA357" s="635">
        <v>13.869</v>
      </c>
      <c r="YB357" s="635">
        <v>14.023</v>
      </c>
      <c r="YC357" s="635">
        <v>14.340999999999999</v>
      </c>
      <c r="YD357" s="635">
        <v>14.398999999999999</v>
      </c>
      <c r="YE357" s="635">
        <v>13.444000000000001</v>
      </c>
      <c r="YF357" s="635">
        <v>13.548999999999999</v>
      </c>
      <c r="YG357" s="635">
        <v>13.218</v>
      </c>
      <c r="YH357" s="635">
        <v>13.733000000000001</v>
      </c>
      <c r="YI357" s="635">
        <v>13.372</v>
      </c>
      <c r="YJ357" s="635">
        <v>13.997</v>
      </c>
      <c r="YK357" s="635">
        <v>14.430999999999999</v>
      </c>
      <c r="YL357" s="635">
        <v>14.302</v>
      </c>
      <c r="YM357" s="635">
        <v>14.182</v>
      </c>
      <c r="YN357" s="635">
        <v>14.13</v>
      </c>
      <c r="YO357" s="635">
        <v>13.84</v>
      </c>
      <c r="YP357" s="635">
        <v>13.525</v>
      </c>
      <c r="YQ357" s="635">
        <v>13.83</v>
      </c>
      <c r="YR357" s="635">
        <v>13.86</v>
      </c>
      <c r="YS357" s="635">
        <v>13.811999999999999</v>
      </c>
      <c r="YT357" s="635">
        <v>13.44</v>
      </c>
      <c r="YU357" s="635">
        <v>13.288</v>
      </c>
      <c r="YV357" s="635">
        <v>12.955</v>
      </c>
      <c r="YW357" s="635">
        <v>12.858000000000001</v>
      </c>
      <c r="YX357" s="635">
        <v>12.93</v>
      </c>
      <c r="YY357" s="635">
        <v>12.606</v>
      </c>
      <c r="YZ357" s="635">
        <v>12.802</v>
      </c>
      <c r="ZA357" s="635">
        <v>13.234999999999999</v>
      </c>
      <c r="ZB357" s="635">
        <v>13.494999999999999</v>
      </c>
      <c r="ZC357" s="635">
        <v>13.981</v>
      </c>
      <c r="ZD357" s="635">
        <v>14.202</v>
      </c>
      <c r="ZE357" s="635">
        <v>13.629</v>
      </c>
      <c r="ZF357" s="635">
        <v>14.118</v>
      </c>
      <c r="ZG357" s="635">
        <v>14.170999999999999</v>
      </c>
      <c r="ZH357" s="635">
        <v>14.151999999999999</v>
      </c>
      <c r="ZI357" s="635">
        <v>14.419</v>
      </c>
      <c r="ZJ357" s="635">
        <v>14.403</v>
      </c>
      <c r="ZK357" s="635">
        <v>14.032999999999999</v>
      </c>
      <c r="ZL357" s="635">
        <v>13.462999999999999</v>
      </c>
      <c r="ZM357" s="635">
        <v>12.845000000000001</v>
      </c>
      <c r="ZN357" s="635">
        <v>12.877000000000001</v>
      </c>
      <c r="ZO357" s="635">
        <v>13.2</v>
      </c>
      <c r="ZP357" s="635">
        <v>13.427</v>
      </c>
      <c r="ZQ357" s="635">
        <v>12.513</v>
      </c>
      <c r="ZR357" s="635">
        <v>12.375</v>
      </c>
      <c r="ZS357" s="635">
        <v>11.308999999999999</v>
      </c>
      <c r="ZT357" s="635">
        <v>11.637</v>
      </c>
      <c r="ZU357" s="635">
        <v>11.234</v>
      </c>
      <c r="ZV357" s="635">
        <v>11.109</v>
      </c>
      <c r="ZW357" s="635">
        <v>10.407</v>
      </c>
      <c r="ZX357" s="635">
        <v>10.401999999999999</v>
      </c>
      <c r="ZY357" s="635">
        <v>10.1</v>
      </c>
      <c r="ZZ357" s="635">
        <v>10.135</v>
      </c>
      <c r="AAA357" s="635">
        <v>10.343999999999999</v>
      </c>
      <c r="AAB357" s="635">
        <v>9.5630000000000006</v>
      </c>
      <c r="AAC357" s="635">
        <v>10.233000000000001</v>
      </c>
      <c r="AAD357" s="635">
        <v>10.272</v>
      </c>
      <c r="AAE357" s="635">
        <v>9.2940000000000005</v>
      </c>
      <c r="AAF357" s="635">
        <v>8.6760000000000002</v>
      </c>
      <c r="AAG357" s="635">
        <v>8.9760000000000009</v>
      </c>
      <c r="AAH357" s="635">
        <v>8.9109999999999996</v>
      </c>
      <c r="AAI357" s="635">
        <v>9.3819999999999997</v>
      </c>
      <c r="AAJ357" s="635">
        <v>9.4749999999999996</v>
      </c>
      <c r="AAK357" s="635">
        <v>9.4939999999999998</v>
      </c>
      <c r="AAL357" s="635">
        <v>9.6389999999999993</v>
      </c>
      <c r="AAM357" s="635">
        <v>9.5980000000000008</v>
      </c>
      <c r="AAN357" s="635">
        <v>9.61</v>
      </c>
      <c r="AAO357" s="635">
        <v>9.0679999999999996</v>
      </c>
      <c r="AAP357" s="635">
        <v>9.0820000000000007</v>
      </c>
      <c r="AAQ357" s="635">
        <v>8.7509999999999994</v>
      </c>
      <c r="AAR357" s="635">
        <v>8.3130000000000006</v>
      </c>
      <c r="AAS357" s="635">
        <v>8.0690000000000008</v>
      </c>
      <c r="AAT357" s="635">
        <v>7.4909999999999997</v>
      </c>
      <c r="AAU357" s="635">
        <v>8.0449999999999999</v>
      </c>
      <c r="AAV357" s="635">
        <v>8.266</v>
      </c>
      <c r="AAW357" s="635">
        <v>8.0540000000000003</v>
      </c>
      <c r="AAX357" s="635">
        <v>8.2010000000000005</v>
      </c>
      <c r="AAY357" s="635">
        <v>7.8840000000000003</v>
      </c>
      <c r="AAZ357" s="635">
        <v>7.726</v>
      </c>
      <c r="ABA357" s="635">
        <v>7.6</v>
      </c>
      <c r="ABB357" s="635">
        <v>7.0810000000000004</v>
      </c>
      <c r="ABC357" s="635">
        <v>7.1669999999999998</v>
      </c>
      <c r="ABD357" s="635">
        <v>7.7270000000000003</v>
      </c>
      <c r="ABE357" s="635">
        <v>7.7130000000000001</v>
      </c>
      <c r="ABF357" s="635">
        <v>7.7160000000000002</v>
      </c>
      <c r="ABG357" s="635">
        <v>7.6269999999999998</v>
      </c>
      <c r="ABH357" s="635">
        <v>8.2129999999999992</v>
      </c>
      <c r="ABI357" s="635">
        <v>8.2129999999999992</v>
      </c>
      <c r="ABJ357" s="635">
        <v>8.2189999999999994</v>
      </c>
      <c r="ABK357" s="635">
        <v>7.6959999999999997</v>
      </c>
      <c r="ABL357" s="635">
        <v>7.585</v>
      </c>
      <c r="ABM357" s="635">
        <v>7.3410000000000002</v>
      </c>
      <c r="ABN357" s="635">
        <v>7.3159999999999998</v>
      </c>
      <c r="ABO357" s="635">
        <v>7.5519999999999996</v>
      </c>
      <c r="ABP357" s="635">
        <v>7.0789999999999997</v>
      </c>
      <c r="ABQ357" s="635">
        <v>6.7889999999999997</v>
      </c>
      <c r="ABR357" s="635">
        <v>6.6139999999999999</v>
      </c>
      <c r="ABS357" s="635">
        <v>6.6509999999999998</v>
      </c>
      <c r="ABT357" s="635">
        <v>6.3369999999999997</v>
      </c>
      <c r="ABU357" s="635">
        <v>6.3220000000000001</v>
      </c>
      <c r="ABV357" s="635">
        <v>5.8120000000000003</v>
      </c>
      <c r="ABW357" s="635">
        <v>5.8029999999999999</v>
      </c>
      <c r="ABX357" s="635">
        <v>5.2869999999999999</v>
      </c>
      <c r="ABY357" s="635">
        <v>5.1950000000000003</v>
      </c>
      <c r="ABZ357" s="635">
        <v>4.6020000000000003</v>
      </c>
      <c r="ACA357" s="635">
        <v>4.7539999999999996</v>
      </c>
      <c r="ACB357" s="635">
        <v>5.1379999999999999</v>
      </c>
      <c r="ACC357" s="635">
        <v>5.1959999999999997</v>
      </c>
      <c r="ACD357" s="635">
        <v>4.5599999999999996</v>
      </c>
      <c r="ACE357" s="635">
        <v>4.7930000000000001</v>
      </c>
      <c r="ACF357" s="635">
        <v>4.6539999999999999</v>
      </c>
      <c r="ACG357" s="635">
        <v>4.7690000000000001</v>
      </c>
      <c r="ACH357" s="635">
        <v>5.0519999999999996</v>
      </c>
      <c r="ACI357" s="635">
        <v>5.0129999999999999</v>
      </c>
      <c r="ACJ357" s="635">
        <v>5.1970000000000001</v>
      </c>
      <c r="ACK357" s="635">
        <v>5.2119999999999997</v>
      </c>
      <c r="ACL357" s="635">
        <v>5.1630000000000003</v>
      </c>
      <c r="ACM357" s="635">
        <v>5.5460000000000003</v>
      </c>
      <c r="ACN357" s="635">
        <v>5.4320000000000004</v>
      </c>
      <c r="ACO357" s="635">
        <v>5.3639999999999999</v>
      </c>
      <c r="ACP357" s="635">
        <v>5.6280000000000001</v>
      </c>
      <c r="ACQ357" s="635">
        <v>6.0629999999999997</v>
      </c>
      <c r="ACR357" s="635">
        <v>6.069</v>
      </c>
      <c r="ACS357" s="635">
        <v>5.5990000000000002</v>
      </c>
      <c r="ACT357" s="635">
        <v>6.2130000000000001</v>
      </c>
      <c r="ACU357" s="635">
        <v>6.8959999999999999</v>
      </c>
      <c r="ACV357" s="635">
        <v>6.46</v>
      </c>
      <c r="ACW357" s="635">
        <v>6.7279999999999998</v>
      </c>
      <c r="ACX357">
        <v>7.7290000000000001</v>
      </c>
      <c r="ACY357">
        <v>8.0210000000000008</v>
      </c>
      <c r="ACZ357">
        <v>8.0939999999999994</v>
      </c>
      <c r="ADA357">
        <v>8.2970000000000006</v>
      </c>
      <c r="ADB357">
        <v>8.3849999999999998</v>
      </c>
      <c r="ADC357">
        <v>8.5760000000000005</v>
      </c>
      <c r="ADD357">
        <v>8.8320000000000007</v>
      </c>
      <c r="ADE357">
        <v>8.3879999999999999</v>
      </c>
      <c r="ADF357">
        <v>8.2919999999999998</v>
      </c>
      <c r="ADG357">
        <v>8.9149999999999991</v>
      </c>
      <c r="ADH357">
        <v>9.1270000000000007</v>
      </c>
      <c r="ADI357">
        <v>8.6069999999999993</v>
      </c>
      <c r="ADJ357">
        <v>8.875</v>
      </c>
      <c r="ADK357">
        <v>8.4079999999999995</v>
      </c>
      <c r="ADL357">
        <v>8.5570000000000004</v>
      </c>
      <c r="ADM357">
        <v>8.609</v>
      </c>
      <c r="ADN357">
        <v>8.3879999999999999</v>
      </c>
      <c r="ADO357">
        <v>8.8460000000000001</v>
      </c>
      <c r="ADP357">
        <v>8.7639999999999993</v>
      </c>
      <c r="ADQ357">
        <v>8.6379999999999999</v>
      </c>
      <c r="ADR357">
        <v>8.1329999999999991</v>
      </c>
      <c r="ADS357">
        <v>8.4260000000000002</v>
      </c>
      <c r="ADT357">
        <v>8.2569999999999997</v>
      </c>
      <c r="ADU357">
        <v>7.9969999999999999</v>
      </c>
      <c r="ADV357">
        <v>7.7539999999999996</v>
      </c>
      <c r="ADW357">
        <v>7.367</v>
      </c>
      <c r="ADX357">
        <v>7.3890000000000002</v>
      </c>
      <c r="ADY357">
        <v>7.4329999999999998</v>
      </c>
      <c r="ADZ357">
        <v>7.8070000000000004</v>
      </c>
      <c r="AEA357">
        <v>7.6820000000000004</v>
      </c>
      <c r="AEE357" s="636">
        <v>43864</v>
      </c>
      <c r="AEF357" s="635">
        <v>-163.1</v>
      </c>
      <c r="AEG357" s="635">
        <v>5.72</v>
      </c>
    </row>
    <row r="358" spans="1:813" ht="15.5">
      <c r="AEE358" s="636">
        <v>43865</v>
      </c>
      <c r="AEF358" s="635">
        <v>-185.49</v>
      </c>
      <c r="AEG358" s="635">
        <v>6.5049999999999999</v>
      </c>
    </row>
    <row r="359" spans="1:813" ht="15.5">
      <c r="AEE359" s="636">
        <v>43866</v>
      </c>
      <c r="AEF359" s="635">
        <v>-153.63</v>
      </c>
      <c r="AEG359" s="635">
        <v>5.3879999999999999</v>
      </c>
    </row>
    <row r="360" spans="1:813" ht="15.5">
      <c r="AEE360" s="636">
        <v>43867</v>
      </c>
      <c r="AEF360" s="635">
        <v>-156.61000000000001</v>
      </c>
      <c r="AEG360" s="635">
        <v>5.4930000000000003</v>
      </c>
    </row>
    <row r="361" spans="1:813" ht="15.5">
      <c r="AEE361" s="636">
        <v>43868</v>
      </c>
      <c r="AEF361" s="635">
        <v>-156.41999999999999</v>
      </c>
      <c r="AEG361" s="635">
        <v>5.4859999999999998</v>
      </c>
    </row>
    <row r="362" spans="1:813" ht="15.5">
      <c r="AEE362" s="636">
        <v>43871</v>
      </c>
      <c r="AEF362" s="635">
        <v>-161.28</v>
      </c>
      <c r="AEG362" s="635">
        <v>5.6559999999999997</v>
      </c>
    </row>
    <row r="363" spans="1:813" ht="15.5">
      <c r="AEE363" s="636">
        <v>43872</v>
      </c>
      <c r="AEF363" s="635">
        <v>-161.91999999999999</v>
      </c>
      <c r="AEG363" s="635">
        <v>5.6790000000000003</v>
      </c>
    </row>
    <row r="364" spans="1:813" ht="15.5">
      <c r="AEE364" s="636">
        <v>43873</v>
      </c>
      <c r="AEF364" s="635">
        <v>-160.44</v>
      </c>
      <c r="AEG364" s="635">
        <v>5.6269999999999998</v>
      </c>
    </row>
    <row r="365" spans="1:813" ht="15.5">
      <c r="AEE365" s="636">
        <v>43874</v>
      </c>
      <c r="AEF365" s="635">
        <v>-171.35</v>
      </c>
      <c r="AEG365" s="635">
        <v>6.01</v>
      </c>
    </row>
    <row r="366" spans="1:813" ht="15.5">
      <c r="AEE366" s="636">
        <v>43875</v>
      </c>
      <c r="AEF366" s="635">
        <v>-170.51</v>
      </c>
      <c r="AEG366" s="635">
        <v>5.98</v>
      </c>
    </row>
    <row r="367" spans="1:813" ht="15.5">
      <c r="AEE367" s="636">
        <v>43879</v>
      </c>
      <c r="AEF367" s="635">
        <v>-182.95</v>
      </c>
      <c r="AEG367" s="635">
        <v>6.4160000000000004</v>
      </c>
    </row>
    <row r="368" spans="1:813" ht="15.5">
      <c r="AEE368" s="636">
        <v>43880</v>
      </c>
      <c r="AEF368" s="635">
        <v>-195.52</v>
      </c>
      <c r="AEG368" s="635">
        <v>6.8570000000000002</v>
      </c>
    </row>
    <row r="369" spans="1:813" ht="15.5">
      <c r="AEE369" s="636">
        <v>43881</v>
      </c>
      <c r="AEF369" s="635">
        <v>-191.69</v>
      </c>
      <c r="AEG369" s="635">
        <v>6.7229999999999999</v>
      </c>
    </row>
    <row r="370" spans="1:813" ht="15.5">
      <c r="AEE370" s="636">
        <v>43882</v>
      </c>
      <c r="AEF370" s="635">
        <v>-192.02</v>
      </c>
      <c r="AEG370" s="635">
        <v>6.7350000000000003</v>
      </c>
    </row>
    <row r="371" spans="1:813" ht="15.5">
      <c r="AEE371" s="636">
        <v>43885</v>
      </c>
      <c r="AEF371" s="635">
        <v>-177.7</v>
      </c>
      <c r="AEG371" s="635">
        <v>6.2320000000000002</v>
      </c>
    </row>
    <row r="372" spans="1:813" ht="15.5">
      <c r="AEE372" s="636">
        <v>43886</v>
      </c>
      <c r="AEF372" s="635">
        <v>-170.48</v>
      </c>
      <c r="AEG372" s="635">
        <v>5.9790000000000001</v>
      </c>
    </row>
    <row r="373" spans="1:813" ht="15.5">
      <c r="AEE373" s="636">
        <v>43887</v>
      </c>
      <c r="AEF373" s="635">
        <v>-165.98</v>
      </c>
      <c r="AEG373" s="635">
        <v>5.8209999999999997</v>
      </c>
    </row>
    <row r="374" spans="1:813" ht="15.5">
      <c r="AEE374" s="636">
        <v>43888</v>
      </c>
      <c r="AEF374" s="635">
        <v>-144.71</v>
      </c>
      <c r="AEG374" s="635">
        <v>5.0750000000000002</v>
      </c>
    </row>
    <row r="375" spans="1:813" ht="15.5">
      <c r="AEE375" s="636">
        <v>43889</v>
      </c>
      <c r="AEF375" s="635">
        <v>-142.36000000000001</v>
      </c>
      <c r="AEG375" s="635">
        <v>4.9930000000000003</v>
      </c>
    </row>
    <row r="376" spans="1:813" ht="15.5">
      <c r="AEE376" s="636">
        <v>43892</v>
      </c>
      <c r="AEF376" s="635">
        <v>-158.47999999999999</v>
      </c>
      <c r="AEG376" s="635">
        <v>5.5579999999999998</v>
      </c>
    </row>
    <row r="377" spans="1:813" ht="15.5">
      <c r="A377" s="912" t="s">
        <v>2086</v>
      </c>
      <c r="B377" s="908">
        <v>44197</v>
      </c>
      <c r="C377" s="908">
        <v>44228</v>
      </c>
      <c r="D377" s="908">
        <v>44256</v>
      </c>
      <c r="E377" s="908">
        <v>44287</v>
      </c>
      <c r="F377" s="908">
        <v>44317</v>
      </c>
      <c r="G377" s="908">
        <v>44348</v>
      </c>
      <c r="H377" s="908">
        <v>44378</v>
      </c>
      <c r="I377" s="908">
        <v>44409</v>
      </c>
      <c r="J377" s="908">
        <v>44440</v>
      </c>
      <c r="K377" s="908">
        <v>44470</v>
      </c>
      <c r="L377" s="908">
        <v>44501</v>
      </c>
      <c r="M377" s="908">
        <v>44531</v>
      </c>
      <c r="N377" s="908">
        <v>44562</v>
      </c>
      <c r="O377" s="908">
        <v>44593</v>
      </c>
      <c r="P377" s="908">
        <v>44621</v>
      </c>
      <c r="Q377" s="908">
        <v>44652</v>
      </c>
      <c r="R377" s="908">
        <v>44682</v>
      </c>
      <c r="S377" s="908">
        <v>44713</v>
      </c>
      <c r="T377" s="908">
        <v>44743</v>
      </c>
      <c r="U377" s="908">
        <v>44774</v>
      </c>
      <c r="V377" s="908">
        <v>44805</v>
      </c>
      <c r="W377" s="908">
        <v>44835</v>
      </c>
      <c r="X377" s="908">
        <v>44866</v>
      </c>
      <c r="Y377" s="908">
        <v>44896</v>
      </c>
      <c r="AEE377" s="636">
        <v>43893</v>
      </c>
      <c r="AEF377" s="635">
        <v>-158.88999999999999</v>
      </c>
      <c r="AEG377" s="635">
        <v>5.5720000000000001</v>
      </c>
    </row>
    <row r="378" spans="1:813" ht="15.5">
      <c r="A378" s="912" t="s">
        <v>2087</v>
      </c>
      <c r="B378" s="912">
        <v>54.1</v>
      </c>
      <c r="C378" s="912">
        <v>54.1</v>
      </c>
      <c r="D378" s="912">
        <v>54.3</v>
      </c>
      <c r="E378" s="912">
        <v>54.2</v>
      </c>
      <c r="F378" s="912">
        <v>54.5</v>
      </c>
      <c r="G378" s="912">
        <v>54.7</v>
      </c>
      <c r="H378" s="912">
        <v>54.548000000000002</v>
      </c>
      <c r="I378" s="912">
        <v>54.765999999999998</v>
      </c>
      <c r="J378" s="912">
        <v>54.875</v>
      </c>
      <c r="K378" s="912">
        <v>54.947000000000003</v>
      </c>
      <c r="L378" s="912">
        <v>55.250999999999998</v>
      </c>
      <c r="M378" s="912">
        <v>55.42</v>
      </c>
      <c r="N378" s="912">
        <v>56.335999999999999</v>
      </c>
      <c r="O378" s="912">
        <v>56.366</v>
      </c>
      <c r="P378" s="912">
        <v>56.725999999999999</v>
      </c>
      <c r="Q378" s="912">
        <v>56.488</v>
      </c>
      <c r="R378" s="912">
        <v>56.624000000000002</v>
      </c>
      <c r="S378" s="912">
        <v>56.915999999999997</v>
      </c>
      <c r="T378" s="912">
        <v>56.804000000000002</v>
      </c>
      <c r="U378" s="912">
        <v>56.631999999999998</v>
      </c>
      <c r="V378" s="912">
        <v>56.822000000000003</v>
      </c>
      <c r="W378" s="912">
        <v>57.219000000000001</v>
      </c>
      <c r="X378" s="912">
        <v>57.48</v>
      </c>
      <c r="Y378" s="912">
        <v>57.518000000000001</v>
      </c>
      <c r="AEE378" s="636">
        <v>43894</v>
      </c>
      <c r="AEF378" s="635">
        <v>-159.74</v>
      </c>
      <c r="AEG378" s="635">
        <v>5.6020000000000003</v>
      </c>
    </row>
    <row r="379" spans="1:813" ht="15.5">
      <c r="AEE379" s="636">
        <v>43895</v>
      </c>
      <c r="AEF379" s="635">
        <v>-154.41999999999999</v>
      </c>
      <c r="AEG379" s="635">
        <v>5.4160000000000004</v>
      </c>
    </row>
    <row r="380" spans="1:813" ht="15.5">
      <c r="AEE380" s="636">
        <v>43896</v>
      </c>
      <c r="AEF380" s="635">
        <v>-149.93</v>
      </c>
      <c r="AEG380" s="635">
        <v>5.258</v>
      </c>
    </row>
    <row r="381" spans="1:813" ht="15.5">
      <c r="AEE381" s="636">
        <v>43899</v>
      </c>
      <c r="AEF381" s="635">
        <v>-129.58000000000001</v>
      </c>
      <c r="AEG381" s="635">
        <v>4.5449999999999999</v>
      </c>
    </row>
    <row r="382" spans="1:813" ht="15.5">
      <c r="AEE382" s="636">
        <v>43900</v>
      </c>
      <c r="AEF382" s="635">
        <v>-137.54</v>
      </c>
      <c r="AEG382" s="635">
        <v>4.8239999999999998</v>
      </c>
    </row>
    <row r="383" spans="1:813" ht="15.5">
      <c r="AEE383" s="636">
        <v>43901</v>
      </c>
      <c r="AEF383" s="635">
        <v>-135.16999999999999</v>
      </c>
      <c r="AEG383" s="635">
        <v>4.7409999999999997</v>
      </c>
    </row>
    <row r="384" spans="1:813" ht="15.5">
      <c r="AEE384" s="636">
        <v>43902</v>
      </c>
      <c r="AEF384" s="635">
        <v>-119.47</v>
      </c>
      <c r="AEG384" s="635">
        <v>4.1900000000000004</v>
      </c>
    </row>
    <row r="385" spans="1:813" ht="15.5">
      <c r="AEE385" s="636">
        <v>43903</v>
      </c>
      <c r="AEF385" s="635">
        <v>-116.5</v>
      </c>
      <c r="AEG385" s="635">
        <v>4.0860000000000003</v>
      </c>
    </row>
    <row r="386" spans="1:813" ht="15.5">
      <c r="AEE386" s="636">
        <v>43906</v>
      </c>
      <c r="AEF386" s="635">
        <v>-94.86</v>
      </c>
      <c r="AEG386" s="635">
        <v>3.327</v>
      </c>
    </row>
    <row r="387" spans="1:813" ht="15.5">
      <c r="AEE387" s="636">
        <v>43907</v>
      </c>
      <c r="AEF387" s="635">
        <v>-91.69</v>
      </c>
      <c r="AEG387" s="635">
        <v>3.2160000000000002</v>
      </c>
    </row>
    <row r="388" spans="1:813" ht="15.5">
      <c r="AEE388" s="636">
        <v>43908</v>
      </c>
      <c r="AEF388" s="635">
        <v>-76.98</v>
      </c>
      <c r="AEG388" s="635">
        <v>2.7</v>
      </c>
    </row>
    <row r="389" spans="1:813" ht="15.5">
      <c r="AEE389" s="636">
        <v>43909</v>
      </c>
      <c r="AEF389" s="635">
        <v>-91.14</v>
      </c>
      <c r="AEG389" s="635">
        <v>3.1960000000000002</v>
      </c>
    </row>
    <row r="390" spans="1:813" ht="15.5">
      <c r="AEE390" s="636">
        <v>43910</v>
      </c>
      <c r="AEF390" s="635">
        <v>-91.12</v>
      </c>
      <c r="AEG390" s="635">
        <v>3.1960000000000002</v>
      </c>
    </row>
    <row r="391" spans="1:813" ht="15.5">
      <c r="AEE391" s="636">
        <v>43913</v>
      </c>
      <c r="AEF391" s="635">
        <v>-92.56</v>
      </c>
      <c r="AEG391" s="635">
        <v>3.246</v>
      </c>
    </row>
    <row r="392" spans="1:813" ht="15.5">
      <c r="AEE392" s="636">
        <v>43914</v>
      </c>
      <c r="AEF392" s="635">
        <v>-107.63</v>
      </c>
      <c r="AEG392" s="635">
        <v>3.7749999999999999</v>
      </c>
    </row>
    <row r="393" spans="1:813" ht="15.5">
      <c r="AEE393" s="636">
        <v>43915</v>
      </c>
      <c r="AEF393" s="635">
        <v>-114.93</v>
      </c>
      <c r="AEG393" s="635">
        <v>4.0309999999999997</v>
      </c>
    </row>
    <row r="394" spans="1:813" ht="15.5">
      <c r="AEE394" s="636">
        <v>43916</v>
      </c>
      <c r="AEF394" s="635">
        <v>-112.56</v>
      </c>
      <c r="AEG394" s="635">
        <v>3.948</v>
      </c>
    </row>
    <row r="395" spans="1:813" ht="15.5">
      <c r="AEE395" s="636">
        <v>43917</v>
      </c>
      <c r="AEF395" s="635">
        <v>-109.62</v>
      </c>
      <c r="AEG395" s="635">
        <v>3.8450000000000002</v>
      </c>
    </row>
    <row r="396" spans="1:813" ht="15.5">
      <c r="AEE396" s="636">
        <v>43920</v>
      </c>
      <c r="AEF396" s="635">
        <v>-107.02</v>
      </c>
      <c r="AEG396" s="635">
        <v>3.7530000000000001</v>
      </c>
    </row>
    <row r="397" spans="1:813" ht="15.5">
      <c r="AEE397" s="636">
        <v>43921</v>
      </c>
      <c r="AEF397" s="635">
        <v>-111.68</v>
      </c>
      <c r="AEG397" s="635">
        <v>3.9169999999999998</v>
      </c>
    </row>
    <row r="398" spans="1:813" ht="15.5">
      <c r="B398" t="s">
        <v>669</v>
      </c>
      <c r="AEE398" s="636">
        <v>43922</v>
      </c>
      <c r="AEF398" s="635">
        <v>-102.63</v>
      </c>
      <c r="AEG398" s="635">
        <v>3.5990000000000002</v>
      </c>
    </row>
    <row r="399" spans="1:813" ht="15.5">
      <c r="A399" t="s">
        <v>2088</v>
      </c>
      <c r="B399" t="s">
        <v>2089</v>
      </c>
      <c r="C399" t="s">
        <v>2090</v>
      </c>
      <c r="D399" t="s">
        <v>2091</v>
      </c>
      <c r="F399" t="s">
        <v>2092</v>
      </c>
      <c r="G399" t="s">
        <v>2093</v>
      </c>
      <c r="AEE399" s="636">
        <v>43923</v>
      </c>
      <c r="AEF399" s="635">
        <v>-96.86</v>
      </c>
      <c r="AEG399" s="635">
        <v>3.3969999999999998</v>
      </c>
    </row>
    <row r="400" spans="1:813" ht="15.5">
      <c r="A400" t="s">
        <v>2094</v>
      </c>
      <c r="B400" s="235">
        <v>4</v>
      </c>
      <c r="C400" s="235">
        <v>1270</v>
      </c>
      <c r="D400" s="60">
        <f>B400/C400</f>
        <v>3.1496062992125984E-3</v>
      </c>
      <c r="AEE400" s="636">
        <v>43924</v>
      </c>
      <c r="AEF400" s="635">
        <v>-102.3</v>
      </c>
      <c r="AEG400" s="635">
        <v>3.5880000000000001</v>
      </c>
    </row>
    <row r="401" spans="1:813" ht="15.5">
      <c r="A401" t="s">
        <v>2095</v>
      </c>
      <c r="B401" s="235">
        <v>23</v>
      </c>
      <c r="C401" s="235">
        <v>2298</v>
      </c>
      <c r="D401" s="60">
        <f t="shared" ref="D401:D426" si="19">B401/C401</f>
        <v>1.0008703220191472E-2</v>
      </c>
      <c r="AEE401" s="636">
        <v>43927</v>
      </c>
      <c r="AEF401" s="635">
        <v>-110.02</v>
      </c>
      <c r="AEG401" s="635">
        <v>3.859</v>
      </c>
    </row>
    <row r="402" spans="1:813" ht="15.5">
      <c r="A402" t="s">
        <v>1743</v>
      </c>
      <c r="B402" s="235">
        <v>131</v>
      </c>
      <c r="C402" s="235">
        <v>2285</v>
      </c>
      <c r="D402" s="60">
        <f t="shared" si="19"/>
        <v>5.7330415754923411E-2</v>
      </c>
      <c r="F402">
        <v>201</v>
      </c>
      <c r="G402">
        <v>98</v>
      </c>
      <c r="AEE402" s="636">
        <v>43928</v>
      </c>
      <c r="AEF402" s="635">
        <v>-116.25</v>
      </c>
      <c r="AEG402" s="635">
        <v>4.077</v>
      </c>
    </row>
    <row r="403" spans="1:813" ht="15.5">
      <c r="A403" t="s">
        <v>1744</v>
      </c>
      <c r="B403" s="235">
        <v>214</v>
      </c>
      <c r="C403" s="235">
        <v>2696</v>
      </c>
      <c r="D403" s="60">
        <f t="shared" si="19"/>
        <v>7.9376854599406535E-2</v>
      </c>
      <c r="F403">
        <v>150</v>
      </c>
      <c r="G403">
        <v>60</v>
      </c>
      <c r="AEE403" s="636">
        <v>43929</v>
      </c>
      <c r="AEF403" s="635">
        <v>-116.97</v>
      </c>
      <c r="AEG403" s="635">
        <v>4.1020000000000003</v>
      </c>
    </row>
    <row r="404" spans="1:813" ht="15.5">
      <c r="A404" t="s">
        <v>1745</v>
      </c>
      <c r="B404" s="235">
        <v>287</v>
      </c>
      <c r="C404" s="235">
        <v>2790</v>
      </c>
      <c r="D404" s="60">
        <f t="shared" si="19"/>
        <v>0.1028673835125448</v>
      </c>
      <c r="F404">
        <v>176</v>
      </c>
      <c r="G404">
        <v>97</v>
      </c>
      <c r="AEE404" s="636">
        <v>43930</v>
      </c>
      <c r="AEF404" s="635">
        <v>-122.12</v>
      </c>
      <c r="AEG404" s="635">
        <v>4.2830000000000004</v>
      </c>
    </row>
    <row r="405" spans="1:813" ht="15.5">
      <c r="A405" t="s">
        <v>1746</v>
      </c>
      <c r="B405" s="235">
        <v>318</v>
      </c>
      <c r="C405" s="235">
        <v>2985</v>
      </c>
      <c r="D405" s="60">
        <f t="shared" si="19"/>
        <v>0.10653266331658291</v>
      </c>
      <c r="F405">
        <v>109</v>
      </c>
      <c r="G405">
        <v>110</v>
      </c>
      <c r="AEE405" s="636">
        <v>43934</v>
      </c>
      <c r="AEF405" s="635">
        <v>-138.72999999999999</v>
      </c>
      <c r="AEG405" s="635">
        <v>4.8659999999999997</v>
      </c>
    </row>
    <row r="406" spans="1:813" ht="15.5">
      <c r="A406" t="s">
        <v>1747</v>
      </c>
      <c r="B406" s="235">
        <v>298</v>
      </c>
      <c r="C406" s="235">
        <v>3288</v>
      </c>
      <c r="D406" s="60">
        <f t="shared" si="19"/>
        <v>9.0632603406326034E-2</v>
      </c>
      <c r="F406">
        <v>87</v>
      </c>
      <c r="G406">
        <v>143</v>
      </c>
      <c r="AEE406" s="636">
        <v>43935</v>
      </c>
      <c r="AEF406" s="635">
        <v>-151.29</v>
      </c>
      <c r="AEG406" s="635">
        <v>5.306</v>
      </c>
    </row>
    <row r="407" spans="1:813" ht="15.5">
      <c r="A407" t="s">
        <v>1748</v>
      </c>
      <c r="B407" s="235">
        <v>410</v>
      </c>
      <c r="C407" s="235">
        <v>3409</v>
      </c>
      <c r="D407" s="60">
        <f t="shared" si="19"/>
        <v>0.12026987386330303</v>
      </c>
      <c r="F407">
        <v>76</v>
      </c>
      <c r="G407">
        <v>373</v>
      </c>
      <c r="AEE407" s="636">
        <v>43936</v>
      </c>
      <c r="AEF407" s="635">
        <v>-155.54</v>
      </c>
      <c r="AEG407" s="635">
        <v>5.4550000000000001</v>
      </c>
    </row>
    <row r="408" spans="1:813" ht="15.5">
      <c r="A408" t="s">
        <v>1749</v>
      </c>
      <c r="B408" s="235">
        <v>374</v>
      </c>
      <c r="C408" s="235">
        <v>4002</v>
      </c>
      <c r="D408" s="60">
        <f t="shared" si="19"/>
        <v>9.3453273363318337E-2</v>
      </c>
      <c r="F408">
        <v>84</v>
      </c>
      <c r="G408">
        <v>203</v>
      </c>
      <c r="AEE408" s="636">
        <v>43937</v>
      </c>
      <c r="AEF408" s="635">
        <v>-158.82</v>
      </c>
      <c r="AEG408" s="635">
        <v>5.57</v>
      </c>
    </row>
    <row r="409" spans="1:813" ht="15.5">
      <c r="A409" t="s">
        <v>1750</v>
      </c>
      <c r="B409" s="235">
        <v>399</v>
      </c>
      <c r="C409" s="235">
        <v>6824</v>
      </c>
      <c r="D409" s="60">
        <f t="shared" si="19"/>
        <v>5.8470105509964829E-2</v>
      </c>
      <c r="E409" s="60">
        <f>AVERAGE(D400:D426)</f>
        <v>6.2001832832813443E-2</v>
      </c>
      <c r="F409">
        <v>93</v>
      </c>
      <c r="G409">
        <v>240</v>
      </c>
      <c r="AEE409" s="636">
        <v>43938</v>
      </c>
      <c r="AEF409" s="635">
        <v>-160.66999999999999</v>
      </c>
      <c r="AEG409" s="635">
        <v>5.6349999999999998</v>
      </c>
    </row>
    <row r="410" spans="1:813" ht="15.5">
      <c r="A410" t="s">
        <v>1751</v>
      </c>
      <c r="B410" s="235">
        <v>372</v>
      </c>
      <c r="C410" s="235">
        <v>7226</v>
      </c>
      <c r="D410" s="60">
        <f t="shared" si="19"/>
        <v>5.1480763908109607E-2</v>
      </c>
      <c r="F410">
        <v>73</v>
      </c>
      <c r="G410">
        <v>225</v>
      </c>
      <c r="AEE410" s="636">
        <v>43941</v>
      </c>
      <c r="AEF410" s="635">
        <v>-159.07</v>
      </c>
      <c r="AEG410" s="635">
        <v>5.5789999999999997</v>
      </c>
    </row>
    <row r="411" spans="1:813" ht="15.5">
      <c r="A411" t="s">
        <v>1752</v>
      </c>
      <c r="B411" s="235">
        <v>325</v>
      </c>
      <c r="C411" s="235">
        <v>4541</v>
      </c>
      <c r="D411" s="60">
        <f t="shared" si="19"/>
        <v>7.1570138735961242E-2</v>
      </c>
      <c r="F411">
        <v>47</v>
      </c>
      <c r="G411">
        <v>229</v>
      </c>
      <c r="AEE411" s="636">
        <v>43942</v>
      </c>
      <c r="AEF411" s="635">
        <v>-146.36000000000001</v>
      </c>
      <c r="AEG411" s="635">
        <v>5.133</v>
      </c>
    </row>
    <row r="412" spans="1:813" ht="15.5">
      <c r="A412" t="s">
        <v>1753</v>
      </c>
      <c r="B412" s="235">
        <v>368</v>
      </c>
      <c r="C412" s="235">
        <v>6350</v>
      </c>
      <c r="D412" s="60">
        <f t="shared" si="19"/>
        <v>5.7952755905511813E-2</v>
      </c>
      <c r="F412">
        <v>29</v>
      </c>
      <c r="G412">
        <v>415</v>
      </c>
      <c r="AEE412" s="636">
        <v>43943</v>
      </c>
      <c r="AEF412" s="635">
        <v>-156.03</v>
      </c>
      <c r="AEG412" s="635">
        <v>5.4720000000000004</v>
      </c>
    </row>
    <row r="413" spans="1:813" ht="15.5">
      <c r="A413" t="s">
        <v>1754</v>
      </c>
      <c r="B413" s="235">
        <v>402</v>
      </c>
      <c r="C413" s="235">
        <v>6303</v>
      </c>
      <c r="D413" s="60">
        <f t="shared" si="19"/>
        <v>6.3779152784388393E-2</v>
      </c>
      <c r="F413">
        <v>43</v>
      </c>
      <c r="G413">
        <v>477</v>
      </c>
      <c r="AEE413" s="636">
        <v>43944</v>
      </c>
      <c r="AEF413" s="635">
        <v>-150.38999999999999</v>
      </c>
      <c r="AEG413" s="635">
        <v>5.274</v>
      </c>
    </row>
    <row r="414" spans="1:813" ht="15.5">
      <c r="A414" t="s">
        <v>1755</v>
      </c>
      <c r="B414" s="235">
        <v>436</v>
      </c>
      <c r="C414" s="235">
        <v>7384</v>
      </c>
      <c r="D414" s="60">
        <f t="shared" si="19"/>
        <v>5.9046587215601298E-2</v>
      </c>
      <c r="F414">
        <v>54</v>
      </c>
      <c r="G414">
        <v>530</v>
      </c>
      <c r="AEE414" s="636">
        <v>43945</v>
      </c>
      <c r="AEF414" s="635">
        <v>-154.55000000000001</v>
      </c>
      <c r="AEG414" s="635">
        <v>5.42</v>
      </c>
    </row>
    <row r="415" spans="1:813" ht="15.5">
      <c r="A415" t="s">
        <v>1756</v>
      </c>
      <c r="B415" s="235">
        <v>293</v>
      </c>
      <c r="C415" s="235">
        <v>5985</v>
      </c>
      <c r="D415" s="60">
        <f t="shared" si="19"/>
        <v>4.8955722639933169E-2</v>
      </c>
      <c r="F415">
        <v>35</v>
      </c>
      <c r="G415">
        <v>260</v>
      </c>
      <c r="AEE415" s="636">
        <v>43948</v>
      </c>
      <c r="AEF415" s="635">
        <v>-170.23</v>
      </c>
      <c r="AEG415" s="635">
        <v>5.97</v>
      </c>
    </row>
    <row r="416" spans="1:813" ht="15.5">
      <c r="A416" t="s">
        <v>1757</v>
      </c>
      <c r="B416" s="235">
        <v>370</v>
      </c>
      <c r="C416" s="235">
        <v>6036</v>
      </c>
      <c r="D416" s="60">
        <f t="shared" si="19"/>
        <v>6.1298873426110005E-2</v>
      </c>
      <c r="F416">
        <v>27</v>
      </c>
      <c r="G416">
        <v>419</v>
      </c>
      <c r="AEE416" s="636">
        <v>43949</v>
      </c>
      <c r="AEF416" s="635">
        <v>-163.92</v>
      </c>
      <c r="AEG416" s="635">
        <v>5.7489999999999997</v>
      </c>
    </row>
    <row r="417" spans="1:813" ht="15.5">
      <c r="A417" t="s">
        <v>1758</v>
      </c>
      <c r="B417" s="235">
        <v>579</v>
      </c>
      <c r="C417" s="235">
        <v>8771</v>
      </c>
      <c r="D417" s="60">
        <f t="shared" si="19"/>
        <v>6.6012997377722038E-2</v>
      </c>
      <c r="F417">
        <v>57</v>
      </c>
      <c r="G417">
        <v>759</v>
      </c>
      <c r="AEE417" s="636">
        <v>43950</v>
      </c>
      <c r="AEF417" s="637">
        <v>-1022.232</v>
      </c>
      <c r="AEG417" s="635">
        <v>5.6520000000000001</v>
      </c>
    </row>
    <row r="418" spans="1:813" ht="15.5">
      <c r="A418" t="s">
        <v>1759</v>
      </c>
      <c r="B418" s="235">
        <v>752</v>
      </c>
      <c r="C418" s="235">
        <v>10744</v>
      </c>
      <c r="D418" s="60">
        <f t="shared" si="19"/>
        <v>6.9992553983618769E-2</v>
      </c>
      <c r="F418">
        <v>86</v>
      </c>
      <c r="G418">
        <v>1584</v>
      </c>
      <c r="AEE418" s="636">
        <v>43951</v>
      </c>
      <c r="AEF418" s="637">
        <v>-1007.458</v>
      </c>
      <c r="AEG418" s="635">
        <v>5.57</v>
      </c>
    </row>
    <row r="419" spans="1:813" ht="15.5">
      <c r="A419" t="s">
        <v>1760</v>
      </c>
      <c r="B419" s="235">
        <v>494</v>
      </c>
      <c r="C419" s="235">
        <v>10389</v>
      </c>
      <c r="D419" s="60">
        <f t="shared" si="19"/>
        <v>4.7550293579747813E-2</v>
      </c>
      <c r="F419">
        <v>92</v>
      </c>
      <c r="G419">
        <v>445</v>
      </c>
      <c r="AEE419" s="636">
        <v>43952</v>
      </c>
      <c r="AEF419" s="635">
        <v>-903.66</v>
      </c>
      <c r="AEG419" s="635">
        <v>4.9960000000000004</v>
      </c>
    </row>
    <row r="420" spans="1:813" ht="15.5">
      <c r="A420" t="s">
        <v>1761</v>
      </c>
      <c r="B420" s="235">
        <v>801</v>
      </c>
      <c r="C420" s="235">
        <v>11958</v>
      </c>
      <c r="D420" s="60">
        <f t="shared" si="19"/>
        <v>6.6984445559458108E-2</v>
      </c>
      <c r="F420">
        <v>85</v>
      </c>
      <c r="G420">
        <v>1274</v>
      </c>
      <c r="AEE420" s="636">
        <v>43955</v>
      </c>
      <c r="AEF420" s="635">
        <v>-980.8</v>
      </c>
      <c r="AEG420" s="635">
        <v>5.423</v>
      </c>
    </row>
    <row r="421" spans="1:813" ht="15.5">
      <c r="A421" t="s">
        <v>1762</v>
      </c>
      <c r="B421" s="235">
        <v>806</v>
      </c>
      <c r="C421" s="235">
        <v>13757</v>
      </c>
      <c r="D421" s="60">
        <f t="shared" si="19"/>
        <v>5.8588355019262919E-2</v>
      </c>
      <c r="F421">
        <v>83</v>
      </c>
      <c r="G421">
        <v>1295</v>
      </c>
      <c r="AEE421" s="636">
        <v>43956</v>
      </c>
      <c r="AEF421" s="635">
        <v>-989.84</v>
      </c>
      <c r="AEG421" s="635">
        <v>5.4729999999999999</v>
      </c>
    </row>
    <row r="422" spans="1:813" ht="15.5">
      <c r="A422" t="s">
        <v>1763</v>
      </c>
      <c r="B422" s="235">
        <v>688</v>
      </c>
      <c r="C422" s="235">
        <v>17719</v>
      </c>
      <c r="D422" s="60">
        <f t="shared" si="19"/>
        <v>3.8828376319205375E-2</v>
      </c>
      <c r="F422">
        <v>85</v>
      </c>
      <c r="G422">
        <v>978</v>
      </c>
      <c r="AEE422" s="636">
        <v>43957</v>
      </c>
      <c r="AEF422" s="637">
        <v>-1008.36</v>
      </c>
      <c r="AEG422" s="635">
        <v>5.5750000000000002</v>
      </c>
    </row>
    <row r="423" spans="1:813" ht="15.5">
      <c r="A423" t="s">
        <v>1764</v>
      </c>
      <c r="B423" s="235">
        <v>616</v>
      </c>
      <c r="C423" s="235">
        <v>18756</v>
      </c>
      <c r="D423" s="60">
        <f t="shared" si="19"/>
        <v>3.2842823629771804E-2</v>
      </c>
      <c r="F423">
        <v>48</v>
      </c>
      <c r="G423">
        <v>846</v>
      </c>
      <c r="AEE423" s="636">
        <v>43958</v>
      </c>
      <c r="AEF423" s="637">
        <v>-1005.087</v>
      </c>
      <c r="AEG423" s="635">
        <v>5.5570000000000004</v>
      </c>
    </row>
    <row r="424" spans="1:813" ht="15.5">
      <c r="A424" t="s">
        <v>1765</v>
      </c>
      <c r="B424" s="235">
        <v>866</v>
      </c>
      <c r="C424" s="235">
        <v>16934</v>
      </c>
      <c r="D424" s="60">
        <f t="shared" si="19"/>
        <v>5.1139718908704383E-2</v>
      </c>
      <c r="F424">
        <v>106</v>
      </c>
      <c r="G424">
        <v>1133</v>
      </c>
      <c r="AEE424" s="636">
        <v>43959</v>
      </c>
      <c r="AEF424" s="637">
        <v>-1055.829</v>
      </c>
      <c r="AEG424" s="635">
        <v>5.8369999999999997</v>
      </c>
    </row>
    <row r="425" spans="1:813" ht="15.5">
      <c r="A425" t="s">
        <v>1766</v>
      </c>
      <c r="B425" s="235">
        <v>1117</v>
      </c>
      <c r="C425" s="235">
        <v>21454</v>
      </c>
      <c r="D425" s="60">
        <f t="shared" si="19"/>
        <v>5.2064883005500141E-2</v>
      </c>
      <c r="F425">
        <v>94</v>
      </c>
      <c r="G425">
        <v>2100</v>
      </c>
      <c r="AEE425" s="636">
        <v>43962</v>
      </c>
      <c r="AEF425" s="637">
        <v>-1045.3530000000001</v>
      </c>
      <c r="AEG425" s="635">
        <v>5.7789999999999999</v>
      </c>
    </row>
    <row r="426" spans="1:813" ht="15.5">
      <c r="A426" t="s">
        <v>1767</v>
      </c>
      <c r="B426" s="235">
        <v>1310</v>
      </c>
      <c r="C426" s="235">
        <v>24318</v>
      </c>
      <c r="D426" s="60">
        <f t="shared" si="19"/>
        <v>5.3869561641582367E-2</v>
      </c>
      <c r="F426">
        <v>100</v>
      </c>
      <c r="G426">
        <v>2462</v>
      </c>
      <c r="AEE426" s="636">
        <v>43963</v>
      </c>
      <c r="AEF426" s="637">
        <v>-1041.953</v>
      </c>
      <c r="AEG426" s="635">
        <v>5.766</v>
      </c>
    </row>
    <row r="427" spans="1:813" ht="15.5">
      <c r="E427" t="s">
        <v>2096</v>
      </c>
      <c r="F427">
        <f>AVERAGE(F402:F426)</f>
        <v>84.8</v>
      </c>
      <c r="AEE427" s="636">
        <v>43964</v>
      </c>
      <c r="AEF427" s="637">
        <v>-1018.202</v>
      </c>
      <c r="AEG427" s="635">
        <v>5.6349999999999998</v>
      </c>
    </row>
    <row r="428" spans="1:813" ht="15.5">
      <c r="AEE428" s="636">
        <v>43965</v>
      </c>
      <c r="AEF428" s="637">
        <v>-1034.126</v>
      </c>
      <c r="AEG428" s="635">
        <v>5.7229999999999999</v>
      </c>
    </row>
    <row r="429" spans="1:813" ht="15.5">
      <c r="AEE429" s="636">
        <v>43966</v>
      </c>
      <c r="AEF429" s="637">
        <v>-1028.771</v>
      </c>
      <c r="AEG429" s="635">
        <v>5.6929999999999996</v>
      </c>
    </row>
    <row r="430" spans="1:813" ht="15.5">
      <c r="A430" s="634">
        <v>44564</v>
      </c>
      <c r="B430" s="633">
        <v>1199.78</v>
      </c>
      <c r="AEE430" s="636">
        <v>43969</v>
      </c>
      <c r="AEF430" s="637">
        <v>-1047.385</v>
      </c>
      <c r="AEG430" s="635">
        <v>5.7960000000000003</v>
      </c>
    </row>
    <row r="431" spans="1:813" ht="15.5">
      <c r="A431" s="634">
        <v>44565</v>
      </c>
      <c r="B431" s="633">
        <v>1149.5899999999999</v>
      </c>
      <c r="AEE431" s="636">
        <v>43970</v>
      </c>
      <c r="AEF431" s="637">
        <v>-1040.1510000000001</v>
      </c>
      <c r="AEG431" s="635">
        <v>5.7560000000000002</v>
      </c>
    </row>
    <row r="432" spans="1:813" ht="15.5">
      <c r="A432" s="634">
        <v>44566</v>
      </c>
      <c r="B432" s="633">
        <v>1088.1199999999999</v>
      </c>
      <c r="AEE432" s="636">
        <v>43971</v>
      </c>
      <c r="AEF432" s="637">
        <v>-1049.8699999999999</v>
      </c>
      <c r="AEG432" s="635">
        <v>5.81</v>
      </c>
    </row>
    <row r="433" spans="1:813" ht="15.5">
      <c r="A433" s="634">
        <v>44567</v>
      </c>
      <c r="B433" s="633">
        <v>1064.7</v>
      </c>
      <c r="AEE433" s="636">
        <v>43972</v>
      </c>
      <c r="AEF433" s="637">
        <v>-1065.3689999999999</v>
      </c>
      <c r="AEG433" s="635">
        <v>5.8959999999999999</v>
      </c>
    </row>
    <row r="434" spans="1:813" ht="15.5">
      <c r="A434" s="634">
        <v>44568</v>
      </c>
      <c r="B434" s="633">
        <v>1026.96</v>
      </c>
      <c r="AEE434" s="636">
        <v>43973</v>
      </c>
      <c r="AEF434" s="637">
        <v>-1051.569</v>
      </c>
      <c r="AEG434" s="635">
        <v>5.819</v>
      </c>
    </row>
    <row r="435" spans="1:813" ht="15.5">
      <c r="A435" s="634">
        <v>44571</v>
      </c>
      <c r="B435" s="633">
        <v>1058.1199999999999</v>
      </c>
      <c r="AEE435" s="636">
        <v>43977</v>
      </c>
      <c r="AEF435" s="637">
        <v>-1054.1310000000001</v>
      </c>
      <c r="AEG435" s="635">
        <v>5.8330000000000002</v>
      </c>
    </row>
    <row r="436" spans="1:813" ht="15.5">
      <c r="A436" s="634">
        <v>44572</v>
      </c>
      <c r="B436" s="633">
        <v>1064.4000000000001</v>
      </c>
      <c r="AEE436" s="636">
        <v>43978</v>
      </c>
      <c r="AEF436" s="637">
        <v>-1055.8820000000001</v>
      </c>
      <c r="AEG436" s="635">
        <v>5.843</v>
      </c>
    </row>
    <row r="437" spans="1:813" ht="15.5">
      <c r="A437" s="634">
        <v>44573</v>
      </c>
      <c r="B437" s="633">
        <v>1106.22</v>
      </c>
      <c r="AEE437" s="636">
        <v>43979</v>
      </c>
      <c r="AEF437" s="637">
        <v>-1037.319</v>
      </c>
      <c r="AEG437" s="635">
        <v>5.74</v>
      </c>
    </row>
    <row r="438" spans="1:813" ht="15.5">
      <c r="A438" s="634">
        <v>44574</v>
      </c>
      <c r="B438" s="633">
        <v>1031.56</v>
      </c>
      <c r="AEE438" s="636">
        <v>43980</v>
      </c>
      <c r="AEF438" s="637">
        <v>-1074.895</v>
      </c>
      <c r="AEG438" s="635">
        <v>5.9480000000000004</v>
      </c>
    </row>
    <row r="439" spans="1:813" ht="15.5">
      <c r="A439" s="634">
        <v>44575</v>
      </c>
      <c r="B439" s="633">
        <v>1049.6099999999999</v>
      </c>
      <c r="AEE439" s="636">
        <v>43983</v>
      </c>
      <c r="AEF439" s="637">
        <v>-1156.124</v>
      </c>
      <c r="AEG439" s="635">
        <v>6.3979999999999997</v>
      </c>
    </row>
    <row r="440" spans="1:813" ht="15.5">
      <c r="A440" s="634">
        <v>44579</v>
      </c>
      <c r="B440" s="633">
        <v>1030.51</v>
      </c>
      <c r="AEE440" s="636">
        <v>43984</v>
      </c>
      <c r="AEF440" s="637">
        <v>-1134.8320000000001</v>
      </c>
      <c r="AEG440" s="635">
        <v>6.28</v>
      </c>
    </row>
    <row r="441" spans="1:813" ht="15.5">
      <c r="A441" s="634">
        <v>44580</v>
      </c>
      <c r="B441" s="633">
        <v>995.65</v>
      </c>
      <c r="AEE441" s="636">
        <v>43985</v>
      </c>
      <c r="AEF441" s="637">
        <v>-1136.634</v>
      </c>
      <c r="AEG441" s="635">
        <v>6.29</v>
      </c>
    </row>
    <row r="442" spans="1:813" ht="15.5">
      <c r="A442" s="634">
        <v>44581</v>
      </c>
      <c r="B442" s="633">
        <v>996.27</v>
      </c>
      <c r="AEE442" s="636">
        <v>43986</v>
      </c>
      <c r="AEF442" s="637">
        <v>-1112.7159999999999</v>
      </c>
      <c r="AEG442" s="635">
        <v>6.1580000000000004</v>
      </c>
    </row>
    <row r="443" spans="1:813" ht="15.5">
      <c r="A443" s="634">
        <v>44582</v>
      </c>
      <c r="B443" s="633">
        <v>943.9</v>
      </c>
      <c r="AEE443" s="636">
        <v>43987</v>
      </c>
      <c r="AEF443" s="637">
        <v>-1140.1099999999999</v>
      </c>
      <c r="AEG443" s="635">
        <v>6.3090000000000002</v>
      </c>
    </row>
    <row r="444" spans="1:813" ht="15.5">
      <c r="A444" s="634">
        <v>44585</v>
      </c>
      <c r="B444" s="633">
        <v>930</v>
      </c>
      <c r="AEE444" s="636">
        <v>43990</v>
      </c>
      <c r="AEF444" s="637">
        <v>-1222.8309999999999</v>
      </c>
      <c r="AEG444" s="635">
        <v>6.7670000000000003</v>
      </c>
    </row>
    <row r="445" spans="1:813" ht="15.5">
      <c r="A445" s="634">
        <v>44586</v>
      </c>
      <c r="B445" s="633">
        <v>918.4</v>
      </c>
      <c r="AEE445" s="636">
        <v>43991</v>
      </c>
      <c r="AEF445" s="637">
        <v>-1210.924</v>
      </c>
      <c r="AEG445" s="635">
        <v>6.7009999999999996</v>
      </c>
    </row>
    <row r="446" spans="1:813" ht="15.5">
      <c r="A446" s="634">
        <v>44587</v>
      </c>
      <c r="B446" s="633">
        <v>937.41</v>
      </c>
      <c r="AEE446" s="636">
        <v>43992</v>
      </c>
      <c r="AEF446" s="637">
        <v>-1319.546</v>
      </c>
      <c r="AEG446" s="635">
        <v>7.3019999999999996</v>
      </c>
    </row>
    <row r="447" spans="1:813" ht="15.5">
      <c r="A447" s="634">
        <v>44588</v>
      </c>
      <c r="B447" s="633">
        <v>829.1</v>
      </c>
      <c r="AEE447" s="636">
        <v>43993</v>
      </c>
      <c r="AEF447" s="637">
        <v>-1252.336</v>
      </c>
      <c r="AEG447" s="635">
        <v>6.93</v>
      </c>
    </row>
    <row r="448" spans="1:813" ht="15.5">
      <c r="A448" s="634">
        <v>44589</v>
      </c>
      <c r="B448" s="633">
        <v>846.35</v>
      </c>
      <c r="AEE448" s="636">
        <v>43994</v>
      </c>
      <c r="AEF448" s="637">
        <v>-1203.9849999999999</v>
      </c>
      <c r="AEG448" s="635">
        <v>6.6630000000000003</v>
      </c>
    </row>
    <row r="449" spans="1:813" ht="15.5">
      <c r="A449" s="634">
        <v>44592</v>
      </c>
      <c r="B449" s="633">
        <v>936.72</v>
      </c>
      <c r="AEE449" s="636">
        <v>43997</v>
      </c>
      <c r="AEF449" s="637">
        <v>-1275.585</v>
      </c>
      <c r="AEG449" s="635">
        <v>7.0590000000000002</v>
      </c>
    </row>
    <row r="450" spans="1:813" ht="15.5">
      <c r="A450" s="634">
        <v>44593</v>
      </c>
      <c r="B450" s="633">
        <v>931.25</v>
      </c>
      <c r="AEE450" s="636">
        <v>43998</v>
      </c>
      <c r="AEF450" s="637">
        <v>-1264.2950000000001</v>
      </c>
      <c r="AEG450" s="635">
        <v>6.9960000000000004</v>
      </c>
    </row>
    <row r="451" spans="1:813" ht="15.5">
      <c r="A451" s="634">
        <v>44594</v>
      </c>
      <c r="B451" s="633">
        <v>905.66</v>
      </c>
      <c r="AEE451" s="636">
        <v>43999</v>
      </c>
      <c r="AEF451" s="637">
        <v>-1276.731</v>
      </c>
      <c r="AEG451" s="635">
        <v>7.0650000000000004</v>
      </c>
    </row>
    <row r="452" spans="1:813" ht="15.5">
      <c r="A452" s="634">
        <v>44595</v>
      </c>
      <c r="B452" s="633">
        <v>891.14</v>
      </c>
      <c r="AEE452" s="636">
        <v>44000</v>
      </c>
      <c r="AEF452" s="637">
        <v>-1292.3969999999999</v>
      </c>
      <c r="AEG452" s="635">
        <v>7.1520000000000001</v>
      </c>
    </row>
    <row r="453" spans="1:813" ht="15.5">
      <c r="A453" s="634">
        <v>44596</v>
      </c>
      <c r="B453" s="633">
        <v>923.32</v>
      </c>
      <c r="AEE453" s="636">
        <v>44001</v>
      </c>
      <c r="AEF453" s="637">
        <v>-1288.4580000000001</v>
      </c>
      <c r="AEG453" s="635">
        <v>7.13</v>
      </c>
    </row>
    <row r="454" spans="1:813" ht="15.5">
      <c r="A454" s="634">
        <v>44599</v>
      </c>
      <c r="B454" s="633">
        <v>907.34</v>
      </c>
      <c r="AEE454" s="636">
        <v>44004</v>
      </c>
      <c r="AEF454" s="637">
        <v>-1279.9870000000001</v>
      </c>
      <c r="AEG454" s="635">
        <v>7.0830000000000002</v>
      </c>
    </row>
    <row r="455" spans="1:813" ht="15.5">
      <c r="A455" s="634">
        <v>44600</v>
      </c>
      <c r="B455" s="633">
        <v>922</v>
      </c>
      <c r="AEE455" s="636">
        <v>44005</v>
      </c>
      <c r="AEF455" s="637">
        <v>-1289.5909999999999</v>
      </c>
      <c r="AEG455" s="635">
        <v>7.1360000000000001</v>
      </c>
    </row>
    <row r="456" spans="1:813" ht="15.5">
      <c r="A456" s="634">
        <v>44601</v>
      </c>
      <c r="B456" s="633">
        <v>932</v>
      </c>
      <c r="AEE456" s="636">
        <v>44006</v>
      </c>
      <c r="AEF456" s="637">
        <v>-1236.902</v>
      </c>
      <c r="AEG456" s="635">
        <v>6.8449999999999998</v>
      </c>
    </row>
    <row r="457" spans="1:813" ht="15.5">
      <c r="A457" s="634">
        <v>44602</v>
      </c>
      <c r="B457" s="633">
        <v>904.55</v>
      </c>
      <c r="AEE457" s="636">
        <v>44007</v>
      </c>
      <c r="AEF457" s="637">
        <v>-1269.251</v>
      </c>
      <c r="AEG457" s="635">
        <v>7.024</v>
      </c>
    </row>
    <row r="458" spans="1:813" ht="15.5">
      <c r="A458" s="634">
        <v>44603</v>
      </c>
      <c r="B458" s="633">
        <v>860</v>
      </c>
      <c r="AEE458" s="636">
        <v>44008</v>
      </c>
      <c r="AEF458" s="637">
        <v>-1235.473</v>
      </c>
      <c r="AEG458" s="635">
        <v>6.8369999999999997</v>
      </c>
    </row>
    <row r="459" spans="1:813" ht="15.5">
      <c r="A459" s="634">
        <v>44606</v>
      </c>
      <c r="B459" s="633">
        <v>875.76</v>
      </c>
      <c r="AEE459" s="636">
        <v>44011</v>
      </c>
      <c r="AEF459" s="637">
        <v>-1299.336</v>
      </c>
      <c r="AEG459" s="635">
        <v>7.19</v>
      </c>
    </row>
    <row r="460" spans="1:813" ht="15.5">
      <c r="A460" s="634">
        <v>44607</v>
      </c>
      <c r="B460" s="633">
        <v>922.43</v>
      </c>
      <c r="AEE460" s="636">
        <v>44012</v>
      </c>
      <c r="AEF460" s="637">
        <v>-1390.039</v>
      </c>
      <c r="AEG460" s="635">
        <v>7.6920000000000002</v>
      </c>
    </row>
    <row r="461" spans="1:813" ht="15.5">
      <c r="A461" s="634">
        <v>44608</v>
      </c>
      <c r="B461" s="633">
        <v>923.39</v>
      </c>
      <c r="AEE461" s="636">
        <v>44013</v>
      </c>
      <c r="AEF461" s="637">
        <v>-1441.299</v>
      </c>
      <c r="AEG461" s="635">
        <v>7.976</v>
      </c>
    </row>
    <row r="462" spans="1:813" ht="15.5">
      <c r="A462" s="634">
        <v>44609</v>
      </c>
      <c r="B462" s="633">
        <v>876.35</v>
      </c>
      <c r="AEE462" s="636">
        <v>44014</v>
      </c>
      <c r="AEF462" s="637">
        <v>-1555.9069999999999</v>
      </c>
      <c r="AEG462" s="635">
        <v>8.61</v>
      </c>
    </row>
    <row r="463" spans="1:813" ht="15.5">
      <c r="A463" s="634">
        <v>44610</v>
      </c>
      <c r="B463" s="633">
        <v>856.98</v>
      </c>
      <c r="AEE463" s="636">
        <v>44018</v>
      </c>
      <c r="AEF463" s="637">
        <v>-1765.634</v>
      </c>
      <c r="AEG463" s="635">
        <v>9.7710000000000008</v>
      </c>
    </row>
    <row r="464" spans="1:813" ht="15.5">
      <c r="A464" s="634">
        <v>44614</v>
      </c>
      <c r="B464" s="633">
        <v>821.53</v>
      </c>
      <c r="AEE464" s="636">
        <v>44019</v>
      </c>
      <c r="AEF464" s="637">
        <v>-1789.1659999999999</v>
      </c>
      <c r="AEG464" s="635">
        <v>9.9009999999999998</v>
      </c>
    </row>
    <row r="465" spans="1:813" ht="15.5">
      <c r="A465" s="634">
        <v>44615</v>
      </c>
      <c r="B465" s="633">
        <v>764.04</v>
      </c>
      <c r="AEE465" s="636">
        <v>44020</v>
      </c>
      <c r="AEF465" s="637">
        <v>-1758.296</v>
      </c>
      <c r="AEG465" s="635">
        <v>9.73</v>
      </c>
    </row>
    <row r="466" spans="1:813" ht="15.5">
      <c r="A466" s="634">
        <v>44616</v>
      </c>
      <c r="B466" s="633">
        <v>800.77</v>
      </c>
      <c r="AEE466" s="636">
        <v>44021</v>
      </c>
      <c r="AEF466" s="637">
        <v>-1794.856</v>
      </c>
      <c r="AEG466" s="635">
        <v>9.9320000000000004</v>
      </c>
    </row>
    <row r="467" spans="1:813" ht="15.5">
      <c r="A467" s="634">
        <v>44617</v>
      </c>
      <c r="B467" s="633">
        <v>809.87</v>
      </c>
      <c r="AEE467" s="636">
        <v>44022</v>
      </c>
      <c r="AEF467" s="637">
        <v>-1988.4269999999999</v>
      </c>
      <c r="AEG467" s="635">
        <v>11.004</v>
      </c>
    </row>
    <row r="468" spans="1:813" ht="15.5">
      <c r="A468" s="634">
        <v>44620</v>
      </c>
      <c r="B468" s="633">
        <v>870.43</v>
      </c>
      <c r="AEE468" s="636">
        <v>44025</v>
      </c>
      <c r="AEF468" s="637">
        <v>-1927.164</v>
      </c>
      <c r="AEG468" s="635">
        <v>10.664999999999999</v>
      </c>
    </row>
    <row r="469" spans="1:813" ht="15.5">
      <c r="A469" s="634">
        <v>44621</v>
      </c>
      <c r="B469" s="633">
        <v>864.37</v>
      </c>
      <c r="AEE469" s="636">
        <v>44026</v>
      </c>
      <c r="AEF469" s="637">
        <v>-1952.576</v>
      </c>
      <c r="AEG469" s="635">
        <v>10.805</v>
      </c>
    </row>
    <row r="470" spans="1:813" ht="15.5">
      <c r="A470" s="634">
        <v>44622</v>
      </c>
      <c r="B470" s="633">
        <v>879.89</v>
      </c>
      <c r="AEE470" s="636">
        <v>44027</v>
      </c>
      <c r="AEF470" s="637">
        <v>-1990.1780000000001</v>
      </c>
      <c r="AEG470" s="635">
        <v>11.013</v>
      </c>
    </row>
    <row r="471" spans="1:813" ht="15.5">
      <c r="A471" s="634">
        <v>44623</v>
      </c>
      <c r="B471" s="633">
        <v>839.29</v>
      </c>
      <c r="AEE471" s="636">
        <v>44028</v>
      </c>
      <c r="AEF471" s="637">
        <v>-1931.7729999999999</v>
      </c>
      <c r="AEG471" s="635">
        <v>10.69</v>
      </c>
    </row>
    <row r="472" spans="1:813" ht="15.5">
      <c r="A472" s="634">
        <v>44624</v>
      </c>
      <c r="B472" s="633">
        <v>838.29</v>
      </c>
      <c r="AEE472" s="636">
        <v>44029</v>
      </c>
      <c r="AEF472" s="637">
        <v>-1932.03</v>
      </c>
      <c r="AEG472" s="635">
        <v>10.691000000000001</v>
      </c>
    </row>
    <row r="473" spans="1:813" ht="15.5">
      <c r="A473" s="634">
        <v>44627</v>
      </c>
      <c r="B473" s="633">
        <v>804.58</v>
      </c>
      <c r="AEE473" s="636">
        <v>44032</v>
      </c>
      <c r="AEF473" s="637">
        <v>-2115.0329999999999</v>
      </c>
      <c r="AEG473" s="635">
        <v>11.704000000000001</v>
      </c>
    </row>
    <row r="474" spans="1:813" ht="15.5">
      <c r="A474" s="634">
        <v>44628</v>
      </c>
      <c r="B474" s="633">
        <v>824.4</v>
      </c>
      <c r="AEE474" s="636">
        <v>44033</v>
      </c>
      <c r="AEF474" s="637">
        <v>-2018.9490000000001</v>
      </c>
      <c r="AEG474" s="635">
        <v>11.172000000000001</v>
      </c>
    </row>
    <row r="475" spans="1:813" ht="15.5">
      <c r="A475" s="634">
        <v>44629</v>
      </c>
      <c r="B475" s="633">
        <v>858.97</v>
      </c>
      <c r="AEE475" s="636">
        <v>44034</v>
      </c>
      <c r="AEF475" s="635">
        <v>801.8</v>
      </c>
      <c r="AEG475" s="635">
        <v>11.481999999999999</v>
      </c>
    </row>
    <row r="476" spans="1:813" ht="15.5">
      <c r="A476" s="634">
        <v>44630</v>
      </c>
      <c r="B476" s="633">
        <v>838.3</v>
      </c>
      <c r="AEE476" s="636">
        <v>44035</v>
      </c>
      <c r="AEF476" s="635">
        <v>761.89</v>
      </c>
      <c r="AEG476" s="635">
        <v>10.91</v>
      </c>
    </row>
    <row r="477" spans="1:813" ht="15.5">
      <c r="A477" s="634">
        <v>44631</v>
      </c>
      <c r="B477" s="633">
        <v>795.35</v>
      </c>
      <c r="AEE477" s="636">
        <v>44036</v>
      </c>
      <c r="AEF477" s="635">
        <v>713.52</v>
      </c>
      <c r="AEG477" s="635">
        <v>10.218</v>
      </c>
    </row>
    <row r="478" spans="1:813" ht="15.5">
      <c r="A478" s="634">
        <v>44634</v>
      </c>
      <c r="B478" s="633">
        <v>766.37</v>
      </c>
      <c r="AEE478" s="636">
        <v>44039</v>
      </c>
      <c r="AEF478" s="635">
        <v>775.25</v>
      </c>
      <c r="AEG478" s="635">
        <v>11.102</v>
      </c>
    </row>
    <row r="479" spans="1:813" ht="15.5">
      <c r="A479" s="634">
        <v>44635</v>
      </c>
      <c r="B479" s="633">
        <v>801.89</v>
      </c>
      <c r="AEE479" s="636">
        <v>44040</v>
      </c>
      <c r="AEF479" s="635">
        <v>747.72</v>
      </c>
      <c r="AEG479" s="635">
        <v>10.702999999999999</v>
      </c>
    </row>
    <row r="480" spans="1:813" ht="15.5">
      <c r="A480" s="634">
        <v>44636</v>
      </c>
      <c r="B480" s="633">
        <v>840.23</v>
      </c>
      <c r="AEE480" s="636">
        <v>44041</v>
      </c>
      <c r="AEF480" s="635">
        <v>759.18</v>
      </c>
      <c r="AEG480" s="635">
        <v>10.867000000000001</v>
      </c>
    </row>
    <row r="481" spans="1:813" ht="15.5">
      <c r="A481" s="634">
        <v>44637</v>
      </c>
      <c r="B481" s="633">
        <v>871.6</v>
      </c>
      <c r="AEE481" s="636">
        <v>44042</v>
      </c>
      <c r="AEF481" s="635">
        <v>753.29</v>
      </c>
      <c r="AEG481" s="635">
        <v>10.782999999999999</v>
      </c>
    </row>
    <row r="482" spans="1:813" ht="15.5">
      <c r="A482" s="634">
        <v>44638</v>
      </c>
      <c r="B482" s="633">
        <v>905.39</v>
      </c>
      <c r="AEE482" s="636">
        <v>44043</v>
      </c>
      <c r="AEF482" s="635">
        <v>724.56</v>
      </c>
      <c r="AEG482" s="635">
        <v>10.372</v>
      </c>
    </row>
    <row r="483" spans="1:813" ht="15.5">
      <c r="A483" s="634">
        <v>44641</v>
      </c>
      <c r="B483" s="633">
        <v>921.16</v>
      </c>
      <c r="AEE483" s="636">
        <v>44046</v>
      </c>
      <c r="AEF483" s="635">
        <v>752.03</v>
      </c>
      <c r="AEG483" s="635">
        <v>10.765000000000001</v>
      </c>
    </row>
    <row r="484" spans="1:813" ht="15.5">
      <c r="A484" s="634">
        <v>44642</v>
      </c>
      <c r="B484" s="633">
        <v>993.98</v>
      </c>
      <c r="AEE484" s="636">
        <v>44047</v>
      </c>
      <c r="AEF484" s="635">
        <v>753.04</v>
      </c>
      <c r="AEG484" s="635">
        <v>10.78</v>
      </c>
    </row>
    <row r="485" spans="1:813" ht="15.5">
      <c r="A485" s="634">
        <v>44643</v>
      </c>
      <c r="B485" s="633">
        <v>999.11</v>
      </c>
      <c r="AEE485" s="636">
        <v>44048</v>
      </c>
      <c r="AEF485" s="635">
        <v>752.04</v>
      </c>
      <c r="AEG485" s="635">
        <v>10.765000000000001</v>
      </c>
    </row>
    <row r="486" spans="1:813" ht="15.5">
      <c r="A486" s="634">
        <v>44644</v>
      </c>
      <c r="B486" s="633">
        <v>1013.92</v>
      </c>
      <c r="AEE486" s="636">
        <v>44049</v>
      </c>
      <c r="AEF486" s="635">
        <v>754.35</v>
      </c>
      <c r="AEG486" s="635">
        <v>10.798</v>
      </c>
    </row>
    <row r="487" spans="1:813" ht="15.5">
      <c r="A487" s="634">
        <v>44645</v>
      </c>
      <c r="B487" s="633">
        <v>1010.64</v>
      </c>
      <c r="AEE487" s="636">
        <v>44050</v>
      </c>
      <c r="AEF487" s="635">
        <v>735.68</v>
      </c>
      <c r="AEG487" s="635">
        <v>10.531000000000001</v>
      </c>
    </row>
    <row r="488" spans="1:813" ht="15.5">
      <c r="A488" s="634">
        <v>44648</v>
      </c>
      <c r="B488" s="633">
        <v>1091.8399999999999</v>
      </c>
      <c r="AEE488" s="636">
        <v>44053</v>
      </c>
      <c r="AEF488" s="635">
        <v>718.39</v>
      </c>
      <c r="AEG488" s="635">
        <v>10.282999999999999</v>
      </c>
    </row>
    <row r="489" spans="1:813" ht="15.5">
      <c r="A489" s="634">
        <v>44649</v>
      </c>
      <c r="B489" s="633">
        <v>1099.57</v>
      </c>
      <c r="AEE489" s="636">
        <v>44054</v>
      </c>
      <c r="AEF489" s="635">
        <v>696.02</v>
      </c>
      <c r="AEG489" s="635">
        <v>9.9629999999999992</v>
      </c>
    </row>
    <row r="490" spans="1:813" ht="15.5">
      <c r="A490" s="634">
        <v>44650</v>
      </c>
      <c r="B490" s="633">
        <v>1093.99</v>
      </c>
      <c r="AEE490" s="636">
        <v>44055</v>
      </c>
      <c r="AEF490" s="635">
        <v>787.36</v>
      </c>
      <c r="AEG490" s="635">
        <v>11.271000000000001</v>
      </c>
    </row>
    <row r="491" spans="1:813" ht="15.5">
      <c r="A491" s="634">
        <v>44651</v>
      </c>
      <c r="B491" s="633">
        <v>1077.5999999999999</v>
      </c>
      <c r="AEE491" s="636">
        <v>44056</v>
      </c>
      <c r="AEF491" s="635">
        <v>820.9</v>
      </c>
      <c r="AEG491" s="635">
        <v>11.750999999999999</v>
      </c>
    </row>
    <row r="492" spans="1:813" ht="15.5">
      <c r="A492" s="634">
        <v>44652</v>
      </c>
      <c r="B492" s="633">
        <v>1084.5899999999999</v>
      </c>
      <c r="AEE492" s="636">
        <v>44057</v>
      </c>
      <c r="AEF492" s="635">
        <v>835.95</v>
      </c>
      <c r="AEG492" s="635">
        <v>11.965999999999999</v>
      </c>
    </row>
    <row r="493" spans="1:813" ht="15.5">
      <c r="A493" s="634">
        <v>44655</v>
      </c>
      <c r="B493" s="633">
        <v>1145.45</v>
      </c>
      <c r="AEE493" s="636">
        <v>44060</v>
      </c>
      <c r="AEF493" s="635">
        <v>929.6</v>
      </c>
      <c r="AEG493" s="635">
        <v>13.307</v>
      </c>
    </row>
    <row r="494" spans="1:813" ht="15.5">
      <c r="A494" s="634">
        <v>44656</v>
      </c>
      <c r="B494" s="633">
        <v>1091.26</v>
      </c>
      <c r="AEE494" s="636">
        <v>44061</v>
      </c>
      <c r="AEF494" s="635">
        <v>955.66</v>
      </c>
      <c r="AEG494" s="635">
        <v>13.68</v>
      </c>
    </row>
    <row r="495" spans="1:813" ht="15.5">
      <c r="A495" s="634">
        <v>44657</v>
      </c>
      <c r="B495" s="633">
        <v>1045.76</v>
      </c>
      <c r="AEE495" s="636">
        <v>44062</v>
      </c>
      <c r="AEF495" s="635">
        <v>951.32</v>
      </c>
      <c r="AEG495" s="635">
        <v>13.618</v>
      </c>
    </row>
    <row r="496" spans="1:813" ht="15.5">
      <c r="A496" s="634">
        <v>44658</v>
      </c>
      <c r="B496" s="633">
        <v>1057.26</v>
      </c>
      <c r="AEE496" s="636">
        <v>44063</v>
      </c>
      <c r="AEF496" s="637">
        <v>1013.7619999999999</v>
      </c>
      <c r="AEG496" s="635">
        <v>14.512</v>
      </c>
    </row>
    <row r="497" spans="1:813" ht="15.5">
      <c r="A497" s="634">
        <v>44659</v>
      </c>
      <c r="B497" s="633">
        <v>1025.49</v>
      </c>
      <c r="AEE497" s="636">
        <v>44064</v>
      </c>
      <c r="AEF497" s="637">
        <v>1038.146</v>
      </c>
      <c r="AEG497" s="635">
        <v>14.861000000000001</v>
      </c>
    </row>
    <row r="498" spans="1:813" ht="15.5">
      <c r="A498" s="634">
        <v>44662</v>
      </c>
      <c r="B498" s="633">
        <v>975.93</v>
      </c>
      <c r="AEE498" s="636">
        <v>44067</v>
      </c>
      <c r="AEF498" s="637">
        <v>1020.027</v>
      </c>
      <c r="AEG498" s="635">
        <v>14.601000000000001</v>
      </c>
    </row>
    <row r="499" spans="1:813" ht="15.5">
      <c r="A499" s="634">
        <v>44663</v>
      </c>
      <c r="B499" s="633">
        <v>986.95</v>
      </c>
      <c r="AEE499" s="636">
        <v>44068</v>
      </c>
      <c r="AEF499" s="637">
        <v>1024.655</v>
      </c>
      <c r="AEG499" s="635">
        <v>14.667999999999999</v>
      </c>
    </row>
    <row r="500" spans="1:813" ht="15.5">
      <c r="A500" s="634">
        <v>44664</v>
      </c>
      <c r="B500" s="633">
        <v>1022.37</v>
      </c>
      <c r="AEE500" s="636">
        <v>44069</v>
      </c>
      <c r="AEF500" s="637">
        <v>1090.403</v>
      </c>
      <c r="AEG500" s="635">
        <v>15.609</v>
      </c>
    </row>
    <row r="501" spans="1:813" ht="15.5">
      <c r="A501" s="634">
        <v>44665</v>
      </c>
      <c r="B501" s="633">
        <v>985</v>
      </c>
      <c r="AEE501" s="636">
        <v>44070</v>
      </c>
      <c r="AEF501" s="637">
        <v>1133.7429999999999</v>
      </c>
      <c r="AEG501" s="635">
        <v>16.228999999999999</v>
      </c>
    </row>
    <row r="502" spans="1:813" ht="15.5">
      <c r="A502" s="634">
        <v>44669</v>
      </c>
      <c r="B502" s="633">
        <v>1004.29</v>
      </c>
      <c r="AEE502" s="636">
        <v>44071</v>
      </c>
      <c r="AEF502" s="637">
        <v>1120.905</v>
      </c>
      <c r="AEG502" s="635">
        <v>16.045000000000002</v>
      </c>
    </row>
    <row r="503" spans="1:813" ht="15.5">
      <c r="A503" s="634">
        <v>44670</v>
      </c>
      <c r="B503" s="633">
        <v>1028.1500000000001</v>
      </c>
      <c r="AEE503" s="636">
        <v>44074</v>
      </c>
      <c r="AEF503" s="637">
        <v>1261.79</v>
      </c>
      <c r="AEG503" s="635">
        <v>18.062000000000001</v>
      </c>
    </row>
    <row r="504" spans="1:813" ht="15.5">
      <c r="A504" s="634">
        <v>44671</v>
      </c>
      <c r="B504" s="633">
        <v>977.2</v>
      </c>
      <c r="AEE504" s="636">
        <v>44075</v>
      </c>
      <c r="AEF504" s="637">
        <v>1202.8689999999999</v>
      </c>
      <c r="AEG504" s="635">
        <v>17.219000000000001</v>
      </c>
    </row>
    <row r="505" spans="1:813" ht="15.5">
      <c r="A505" s="634">
        <v>44672</v>
      </c>
      <c r="B505" s="633">
        <v>1008.78</v>
      </c>
      <c r="AEE505" s="636">
        <v>44076</v>
      </c>
      <c r="AEF505" s="637">
        <v>1132.7809999999999</v>
      </c>
      <c r="AEG505" s="635">
        <v>16.215</v>
      </c>
    </row>
    <row r="506" spans="1:813" ht="15.5">
      <c r="A506" s="634">
        <v>44673</v>
      </c>
      <c r="B506" s="633">
        <v>1005.05</v>
      </c>
      <c r="AEE506" s="636">
        <v>44077</v>
      </c>
      <c r="AEF506" s="637">
        <v>1030.56</v>
      </c>
      <c r="AEG506" s="635">
        <v>14.752000000000001</v>
      </c>
    </row>
    <row r="507" spans="1:813" ht="15.5">
      <c r="A507" s="634">
        <v>44676</v>
      </c>
      <c r="B507" s="633">
        <v>998.02</v>
      </c>
      <c r="AEE507" s="636">
        <v>44078</v>
      </c>
      <c r="AEF507" s="637">
        <v>1059.223</v>
      </c>
      <c r="AEG507" s="635">
        <v>15.162000000000001</v>
      </c>
    </row>
    <row r="508" spans="1:813" ht="15.5">
      <c r="A508" s="634">
        <v>44677</v>
      </c>
      <c r="B508" s="633">
        <v>876.42</v>
      </c>
      <c r="AEE508" s="636">
        <v>44082</v>
      </c>
      <c r="AEF508" s="635">
        <v>836.12</v>
      </c>
      <c r="AEG508" s="635">
        <v>11.968999999999999</v>
      </c>
    </row>
    <row r="509" spans="1:813" ht="15.5">
      <c r="A509" s="634">
        <v>44678</v>
      </c>
      <c r="B509" s="633">
        <v>881.51</v>
      </c>
      <c r="AEE509" s="636">
        <v>44083</v>
      </c>
      <c r="AEF509" s="635">
        <v>927.45</v>
      </c>
      <c r="AEG509" s="635">
        <v>13.276</v>
      </c>
    </row>
    <row r="510" spans="1:813" ht="15.5">
      <c r="A510" s="634">
        <v>44679</v>
      </c>
      <c r="B510" s="633">
        <v>877.51</v>
      </c>
      <c r="AEE510" s="636">
        <v>44084</v>
      </c>
      <c r="AEF510" s="635">
        <v>940.27</v>
      </c>
      <c r="AEG510" s="635">
        <v>13.46</v>
      </c>
    </row>
    <row r="511" spans="1:813" ht="15.5">
      <c r="A511" s="634">
        <v>44680</v>
      </c>
      <c r="B511" s="633">
        <v>870.76</v>
      </c>
      <c r="AEE511" s="636">
        <v>44085</v>
      </c>
      <c r="AEF511" s="635">
        <v>943.76</v>
      </c>
      <c r="AEG511" s="635">
        <v>13.51</v>
      </c>
    </row>
    <row r="512" spans="1:813" ht="15.5">
      <c r="A512" s="634">
        <v>44683</v>
      </c>
      <c r="B512" s="633">
        <v>902.94</v>
      </c>
      <c r="AEE512" s="636">
        <v>44088</v>
      </c>
      <c r="AEF512" s="637">
        <v>1062.5150000000001</v>
      </c>
      <c r="AEG512" s="635">
        <v>15.209</v>
      </c>
    </row>
    <row r="513" spans="1:813" ht="15.5">
      <c r="A513" s="634">
        <v>44684</v>
      </c>
      <c r="B513" s="633">
        <v>909.25</v>
      </c>
      <c r="AEE513" s="636">
        <v>44089</v>
      </c>
      <c r="AEF513" s="637">
        <v>1138.8320000000001</v>
      </c>
      <c r="AEG513" s="635">
        <v>16.302</v>
      </c>
    </row>
    <row r="514" spans="1:813" ht="15.5">
      <c r="A514" s="634">
        <v>44685</v>
      </c>
      <c r="B514" s="633">
        <v>952.62</v>
      </c>
      <c r="AEE514" s="636">
        <v>44090</v>
      </c>
      <c r="AEF514" s="637">
        <v>1118.575</v>
      </c>
      <c r="AEG514" s="635">
        <v>16.012</v>
      </c>
    </row>
    <row r="515" spans="1:813" ht="15.5">
      <c r="A515" s="634">
        <v>44686</v>
      </c>
      <c r="B515" s="633">
        <v>873.28</v>
      </c>
      <c r="AEE515" s="636">
        <v>44091</v>
      </c>
      <c r="AEF515" s="637">
        <v>1072.162</v>
      </c>
      <c r="AEG515" s="635">
        <v>15.348000000000001</v>
      </c>
    </row>
    <row r="516" spans="1:813" ht="15.5">
      <c r="A516" s="634">
        <v>44687</v>
      </c>
      <c r="B516" s="633">
        <v>865.65</v>
      </c>
      <c r="AEE516" s="636">
        <v>44092</v>
      </c>
      <c r="AEF516" s="637">
        <v>1119.5630000000001</v>
      </c>
      <c r="AEG516" s="635">
        <v>16.026</v>
      </c>
    </row>
    <row r="517" spans="1:813" ht="15.5">
      <c r="A517" s="634">
        <v>44690</v>
      </c>
      <c r="B517" s="633">
        <v>787.11</v>
      </c>
      <c r="AEE517" s="636">
        <v>44095</v>
      </c>
      <c r="AEF517" s="637">
        <v>1137.895</v>
      </c>
      <c r="AEG517" s="635">
        <v>16.289000000000001</v>
      </c>
    </row>
    <row r="518" spans="1:813" ht="15.5">
      <c r="A518" s="634">
        <v>44691</v>
      </c>
      <c r="B518" s="633">
        <v>800.04</v>
      </c>
      <c r="AEE518" s="636">
        <v>44096</v>
      </c>
      <c r="AEF518" s="637">
        <v>1074.1880000000001</v>
      </c>
      <c r="AEG518" s="635">
        <v>15.377000000000001</v>
      </c>
    </row>
    <row r="519" spans="1:813" ht="15.5">
      <c r="A519" s="634">
        <v>44692</v>
      </c>
      <c r="B519" s="633">
        <v>734</v>
      </c>
      <c r="AEE519" s="636">
        <v>44097</v>
      </c>
      <c r="AEF519" s="635">
        <v>963.11</v>
      </c>
      <c r="AEG519" s="635">
        <v>13.786</v>
      </c>
    </row>
    <row r="520" spans="1:813" ht="15.5">
      <c r="A520" s="634">
        <v>44693</v>
      </c>
      <c r="B520" s="633">
        <v>728</v>
      </c>
      <c r="AEE520" s="636">
        <v>44098</v>
      </c>
      <c r="AEF520" s="635">
        <v>981.92</v>
      </c>
      <c r="AEG520" s="635">
        <v>14.055999999999999</v>
      </c>
    </row>
    <row r="521" spans="1:813" ht="15.5">
      <c r="A521" s="634">
        <v>44694</v>
      </c>
      <c r="B521" s="633">
        <v>769.59</v>
      </c>
      <c r="AEE521" s="636">
        <v>44099</v>
      </c>
      <c r="AEF521" s="637">
        <v>1031.421</v>
      </c>
      <c r="AEG521" s="635">
        <v>14.763999999999999</v>
      </c>
    </row>
    <row r="522" spans="1:813" ht="15.5">
      <c r="A522" s="634">
        <v>44697</v>
      </c>
      <c r="B522" s="633">
        <v>724.37</v>
      </c>
      <c r="AEE522" s="636">
        <v>44102</v>
      </c>
      <c r="AEF522" s="637">
        <v>1066.5160000000001</v>
      </c>
      <c r="AEG522" s="635">
        <v>15.266999999999999</v>
      </c>
    </row>
    <row r="523" spans="1:813" ht="15.5">
      <c r="A523" s="634">
        <v>44698</v>
      </c>
      <c r="B523" s="633">
        <v>761.61</v>
      </c>
      <c r="AEE523" s="636">
        <v>44103</v>
      </c>
      <c r="AEF523" s="637">
        <v>1061.1220000000001</v>
      </c>
      <c r="AEG523" s="635">
        <v>15.19</v>
      </c>
    </row>
    <row r="524" spans="1:813" ht="15.5">
      <c r="A524" s="634">
        <v>44699</v>
      </c>
      <c r="B524" s="633">
        <v>709.81</v>
      </c>
      <c r="AEE524" s="636">
        <v>44104</v>
      </c>
      <c r="AEF524" s="637">
        <v>1086.2909999999999</v>
      </c>
      <c r="AEG524" s="635">
        <v>15.55</v>
      </c>
    </row>
    <row r="525" spans="1:813" ht="15.5">
      <c r="A525" s="634">
        <v>44700</v>
      </c>
      <c r="B525" s="633">
        <v>709.42</v>
      </c>
      <c r="AEE525" s="636">
        <v>44105</v>
      </c>
      <c r="AEF525" s="637">
        <v>1134.7809999999999</v>
      </c>
      <c r="AEG525" s="635">
        <v>16.244</v>
      </c>
    </row>
    <row r="526" spans="1:813" ht="15.5">
      <c r="A526" s="634">
        <v>44701</v>
      </c>
      <c r="B526" s="633">
        <v>663.9</v>
      </c>
      <c r="AEE526" s="636">
        <v>44106</v>
      </c>
      <c r="AEF526" s="637">
        <v>1051.0450000000001</v>
      </c>
      <c r="AEG526" s="635">
        <v>15.045</v>
      </c>
    </row>
    <row r="527" spans="1:813" ht="15.5">
      <c r="A527" s="634">
        <v>44704</v>
      </c>
      <c r="B527" s="633">
        <v>674.9</v>
      </c>
      <c r="AEE527" s="636">
        <v>44109</v>
      </c>
      <c r="AEF527" s="637">
        <v>1077.8599999999999</v>
      </c>
      <c r="AEG527" s="635">
        <v>15.429</v>
      </c>
    </row>
    <row r="528" spans="1:813" ht="15.5">
      <c r="A528" s="634">
        <v>44705</v>
      </c>
      <c r="B528" s="633">
        <v>628.16</v>
      </c>
      <c r="AEE528" s="636">
        <v>44110</v>
      </c>
      <c r="AEF528" s="637">
        <v>1048.2339999999999</v>
      </c>
      <c r="AEG528" s="635">
        <v>15.005000000000001</v>
      </c>
    </row>
    <row r="529" spans="1:813" ht="15.5">
      <c r="A529" s="634">
        <v>44706</v>
      </c>
      <c r="B529" s="633">
        <v>658.8</v>
      </c>
      <c r="AEE529" s="636">
        <v>44111</v>
      </c>
      <c r="AEF529" s="637">
        <v>1076.8969999999999</v>
      </c>
      <c r="AEG529" s="635">
        <v>15.414999999999999</v>
      </c>
    </row>
    <row r="530" spans="1:813" ht="15.5">
      <c r="A530" s="634">
        <v>44707</v>
      </c>
      <c r="B530" s="633">
        <v>707.73</v>
      </c>
      <c r="AEE530" s="636">
        <v>44112</v>
      </c>
      <c r="AEF530" s="637">
        <v>1078.4670000000001</v>
      </c>
      <c r="AEG530" s="635">
        <v>15.438000000000001</v>
      </c>
    </row>
    <row r="531" spans="1:813" ht="15.5">
      <c r="A531" s="634">
        <v>44708</v>
      </c>
      <c r="B531" s="633">
        <v>759.63</v>
      </c>
      <c r="AEE531" s="636">
        <v>44113</v>
      </c>
      <c r="AEF531" s="637">
        <v>1098.9259999999999</v>
      </c>
      <c r="AEG531" s="635">
        <v>15.731</v>
      </c>
    </row>
    <row r="532" spans="1:813" ht="15.5">
      <c r="A532" s="634">
        <v>44712</v>
      </c>
      <c r="B532" s="633">
        <v>758.26</v>
      </c>
      <c r="AEE532" s="636">
        <v>44116</v>
      </c>
      <c r="AEF532" s="637">
        <v>1119.943</v>
      </c>
      <c r="AEG532" s="635">
        <v>16.032</v>
      </c>
    </row>
    <row r="533" spans="1:813" ht="15.5">
      <c r="A533" s="634">
        <v>44713</v>
      </c>
      <c r="B533" s="633">
        <v>740.37</v>
      </c>
      <c r="AEE533" s="636">
        <v>44117</v>
      </c>
      <c r="AEF533" s="637">
        <v>1130.9570000000001</v>
      </c>
      <c r="AEG533" s="635">
        <v>16.189</v>
      </c>
    </row>
    <row r="534" spans="1:813" ht="15.5">
      <c r="A534" s="634">
        <v>44714</v>
      </c>
      <c r="B534" s="633">
        <v>775</v>
      </c>
      <c r="AEE534" s="636">
        <v>44118</v>
      </c>
      <c r="AEF534" s="637">
        <v>1168.0530000000001</v>
      </c>
      <c r="AEG534" s="635">
        <v>16.72</v>
      </c>
    </row>
    <row r="535" spans="1:813" ht="15.5">
      <c r="A535" s="634">
        <v>44715</v>
      </c>
      <c r="B535" s="633">
        <v>703.55</v>
      </c>
      <c r="AEE535" s="636">
        <v>44119</v>
      </c>
      <c r="AEF535" s="637">
        <v>1136.604</v>
      </c>
      <c r="AEG535" s="635">
        <v>16.27</v>
      </c>
    </row>
    <row r="536" spans="1:813" ht="15.5">
      <c r="A536" s="634">
        <v>44718</v>
      </c>
      <c r="B536" s="633">
        <v>714.84</v>
      </c>
      <c r="AEE536" s="636">
        <v>44120</v>
      </c>
      <c r="AEF536" s="637">
        <v>1113.2829999999999</v>
      </c>
      <c r="AEG536" s="635">
        <v>15.936</v>
      </c>
    </row>
    <row r="537" spans="1:813" ht="15.5">
      <c r="A537" s="634">
        <v>44719</v>
      </c>
      <c r="B537" s="633">
        <v>716.66</v>
      </c>
      <c r="AEE537" s="636">
        <v>44123</v>
      </c>
      <c r="AEF537" s="637">
        <v>1090.9000000000001</v>
      </c>
      <c r="AEG537" s="635">
        <v>15.616</v>
      </c>
    </row>
    <row r="538" spans="1:813" ht="15.5">
      <c r="A538" s="634">
        <v>44720</v>
      </c>
      <c r="B538" s="633">
        <v>725.6</v>
      </c>
      <c r="AEE538" s="636">
        <v>44124</v>
      </c>
      <c r="AEF538" s="637">
        <v>1068.3889999999999</v>
      </c>
      <c r="AEG538" s="635">
        <v>15.294</v>
      </c>
    </row>
    <row r="539" spans="1:813" ht="15.5">
      <c r="A539" s="634">
        <v>44721</v>
      </c>
      <c r="B539" s="633">
        <v>719.12</v>
      </c>
      <c r="AEE539" s="636">
        <v>44125</v>
      </c>
      <c r="AEF539" s="635">
        <v>708.31</v>
      </c>
      <c r="AEG539" s="635">
        <v>13.977</v>
      </c>
    </row>
    <row r="540" spans="1:813" ht="15.5">
      <c r="A540" s="634">
        <v>44722</v>
      </c>
      <c r="B540" s="633">
        <v>696.69</v>
      </c>
      <c r="AEE540" s="636">
        <v>44126</v>
      </c>
      <c r="AEF540" s="635">
        <v>713.59</v>
      </c>
      <c r="AEG540" s="635">
        <v>14.081</v>
      </c>
    </row>
    <row r="541" spans="1:813" ht="15.5">
      <c r="A541" s="634">
        <v>44725</v>
      </c>
      <c r="B541" s="633">
        <v>647.21</v>
      </c>
      <c r="AEE541" s="636">
        <v>44127</v>
      </c>
      <c r="AEF541" s="635">
        <v>704.94</v>
      </c>
      <c r="AEG541" s="635">
        <v>13.911</v>
      </c>
    </row>
    <row r="542" spans="1:813" ht="15.5">
      <c r="A542" s="634">
        <v>44726</v>
      </c>
      <c r="B542" s="633">
        <v>662.67</v>
      </c>
      <c r="AEE542" s="636">
        <v>44130</v>
      </c>
      <c r="AEF542" s="635">
        <v>716.52</v>
      </c>
      <c r="AEG542" s="635">
        <v>14.138999999999999</v>
      </c>
    </row>
    <row r="543" spans="1:813" ht="15.5">
      <c r="A543" s="634">
        <v>44727</v>
      </c>
      <c r="B543" s="633">
        <v>699</v>
      </c>
      <c r="AEE543" s="636">
        <v>44131</v>
      </c>
      <c r="AEF543" s="635">
        <v>724.02</v>
      </c>
      <c r="AEG543" s="635">
        <v>14.287000000000001</v>
      </c>
    </row>
    <row r="544" spans="1:813" ht="15.5">
      <c r="A544" s="634">
        <v>44728</v>
      </c>
      <c r="B544" s="633">
        <v>639.29999999999995</v>
      </c>
      <c r="AEE544" s="636">
        <v>44132</v>
      </c>
      <c r="AEF544" s="635">
        <v>692.21</v>
      </c>
      <c r="AEG544" s="635">
        <v>13.659000000000001</v>
      </c>
    </row>
    <row r="545" spans="1:813" ht="15.5">
      <c r="A545" s="634">
        <v>44729</v>
      </c>
      <c r="B545" s="633">
        <v>650.28</v>
      </c>
      <c r="AEE545" s="636">
        <v>44133</v>
      </c>
      <c r="AEF545" s="635">
        <v>700.41</v>
      </c>
      <c r="AEG545" s="635">
        <v>13.821</v>
      </c>
    </row>
    <row r="546" spans="1:813" ht="15.5">
      <c r="A546" s="634">
        <v>44733</v>
      </c>
      <c r="B546" s="633">
        <v>711.11</v>
      </c>
      <c r="AEE546" s="636">
        <v>44134</v>
      </c>
      <c r="AEF546" s="635">
        <v>661.55</v>
      </c>
      <c r="AEG546" s="635">
        <v>13.054</v>
      </c>
    </row>
    <row r="547" spans="1:813" ht="15.5">
      <c r="A547" s="634">
        <v>44734</v>
      </c>
      <c r="B547" s="633">
        <v>708.26</v>
      </c>
      <c r="AEE547" s="636">
        <v>44137</v>
      </c>
      <c r="AEF547" s="635">
        <v>682.81</v>
      </c>
      <c r="AEG547" s="635">
        <v>13.474</v>
      </c>
    </row>
    <row r="548" spans="1:813" ht="15.5">
      <c r="A548" s="634">
        <v>44735</v>
      </c>
      <c r="B548" s="633">
        <v>705.21</v>
      </c>
      <c r="AEE548" s="636">
        <v>44138</v>
      </c>
      <c r="AEF548" s="635">
        <v>722.69</v>
      </c>
      <c r="AEG548" s="635">
        <v>14.260999999999999</v>
      </c>
    </row>
    <row r="549" spans="1:813" ht="15.5">
      <c r="A549" s="634">
        <v>44736</v>
      </c>
      <c r="B549" s="633">
        <v>737.12</v>
      </c>
      <c r="AEE549" s="636">
        <v>44139</v>
      </c>
      <c r="AEF549" s="635">
        <v>717.71</v>
      </c>
      <c r="AEG549" s="635">
        <v>14.163</v>
      </c>
    </row>
    <row r="550" spans="1:813" ht="15.5">
      <c r="A550" s="634">
        <v>44739</v>
      </c>
      <c r="B550" s="633">
        <v>734.76</v>
      </c>
      <c r="AEE550" s="636">
        <v>44140</v>
      </c>
      <c r="AEF550" s="635">
        <v>746.88</v>
      </c>
      <c r="AEG550" s="635">
        <v>14.738</v>
      </c>
    </row>
    <row r="551" spans="1:813" ht="15.5">
      <c r="A551" s="634">
        <v>44740</v>
      </c>
      <c r="B551" s="633">
        <v>697.99</v>
      </c>
      <c r="AEE551" s="636">
        <v>44141</v>
      </c>
      <c r="AEF551" s="635">
        <v>733</v>
      </c>
      <c r="AEG551" s="635">
        <v>14.464</v>
      </c>
    </row>
    <row r="552" spans="1:813" ht="15.5">
      <c r="A552" s="634">
        <v>44741</v>
      </c>
      <c r="B552" s="633">
        <v>685.47</v>
      </c>
      <c r="AEE552" s="636">
        <v>44144</v>
      </c>
      <c r="AEF552" s="635">
        <v>718.19</v>
      </c>
      <c r="AEG552" s="635">
        <v>14.172000000000001</v>
      </c>
    </row>
    <row r="553" spans="1:813" ht="15.5">
      <c r="A553" s="634">
        <v>44742</v>
      </c>
      <c r="B553" s="633">
        <v>673.42</v>
      </c>
      <c r="AEE553" s="636">
        <v>44145</v>
      </c>
      <c r="AEF553" s="635">
        <v>699.61</v>
      </c>
      <c r="AEG553" s="635">
        <v>13.805</v>
      </c>
    </row>
    <row r="554" spans="1:813" ht="15.5">
      <c r="A554" s="634">
        <v>44743</v>
      </c>
      <c r="B554" s="633">
        <v>681.79</v>
      </c>
      <c r="AEE554" s="636">
        <v>44146</v>
      </c>
      <c r="AEF554" s="635">
        <v>711.15</v>
      </c>
      <c r="AEG554" s="635">
        <v>14.032999999999999</v>
      </c>
    </row>
    <row r="555" spans="1:813" ht="15.5">
      <c r="A555" s="634">
        <v>44747</v>
      </c>
      <c r="B555" s="633">
        <v>699.2</v>
      </c>
      <c r="AEE555" s="636">
        <v>44147</v>
      </c>
      <c r="AEF555" s="635">
        <v>701.99</v>
      </c>
      <c r="AEG555" s="635">
        <v>13.852</v>
      </c>
    </row>
    <row r="556" spans="1:813" ht="15.5">
      <c r="A556" s="634">
        <v>44748</v>
      </c>
      <c r="B556" s="633">
        <v>695.2</v>
      </c>
      <c r="AEE556" s="636">
        <v>44148</v>
      </c>
      <c r="AEF556" s="635">
        <v>696.43</v>
      </c>
      <c r="AEG556" s="635">
        <v>13.743</v>
      </c>
    </row>
    <row r="557" spans="1:813" ht="15.5">
      <c r="A557" s="634">
        <v>44749</v>
      </c>
      <c r="B557" s="633">
        <v>733.63</v>
      </c>
      <c r="AEE557" s="636">
        <v>44151</v>
      </c>
      <c r="AEF557" s="635">
        <v>695.74</v>
      </c>
      <c r="AEG557" s="635">
        <v>13.728999999999999</v>
      </c>
    </row>
    <row r="558" spans="1:813" ht="15.5">
      <c r="A558" s="634">
        <v>44750</v>
      </c>
      <c r="B558" s="633">
        <v>752.29</v>
      </c>
      <c r="AEE558" s="636">
        <v>44152</v>
      </c>
      <c r="AEF558" s="635">
        <v>752.88</v>
      </c>
      <c r="AEG558" s="635">
        <v>14.856999999999999</v>
      </c>
    </row>
    <row r="559" spans="1:813" ht="15.5">
      <c r="A559" s="634">
        <v>44753</v>
      </c>
      <c r="B559" s="633">
        <v>703.03</v>
      </c>
      <c r="AEE559" s="636">
        <v>44153</v>
      </c>
      <c r="AEF559" s="635">
        <v>829.65</v>
      </c>
      <c r="AEG559" s="635">
        <v>16.372</v>
      </c>
    </row>
    <row r="560" spans="1:813" ht="15.5">
      <c r="A560" s="634">
        <v>44754</v>
      </c>
      <c r="B560" s="633">
        <v>699.21</v>
      </c>
      <c r="AEE560" s="636">
        <v>44154</v>
      </c>
      <c r="AEF560" s="635">
        <v>851.18</v>
      </c>
      <c r="AEG560" s="635">
        <v>16.797000000000001</v>
      </c>
    </row>
    <row r="561" spans="1:813" ht="15.5">
      <c r="A561" s="634">
        <v>44755</v>
      </c>
      <c r="B561" s="633">
        <v>711.12</v>
      </c>
      <c r="AEE561" s="636">
        <v>44155</v>
      </c>
      <c r="AEF561" s="635">
        <v>834.72</v>
      </c>
      <c r="AEG561" s="635">
        <v>16.472000000000001</v>
      </c>
    </row>
    <row r="562" spans="1:813" ht="15.5">
      <c r="A562" s="634">
        <v>44756</v>
      </c>
      <c r="B562" s="633">
        <v>714.94</v>
      </c>
      <c r="AEE562" s="636">
        <v>44158</v>
      </c>
      <c r="AEF562" s="635">
        <v>889.68</v>
      </c>
      <c r="AEG562" s="635">
        <v>17.556000000000001</v>
      </c>
    </row>
    <row r="563" spans="1:813" ht="15.5">
      <c r="A563" s="634">
        <v>44757</v>
      </c>
      <c r="B563" s="633">
        <v>720.2</v>
      </c>
      <c r="AEE563" s="636">
        <v>44159</v>
      </c>
      <c r="AEF563" s="635">
        <v>946.84</v>
      </c>
      <c r="AEG563" s="635">
        <v>18.684000000000001</v>
      </c>
    </row>
    <row r="564" spans="1:813" ht="15.5">
      <c r="A564" s="634">
        <v>44760</v>
      </c>
      <c r="B564" s="633">
        <v>721.64</v>
      </c>
      <c r="AEE564" s="636">
        <v>44160</v>
      </c>
      <c r="AEF564" s="635">
        <v>978.59</v>
      </c>
      <c r="AEG564" s="635">
        <v>19.311</v>
      </c>
    </row>
    <row r="565" spans="1:813" ht="15.5">
      <c r="A565" s="634">
        <v>44761</v>
      </c>
      <c r="B565" s="633">
        <v>736.59</v>
      </c>
      <c r="AEE565" s="636">
        <v>44162</v>
      </c>
      <c r="AEF565" s="635">
        <v>998.64</v>
      </c>
      <c r="AEG565" s="635">
        <v>19.706</v>
      </c>
    </row>
    <row r="566" spans="1:813" ht="15.5">
      <c r="A566" s="634">
        <v>44762</v>
      </c>
      <c r="B566" s="633">
        <v>742.5</v>
      </c>
      <c r="AEE566" s="636">
        <v>44165</v>
      </c>
      <c r="AEF566" s="635">
        <v>967.68</v>
      </c>
      <c r="AEG566" s="635">
        <v>19.094999999999999</v>
      </c>
    </row>
    <row r="567" spans="1:813" ht="15.5">
      <c r="A567" s="634">
        <v>44763</v>
      </c>
      <c r="B567" s="633">
        <v>815.12</v>
      </c>
      <c r="AEE567" s="636">
        <v>44166</v>
      </c>
      <c r="AEF567" s="635">
        <v>996.93</v>
      </c>
      <c r="AEG567" s="635">
        <v>19.672999999999998</v>
      </c>
    </row>
    <row r="568" spans="1:813" ht="15.5">
      <c r="A568" s="634">
        <v>44764</v>
      </c>
      <c r="B568" s="633">
        <v>816.73</v>
      </c>
      <c r="AEE568" s="636">
        <v>44167</v>
      </c>
      <c r="AEF568" s="635">
        <v>969.76</v>
      </c>
      <c r="AEG568" s="635">
        <v>19.135999999999999</v>
      </c>
    </row>
    <row r="569" spans="1:813" ht="15.5">
      <c r="A569" s="634">
        <v>44767</v>
      </c>
      <c r="B569" s="633">
        <v>805.3</v>
      </c>
      <c r="AEE569" s="636">
        <v>44168</v>
      </c>
      <c r="AEF569" s="637">
        <v>1011.628</v>
      </c>
      <c r="AEG569" s="635">
        <v>19.963000000000001</v>
      </c>
    </row>
    <row r="570" spans="1:813" ht="15.5">
      <c r="A570" s="634">
        <v>44768</v>
      </c>
      <c r="B570" s="633">
        <v>776.58</v>
      </c>
      <c r="AEE570" s="636">
        <v>44169</v>
      </c>
      <c r="AEF570" s="637">
        <v>1021.278</v>
      </c>
      <c r="AEG570" s="635">
        <v>20.152999999999999</v>
      </c>
    </row>
    <row r="571" spans="1:813" ht="15.5">
      <c r="A571" s="634">
        <v>44769</v>
      </c>
      <c r="B571" s="633">
        <v>824.46</v>
      </c>
      <c r="AEE571" s="636">
        <v>44172</v>
      </c>
      <c r="AEF571" s="637">
        <v>1094.1089999999999</v>
      </c>
      <c r="AEG571" s="635">
        <v>21.59</v>
      </c>
    </row>
    <row r="572" spans="1:813" ht="15.5">
      <c r="A572" s="634">
        <v>44770</v>
      </c>
      <c r="B572" s="633">
        <v>842.7</v>
      </c>
      <c r="AEE572" s="636">
        <v>44173</v>
      </c>
      <c r="AEF572" s="637">
        <v>1107.953</v>
      </c>
      <c r="AEG572" s="635">
        <v>21.863</v>
      </c>
    </row>
    <row r="573" spans="1:813" ht="15.5">
      <c r="A573" s="634">
        <v>44771</v>
      </c>
      <c r="B573" s="633">
        <v>891.45</v>
      </c>
      <c r="AEE573" s="636">
        <v>44174</v>
      </c>
      <c r="AEF573" s="637">
        <v>1030.5519999999999</v>
      </c>
      <c r="AEG573" s="635">
        <v>20.335999999999999</v>
      </c>
    </row>
    <row r="574" spans="1:813" ht="15.5">
      <c r="A574" s="634">
        <v>44774</v>
      </c>
      <c r="B574" s="633">
        <v>891.83</v>
      </c>
      <c r="AEE574" s="636">
        <v>44175</v>
      </c>
      <c r="AEF574" s="637">
        <v>1069.0650000000001</v>
      </c>
      <c r="AEG574" s="635">
        <v>21.096</v>
      </c>
    </row>
    <row r="575" spans="1:813" ht="15.5">
      <c r="A575" s="634">
        <v>44775</v>
      </c>
      <c r="B575" s="633">
        <v>901.76</v>
      </c>
      <c r="AEE575" s="636">
        <v>44176</v>
      </c>
      <c r="AEF575" s="637">
        <v>1039.9459999999999</v>
      </c>
      <c r="AEG575" s="635">
        <v>20.521000000000001</v>
      </c>
    </row>
    <row r="576" spans="1:813" ht="15.5">
      <c r="A576" s="634">
        <v>44776</v>
      </c>
      <c r="B576" s="633">
        <v>922.19</v>
      </c>
      <c r="AEE576" s="636">
        <v>44179</v>
      </c>
      <c r="AEF576" s="637">
        <v>1090.819</v>
      </c>
      <c r="AEG576" s="635">
        <v>21.524999999999999</v>
      </c>
    </row>
    <row r="577" spans="1:813" ht="15.5">
      <c r="A577" s="634">
        <v>44777</v>
      </c>
      <c r="B577" s="633">
        <v>925.9</v>
      </c>
      <c r="AEE577" s="636">
        <v>44180</v>
      </c>
      <c r="AEF577" s="637">
        <v>1079.6010000000001</v>
      </c>
      <c r="AEG577" s="635">
        <v>21.303999999999998</v>
      </c>
    </row>
    <row r="578" spans="1:813" ht="15.5">
      <c r="A578" s="634">
        <v>44778</v>
      </c>
      <c r="B578" s="633">
        <v>864.51</v>
      </c>
      <c r="AEE578" s="636">
        <v>44181</v>
      </c>
      <c r="AEF578" s="637">
        <v>1061.7339999999999</v>
      </c>
      <c r="AEG578" s="635">
        <v>20.951000000000001</v>
      </c>
    </row>
    <row r="579" spans="1:813" ht="15.5">
      <c r="A579" s="634">
        <v>44781</v>
      </c>
      <c r="B579" s="633">
        <v>871.27</v>
      </c>
      <c r="AEE579" s="636">
        <v>44182</v>
      </c>
      <c r="AEF579" s="637">
        <v>1118.2159999999999</v>
      </c>
      <c r="AEG579" s="635">
        <v>22.065999999999999</v>
      </c>
    </row>
    <row r="580" spans="1:813" ht="15.5">
      <c r="A580" s="634">
        <v>44782</v>
      </c>
      <c r="B580" s="633">
        <v>850</v>
      </c>
      <c r="AEE580" s="636">
        <v>44183</v>
      </c>
      <c r="AEF580" s="637">
        <v>1184.876</v>
      </c>
      <c r="AEG580" s="635">
        <v>23.381</v>
      </c>
    </row>
    <row r="581" spans="1:813" ht="15.5">
      <c r="A581" s="634">
        <v>44783</v>
      </c>
      <c r="B581" s="633">
        <v>883.07</v>
      </c>
      <c r="AEE581" s="636">
        <v>44186</v>
      </c>
      <c r="AEF581" s="637">
        <v>1107.9190000000001</v>
      </c>
      <c r="AEG581" s="635">
        <v>21.863</v>
      </c>
    </row>
    <row r="582" spans="1:813" ht="15.5">
      <c r="A582" s="634">
        <v>44784</v>
      </c>
      <c r="B582" s="633">
        <v>859.89</v>
      </c>
      <c r="AEE582" s="636">
        <v>44187</v>
      </c>
      <c r="AEF582" s="637">
        <v>1091.6880000000001</v>
      </c>
      <c r="AEG582" s="635">
        <v>21.542000000000002</v>
      </c>
    </row>
    <row r="583" spans="1:813" ht="15.5">
      <c r="A583" s="634">
        <v>44785</v>
      </c>
      <c r="B583" s="633">
        <v>900.09</v>
      </c>
      <c r="AEE583" s="636">
        <v>44188</v>
      </c>
      <c r="AEF583" s="637">
        <v>1101.3040000000001</v>
      </c>
      <c r="AEG583" s="635">
        <v>21.731999999999999</v>
      </c>
    </row>
    <row r="584" spans="1:813" ht="15.5">
      <c r="A584" s="634">
        <v>44788</v>
      </c>
      <c r="B584" s="633">
        <v>927.96</v>
      </c>
      <c r="AEE584" s="636">
        <v>44189</v>
      </c>
      <c r="AEF584" s="637">
        <v>1128.2239999999999</v>
      </c>
      <c r="AEG584" s="635">
        <v>22.263000000000002</v>
      </c>
    </row>
    <row r="585" spans="1:813" ht="15.5">
      <c r="A585" s="634">
        <v>44789</v>
      </c>
      <c r="B585" s="633">
        <v>919.69</v>
      </c>
      <c r="AEE585" s="636">
        <v>44193</v>
      </c>
      <c r="AEF585" s="637">
        <v>1131.4970000000001</v>
      </c>
      <c r="AEG585" s="635">
        <v>22.327999999999999</v>
      </c>
    </row>
    <row r="586" spans="1:813" ht="15.5">
      <c r="A586" s="634">
        <v>44790</v>
      </c>
      <c r="B586" s="633">
        <v>911.99</v>
      </c>
      <c r="AEE586" s="636">
        <v>44194</v>
      </c>
      <c r="AEF586" s="637">
        <v>1135.4179999999999</v>
      </c>
      <c r="AEG586" s="635">
        <v>22.405000000000001</v>
      </c>
    </row>
    <row r="587" spans="1:813" ht="15.5">
      <c r="A587" s="634">
        <v>44791</v>
      </c>
      <c r="B587" s="633">
        <v>908.61</v>
      </c>
      <c r="AEE587" s="636">
        <v>44195</v>
      </c>
      <c r="AEF587" s="637">
        <v>1184.501</v>
      </c>
      <c r="AEG587" s="635">
        <v>23.373999999999999</v>
      </c>
    </row>
    <row r="588" spans="1:813" ht="15.5">
      <c r="A588" s="634">
        <v>44792</v>
      </c>
      <c r="B588" s="633">
        <v>890</v>
      </c>
      <c r="AEE588" s="636">
        <v>44196</v>
      </c>
      <c r="AEF588" s="637">
        <v>1203.067</v>
      </c>
      <c r="AEG588" s="635">
        <v>23.74</v>
      </c>
    </row>
    <row r="589" spans="1:813" ht="15.5">
      <c r="A589" s="634">
        <v>44795</v>
      </c>
      <c r="B589" s="633">
        <v>869.74</v>
      </c>
      <c r="AEE589" s="636">
        <v>44200</v>
      </c>
      <c r="AEF589" s="637">
        <v>1244.154</v>
      </c>
      <c r="AEG589" s="635">
        <v>24.550999999999998</v>
      </c>
    </row>
    <row r="590" spans="1:813" ht="15.5">
      <c r="A590" s="634">
        <v>44796</v>
      </c>
      <c r="B590" s="633">
        <v>889.36</v>
      </c>
      <c r="AEE590" s="636">
        <v>44201</v>
      </c>
      <c r="AEF590" s="637">
        <v>1253.258</v>
      </c>
      <c r="AEG590" s="635">
        <v>24.731000000000002</v>
      </c>
    </row>
    <row r="591" spans="1:813" ht="15.5">
      <c r="A591" s="634">
        <v>44797</v>
      </c>
      <c r="B591" s="633">
        <v>891.29</v>
      </c>
      <c r="AEE591" s="636">
        <v>44202</v>
      </c>
      <c r="AEF591" s="637">
        <v>1288.838</v>
      </c>
      <c r="AEG591" s="635">
        <v>25.433</v>
      </c>
    </row>
    <row r="592" spans="1:813" ht="15.5">
      <c r="A592" s="634">
        <v>44798</v>
      </c>
      <c r="B592" s="633">
        <v>296.07</v>
      </c>
      <c r="AEE592" s="636">
        <v>44203</v>
      </c>
      <c r="AEF592" s="637">
        <v>1391.232</v>
      </c>
      <c r="AEG592" s="635">
        <v>27.452999999999999</v>
      </c>
    </row>
    <row r="593" spans="1:813" ht="15.5">
      <c r="A593" s="634">
        <v>44799</v>
      </c>
      <c r="B593" s="633">
        <v>288.08999999999997</v>
      </c>
      <c r="AEE593" s="636">
        <v>44204</v>
      </c>
      <c r="AEF593" s="637">
        <v>1500.309</v>
      </c>
      <c r="AEG593" s="635">
        <v>29.606000000000002</v>
      </c>
    </row>
    <row r="594" spans="1:813" ht="15.5">
      <c r="A594" s="634">
        <v>44802</v>
      </c>
      <c r="B594" s="633">
        <v>284.82</v>
      </c>
      <c r="AEE594" s="636">
        <v>44207</v>
      </c>
      <c r="AEF594" s="637">
        <v>1382.963</v>
      </c>
      <c r="AEG594" s="635">
        <v>27.29</v>
      </c>
    </row>
    <row r="595" spans="1:813" ht="15.5">
      <c r="A595" s="634">
        <v>44803</v>
      </c>
      <c r="B595" s="633">
        <v>277.7</v>
      </c>
      <c r="AEE595" s="636">
        <v>44208</v>
      </c>
      <c r="AEF595" s="637">
        <v>1448.174</v>
      </c>
      <c r="AEG595" s="635">
        <v>28.577000000000002</v>
      </c>
    </row>
    <row r="596" spans="1:813" ht="15.5">
      <c r="A596" s="634">
        <v>44804</v>
      </c>
      <c r="B596" s="633">
        <v>275.61</v>
      </c>
      <c r="AEE596" s="636">
        <v>44209</v>
      </c>
      <c r="AEF596" s="637">
        <v>1456.6469999999999</v>
      </c>
      <c r="AEG596" s="635">
        <v>28.744</v>
      </c>
    </row>
    <row r="597" spans="1:813" ht="15.5">
      <c r="A597" s="634">
        <v>44805</v>
      </c>
      <c r="B597" s="633">
        <v>277.16000000000003</v>
      </c>
      <c r="AEE597" s="636">
        <v>44210</v>
      </c>
      <c r="AEF597" s="637">
        <v>1440.605</v>
      </c>
      <c r="AEG597" s="635">
        <v>28.428000000000001</v>
      </c>
    </row>
    <row r="598" spans="1:813" ht="15.5">
      <c r="A598" s="634">
        <v>44806</v>
      </c>
      <c r="B598" s="633">
        <v>270.20999999999998</v>
      </c>
      <c r="AEE598" s="636">
        <v>44211</v>
      </c>
      <c r="AEF598" s="637">
        <v>1408.4849999999999</v>
      </c>
      <c r="AEG598" s="635">
        <v>27.794</v>
      </c>
    </row>
    <row r="599" spans="1:813" ht="15.5">
      <c r="A599" s="634">
        <v>44810</v>
      </c>
      <c r="B599" s="633">
        <v>274.42</v>
      </c>
      <c r="AEE599" s="636">
        <v>44215</v>
      </c>
      <c r="AEF599" s="637">
        <v>1439.837</v>
      </c>
      <c r="AEG599" s="635">
        <v>28.411999999999999</v>
      </c>
    </row>
    <row r="600" spans="1:813" ht="15.5">
      <c r="A600" s="634">
        <v>44811</v>
      </c>
      <c r="B600" s="633">
        <v>283.7</v>
      </c>
      <c r="AEE600" s="636">
        <v>44216</v>
      </c>
      <c r="AEF600" s="637">
        <v>1449.896</v>
      </c>
      <c r="AEG600" s="635">
        <v>28.611000000000001</v>
      </c>
    </row>
    <row r="601" spans="1:813" ht="15.5">
      <c r="A601" s="634">
        <v>44812</v>
      </c>
      <c r="B601" s="633">
        <v>289.26</v>
      </c>
      <c r="AEE601" s="636">
        <v>44217</v>
      </c>
      <c r="AEF601" s="637">
        <v>1440.587</v>
      </c>
      <c r="AEG601" s="635">
        <v>28.427</v>
      </c>
    </row>
    <row r="602" spans="1:813" ht="15.5">
      <c r="A602" s="634">
        <v>44813</v>
      </c>
      <c r="B602" s="633">
        <v>299.68</v>
      </c>
      <c r="AEE602" s="636">
        <v>44218</v>
      </c>
      <c r="AEF602" s="637">
        <v>1443.4</v>
      </c>
      <c r="AEG602" s="635">
        <v>28.483000000000001</v>
      </c>
    </row>
    <row r="603" spans="1:813" ht="15.5">
      <c r="A603" s="634">
        <v>44816</v>
      </c>
      <c r="B603" s="633">
        <v>304.42</v>
      </c>
      <c r="AEE603" s="636">
        <v>44221</v>
      </c>
      <c r="AEF603" s="637">
        <v>1501.6379999999999</v>
      </c>
      <c r="AEG603" s="635">
        <v>29.632000000000001</v>
      </c>
    </row>
    <row r="604" spans="1:813" ht="15.5">
      <c r="A604" s="634">
        <v>44817</v>
      </c>
      <c r="B604" s="633">
        <v>292.13</v>
      </c>
      <c r="AEE604" s="636">
        <v>44222</v>
      </c>
      <c r="AEF604" s="637">
        <v>1505.5429999999999</v>
      </c>
      <c r="AEG604" s="635">
        <v>29.709</v>
      </c>
    </row>
    <row r="605" spans="1:813" ht="15.5">
      <c r="A605" s="634">
        <v>44818</v>
      </c>
      <c r="B605" s="633">
        <v>302.61</v>
      </c>
      <c r="AEE605" s="636">
        <v>44223</v>
      </c>
      <c r="AEF605" s="637">
        <v>1136.114</v>
      </c>
      <c r="AEG605" s="635">
        <v>25.975000000000001</v>
      </c>
    </row>
    <row r="606" spans="1:813" ht="15.5">
      <c r="A606" s="634">
        <v>44819</v>
      </c>
      <c r="B606" s="633">
        <v>303.75</v>
      </c>
      <c r="AEE606" s="636">
        <v>44224</v>
      </c>
      <c r="AEF606" s="637">
        <v>1098.3420000000001</v>
      </c>
      <c r="AEG606" s="635">
        <v>25.111000000000001</v>
      </c>
    </row>
    <row r="607" spans="1:813" ht="15.5">
      <c r="A607" s="634">
        <v>44820</v>
      </c>
      <c r="B607" s="633">
        <v>303.35000000000002</v>
      </c>
      <c r="AEE607" s="636">
        <v>44225</v>
      </c>
      <c r="AEF607" s="637">
        <v>1043.2560000000001</v>
      </c>
      <c r="AEG607" s="635">
        <v>23.852</v>
      </c>
    </row>
    <row r="608" spans="1:813" ht="15.5">
      <c r="A608" s="634">
        <v>44823</v>
      </c>
      <c r="B608" s="633">
        <v>309.07</v>
      </c>
      <c r="AEE608" s="636">
        <v>44228</v>
      </c>
      <c r="AEF608" s="637">
        <v>1104.1010000000001</v>
      </c>
      <c r="AEG608" s="635">
        <v>25.242999999999999</v>
      </c>
    </row>
    <row r="609" spans="1:813" ht="15.5">
      <c r="A609" s="634">
        <v>44824</v>
      </c>
      <c r="B609" s="633">
        <v>308.73</v>
      </c>
      <c r="AEE609" s="636">
        <v>44229</v>
      </c>
      <c r="AEF609" s="637">
        <v>1147.4590000000001</v>
      </c>
      <c r="AEG609" s="635">
        <v>26.234000000000002</v>
      </c>
    </row>
    <row r="610" spans="1:813" ht="15.5">
      <c r="A610" s="634">
        <v>44825</v>
      </c>
      <c r="B610" s="633">
        <v>300.8</v>
      </c>
      <c r="AEE610" s="636">
        <v>44230</v>
      </c>
      <c r="AEF610" s="637">
        <v>1123.663</v>
      </c>
      <c r="AEG610" s="635">
        <v>25.69</v>
      </c>
    </row>
    <row r="611" spans="1:813" ht="15.5">
      <c r="A611" s="634">
        <v>44826</v>
      </c>
      <c r="B611" s="633">
        <v>288.58999999999997</v>
      </c>
      <c r="AEE611" s="636">
        <v>44231</v>
      </c>
      <c r="AEF611" s="637">
        <v>1117.4839999999999</v>
      </c>
      <c r="AEG611" s="635">
        <v>25.548999999999999</v>
      </c>
    </row>
    <row r="612" spans="1:813" ht="15.5">
      <c r="A612" s="634">
        <v>44827</v>
      </c>
      <c r="B612" s="633">
        <v>275.33</v>
      </c>
      <c r="AEE612" s="636">
        <v>44232</v>
      </c>
      <c r="AEF612" s="637">
        <v>1120.4290000000001</v>
      </c>
      <c r="AEG612" s="635">
        <v>25.616</v>
      </c>
    </row>
    <row r="613" spans="1:813" ht="15.5">
      <c r="A613" s="634">
        <v>44830</v>
      </c>
      <c r="B613" s="633">
        <v>276.01</v>
      </c>
      <c r="AEE613" s="636">
        <v>44235</v>
      </c>
      <c r="AEF613" s="637">
        <v>1149.4549999999999</v>
      </c>
      <c r="AEG613" s="635">
        <v>26.28</v>
      </c>
    </row>
    <row r="614" spans="1:813" ht="15.5">
      <c r="A614" s="634">
        <v>44831</v>
      </c>
      <c r="B614" s="633">
        <v>282.94</v>
      </c>
      <c r="AEE614" s="636">
        <v>44236</v>
      </c>
      <c r="AEF614" s="637">
        <v>1130.8699999999999</v>
      </c>
      <c r="AEG614" s="635">
        <v>25.855</v>
      </c>
    </row>
    <row r="615" spans="1:813" ht="15.5">
      <c r="A615" s="634">
        <v>44832</v>
      </c>
      <c r="B615" s="633">
        <v>287.81</v>
      </c>
      <c r="AEE615" s="636">
        <v>44237</v>
      </c>
      <c r="AEF615" s="637">
        <v>1071.441</v>
      </c>
      <c r="AEG615" s="635">
        <v>24.495999999999999</v>
      </c>
    </row>
    <row r="616" spans="1:813" ht="15.5">
      <c r="A616" s="634">
        <v>44833</v>
      </c>
      <c r="B616" s="633">
        <v>268.20999999999998</v>
      </c>
      <c r="AEE616" s="636">
        <v>44238</v>
      </c>
      <c r="AEF616" s="637">
        <v>1080.547</v>
      </c>
      <c r="AEG616" s="635">
        <v>24.704000000000001</v>
      </c>
    </row>
    <row r="617" spans="1:813" ht="15.5">
      <c r="A617" s="634">
        <v>44834</v>
      </c>
      <c r="B617" s="633">
        <v>265.25</v>
      </c>
      <c r="AEE617" s="636">
        <v>44239</v>
      </c>
      <c r="AEF617" s="637">
        <v>1086.4849999999999</v>
      </c>
      <c r="AEG617" s="635">
        <v>24.84</v>
      </c>
    </row>
    <row r="618" spans="1:813" ht="15.5">
      <c r="A618" s="634">
        <v>44837</v>
      </c>
      <c r="B618" s="633">
        <v>242.4</v>
      </c>
      <c r="AEE618" s="636">
        <v>44243</v>
      </c>
      <c r="AEF618" s="637">
        <v>1059.992</v>
      </c>
      <c r="AEG618" s="635">
        <v>24.234000000000002</v>
      </c>
    </row>
    <row r="619" spans="1:813" ht="15.5">
      <c r="A619" s="634">
        <v>44838</v>
      </c>
      <c r="B619" s="633">
        <v>249.44</v>
      </c>
      <c r="AEE619" s="636">
        <v>44244</v>
      </c>
      <c r="AEF619" s="637">
        <v>1062.5619999999999</v>
      </c>
      <c r="AEG619" s="635">
        <v>24.292999999999999</v>
      </c>
    </row>
    <row r="620" spans="1:813" ht="15.5">
      <c r="A620" s="634">
        <v>44839</v>
      </c>
      <c r="B620" s="633">
        <v>240.81</v>
      </c>
      <c r="AEE620" s="636">
        <v>44245</v>
      </c>
      <c r="AEF620" s="637">
        <v>1048.2239999999999</v>
      </c>
      <c r="AEG620" s="635">
        <v>23.965</v>
      </c>
    </row>
    <row r="621" spans="1:813" ht="15.5">
      <c r="A621" s="634">
        <v>44840</v>
      </c>
      <c r="B621" s="633">
        <v>238.13</v>
      </c>
      <c r="AEE621" s="636">
        <v>44246</v>
      </c>
      <c r="AEF621" s="637">
        <v>1040.1300000000001</v>
      </c>
      <c r="AEG621" s="635">
        <v>23.78</v>
      </c>
    </row>
    <row r="622" spans="1:813" ht="15.5">
      <c r="A622" s="634">
        <v>44841</v>
      </c>
      <c r="B622" s="633">
        <v>223.07</v>
      </c>
      <c r="AEE622" s="636">
        <v>44249</v>
      </c>
      <c r="AEF622" s="635">
        <v>951.2</v>
      </c>
      <c r="AEG622" s="635">
        <v>21.747</v>
      </c>
    </row>
    <row r="623" spans="1:813" ht="15.5">
      <c r="A623" s="634">
        <v>44844</v>
      </c>
      <c r="B623" s="633">
        <v>222.96</v>
      </c>
      <c r="AEE623" s="636">
        <v>44250</v>
      </c>
      <c r="AEF623" s="635">
        <v>930.35</v>
      </c>
      <c r="AEG623" s="635">
        <v>21.27</v>
      </c>
    </row>
    <row r="624" spans="1:813" ht="15.5">
      <c r="A624" s="634">
        <v>44845</v>
      </c>
      <c r="B624" s="633">
        <v>216.5</v>
      </c>
      <c r="AEE624" s="636">
        <v>44251</v>
      </c>
      <c r="AEF624" s="635">
        <v>987.84</v>
      </c>
      <c r="AEG624" s="635">
        <v>22.585000000000001</v>
      </c>
    </row>
    <row r="625" spans="1:813" ht="15.5">
      <c r="A625" s="634">
        <v>44846</v>
      </c>
      <c r="B625" s="633">
        <v>217.24</v>
      </c>
      <c r="AEE625" s="636">
        <v>44252</v>
      </c>
      <c r="AEF625" s="635">
        <v>908.23</v>
      </c>
      <c r="AEG625" s="635">
        <v>20.765000000000001</v>
      </c>
    </row>
    <row r="626" spans="1:813" ht="15.5">
      <c r="A626" s="634">
        <v>44847</v>
      </c>
      <c r="B626" s="633">
        <v>221.72</v>
      </c>
      <c r="AEE626" s="636">
        <v>44253</v>
      </c>
      <c r="AEF626" s="635">
        <v>899.28</v>
      </c>
      <c r="AEG626" s="635">
        <v>20.56</v>
      </c>
    </row>
    <row r="627" spans="1:813" ht="15.5">
      <c r="A627" s="634">
        <v>44848</v>
      </c>
      <c r="B627" s="633">
        <v>204.99</v>
      </c>
      <c r="AEE627" s="636">
        <v>44256</v>
      </c>
      <c r="AEF627" s="635">
        <v>956.43</v>
      </c>
      <c r="AEG627" s="635">
        <v>21.867000000000001</v>
      </c>
    </row>
    <row r="628" spans="1:813" ht="15.5">
      <c r="A628" s="634">
        <v>44851</v>
      </c>
      <c r="B628" s="633">
        <v>219.35</v>
      </c>
      <c r="AEE628" s="636">
        <v>44257</v>
      </c>
      <c r="AEF628" s="635">
        <v>913.84</v>
      </c>
      <c r="AEG628" s="635">
        <v>20.893000000000001</v>
      </c>
    </row>
    <row r="629" spans="1:813" ht="15.5">
      <c r="A629" s="634">
        <v>44852</v>
      </c>
      <c r="B629" s="633">
        <v>220.19</v>
      </c>
      <c r="AEE629" s="636">
        <v>44258</v>
      </c>
      <c r="AEF629" s="635">
        <v>869.59</v>
      </c>
      <c r="AEG629" s="635">
        <v>19.881</v>
      </c>
    </row>
    <row r="630" spans="1:813" ht="15.5">
      <c r="A630" s="634">
        <v>44853</v>
      </c>
      <c r="B630" s="633">
        <v>222.04</v>
      </c>
      <c r="AEE630" s="636">
        <v>44259</v>
      </c>
      <c r="AEF630" s="635">
        <v>827.31</v>
      </c>
      <c r="AEG630" s="635">
        <v>18.914999999999999</v>
      </c>
    </row>
    <row r="631" spans="1:813" ht="15.5">
      <c r="A631" s="634">
        <v>44854</v>
      </c>
      <c r="B631" s="633">
        <v>207.28</v>
      </c>
      <c r="AEE631" s="636">
        <v>44260</v>
      </c>
      <c r="AEF631" s="635">
        <v>796.04</v>
      </c>
      <c r="AEG631" s="635">
        <v>18.2</v>
      </c>
    </row>
    <row r="632" spans="1:813" ht="15.5">
      <c r="A632" s="634">
        <v>44855</v>
      </c>
      <c r="B632" s="633">
        <v>214.44</v>
      </c>
      <c r="AEE632" s="636">
        <v>44263</v>
      </c>
      <c r="AEF632" s="635">
        <v>749.51</v>
      </c>
      <c r="AEG632" s="635">
        <v>17.135999999999999</v>
      </c>
    </row>
    <row r="633" spans="1:813" ht="15.5">
      <c r="A633" s="634">
        <v>44858</v>
      </c>
      <c r="B633" s="633">
        <v>211.25</v>
      </c>
      <c r="AEE633" s="636">
        <v>44264</v>
      </c>
      <c r="AEF633" s="635">
        <v>896.72</v>
      </c>
      <c r="AEG633" s="635">
        <v>20.501999999999999</v>
      </c>
    </row>
    <row r="634" spans="1:813" ht="15.5">
      <c r="A634" s="634">
        <v>44859</v>
      </c>
      <c r="B634" s="633">
        <v>222.42</v>
      </c>
      <c r="AEE634" s="636">
        <v>44265</v>
      </c>
      <c r="AEF634" s="635">
        <v>889.38</v>
      </c>
      <c r="AEG634" s="635">
        <v>20.334</v>
      </c>
    </row>
    <row r="635" spans="1:813" ht="15.5">
      <c r="A635" s="634">
        <v>44860</v>
      </c>
      <c r="B635" s="633">
        <v>224.64</v>
      </c>
      <c r="AEE635" s="636">
        <v>44266</v>
      </c>
      <c r="AEF635" s="635">
        <v>931.36</v>
      </c>
      <c r="AEG635" s="635">
        <v>21.294</v>
      </c>
    </row>
    <row r="636" spans="1:813" ht="15.5">
      <c r="A636" s="634">
        <v>44861</v>
      </c>
      <c r="B636" s="633">
        <v>225.09</v>
      </c>
      <c r="AEE636" s="636">
        <v>44267</v>
      </c>
      <c r="AEF636" s="635">
        <v>923.55</v>
      </c>
      <c r="AEG636" s="635">
        <v>21.114999999999998</v>
      </c>
    </row>
    <row r="637" spans="1:813" ht="15.5">
      <c r="A637" s="634">
        <v>44862</v>
      </c>
      <c r="B637" s="633">
        <v>228.52</v>
      </c>
      <c r="AEE637" s="636">
        <v>44270</v>
      </c>
      <c r="AEF637" s="635">
        <v>942.47</v>
      </c>
      <c r="AEG637" s="635">
        <v>21.547000000000001</v>
      </c>
    </row>
    <row r="638" spans="1:813" ht="15.5">
      <c r="A638" s="634">
        <v>44865</v>
      </c>
      <c r="B638" s="633">
        <v>227.54</v>
      </c>
      <c r="AEE638" s="636">
        <v>44271</v>
      </c>
      <c r="AEF638" s="635">
        <v>901.12</v>
      </c>
      <c r="AEG638" s="635">
        <v>20.602</v>
      </c>
    </row>
    <row r="639" spans="1:813" ht="15.5">
      <c r="A639" s="634">
        <v>44866</v>
      </c>
      <c r="B639" s="633">
        <v>227.82</v>
      </c>
      <c r="AEE639" s="636">
        <v>44272</v>
      </c>
      <c r="AEF639" s="635">
        <v>934.31</v>
      </c>
      <c r="AEG639" s="635">
        <v>21.361000000000001</v>
      </c>
    </row>
    <row r="640" spans="1:813" ht="15.5">
      <c r="A640" s="634">
        <v>44867</v>
      </c>
      <c r="B640" s="633">
        <v>214.98</v>
      </c>
      <c r="AEE640" s="636">
        <v>44273</v>
      </c>
      <c r="AEF640" s="635">
        <v>869.54</v>
      </c>
      <c r="AEG640" s="635">
        <v>19.88</v>
      </c>
    </row>
    <row r="641" spans="1:813" ht="15.5">
      <c r="A641" s="634">
        <v>44868</v>
      </c>
      <c r="B641" s="633">
        <v>215.31</v>
      </c>
      <c r="AEE641" s="636">
        <v>44274</v>
      </c>
      <c r="AEF641" s="635">
        <v>871.82</v>
      </c>
      <c r="AEG641" s="635">
        <v>19.931999999999999</v>
      </c>
    </row>
    <row r="642" spans="1:813" ht="15.5">
      <c r="A642" s="634">
        <v>44869</v>
      </c>
      <c r="B642" s="633">
        <v>207.47</v>
      </c>
      <c r="AEE642" s="636">
        <v>44277</v>
      </c>
      <c r="AEF642" s="635">
        <v>891.96</v>
      </c>
      <c r="AEG642" s="635">
        <v>20.393000000000001</v>
      </c>
    </row>
    <row r="643" spans="1:813" ht="15.5">
      <c r="A643" s="634">
        <v>44872</v>
      </c>
      <c r="B643" s="633">
        <v>197.08</v>
      </c>
      <c r="AEE643" s="636">
        <v>44278</v>
      </c>
      <c r="AEF643" s="635">
        <v>881.52</v>
      </c>
      <c r="AEG643" s="635">
        <v>20.154</v>
      </c>
    </row>
    <row r="644" spans="1:813" ht="15.5">
      <c r="A644" s="634">
        <v>44873</v>
      </c>
      <c r="B644" s="633">
        <v>191.3</v>
      </c>
      <c r="AEE644" s="636">
        <v>44279</v>
      </c>
      <c r="AEF644" s="635">
        <v>839.07</v>
      </c>
      <c r="AEG644" s="635">
        <v>19.183</v>
      </c>
    </row>
    <row r="645" spans="1:813" ht="15.5">
      <c r="A645" s="634">
        <v>44874</v>
      </c>
      <c r="B645" s="633">
        <v>177.59</v>
      </c>
      <c r="AEE645" s="636">
        <v>44280</v>
      </c>
      <c r="AEF645" s="635">
        <v>852.54</v>
      </c>
      <c r="AEG645" s="635">
        <v>19.491</v>
      </c>
    </row>
    <row r="646" spans="1:813" ht="15.5">
      <c r="A646" s="634">
        <v>44875</v>
      </c>
      <c r="B646" s="633">
        <v>190.72</v>
      </c>
      <c r="AEE646" s="636">
        <v>44281</v>
      </c>
      <c r="AEF646" s="635">
        <v>823.68</v>
      </c>
      <c r="AEG646" s="635">
        <v>18.832000000000001</v>
      </c>
    </row>
    <row r="647" spans="1:813" ht="15.5">
      <c r="A647" s="634">
        <v>44876</v>
      </c>
      <c r="B647" s="633">
        <v>195.97</v>
      </c>
      <c r="AEE647" s="636">
        <v>44284</v>
      </c>
      <c r="AEF647" s="635">
        <v>813.8</v>
      </c>
      <c r="AEG647" s="635">
        <v>18.606000000000002</v>
      </c>
    </row>
    <row r="648" spans="1:813" ht="15.5">
      <c r="A648" s="634">
        <v>44879</v>
      </c>
      <c r="B648" s="633">
        <v>190.95</v>
      </c>
      <c r="AEE648" s="636">
        <v>44285</v>
      </c>
      <c r="AEF648" s="635">
        <v>846.19</v>
      </c>
      <c r="AEG648" s="635">
        <v>19.346</v>
      </c>
    </row>
    <row r="649" spans="1:813" ht="15.5">
      <c r="A649" s="634">
        <v>44880</v>
      </c>
      <c r="B649" s="633">
        <v>194.42</v>
      </c>
      <c r="AEE649" s="636">
        <v>44286</v>
      </c>
      <c r="AEF649" s="635">
        <v>889.2</v>
      </c>
      <c r="AEG649" s="635">
        <v>20.329999999999998</v>
      </c>
    </row>
    <row r="650" spans="1:813" ht="15.5">
      <c r="A650" s="634">
        <v>44881</v>
      </c>
      <c r="B650" s="633">
        <v>186.92</v>
      </c>
      <c r="AEE650" s="636">
        <v>44287</v>
      </c>
      <c r="AEF650" s="635">
        <v>880.98</v>
      </c>
      <c r="AEG650" s="635">
        <v>20.141999999999999</v>
      </c>
    </row>
    <row r="651" spans="1:813" ht="15.5">
      <c r="A651" s="634">
        <v>44882</v>
      </c>
      <c r="B651" s="633">
        <v>183.17</v>
      </c>
      <c r="AEE651" s="636">
        <v>44291</v>
      </c>
      <c r="AEF651" s="635">
        <v>919.98</v>
      </c>
      <c r="AEG651" s="635">
        <v>21.033000000000001</v>
      </c>
    </row>
    <row r="652" spans="1:813" ht="15.5">
      <c r="A652" s="634">
        <v>44883</v>
      </c>
      <c r="B652" s="633">
        <v>180.19</v>
      </c>
      <c r="AEE652" s="636">
        <v>44292</v>
      </c>
      <c r="AEF652" s="635">
        <v>920.74</v>
      </c>
      <c r="AEG652" s="635">
        <v>21.050999999999998</v>
      </c>
    </row>
    <row r="653" spans="1:813" ht="15.5">
      <c r="A653" s="634">
        <v>44886</v>
      </c>
      <c r="B653" s="633">
        <v>167.87</v>
      </c>
      <c r="AEE653" s="636">
        <v>44293</v>
      </c>
      <c r="AEF653" s="635">
        <v>893.25</v>
      </c>
      <c r="AEG653" s="635">
        <v>20.422000000000001</v>
      </c>
    </row>
    <row r="654" spans="1:813" ht="15.5">
      <c r="A654" s="634">
        <v>44887</v>
      </c>
      <c r="B654" s="633">
        <v>169.91</v>
      </c>
      <c r="AEE654" s="636">
        <v>44294</v>
      </c>
      <c r="AEF654" s="635">
        <v>910.33</v>
      </c>
      <c r="AEG654" s="635">
        <v>20.812999999999999</v>
      </c>
    </row>
    <row r="655" spans="1:813" ht="15.5">
      <c r="A655" s="634">
        <v>44888</v>
      </c>
      <c r="B655" s="633">
        <v>183.2</v>
      </c>
      <c r="AEE655" s="636">
        <v>44295</v>
      </c>
      <c r="AEF655" s="635">
        <v>901.3</v>
      </c>
      <c r="AEG655" s="635">
        <v>20.606000000000002</v>
      </c>
    </row>
    <row r="656" spans="1:813" ht="15.5">
      <c r="A656" s="634">
        <v>44890</v>
      </c>
      <c r="B656" s="633">
        <v>182.86</v>
      </c>
      <c r="AEE656" s="636">
        <v>44298</v>
      </c>
      <c r="AEF656" s="635">
        <v>934.53</v>
      </c>
      <c r="AEG656" s="635">
        <v>21.366</v>
      </c>
    </row>
    <row r="657" spans="1:813" ht="15.5">
      <c r="A657" s="634">
        <v>44893</v>
      </c>
      <c r="B657" s="633">
        <v>182.92</v>
      </c>
      <c r="AEE657" s="636">
        <v>44299</v>
      </c>
      <c r="AEF657" s="637">
        <v>1014.862</v>
      </c>
      <c r="AEG657" s="635">
        <v>23.202999999999999</v>
      </c>
    </row>
    <row r="658" spans="1:813" ht="15.5">
      <c r="A658" s="634">
        <v>44894</v>
      </c>
      <c r="B658" s="633">
        <v>180.83</v>
      </c>
      <c r="AEE658" s="636">
        <v>44300</v>
      </c>
      <c r="AEF658" s="635">
        <v>974.8</v>
      </c>
      <c r="AEG658" s="635">
        <v>22.286999999999999</v>
      </c>
    </row>
    <row r="659" spans="1:813" ht="15.5">
      <c r="A659" s="634">
        <v>44895</v>
      </c>
      <c r="B659" s="633">
        <v>194.7</v>
      </c>
      <c r="AEE659" s="636">
        <v>44301</v>
      </c>
      <c r="AEF659" s="635">
        <v>983.62</v>
      </c>
      <c r="AEG659" s="635">
        <v>22.488</v>
      </c>
    </row>
    <row r="660" spans="1:813" ht="15.5">
      <c r="A660" s="634">
        <v>44896</v>
      </c>
      <c r="B660" s="633">
        <v>194.7</v>
      </c>
      <c r="AEE660" s="636">
        <v>44302</v>
      </c>
      <c r="AEF660" s="635">
        <v>984.86</v>
      </c>
      <c r="AEG660" s="635">
        <v>22.516999999999999</v>
      </c>
    </row>
    <row r="661" spans="1:813" ht="15.5">
      <c r="A661" s="634">
        <v>44897</v>
      </c>
      <c r="B661" s="633">
        <v>194.86</v>
      </c>
      <c r="AEE661" s="636">
        <v>44305</v>
      </c>
      <c r="AEF661" s="635">
        <v>951.37</v>
      </c>
      <c r="AEG661" s="635">
        <v>21.751000000000001</v>
      </c>
    </row>
    <row r="662" spans="1:813" ht="15.5">
      <c r="A662" s="634">
        <v>44900</v>
      </c>
      <c r="B662" s="633">
        <v>182.45</v>
      </c>
      <c r="AEE662" s="636">
        <v>44306</v>
      </c>
      <c r="AEF662" s="635">
        <v>957.18</v>
      </c>
      <c r="AEG662" s="635">
        <v>21.884</v>
      </c>
    </row>
    <row r="663" spans="1:813" ht="15.5">
      <c r="A663" s="634">
        <v>44901</v>
      </c>
      <c r="B663" s="633">
        <v>179.82</v>
      </c>
      <c r="AEE663" s="636">
        <v>44307</v>
      </c>
      <c r="AEF663" s="635">
        <v>990.63</v>
      </c>
      <c r="AEG663" s="635">
        <v>22.649000000000001</v>
      </c>
    </row>
    <row r="664" spans="1:813" ht="15.5">
      <c r="A664" s="634">
        <v>44902</v>
      </c>
      <c r="B664" s="633">
        <v>174.04</v>
      </c>
      <c r="AEE664" s="636">
        <v>44308</v>
      </c>
      <c r="AEF664" s="635">
        <v>958.11</v>
      </c>
      <c r="AEG664" s="635">
        <v>21.905000000000001</v>
      </c>
    </row>
    <row r="665" spans="1:813" ht="15.5">
      <c r="A665" s="634">
        <v>44903</v>
      </c>
      <c r="B665" s="633">
        <v>173.44</v>
      </c>
      <c r="AEE665" s="636">
        <v>44309</v>
      </c>
      <c r="AEF665" s="635">
        <v>971.04</v>
      </c>
      <c r="AEG665" s="635">
        <v>22.201000000000001</v>
      </c>
    </row>
    <row r="666" spans="1:813" ht="15.5">
      <c r="A666" s="634">
        <v>44904</v>
      </c>
      <c r="B666" s="633">
        <v>179.05</v>
      </c>
      <c r="AEE666" s="636">
        <v>44312</v>
      </c>
      <c r="AEF666" s="635">
        <v>619.91999999999996</v>
      </c>
      <c r="AEG666" s="635">
        <v>19.715</v>
      </c>
    </row>
    <row r="667" spans="1:813" ht="15.5">
      <c r="A667" s="634">
        <v>44907</v>
      </c>
      <c r="B667" s="633">
        <v>167.82</v>
      </c>
      <c r="AEE667" s="636">
        <v>44313</v>
      </c>
      <c r="AEF667" s="635">
        <v>591.82000000000005</v>
      </c>
      <c r="AEG667" s="635">
        <v>18.821999999999999</v>
      </c>
    </row>
    <row r="668" spans="1:813" ht="15.5">
      <c r="A668" s="634">
        <v>44908</v>
      </c>
      <c r="B668" s="633">
        <v>160.94999999999999</v>
      </c>
      <c r="AEE668" s="636">
        <v>44314</v>
      </c>
      <c r="AEF668" s="635">
        <v>585.25</v>
      </c>
      <c r="AEG668" s="635">
        <v>18.613</v>
      </c>
    </row>
    <row r="669" spans="1:813" ht="15.5">
      <c r="A669" s="634">
        <v>44909</v>
      </c>
      <c r="B669" s="633">
        <v>156.80000000000001</v>
      </c>
      <c r="AEE669" s="636">
        <v>44315</v>
      </c>
      <c r="AEF669" s="635">
        <v>570.58000000000004</v>
      </c>
      <c r="AEG669" s="635">
        <v>18.146000000000001</v>
      </c>
    </row>
    <row r="670" spans="1:813" ht="15.5">
      <c r="A670" s="634">
        <v>44910</v>
      </c>
      <c r="B670" s="633">
        <v>157.66999999999999</v>
      </c>
      <c r="AEE670" s="636">
        <v>44316</v>
      </c>
      <c r="AEF670" s="635">
        <v>597.91999999999996</v>
      </c>
      <c r="AEG670" s="635">
        <v>19.015999999999998</v>
      </c>
    </row>
    <row r="671" spans="1:813" ht="15.5">
      <c r="A671" s="634">
        <v>44911</v>
      </c>
      <c r="B671" s="633">
        <v>150.22999999999999</v>
      </c>
      <c r="AEE671" s="636">
        <v>44319</v>
      </c>
      <c r="AEF671" s="635">
        <v>577.24</v>
      </c>
      <c r="AEG671" s="635">
        <v>18.358000000000001</v>
      </c>
    </row>
    <row r="672" spans="1:813" ht="15.5">
      <c r="A672" s="634">
        <v>44914</v>
      </c>
      <c r="B672" s="633">
        <v>149.87</v>
      </c>
      <c r="AEE672" s="636">
        <v>44320</v>
      </c>
      <c r="AEF672" s="635">
        <v>567.72</v>
      </c>
      <c r="AEG672" s="635">
        <v>18.055</v>
      </c>
    </row>
    <row r="673" spans="1:813" ht="15.5">
      <c r="A673" s="634">
        <v>44915</v>
      </c>
      <c r="B673" s="633">
        <v>137.80000000000001</v>
      </c>
      <c r="AEE673" s="636">
        <v>44321</v>
      </c>
      <c r="AEF673" s="635">
        <v>565.47</v>
      </c>
      <c r="AEG673" s="635">
        <v>17.984000000000002</v>
      </c>
    </row>
    <row r="674" spans="1:813" ht="15.5">
      <c r="A674" s="634">
        <v>44916</v>
      </c>
      <c r="B674" s="633">
        <v>137.57</v>
      </c>
      <c r="AEE674" s="636">
        <v>44322</v>
      </c>
      <c r="AEF674" s="635">
        <v>559.24</v>
      </c>
      <c r="AEG674" s="635">
        <v>17.785</v>
      </c>
    </row>
    <row r="675" spans="1:813" ht="15.5">
      <c r="A675" s="634">
        <v>44917</v>
      </c>
      <c r="B675" s="633">
        <v>125.35</v>
      </c>
      <c r="AEE675" s="636">
        <v>44323</v>
      </c>
      <c r="AEF675" s="635">
        <v>566.67999999999995</v>
      </c>
      <c r="AEG675" s="635">
        <v>18.021999999999998</v>
      </c>
    </row>
    <row r="676" spans="1:813" ht="15.5">
      <c r="A676" s="634">
        <v>44918</v>
      </c>
      <c r="B676" s="633">
        <v>123.15</v>
      </c>
      <c r="AEE676" s="636">
        <v>44326</v>
      </c>
      <c r="AEF676" s="635">
        <v>530.16</v>
      </c>
      <c r="AEG676" s="635">
        <v>16.861000000000001</v>
      </c>
    </row>
    <row r="677" spans="1:813" ht="15.5">
      <c r="A677" s="634">
        <v>44922</v>
      </c>
      <c r="B677" s="633">
        <v>109.1</v>
      </c>
      <c r="AEE677" s="636">
        <v>44327</v>
      </c>
      <c r="AEF677" s="635">
        <v>520.17999999999995</v>
      </c>
      <c r="AEG677" s="635">
        <v>16.542999999999999</v>
      </c>
    </row>
    <row r="678" spans="1:813" ht="15.5">
      <c r="A678" s="634">
        <v>44923</v>
      </c>
      <c r="B678" s="633">
        <v>112.71</v>
      </c>
      <c r="AEE678" s="636">
        <v>44328</v>
      </c>
      <c r="AEF678" s="635">
        <v>497.16</v>
      </c>
      <c r="AEG678" s="635">
        <v>15.811</v>
      </c>
    </row>
    <row r="679" spans="1:813" ht="15.5">
      <c r="A679" s="634">
        <v>44924</v>
      </c>
      <c r="B679" s="633">
        <v>121.82</v>
      </c>
      <c r="AEE679" s="636">
        <v>44329</v>
      </c>
      <c r="AEF679" s="635">
        <v>481.83</v>
      </c>
      <c r="AEG679" s="635">
        <v>15.323</v>
      </c>
    </row>
    <row r="680" spans="1:813" ht="15.5">
      <c r="A680" s="634">
        <v>44925</v>
      </c>
      <c r="B680" s="633">
        <v>123.18</v>
      </c>
      <c r="AEE680" s="636">
        <v>44330</v>
      </c>
      <c r="AEF680" s="635">
        <v>497.04</v>
      </c>
      <c r="AEG680" s="635">
        <v>15.807</v>
      </c>
    </row>
    <row r="681" spans="1:813" ht="15.5">
      <c r="A681" s="634">
        <v>44929</v>
      </c>
      <c r="B681" s="633">
        <v>108.1</v>
      </c>
      <c r="AEE681" s="636">
        <v>44333</v>
      </c>
      <c r="AEF681" s="635">
        <v>486.16</v>
      </c>
      <c r="AEG681" s="635">
        <v>15.461</v>
      </c>
    </row>
    <row r="682" spans="1:813" ht="15.5">
      <c r="A682" s="634">
        <v>44930</v>
      </c>
      <c r="B682" s="633">
        <v>113.64</v>
      </c>
      <c r="AEE682" s="636">
        <v>44334</v>
      </c>
      <c r="AEF682" s="635">
        <v>487.03</v>
      </c>
      <c r="AEG682" s="635">
        <v>15.489000000000001</v>
      </c>
    </row>
    <row r="683" spans="1:813" ht="15.5">
      <c r="A683" s="634">
        <v>44931</v>
      </c>
      <c r="B683" s="633">
        <v>110.34</v>
      </c>
      <c r="AEE683" s="636">
        <v>44335</v>
      </c>
      <c r="AEF683" s="635">
        <v>474.89</v>
      </c>
      <c r="AEG683" s="635">
        <v>15.103</v>
      </c>
    </row>
    <row r="684" spans="1:813" ht="15.5">
      <c r="A684" s="634">
        <v>44932</v>
      </c>
      <c r="B684" s="633">
        <v>113.06</v>
      </c>
      <c r="AEE684" s="636">
        <v>44336</v>
      </c>
      <c r="AEF684" s="635">
        <v>494.54</v>
      </c>
      <c r="AEG684" s="635">
        <v>15.728</v>
      </c>
    </row>
    <row r="685" spans="1:813" ht="15.5">
      <c r="A685" s="634">
        <v>44935</v>
      </c>
      <c r="B685" s="633">
        <v>119.77</v>
      </c>
      <c r="AEE685" s="636">
        <v>44337</v>
      </c>
      <c r="AEF685" s="635">
        <v>489.57</v>
      </c>
      <c r="AEG685" s="635">
        <v>15.57</v>
      </c>
    </row>
    <row r="686" spans="1:813" ht="15.5">
      <c r="A686" s="634">
        <v>44936</v>
      </c>
      <c r="B686" s="633">
        <v>118.85</v>
      </c>
      <c r="AEE686" s="636">
        <v>44340</v>
      </c>
      <c r="AEF686" s="635">
        <v>511.11</v>
      </c>
      <c r="AEG686" s="635">
        <v>16.254999999999999</v>
      </c>
    </row>
    <row r="687" spans="1:813" ht="15.5">
      <c r="A687" s="634">
        <v>44937</v>
      </c>
      <c r="B687" s="633">
        <v>123.22</v>
      </c>
      <c r="AEE687" s="636">
        <v>44341</v>
      </c>
      <c r="AEF687" s="635">
        <v>509.64</v>
      </c>
      <c r="AEG687" s="635">
        <v>16.207999999999998</v>
      </c>
    </row>
    <row r="688" spans="1:813" ht="15.5">
      <c r="A688" s="634">
        <v>44938</v>
      </c>
      <c r="B688" s="633">
        <v>123.56</v>
      </c>
      <c r="AEE688" s="636">
        <v>44342</v>
      </c>
      <c r="AEF688" s="635">
        <v>521.80999999999995</v>
      </c>
      <c r="AEG688" s="635">
        <v>16.594999999999999</v>
      </c>
    </row>
    <row r="689" spans="1:813" ht="15.5">
      <c r="A689" s="634">
        <v>44939</v>
      </c>
      <c r="B689" s="633">
        <v>122.4</v>
      </c>
      <c r="AEE689" s="636">
        <v>44343</v>
      </c>
      <c r="AEF689" s="635">
        <v>531.69000000000005</v>
      </c>
      <c r="AEG689" s="635">
        <v>16.908999999999999</v>
      </c>
    </row>
    <row r="690" spans="1:813" ht="15.5">
      <c r="A690" s="634">
        <v>44943</v>
      </c>
      <c r="B690" s="633">
        <v>131.49</v>
      </c>
      <c r="AEE690" s="636">
        <v>44344</v>
      </c>
      <c r="AEF690" s="635">
        <v>526.94000000000005</v>
      </c>
      <c r="AEG690" s="635">
        <v>16.757999999999999</v>
      </c>
    </row>
    <row r="691" spans="1:813" ht="15.5">
      <c r="A691" s="634">
        <v>44944</v>
      </c>
      <c r="B691" s="633">
        <v>128.78</v>
      </c>
      <c r="AEE691" s="636">
        <v>44348</v>
      </c>
      <c r="AEF691" s="635">
        <v>525.83000000000004</v>
      </c>
      <c r="AEG691" s="635">
        <v>16.722999999999999</v>
      </c>
    </row>
    <row r="692" spans="1:813" ht="15.5">
      <c r="A692" s="634">
        <v>44945</v>
      </c>
      <c r="B692" s="633">
        <v>127.17</v>
      </c>
      <c r="AEE692" s="636">
        <v>44349</v>
      </c>
      <c r="AEF692" s="635">
        <v>510</v>
      </c>
      <c r="AEG692" s="635">
        <v>16.22</v>
      </c>
    </row>
    <row r="693" spans="1:813" ht="15.5">
      <c r="A693" s="634">
        <v>44946</v>
      </c>
      <c r="B693" s="633">
        <v>133.41999999999999</v>
      </c>
      <c r="AEE693" s="636">
        <v>44350</v>
      </c>
      <c r="AEF693" s="635">
        <v>482.8</v>
      </c>
      <c r="AEG693" s="635">
        <v>15.353999999999999</v>
      </c>
    </row>
    <row r="694" spans="1:813" ht="15.5">
      <c r="A694" s="634">
        <v>44949</v>
      </c>
      <c r="B694" s="633">
        <v>143.75</v>
      </c>
      <c r="AEE694" s="636">
        <v>44351</v>
      </c>
      <c r="AEF694" s="635">
        <v>504.89</v>
      </c>
      <c r="AEG694" s="635">
        <v>16.056999999999999</v>
      </c>
    </row>
    <row r="695" spans="1:813" ht="15.5">
      <c r="A695" s="634">
        <v>44950</v>
      </c>
      <c r="B695" s="633">
        <v>143.88999999999999</v>
      </c>
      <c r="AEE695" s="636">
        <v>44354</v>
      </c>
      <c r="AEF695" s="635">
        <v>510.01</v>
      </c>
      <c r="AEG695" s="635">
        <v>16.22</v>
      </c>
    </row>
    <row r="696" spans="1:813" ht="15.5">
      <c r="A696" s="634">
        <v>44951</v>
      </c>
      <c r="B696" s="633">
        <v>144.43</v>
      </c>
      <c r="AEE696" s="636">
        <v>44355</v>
      </c>
      <c r="AEF696" s="635">
        <v>508.71</v>
      </c>
      <c r="AEG696" s="635">
        <v>16.178999999999998</v>
      </c>
    </row>
    <row r="697" spans="1:813" ht="15.5">
      <c r="A697" s="634">
        <v>44952</v>
      </c>
      <c r="B697" s="633">
        <v>160.27000000000001</v>
      </c>
      <c r="AEE697" s="636">
        <v>44356</v>
      </c>
      <c r="AEF697" s="635">
        <v>504.66</v>
      </c>
      <c r="AEG697" s="635">
        <v>16.05</v>
      </c>
    </row>
    <row r="698" spans="1:813" ht="15.5">
      <c r="A698" s="634">
        <v>44953</v>
      </c>
      <c r="B698" s="633">
        <v>177.9</v>
      </c>
      <c r="AEE698" s="636">
        <v>44357</v>
      </c>
      <c r="AEF698" s="635">
        <v>514.21</v>
      </c>
      <c r="AEG698" s="635">
        <v>16.353999999999999</v>
      </c>
    </row>
    <row r="699" spans="1:813" ht="15.5">
      <c r="A699" s="634">
        <v>44956</v>
      </c>
      <c r="B699" s="633">
        <v>166.66</v>
      </c>
      <c r="AEE699" s="636">
        <v>44358</v>
      </c>
      <c r="AEF699" s="635">
        <v>514.02</v>
      </c>
      <c r="AEG699" s="635">
        <v>16.347000000000001</v>
      </c>
    </row>
    <row r="700" spans="1:813" ht="15.5">
      <c r="A700" s="634">
        <v>44957</v>
      </c>
      <c r="B700" s="633">
        <v>173.22</v>
      </c>
      <c r="AEE700" s="636">
        <v>44361</v>
      </c>
      <c r="AEF700" s="635">
        <v>520.6</v>
      </c>
      <c r="AEG700" s="635">
        <v>16.556000000000001</v>
      </c>
    </row>
    <row r="701" spans="1:813" ht="15.5">
      <c r="A701" s="846">
        <v>44958</v>
      </c>
      <c r="B701">
        <v>181.41</v>
      </c>
      <c r="AEE701" s="636">
        <v>44362</v>
      </c>
      <c r="AEF701" s="635">
        <v>505.15</v>
      </c>
      <c r="AEG701" s="635">
        <v>16.065000000000001</v>
      </c>
    </row>
    <row r="702" spans="1:813" ht="15.5">
      <c r="A702" s="846">
        <v>44959</v>
      </c>
      <c r="B702">
        <v>188.27</v>
      </c>
      <c r="AEE702" s="636">
        <v>44363</v>
      </c>
      <c r="AEF702" s="635">
        <v>509.79</v>
      </c>
      <c r="AEG702" s="635">
        <v>16.213000000000001</v>
      </c>
    </row>
    <row r="703" spans="1:813" ht="15.5">
      <c r="A703" s="846">
        <v>44960</v>
      </c>
      <c r="B703">
        <v>189.98</v>
      </c>
      <c r="AEE703" s="636">
        <v>44364</v>
      </c>
      <c r="AEF703" s="635">
        <v>519.67999999999995</v>
      </c>
      <c r="AEG703" s="635">
        <v>16.527000000000001</v>
      </c>
    </row>
    <row r="704" spans="1:813" ht="15.5">
      <c r="A704" s="846">
        <v>44963</v>
      </c>
      <c r="B704">
        <v>194.76</v>
      </c>
      <c r="AEE704" s="636">
        <v>44365</v>
      </c>
      <c r="AEF704" s="635">
        <v>525.33000000000004</v>
      </c>
      <c r="AEG704" s="635">
        <v>16.707000000000001</v>
      </c>
    </row>
    <row r="705" spans="1:813" ht="15.5">
      <c r="A705" s="846">
        <v>44964</v>
      </c>
      <c r="B705">
        <v>196.81</v>
      </c>
      <c r="AEE705" s="636">
        <v>44368</v>
      </c>
      <c r="AEF705" s="635">
        <v>523.24</v>
      </c>
      <c r="AEG705" s="635">
        <v>16.640999999999998</v>
      </c>
    </row>
    <row r="706" spans="1:813" ht="15.5">
      <c r="A706" s="846">
        <v>44965</v>
      </c>
      <c r="B706">
        <v>201.29</v>
      </c>
      <c r="AEE706" s="636">
        <v>44369</v>
      </c>
      <c r="AEF706" s="635">
        <v>525.66999999999996</v>
      </c>
      <c r="AEG706" s="635">
        <v>16.718</v>
      </c>
    </row>
    <row r="707" spans="1:813" ht="15.5">
      <c r="A707" s="846">
        <v>44966</v>
      </c>
      <c r="B707">
        <v>207.32</v>
      </c>
      <c r="AEE707" s="636">
        <v>44370</v>
      </c>
      <c r="AEF707" s="635">
        <v>553.36</v>
      </c>
      <c r="AEG707" s="635">
        <v>17.599</v>
      </c>
    </row>
    <row r="708" spans="1:813" ht="15.5">
      <c r="A708" s="846">
        <v>44967</v>
      </c>
      <c r="B708">
        <v>196.89</v>
      </c>
      <c r="AEE708" s="636">
        <v>44371</v>
      </c>
      <c r="AEF708" s="635">
        <v>572.96</v>
      </c>
      <c r="AEG708" s="635">
        <v>18.222000000000001</v>
      </c>
    </row>
    <row r="709" spans="1:813" ht="15.5">
      <c r="A709" s="846">
        <v>44970</v>
      </c>
      <c r="B709">
        <v>194.64</v>
      </c>
      <c r="AEE709" s="636">
        <v>44372</v>
      </c>
      <c r="AEF709" s="635">
        <v>566.26</v>
      </c>
      <c r="AEG709" s="635">
        <v>18.009</v>
      </c>
    </row>
    <row r="710" spans="1:813" ht="15.5">
      <c r="A710" s="846">
        <v>44971</v>
      </c>
      <c r="B710">
        <v>209.25</v>
      </c>
      <c r="AEE710" s="636">
        <v>44375</v>
      </c>
      <c r="AEF710" s="635">
        <v>580.46</v>
      </c>
      <c r="AEG710" s="635">
        <v>18.46</v>
      </c>
    </row>
    <row r="711" spans="1:813" ht="15.5">
      <c r="A711" s="846">
        <v>44972</v>
      </c>
      <c r="B711">
        <v>214.24</v>
      </c>
      <c r="AEE711" s="636">
        <v>44376</v>
      </c>
      <c r="AEF711" s="635">
        <v>573.75</v>
      </c>
      <c r="AEG711" s="635">
        <v>18.247</v>
      </c>
    </row>
    <row r="712" spans="1:813" ht="15.5">
      <c r="A712" s="846">
        <v>44973</v>
      </c>
      <c r="B712">
        <v>202.04</v>
      </c>
      <c r="AEE712" s="636">
        <v>44377</v>
      </c>
      <c r="AEF712" s="635">
        <v>572.86</v>
      </c>
      <c r="AEG712" s="635">
        <v>18.219000000000001</v>
      </c>
    </row>
    <row r="713" spans="1:813" ht="15.5">
      <c r="A713" s="846">
        <v>44974</v>
      </c>
      <c r="B713">
        <v>208.31</v>
      </c>
      <c r="AEE713" s="636">
        <v>44378</v>
      </c>
      <c r="AEF713" s="635">
        <v>571.36</v>
      </c>
      <c r="AEG713" s="635">
        <v>18.170999999999999</v>
      </c>
    </row>
    <row r="714" spans="1:813" ht="15.5">
      <c r="A714" s="846">
        <v>44978</v>
      </c>
      <c r="B714">
        <v>197.37</v>
      </c>
      <c r="AEE714" s="636">
        <v>44379</v>
      </c>
      <c r="AEF714" s="635">
        <v>572.17999999999995</v>
      </c>
      <c r="AEG714" s="635">
        <v>18.196999999999999</v>
      </c>
    </row>
    <row r="715" spans="1:813" ht="15.5">
      <c r="A715" s="846">
        <v>44979</v>
      </c>
      <c r="B715">
        <v>200.86</v>
      </c>
      <c r="AEE715" s="636">
        <v>44383</v>
      </c>
      <c r="AEF715" s="635">
        <v>555.9</v>
      </c>
      <c r="AEG715" s="635">
        <v>17.678999999999998</v>
      </c>
    </row>
    <row r="716" spans="1:813" ht="15.5">
      <c r="A716" s="846">
        <v>44980</v>
      </c>
      <c r="B716">
        <v>202.07</v>
      </c>
      <c r="AEE716" s="636">
        <v>44384</v>
      </c>
      <c r="AEF716" s="635">
        <v>543.32000000000005</v>
      </c>
      <c r="AEG716" s="635">
        <v>17.279</v>
      </c>
    </row>
    <row r="717" spans="1:813" ht="15.5">
      <c r="A717" s="846">
        <v>44981</v>
      </c>
      <c r="B717">
        <v>196.88</v>
      </c>
      <c r="AEE717" s="636">
        <v>44385</v>
      </c>
      <c r="AEF717" s="635">
        <v>550.19000000000005</v>
      </c>
      <c r="AEG717" s="635">
        <v>17.498000000000001</v>
      </c>
    </row>
    <row r="718" spans="1:813" ht="15.5">
      <c r="A718" s="846">
        <v>44984</v>
      </c>
      <c r="B718">
        <v>207.63</v>
      </c>
      <c r="AEE718" s="636">
        <v>44386</v>
      </c>
      <c r="AEF718" s="635">
        <v>553.67999999999995</v>
      </c>
      <c r="AEG718" s="635">
        <v>17.609000000000002</v>
      </c>
    </row>
    <row r="719" spans="1:813" ht="15.5">
      <c r="A719" s="846">
        <v>44985</v>
      </c>
      <c r="B719">
        <v>205.71</v>
      </c>
      <c r="AEE719" s="636">
        <v>44389</v>
      </c>
      <c r="AEF719" s="635">
        <v>577.91</v>
      </c>
      <c r="AEG719" s="635">
        <v>18.379000000000001</v>
      </c>
    </row>
    <row r="720" spans="1:813" ht="15.5">
      <c r="A720" s="846">
        <v>44986</v>
      </c>
      <c r="B720">
        <v>202.77</v>
      </c>
      <c r="AEE720" s="636">
        <v>44390</v>
      </c>
      <c r="AEF720" s="635">
        <v>563.45000000000005</v>
      </c>
      <c r="AEG720" s="635">
        <v>17.919</v>
      </c>
    </row>
    <row r="721" spans="1:813" ht="15.5">
      <c r="A721" s="846">
        <v>44987</v>
      </c>
      <c r="B721">
        <v>190.9</v>
      </c>
      <c r="AEE721" s="636">
        <v>44391</v>
      </c>
      <c r="AEF721" s="635">
        <v>550.66999999999996</v>
      </c>
      <c r="AEG721" s="635">
        <v>17.513000000000002</v>
      </c>
    </row>
    <row r="722" spans="1:813" ht="15.5">
      <c r="A722" s="846">
        <v>44988</v>
      </c>
      <c r="B722">
        <v>197.79</v>
      </c>
      <c r="AEE722" s="636">
        <v>44392</v>
      </c>
      <c r="AEF722" s="635">
        <v>548.33000000000004</v>
      </c>
      <c r="AEG722" s="635">
        <v>17.439</v>
      </c>
    </row>
    <row r="723" spans="1:813" ht="15.5">
      <c r="A723" s="846">
        <v>44991</v>
      </c>
      <c r="B723">
        <v>193.81</v>
      </c>
      <c r="AEE723" s="636">
        <v>44393</v>
      </c>
      <c r="AEF723" s="635">
        <v>542.95000000000005</v>
      </c>
      <c r="AEG723" s="635">
        <v>17.268000000000001</v>
      </c>
    </row>
    <row r="724" spans="1:813" ht="15.5">
      <c r="A724" s="846">
        <v>44992</v>
      </c>
      <c r="B724">
        <v>187.71</v>
      </c>
      <c r="AEE724" s="636">
        <v>44396</v>
      </c>
      <c r="AEF724" s="635">
        <v>544.64</v>
      </c>
      <c r="AEG724" s="635">
        <v>17.321000000000002</v>
      </c>
    </row>
    <row r="725" spans="1:813" ht="15.5">
      <c r="A725" s="846">
        <v>44993</v>
      </c>
      <c r="B725">
        <v>182</v>
      </c>
      <c r="AEE725" s="636">
        <v>44397</v>
      </c>
      <c r="AEF725" s="635">
        <v>556.67999999999995</v>
      </c>
      <c r="AEG725" s="635">
        <v>17.704000000000001</v>
      </c>
    </row>
    <row r="726" spans="1:813" ht="15.5">
      <c r="A726" s="846">
        <v>44994</v>
      </c>
      <c r="B726">
        <v>172.92</v>
      </c>
      <c r="AEE726" s="636">
        <v>44398</v>
      </c>
      <c r="AEF726" s="635">
        <v>552.28</v>
      </c>
      <c r="AEG726" s="635">
        <v>17.564</v>
      </c>
    </row>
    <row r="727" spans="1:813" ht="15.5">
      <c r="A727" s="846">
        <v>44995</v>
      </c>
      <c r="B727">
        <v>173.44</v>
      </c>
      <c r="AEE727" s="636">
        <v>44399</v>
      </c>
      <c r="AEF727" s="635">
        <v>547.20000000000005</v>
      </c>
      <c r="AEG727" s="635">
        <v>17.402999999999999</v>
      </c>
    </row>
    <row r="728" spans="1:813" ht="15.5">
      <c r="A728" s="846">
        <v>44998</v>
      </c>
      <c r="B728">
        <v>174.48</v>
      </c>
      <c r="AEE728" s="636">
        <v>44400</v>
      </c>
      <c r="AEF728" s="635">
        <v>542.25</v>
      </c>
      <c r="AEG728" s="635">
        <v>17.245000000000001</v>
      </c>
    </row>
    <row r="729" spans="1:813" ht="15.5">
      <c r="A729" s="846">
        <v>44999</v>
      </c>
      <c r="B729">
        <v>183.26</v>
      </c>
      <c r="AEE729" s="636">
        <v>44403</v>
      </c>
      <c r="AEF729" s="635">
        <v>290.47000000000003</v>
      </c>
      <c r="AEG729" s="635">
        <v>15.132999999999999</v>
      </c>
    </row>
    <row r="730" spans="1:813" ht="15.5">
      <c r="A730" s="846">
        <v>45000</v>
      </c>
      <c r="B730">
        <v>180.45</v>
      </c>
      <c r="AEE730" s="636">
        <v>44404</v>
      </c>
      <c r="AEF730" s="635">
        <v>292.68</v>
      </c>
      <c r="AEG730" s="635">
        <v>15.249000000000001</v>
      </c>
    </row>
    <row r="731" spans="1:813" ht="15.5">
      <c r="AEE731" s="636">
        <v>44405</v>
      </c>
      <c r="AEF731" s="635">
        <v>293.68</v>
      </c>
      <c r="AEG731" s="635">
        <v>15.301</v>
      </c>
    </row>
    <row r="732" spans="1:813" ht="65">
      <c r="A732" s="969" t="s">
        <v>2097</v>
      </c>
      <c r="B732" s="970" t="s">
        <v>2098</v>
      </c>
      <c r="C732" s="970" t="s">
        <v>2099</v>
      </c>
      <c r="AEE732" s="636">
        <v>44406</v>
      </c>
      <c r="AEF732" s="635">
        <v>307.47000000000003</v>
      </c>
      <c r="AEG732" s="635">
        <v>16.018999999999998</v>
      </c>
    </row>
    <row r="733" spans="1:813" ht="15.5">
      <c r="A733" s="971">
        <v>44652</v>
      </c>
      <c r="B733" s="972">
        <v>79550</v>
      </c>
      <c r="C733" s="972">
        <v>77650</v>
      </c>
      <c r="AEE733" s="636">
        <v>44407</v>
      </c>
      <c r="AEF733" s="635">
        <v>311.94</v>
      </c>
      <c r="AEG733" s="635">
        <v>16.251999999999999</v>
      </c>
    </row>
    <row r="734" spans="1:813" ht="15.5">
      <c r="A734" s="971">
        <v>44680</v>
      </c>
      <c r="B734" s="972">
        <v>72650</v>
      </c>
      <c r="C734" s="972">
        <v>73275</v>
      </c>
      <c r="AEE734" s="636">
        <v>44410</v>
      </c>
      <c r="AEF734" s="635">
        <v>322.14</v>
      </c>
      <c r="AEG734" s="635">
        <v>16.783000000000001</v>
      </c>
    </row>
    <row r="735" spans="1:813" ht="15.5">
      <c r="A735" s="971">
        <v>44715</v>
      </c>
      <c r="B735" s="972">
        <v>69375</v>
      </c>
      <c r="C735" s="972">
        <v>70875</v>
      </c>
      <c r="AEE735" s="636">
        <v>44411</v>
      </c>
      <c r="AEF735" s="635">
        <v>322.17</v>
      </c>
      <c r="AEG735" s="635">
        <v>16.785</v>
      </c>
    </row>
    <row r="736" spans="1:813" ht="15.5">
      <c r="A736" s="971">
        <v>44743</v>
      </c>
      <c r="B736" s="972">
        <v>69875</v>
      </c>
      <c r="C736" s="972">
        <v>70400</v>
      </c>
      <c r="AEE736" s="636">
        <v>44412</v>
      </c>
      <c r="AEF736" s="635">
        <v>322.70999999999998</v>
      </c>
      <c r="AEG736" s="635">
        <v>16.812999999999999</v>
      </c>
    </row>
    <row r="737" spans="1:813" ht="15.5">
      <c r="A737" s="971">
        <v>44771</v>
      </c>
      <c r="B737" s="972">
        <v>69700</v>
      </c>
      <c r="C737" s="972">
        <v>69925</v>
      </c>
      <c r="AEE737" s="636">
        <v>44413</v>
      </c>
      <c r="AEF737" s="635">
        <v>324.39</v>
      </c>
      <c r="AEG737" s="635">
        <v>16.901</v>
      </c>
    </row>
    <row r="738" spans="1:813" ht="15.5">
      <c r="A738" s="971">
        <v>44806</v>
      </c>
      <c r="B738" s="972">
        <v>70700</v>
      </c>
      <c r="C738" s="972">
        <v>69025</v>
      </c>
      <c r="AEE738" s="636">
        <v>44417</v>
      </c>
      <c r="AEF738" s="635">
        <v>324</v>
      </c>
      <c r="AEG738" s="635">
        <v>16.88</v>
      </c>
    </row>
    <row r="739" spans="1:813" ht="15.5">
      <c r="A739" s="971">
        <v>44834</v>
      </c>
      <c r="B739" s="972">
        <v>69700</v>
      </c>
      <c r="C739" s="972">
        <v>68850</v>
      </c>
      <c r="AEE739" s="636">
        <v>44418</v>
      </c>
      <c r="AEF739" s="635">
        <v>322.27999999999997</v>
      </c>
      <c r="AEG739" s="635">
        <v>16.791</v>
      </c>
    </row>
    <row r="740" spans="1:813" ht="15.5">
      <c r="A740" s="971">
        <v>44862</v>
      </c>
      <c r="B740" s="972">
        <v>75125</v>
      </c>
      <c r="C740" s="972">
        <v>74575</v>
      </c>
      <c r="AEE740" s="636">
        <v>44419</v>
      </c>
      <c r="AEF740" s="635">
        <v>321.3</v>
      </c>
      <c r="AEG740" s="635">
        <v>16.739999999999998</v>
      </c>
    </row>
    <row r="741" spans="1:813" ht="15.5">
      <c r="A741" s="971">
        <v>44897</v>
      </c>
      <c r="B741" s="972">
        <v>79650</v>
      </c>
      <c r="C741" s="972">
        <v>79025</v>
      </c>
      <c r="AEE741" s="636">
        <v>44421</v>
      </c>
      <c r="AEF741" s="635">
        <v>325.54000000000002</v>
      </c>
      <c r="AEG741" s="635">
        <v>16.960999999999999</v>
      </c>
    </row>
    <row r="742" spans="1:813" ht="15.5">
      <c r="A742" s="971">
        <v>44925</v>
      </c>
      <c r="B742" s="972">
        <v>76650</v>
      </c>
      <c r="C742" s="972">
        <v>78650</v>
      </c>
      <c r="AEE742" s="636">
        <v>44424</v>
      </c>
      <c r="AEF742" s="635">
        <v>311.47000000000003</v>
      </c>
      <c r="AEG742" s="635">
        <v>16.228000000000002</v>
      </c>
    </row>
    <row r="743" spans="1:813" ht="15.5">
      <c r="A743" s="971">
        <v>44960</v>
      </c>
      <c r="B743" s="972">
        <v>71050</v>
      </c>
      <c r="C743" s="972">
        <v>73100</v>
      </c>
      <c r="AEE743" s="636">
        <v>44426</v>
      </c>
      <c r="AEF743" s="635">
        <v>312.75</v>
      </c>
      <c r="AEG743" s="635">
        <v>16.294</v>
      </c>
    </row>
    <row r="744" spans="1:813" ht="15.5">
      <c r="A744" s="971">
        <v>44981</v>
      </c>
      <c r="B744" s="972">
        <v>62925</v>
      </c>
      <c r="C744" s="972">
        <v>66700</v>
      </c>
      <c r="AEE744" s="636">
        <v>44427</v>
      </c>
      <c r="AEF744" s="635">
        <v>305.70999999999998</v>
      </c>
      <c r="AEG744" s="635">
        <v>15.927</v>
      </c>
    </row>
    <row r="745" spans="1:813" ht="15.5">
      <c r="A745" s="971">
        <v>44995</v>
      </c>
      <c r="B745" s="972">
        <v>54925</v>
      </c>
      <c r="C745" s="972">
        <v>61700</v>
      </c>
      <c r="AEE745" s="636">
        <v>44428</v>
      </c>
      <c r="AEF745" s="635">
        <v>308.79000000000002</v>
      </c>
      <c r="AEG745" s="635">
        <v>16.088000000000001</v>
      </c>
    </row>
    <row r="746" spans="1:813" ht="15.5">
      <c r="AEE746" s="636">
        <v>44431</v>
      </c>
      <c r="AEF746" s="635">
        <v>320.61</v>
      </c>
      <c r="AEG746" s="635">
        <v>16.704000000000001</v>
      </c>
    </row>
    <row r="747" spans="1:813" ht="15.5">
      <c r="AEE747" s="636">
        <v>44432</v>
      </c>
      <c r="AEF747" s="635">
        <v>321.60000000000002</v>
      </c>
      <c r="AEG747" s="635">
        <v>16.754999999999999</v>
      </c>
    </row>
    <row r="748" spans="1:813" ht="15.5">
      <c r="AEE748" s="636">
        <v>44433</v>
      </c>
      <c r="AEF748" s="635">
        <v>322.83</v>
      </c>
      <c r="AEG748" s="635">
        <v>16.82</v>
      </c>
    </row>
    <row r="749" spans="1:813" ht="15.5">
      <c r="AEE749" s="636">
        <v>44434</v>
      </c>
      <c r="AEF749" s="635">
        <v>318.27999999999997</v>
      </c>
      <c r="AEG749" s="635">
        <v>16.582000000000001</v>
      </c>
    </row>
    <row r="750" spans="1:813" ht="15.5">
      <c r="A750" s="260"/>
      <c r="B750" s="38">
        <v>2016</v>
      </c>
      <c r="C750" s="38">
        <v>2017</v>
      </c>
      <c r="D750" s="38">
        <v>2018</v>
      </c>
      <c r="E750" s="38">
        <v>2019</v>
      </c>
      <c r="F750" s="38">
        <v>2020</v>
      </c>
      <c r="G750" s="62">
        <v>2021</v>
      </c>
      <c r="H750" s="362" t="s">
        <v>2079</v>
      </c>
      <c r="I750" s="362" t="s">
        <v>219</v>
      </c>
      <c r="J750" s="362" t="s">
        <v>12</v>
      </c>
      <c r="K750" s="362" t="s">
        <v>13</v>
      </c>
      <c r="AEE750" s="636">
        <v>44435</v>
      </c>
      <c r="AEF750" s="635">
        <v>323.16000000000003</v>
      </c>
      <c r="AEG750" s="635">
        <v>16.837</v>
      </c>
    </row>
    <row r="751" spans="1:813" ht="15.5">
      <c r="A751" t="s">
        <v>2100</v>
      </c>
      <c r="E751" s="364">
        <v>0.47795264235032897</v>
      </c>
      <c r="F751" s="364">
        <v>0.33142760342177235</v>
      </c>
      <c r="G751" s="364">
        <v>0.33813892876794194</v>
      </c>
      <c r="H751" s="364">
        <v>0.3375075298617029</v>
      </c>
      <c r="I751" s="364">
        <v>0.32437532370993621</v>
      </c>
      <c r="J751" s="364">
        <v>0.32083669035266688</v>
      </c>
      <c r="K751" s="364">
        <v>0.30586323235850538</v>
      </c>
      <c r="AEE751" s="636">
        <v>44438</v>
      </c>
      <c r="AEF751" s="635">
        <v>331.78</v>
      </c>
      <c r="AEG751" s="635">
        <v>17.286000000000001</v>
      </c>
    </row>
    <row r="752" spans="1:813" ht="15.5">
      <c r="A752" s="60" t="s">
        <v>2101</v>
      </c>
      <c r="B752" s="60"/>
      <c r="C752" s="60"/>
      <c r="D752" s="60">
        <v>0.17673239607973984</v>
      </c>
      <c r="E752" s="60">
        <v>0.18198629290119653</v>
      </c>
      <c r="F752" s="60">
        <v>0.12376401745386809</v>
      </c>
      <c r="G752" s="60">
        <v>0.18000567729415132</v>
      </c>
      <c r="H752" s="60">
        <v>0.21028449639690944</v>
      </c>
      <c r="I752" s="60">
        <v>0.20951114875690316</v>
      </c>
      <c r="J752" s="60">
        <v>0.20849621072969343</v>
      </c>
      <c r="K752" s="60">
        <v>0.20619398508782452</v>
      </c>
      <c r="AEE752" s="636">
        <v>44439</v>
      </c>
      <c r="AEF752" s="635">
        <v>333.96</v>
      </c>
      <c r="AEG752" s="635">
        <v>17.399000000000001</v>
      </c>
    </row>
    <row r="753" spans="1:813" ht="15.5">
      <c r="A753" s="60" t="s">
        <v>2102</v>
      </c>
      <c r="B753" s="60"/>
      <c r="C753" s="60"/>
      <c r="D753" s="60"/>
      <c r="E753" s="60"/>
      <c r="F753" s="60">
        <v>0.15480546291275979</v>
      </c>
      <c r="G753" s="60">
        <v>0.138417543396849</v>
      </c>
      <c r="H753" s="60">
        <v>0.1341795323977627</v>
      </c>
      <c r="I753" s="60">
        <v>0.12800180391942195</v>
      </c>
      <c r="J753" s="60">
        <v>0.12193700284185005</v>
      </c>
      <c r="K753" s="60">
        <v>0.11567196437716501</v>
      </c>
      <c r="AEE753" s="636">
        <v>44440</v>
      </c>
      <c r="AEF753" s="635">
        <v>333.22</v>
      </c>
      <c r="AEG753" s="635">
        <v>17.361000000000001</v>
      </c>
    </row>
    <row r="754" spans="1:813" ht="15.5">
      <c r="A754" t="s">
        <v>277</v>
      </c>
      <c r="D754" s="923"/>
      <c r="E754" s="296"/>
      <c r="F754" s="296">
        <v>0.29118768306386961</v>
      </c>
      <c r="G754" s="296">
        <v>0.29929909178229913</v>
      </c>
      <c r="H754" s="296">
        <v>0.31280644206977781</v>
      </c>
      <c r="I754" s="296">
        <v>0.3189875493548</v>
      </c>
      <c r="J754" s="296">
        <v>0.27511904911654872</v>
      </c>
      <c r="K754" s="296">
        <v>0.24105314049471052</v>
      </c>
      <c r="AEE754" s="636"/>
      <c r="AEF754" s="635"/>
      <c r="AEG754" s="635"/>
    </row>
    <row r="755" spans="1:813" ht="15.5">
      <c r="AEE755" s="636">
        <v>44462</v>
      </c>
      <c r="AEF755" s="635">
        <v>342.1</v>
      </c>
      <c r="AEG755" s="635">
        <v>17.823</v>
      </c>
    </row>
    <row r="756" spans="1:813" ht="15.5">
      <c r="AEA756" s="636">
        <v>44480</v>
      </c>
      <c r="AEB756" s="635">
        <v>359.48</v>
      </c>
      <c r="AEC756" s="635">
        <v>18.728999999999999</v>
      </c>
    </row>
    <row r="757" spans="1:813" ht="15.5">
      <c r="AEA757" s="636">
        <v>44496</v>
      </c>
      <c r="AEB757" s="635">
        <v>300.54000000000002</v>
      </c>
      <c r="AEC757" s="635">
        <v>22.248000000000001</v>
      </c>
    </row>
    <row r="758" spans="1:813" ht="15.5">
      <c r="AEA758" s="636">
        <v>44497</v>
      </c>
      <c r="AEB758" s="635">
        <v>311.89</v>
      </c>
      <c r="AEC758" s="635">
        <v>23.088000000000001</v>
      </c>
    </row>
    <row r="759" spans="1:813" ht="15.5">
      <c r="A759" s="260"/>
      <c r="B759" s="38">
        <v>2020</v>
      </c>
      <c r="C759" s="62">
        <v>2021</v>
      </c>
      <c r="D759" s="362" t="s">
        <v>2079</v>
      </c>
      <c r="E759" s="362" t="s">
        <v>219</v>
      </c>
      <c r="F759" s="362" t="s">
        <v>12</v>
      </c>
      <c r="G759" s="362" t="s">
        <v>13</v>
      </c>
      <c r="AEA759" s="636">
        <v>44498</v>
      </c>
      <c r="AEB759" s="635">
        <v>322.58999999999997</v>
      </c>
      <c r="AEC759" s="635">
        <v>23.88</v>
      </c>
    </row>
    <row r="760" spans="1:813" ht="15.5">
      <c r="A760" t="s">
        <v>2100</v>
      </c>
      <c r="B760" s="364">
        <v>0.33142760342177235</v>
      </c>
      <c r="C760" s="364">
        <v>0.33813892876794194</v>
      </c>
      <c r="D760" s="364">
        <v>0.3375075298617029</v>
      </c>
      <c r="E760" s="364">
        <v>0.32437532370993621</v>
      </c>
      <c r="F760" s="364">
        <v>0.32083669035266688</v>
      </c>
      <c r="G760" s="364">
        <v>0.30586323235850538</v>
      </c>
      <c r="AEE760" s="636">
        <v>44501</v>
      </c>
      <c r="AEF760" s="635">
        <v>349.98</v>
      </c>
      <c r="AEG760" s="635">
        <v>25.908000000000001</v>
      </c>
    </row>
    <row r="761" spans="1:813" ht="15.5">
      <c r="A761" s="60" t="s">
        <v>2101</v>
      </c>
      <c r="B761" s="60">
        <v>0.12376401745386809</v>
      </c>
      <c r="C761" s="60">
        <v>0.18000567729415132</v>
      </c>
      <c r="D761" s="60">
        <v>0.21028449639690944</v>
      </c>
      <c r="E761" s="60">
        <v>0.20951114875690316</v>
      </c>
      <c r="F761" s="60">
        <v>0.20849621072969343</v>
      </c>
      <c r="G761" s="60">
        <v>0.20619398508782452</v>
      </c>
      <c r="AEE761" s="636">
        <v>44502</v>
      </c>
      <c r="AEF761" s="635">
        <v>339.39</v>
      </c>
      <c r="AEG761" s="635">
        <v>25.123999999999999</v>
      </c>
    </row>
    <row r="762" spans="1:813" ht="15.5">
      <c r="A762" s="60" t="s">
        <v>2102</v>
      </c>
      <c r="B762" s="60">
        <v>0.15480546291275979</v>
      </c>
      <c r="C762" s="60">
        <v>0.138417543396849</v>
      </c>
      <c r="D762" s="60">
        <v>0.1341795323977627</v>
      </c>
      <c r="E762" s="60">
        <v>0.12800180391942195</v>
      </c>
      <c r="F762" s="60">
        <v>0.12193700284185005</v>
      </c>
      <c r="G762" s="60">
        <v>0.11567196437716501</v>
      </c>
      <c r="AEE762" s="636">
        <v>44503</v>
      </c>
      <c r="AEF762" s="635">
        <v>351.51</v>
      </c>
      <c r="AEG762" s="635">
        <v>26.021000000000001</v>
      </c>
    </row>
    <row r="763" spans="1:813" ht="15.5">
      <c r="A763" t="s">
        <v>2103</v>
      </c>
      <c r="B763" s="296">
        <v>0.29118768306386961</v>
      </c>
      <c r="C763" s="296">
        <v>0.29929909178229913</v>
      </c>
      <c r="D763" s="296">
        <v>0.31280644206977781</v>
      </c>
      <c r="E763" s="296">
        <v>0.3189875493548</v>
      </c>
      <c r="F763" s="296">
        <v>0.27511904911654872</v>
      </c>
      <c r="G763" s="296">
        <v>0.24105314049471052</v>
      </c>
      <c r="AEE763" s="636">
        <v>44504</v>
      </c>
      <c r="AEF763" s="635">
        <v>356.16</v>
      </c>
      <c r="AEG763" s="635">
        <v>26.364999999999998</v>
      </c>
    </row>
    <row r="764" spans="1:813" ht="15.5">
      <c r="AEA764" s="636">
        <v>44505</v>
      </c>
      <c r="AEB764" s="635">
        <v>353.89</v>
      </c>
      <c r="AEC764" s="635">
        <v>26.198</v>
      </c>
    </row>
    <row r="765" spans="1:813" ht="15.5">
      <c r="A765" s="260"/>
      <c r="B765" t="s">
        <v>2100</v>
      </c>
      <c r="C765" s="60" t="s">
        <v>2101</v>
      </c>
      <c r="D765" s="60" t="s">
        <v>2102</v>
      </c>
      <c r="E765" t="s">
        <v>2103</v>
      </c>
      <c r="F765" t="s">
        <v>2104</v>
      </c>
      <c r="AEA765" s="636">
        <v>44508</v>
      </c>
      <c r="AEB765" s="635">
        <v>336.77</v>
      </c>
      <c r="AEC765" s="635">
        <v>24.93</v>
      </c>
    </row>
    <row r="766" spans="1:813" ht="15.5">
      <c r="A766" s="38">
        <v>2020</v>
      </c>
      <c r="B766" s="364">
        <v>0.33142760342177235</v>
      </c>
      <c r="C766" s="60">
        <v>0.12376401745386809</v>
      </c>
      <c r="D766" s="60">
        <v>0.15480546291275979</v>
      </c>
      <c r="E766" s="296">
        <v>0.29118768306386961</v>
      </c>
      <c r="F766" s="60">
        <f>AVERAGE(B766:E766)</f>
        <v>0.22529619171306747</v>
      </c>
      <c r="Q766" s="260"/>
      <c r="R766" s="60" t="s">
        <v>2105</v>
      </c>
      <c r="AEA766" s="636">
        <v>44509</v>
      </c>
      <c r="AEB766" s="635">
        <v>296.39</v>
      </c>
      <c r="AEC766" s="635">
        <v>21.94</v>
      </c>
    </row>
    <row r="767" spans="1:813" ht="15.5">
      <c r="A767" s="62">
        <v>2021</v>
      </c>
      <c r="B767" s="364">
        <v>0.33813892876794194</v>
      </c>
      <c r="C767" s="60">
        <v>0.18000567729415132</v>
      </c>
      <c r="D767" s="60">
        <v>0.138417543396849</v>
      </c>
      <c r="E767" s="296">
        <v>0.29929909178229913</v>
      </c>
      <c r="F767" s="60">
        <f t="shared" ref="F767:F771" si="20">AVERAGE(B767:E767)</f>
        <v>0.23896531031031032</v>
      </c>
      <c r="Q767" s="38">
        <v>2020</v>
      </c>
      <c r="R767" s="60">
        <v>0.22529619171306747</v>
      </c>
      <c r="AEA767" s="636">
        <v>44510</v>
      </c>
      <c r="AEB767" s="635">
        <v>309.26</v>
      </c>
      <c r="AEC767" s="635">
        <v>22.893000000000001</v>
      </c>
    </row>
    <row r="768" spans="1:813" ht="15.5">
      <c r="A768" s="362" t="s">
        <v>2079</v>
      </c>
      <c r="B768" s="364">
        <v>0.3375075298617029</v>
      </c>
      <c r="C768" s="60">
        <v>0.21028449639690944</v>
      </c>
      <c r="D768" s="60">
        <v>0.1341795323977627</v>
      </c>
      <c r="E768" s="296">
        <v>0.31280644206977781</v>
      </c>
      <c r="F768" s="60">
        <f t="shared" si="20"/>
        <v>0.24869450018153821</v>
      </c>
      <c r="Q768" s="62">
        <v>2021</v>
      </c>
      <c r="R768" s="60">
        <v>0.23896531031031032</v>
      </c>
      <c r="AEA768" s="636">
        <v>44511</v>
      </c>
      <c r="AEB768" s="635">
        <v>307.97000000000003</v>
      </c>
      <c r="AEC768" s="635">
        <v>22.797999999999998</v>
      </c>
    </row>
    <row r="769" spans="1:813" ht="15.5">
      <c r="A769" s="362" t="s">
        <v>219</v>
      </c>
      <c r="B769" s="364">
        <v>0.32437532370993621</v>
      </c>
      <c r="C769" s="60">
        <v>0.20951114875690316</v>
      </c>
      <c r="D769" s="60">
        <v>0.12800180391942195</v>
      </c>
      <c r="E769" s="296">
        <v>0.3189875493548</v>
      </c>
      <c r="F769" s="60">
        <f t="shared" si="20"/>
        <v>0.24521895643526534</v>
      </c>
      <c r="Q769" s="362" t="s">
        <v>2079</v>
      </c>
      <c r="R769" s="60">
        <v>0.24869450018153821</v>
      </c>
      <c r="AEE769" s="636">
        <v>44512</v>
      </c>
      <c r="AEF769" s="635">
        <v>299.26</v>
      </c>
      <c r="AEG769" s="635">
        <v>22.152999999999999</v>
      </c>
    </row>
    <row r="770" spans="1:813" ht="15.5">
      <c r="A770" s="362" t="s">
        <v>12</v>
      </c>
      <c r="B770" s="364">
        <v>0.32083669035266688</v>
      </c>
      <c r="C770" s="60">
        <v>0.20849621072969343</v>
      </c>
      <c r="D770" s="60">
        <v>0.12193700284185005</v>
      </c>
      <c r="E770" s="296">
        <v>0.27511904911654872</v>
      </c>
      <c r="F770" s="60">
        <f t="shared" si="20"/>
        <v>0.23159723826018977</v>
      </c>
      <c r="Q770" s="362" t="s">
        <v>219</v>
      </c>
      <c r="R770" s="60">
        <v>0.24521895643526534</v>
      </c>
      <c r="AEE770" s="636">
        <v>44515</v>
      </c>
      <c r="AEF770" s="635">
        <v>293.45999999999998</v>
      </c>
      <c r="AEG770" s="635">
        <v>21.724</v>
      </c>
    </row>
    <row r="771" spans="1:813" ht="15.5">
      <c r="A771" s="362" t="s">
        <v>13</v>
      </c>
      <c r="B771" s="364">
        <v>0.30586323235850538</v>
      </c>
      <c r="C771" s="60">
        <v>0.20619398508782452</v>
      </c>
      <c r="D771" s="60">
        <v>0.11567196437716501</v>
      </c>
      <c r="E771" s="296">
        <v>0.24105314049471052</v>
      </c>
      <c r="F771" s="60">
        <f t="shared" si="20"/>
        <v>0.21719558057955135</v>
      </c>
      <c r="Q771" s="362" t="s">
        <v>12</v>
      </c>
      <c r="R771" s="60">
        <v>0.23159723826018977</v>
      </c>
      <c r="AEE771" s="636">
        <v>44516</v>
      </c>
      <c r="AEF771" s="635">
        <v>305.43</v>
      </c>
      <c r="AEG771" s="635">
        <v>22.61</v>
      </c>
    </row>
    <row r="772" spans="1:813" ht="15.5">
      <c r="Q772" s="362" t="s">
        <v>13</v>
      </c>
      <c r="R772" s="60">
        <v>0.21719558057955135</v>
      </c>
      <c r="AEE772" s="636">
        <v>44517</v>
      </c>
      <c r="AEF772" s="635">
        <v>315.36</v>
      </c>
      <c r="AEG772" s="635">
        <v>23.344999999999999</v>
      </c>
    </row>
    <row r="773" spans="1:813" ht="15.5">
      <c r="AEE773" s="636">
        <v>44518</v>
      </c>
      <c r="AEF773" s="635">
        <v>317.49</v>
      </c>
      <c r="AEG773" s="635">
        <v>23.503</v>
      </c>
    </row>
    <row r="774" spans="1:813" ht="15.5">
      <c r="AEE774" s="636">
        <v>44519</v>
      </c>
      <c r="AEF774" s="635">
        <v>329.27</v>
      </c>
      <c r="AEG774" s="635">
        <v>24.375</v>
      </c>
    </row>
    <row r="775" spans="1:813" ht="15.5">
      <c r="AEE775" s="636">
        <v>44522</v>
      </c>
      <c r="AEF775" s="635">
        <v>335.01</v>
      </c>
      <c r="AEG775" s="635">
        <v>24.798999999999999</v>
      </c>
    </row>
    <row r="776" spans="1:813" ht="15.5">
      <c r="A776" s="947"/>
      <c r="B776" s="947"/>
      <c r="AEE776" s="636">
        <v>44523</v>
      </c>
      <c r="AEF776" s="635">
        <v>321.14999999999998</v>
      </c>
      <c r="AEG776" s="635">
        <v>23.774000000000001</v>
      </c>
    </row>
    <row r="777" spans="1:813" ht="15.5">
      <c r="A777" s="947" t="s">
        <v>2106</v>
      </c>
      <c r="B777" s="947" t="s">
        <v>2107</v>
      </c>
      <c r="I777" s="947"/>
      <c r="J777" s="947"/>
      <c r="AEE777" s="636">
        <v>44524</v>
      </c>
      <c r="AEF777" s="635">
        <v>323.17</v>
      </c>
      <c r="AEG777" s="635">
        <v>23.922999999999998</v>
      </c>
    </row>
    <row r="778" spans="1:813" ht="15.5">
      <c r="A778" s="948">
        <v>44440</v>
      </c>
      <c r="B778" s="947">
        <v>90000</v>
      </c>
      <c r="I778" s="947" t="s">
        <v>2106</v>
      </c>
      <c r="J778" s="947" t="s">
        <v>2108</v>
      </c>
      <c r="M778" s="947"/>
      <c r="N778" s="947" t="s">
        <v>2107</v>
      </c>
      <c r="O778" s="947" t="s">
        <v>2109</v>
      </c>
      <c r="AEE778" s="636">
        <v>44526</v>
      </c>
      <c r="AEF778" s="635">
        <v>313.3</v>
      </c>
      <c r="AEG778" s="635">
        <v>23.193000000000001</v>
      </c>
    </row>
    <row r="779" spans="1:813" ht="15.5">
      <c r="A779" s="948">
        <v>44441</v>
      </c>
      <c r="B779" s="947">
        <v>90750</v>
      </c>
      <c r="I779" s="948">
        <v>44419</v>
      </c>
      <c r="J779" s="947">
        <v>52625</v>
      </c>
      <c r="M779" s="948">
        <v>44440</v>
      </c>
      <c r="N779" s="947">
        <v>90000</v>
      </c>
      <c r="O779" s="947">
        <v>44440</v>
      </c>
      <c r="AEE779" s="636">
        <v>44529</v>
      </c>
      <c r="AEF779" s="635">
        <v>329.25</v>
      </c>
      <c r="AEG779" s="635">
        <v>24.373000000000001</v>
      </c>
    </row>
    <row r="780" spans="1:813" ht="15.5">
      <c r="A780" s="948">
        <v>44442</v>
      </c>
      <c r="B780" s="947">
        <v>90750</v>
      </c>
      <c r="I780" s="948">
        <v>44420</v>
      </c>
      <c r="J780" s="947">
        <v>52625</v>
      </c>
      <c r="M780" s="948">
        <v>44441</v>
      </c>
      <c r="N780" s="947">
        <v>90750</v>
      </c>
      <c r="O780" s="947">
        <v>44441</v>
      </c>
      <c r="AEE780" s="636">
        <v>44530</v>
      </c>
      <c r="AEF780" s="635">
        <v>331.5</v>
      </c>
      <c r="AEG780" s="635">
        <v>24.54</v>
      </c>
    </row>
    <row r="781" spans="1:813" ht="15.5">
      <c r="A781" s="948">
        <v>44445</v>
      </c>
      <c r="B781" s="947">
        <v>91750</v>
      </c>
      <c r="I781" s="948">
        <v>44421</v>
      </c>
      <c r="J781" s="947">
        <v>52625</v>
      </c>
      <c r="M781" s="948">
        <v>44442</v>
      </c>
      <c r="N781" s="947">
        <v>90750</v>
      </c>
      <c r="O781" s="947">
        <v>44442</v>
      </c>
      <c r="AEE781" s="636">
        <v>44531</v>
      </c>
      <c r="AEF781" s="635">
        <v>317.08999999999997</v>
      </c>
      <c r="AEG781" s="635">
        <v>23.472999999999999</v>
      </c>
    </row>
    <row r="782" spans="1:813" ht="15.5">
      <c r="A782" s="948">
        <v>44446</v>
      </c>
      <c r="B782" s="947">
        <v>92750</v>
      </c>
      <c r="I782" s="948">
        <v>44424</v>
      </c>
      <c r="J782" s="947">
        <v>52625</v>
      </c>
      <c r="M782" s="948">
        <v>44445</v>
      </c>
      <c r="N782" s="947">
        <v>91750</v>
      </c>
      <c r="O782" s="947">
        <v>44445</v>
      </c>
      <c r="AEE782" s="636">
        <v>44532</v>
      </c>
      <c r="AEF782" s="635">
        <v>314.08</v>
      </c>
      <c r="AEG782" s="635">
        <v>23.25</v>
      </c>
    </row>
    <row r="783" spans="1:813" ht="15.5">
      <c r="A783" s="948">
        <v>44447</v>
      </c>
      <c r="B783" s="947">
        <v>93750</v>
      </c>
      <c r="I783" s="948">
        <v>44425</v>
      </c>
      <c r="J783" s="947">
        <v>52625</v>
      </c>
      <c r="M783" s="948">
        <v>44446</v>
      </c>
      <c r="N783" s="947">
        <v>92750</v>
      </c>
      <c r="O783" s="947">
        <v>44446</v>
      </c>
      <c r="AEE783" s="636">
        <v>44533</v>
      </c>
      <c r="AEF783" s="635">
        <v>293.92</v>
      </c>
      <c r="AEG783" s="635">
        <v>21.757999999999999</v>
      </c>
    </row>
    <row r="784" spans="1:813" ht="15.5">
      <c r="A784" s="948">
        <v>44448</v>
      </c>
      <c r="B784" s="947">
        <v>93750</v>
      </c>
      <c r="I784" s="948">
        <v>44426</v>
      </c>
      <c r="J784" s="947">
        <v>52625</v>
      </c>
      <c r="M784" s="948">
        <v>44447</v>
      </c>
      <c r="N784" s="947">
        <v>93750</v>
      </c>
      <c r="O784" s="947">
        <v>44447</v>
      </c>
      <c r="AEE784" s="636">
        <v>44536</v>
      </c>
      <c r="AEF784" s="635">
        <v>292.19</v>
      </c>
      <c r="AEG784" s="635">
        <v>21.63</v>
      </c>
    </row>
    <row r="785" spans="1:813" ht="15.5">
      <c r="A785" s="948">
        <v>44449</v>
      </c>
      <c r="B785" s="947">
        <v>93750</v>
      </c>
      <c r="I785" s="948">
        <v>44427</v>
      </c>
      <c r="J785" s="947">
        <v>52625</v>
      </c>
      <c r="M785" s="948">
        <v>44448</v>
      </c>
      <c r="N785" s="947">
        <v>93750</v>
      </c>
      <c r="O785" s="947">
        <v>44448</v>
      </c>
      <c r="AEE785" s="636">
        <v>44537</v>
      </c>
      <c r="AEF785" s="635">
        <v>304.57</v>
      </c>
      <c r="AEG785" s="635">
        <v>22.545999999999999</v>
      </c>
    </row>
    <row r="786" spans="1:813" ht="15.5">
      <c r="A786" s="948">
        <v>44452</v>
      </c>
      <c r="B786" s="947">
        <v>94750</v>
      </c>
      <c r="I786" s="948">
        <v>44428</v>
      </c>
      <c r="J786" s="947">
        <v>52625</v>
      </c>
      <c r="M786" s="948">
        <v>44449</v>
      </c>
      <c r="N786" s="947">
        <v>93750</v>
      </c>
      <c r="O786" s="947">
        <v>44449</v>
      </c>
      <c r="AEE786" s="636">
        <v>44538</v>
      </c>
      <c r="AEF786" s="635">
        <v>309.55</v>
      </c>
      <c r="AEG786" s="635">
        <v>22.914999999999999</v>
      </c>
    </row>
    <row r="787" spans="1:813" ht="15.5">
      <c r="A787" s="948">
        <v>44453</v>
      </c>
      <c r="B787" s="947">
        <v>96750</v>
      </c>
      <c r="I787" s="948">
        <v>44431</v>
      </c>
      <c r="J787" s="947">
        <v>52625</v>
      </c>
      <c r="M787" s="948">
        <v>44452</v>
      </c>
      <c r="N787" s="947">
        <v>94750</v>
      </c>
      <c r="O787" s="947">
        <v>44452</v>
      </c>
      <c r="AEE787" s="636">
        <v>44539</v>
      </c>
      <c r="AEF787" s="635">
        <v>290.68</v>
      </c>
      <c r="AEG787" s="635">
        <v>21.518000000000001</v>
      </c>
    </row>
    <row r="788" spans="1:813" ht="15.5">
      <c r="A788" s="948">
        <v>44454</v>
      </c>
      <c r="B788" s="947">
        <v>98750</v>
      </c>
      <c r="I788" s="948">
        <v>44432</v>
      </c>
      <c r="J788" s="947">
        <v>52625</v>
      </c>
      <c r="M788" s="948">
        <v>44453</v>
      </c>
      <c r="N788" s="947">
        <v>96750</v>
      </c>
      <c r="O788" s="947">
        <v>44453</v>
      </c>
      <c r="AEE788" s="636">
        <v>44540</v>
      </c>
      <c r="AEF788" s="635">
        <v>294.51</v>
      </c>
      <c r="AEG788" s="635">
        <v>21.802</v>
      </c>
    </row>
    <row r="789" spans="1:813" ht="15.5">
      <c r="A789" s="948">
        <v>44455</v>
      </c>
      <c r="B789" s="947">
        <v>100750</v>
      </c>
      <c r="I789" s="948">
        <v>44433</v>
      </c>
      <c r="J789" s="947">
        <v>52625</v>
      </c>
      <c r="M789" s="948">
        <v>44454</v>
      </c>
      <c r="N789" s="947">
        <v>98750</v>
      </c>
      <c r="O789" s="947">
        <v>44454</v>
      </c>
      <c r="AEE789" s="636">
        <v>44543</v>
      </c>
      <c r="AEF789" s="635">
        <v>279.85000000000002</v>
      </c>
      <c r="AEG789" s="635">
        <v>20.716999999999999</v>
      </c>
    </row>
    <row r="790" spans="1:813" ht="15.5">
      <c r="A790" s="948">
        <v>44456</v>
      </c>
      <c r="B790" s="947">
        <v>100750</v>
      </c>
      <c r="I790" s="948">
        <v>44434</v>
      </c>
      <c r="J790" s="947">
        <v>52625</v>
      </c>
      <c r="M790" s="948">
        <v>44455</v>
      </c>
      <c r="N790" s="947">
        <v>100750</v>
      </c>
      <c r="O790" s="947">
        <v>44455</v>
      </c>
      <c r="AEE790" s="636">
        <v>44544</v>
      </c>
      <c r="AEF790" s="635">
        <v>277.57</v>
      </c>
      <c r="AEG790" s="635">
        <v>20.547000000000001</v>
      </c>
    </row>
    <row r="791" spans="1:813" ht="15.5">
      <c r="A791" s="948">
        <v>44461</v>
      </c>
      <c r="B791" s="947">
        <v>101750</v>
      </c>
      <c r="I791" s="948">
        <v>44435</v>
      </c>
      <c r="J791" s="947">
        <v>52625</v>
      </c>
      <c r="M791" s="948">
        <v>44456</v>
      </c>
      <c r="N791" s="947">
        <v>100750</v>
      </c>
      <c r="O791" s="947">
        <v>44456</v>
      </c>
      <c r="AEE791" s="636">
        <v>44545</v>
      </c>
      <c r="AEF791" s="635">
        <v>282.63</v>
      </c>
      <c r="AEG791" s="635">
        <v>20.922000000000001</v>
      </c>
    </row>
    <row r="792" spans="1:813" ht="15.5">
      <c r="A792" s="948">
        <v>44462</v>
      </c>
      <c r="B792" s="947">
        <v>102500</v>
      </c>
      <c r="I792" s="948">
        <v>44438</v>
      </c>
      <c r="J792" s="947">
        <v>52625</v>
      </c>
      <c r="M792" s="948">
        <v>44461</v>
      </c>
      <c r="N792" s="947">
        <v>101750</v>
      </c>
      <c r="O792" s="947">
        <v>44461</v>
      </c>
      <c r="AEE792" s="636">
        <v>44546</v>
      </c>
      <c r="AEF792" s="635">
        <v>268.42</v>
      </c>
      <c r="AEG792" s="635">
        <v>19.87</v>
      </c>
    </row>
    <row r="793" spans="1:813" ht="15.5">
      <c r="A793" s="948">
        <v>44463</v>
      </c>
      <c r="B793" s="947">
        <v>102500</v>
      </c>
      <c r="I793" s="948">
        <v>44439</v>
      </c>
      <c r="J793" s="947">
        <v>52625</v>
      </c>
      <c r="M793" s="948">
        <v>44462</v>
      </c>
      <c r="N793" s="947">
        <v>102500</v>
      </c>
      <c r="O793" s="947">
        <v>44462</v>
      </c>
      <c r="AEE793" s="636">
        <v>44547</v>
      </c>
      <c r="AEF793" s="635">
        <v>270.05</v>
      </c>
      <c r="AEG793" s="635">
        <v>19.991</v>
      </c>
    </row>
    <row r="794" spans="1:813" ht="15.5">
      <c r="A794" s="948">
        <v>44466</v>
      </c>
      <c r="B794" s="947">
        <v>102500</v>
      </c>
      <c r="I794" s="948">
        <v>44440</v>
      </c>
      <c r="J794" s="947">
        <v>52625</v>
      </c>
      <c r="M794" s="948">
        <v>44463</v>
      </c>
      <c r="N794" s="947">
        <v>102500</v>
      </c>
      <c r="O794" s="947">
        <v>44463</v>
      </c>
      <c r="AEE794" s="636">
        <v>44550</v>
      </c>
      <c r="AEF794" s="635">
        <v>260.61</v>
      </c>
      <c r="AEG794" s="635">
        <v>19.292000000000002</v>
      </c>
    </row>
    <row r="795" spans="1:813" ht="15.5">
      <c r="A795" s="948">
        <v>44467</v>
      </c>
      <c r="B795" s="947">
        <v>102500</v>
      </c>
      <c r="I795" s="948">
        <v>44441</v>
      </c>
      <c r="J795" s="947">
        <v>52625</v>
      </c>
      <c r="M795" s="948">
        <v>44466</v>
      </c>
      <c r="N795" s="947">
        <v>102500</v>
      </c>
      <c r="O795" s="947">
        <v>44466</v>
      </c>
      <c r="AEE795" s="636">
        <v>44551</v>
      </c>
      <c r="AEF795" s="635">
        <v>271.77999999999997</v>
      </c>
      <c r="AEG795" s="635">
        <v>20.119</v>
      </c>
    </row>
    <row r="796" spans="1:813" ht="15.5">
      <c r="A796" s="948">
        <v>44468</v>
      </c>
      <c r="B796" s="947">
        <v>102500</v>
      </c>
      <c r="I796" s="948">
        <v>44442</v>
      </c>
      <c r="J796" s="947">
        <v>52625</v>
      </c>
      <c r="M796" s="948">
        <v>44467</v>
      </c>
      <c r="N796" s="947">
        <v>102500</v>
      </c>
      <c r="O796" s="947">
        <v>44467</v>
      </c>
      <c r="AEE796" s="636">
        <v>44552</v>
      </c>
      <c r="AEF796" s="635">
        <v>292.14999999999998</v>
      </c>
      <c r="AEG796" s="635">
        <v>21.626999999999999</v>
      </c>
    </row>
    <row r="797" spans="1:813" ht="15.5">
      <c r="A797" s="948">
        <v>44469</v>
      </c>
      <c r="B797" s="947">
        <v>102500</v>
      </c>
      <c r="I797" s="948">
        <v>44445</v>
      </c>
      <c r="J797" s="947">
        <v>52625</v>
      </c>
      <c r="M797" s="948">
        <v>44468</v>
      </c>
      <c r="N797" s="947">
        <v>102500</v>
      </c>
      <c r="O797" s="947">
        <v>44468</v>
      </c>
      <c r="AEE797" s="636">
        <v>44553</v>
      </c>
      <c r="AEF797" s="635">
        <v>308.98</v>
      </c>
      <c r="AEG797" s="635">
        <v>22.873000000000001</v>
      </c>
    </row>
    <row r="798" spans="1:813" ht="15.5">
      <c r="A798" s="948">
        <v>44477</v>
      </c>
      <c r="B798" s="947">
        <v>102500</v>
      </c>
      <c r="I798" s="948">
        <v>44446</v>
      </c>
      <c r="J798" s="947">
        <v>52625</v>
      </c>
      <c r="M798" s="948">
        <v>44469</v>
      </c>
      <c r="N798" s="947">
        <v>102500</v>
      </c>
      <c r="O798" s="947">
        <v>44469</v>
      </c>
      <c r="AEE798" s="636">
        <v>44557</v>
      </c>
      <c r="AEF798" s="635">
        <v>316.77999999999997</v>
      </c>
      <c r="AEG798" s="635">
        <v>23.45</v>
      </c>
    </row>
    <row r="799" spans="1:813" ht="15.5">
      <c r="A799" s="948">
        <v>44480</v>
      </c>
      <c r="B799" s="947">
        <v>103500</v>
      </c>
      <c r="I799" s="948">
        <v>44447</v>
      </c>
      <c r="J799" s="947">
        <v>52625</v>
      </c>
      <c r="M799" s="948">
        <v>44477</v>
      </c>
      <c r="N799" s="947">
        <v>102500</v>
      </c>
      <c r="O799" s="947">
        <v>44477</v>
      </c>
      <c r="AEE799" s="636">
        <v>44558</v>
      </c>
      <c r="AEF799" s="635">
        <v>315.2</v>
      </c>
      <c r="AEG799" s="635">
        <v>23.332999999999998</v>
      </c>
    </row>
    <row r="800" spans="1:813" ht="15.5">
      <c r="A800" s="948">
        <v>44481</v>
      </c>
      <c r="B800" s="947">
        <v>104500</v>
      </c>
      <c r="I800" s="948">
        <v>44448</v>
      </c>
      <c r="J800" s="947">
        <v>52625</v>
      </c>
      <c r="M800" s="948">
        <v>44480</v>
      </c>
      <c r="N800" s="947">
        <v>103500</v>
      </c>
      <c r="O800" s="947">
        <v>44480</v>
      </c>
      <c r="AEE800" s="636">
        <v>44559</v>
      </c>
      <c r="AEF800" s="635">
        <v>314.54000000000002</v>
      </c>
      <c r="AEG800" s="635">
        <v>23.283999999999999</v>
      </c>
    </row>
    <row r="801" spans="1:813" ht="15.5">
      <c r="A801" s="948">
        <v>44482</v>
      </c>
      <c r="B801" s="947">
        <v>105500</v>
      </c>
      <c r="I801" s="948">
        <v>44449</v>
      </c>
      <c r="J801" s="947">
        <v>52625</v>
      </c>
      <c r="M801" s="948">
        <v>44481</v>
      </c>
      <c r="N801" s="947">
        <v>104500</v>
      </c>
      <c r="O801" s="947">
        <v>44481</v>
      </c>
      <c r="AEE801" s="636">
        <v>44560</v>
      </c>
      <c r="AEF801" s="635">
        <v>309.95</v>
      </c>
      <c r="AEG801" s="635">
        <v>22.945</v>
      </c>
    </row>
    <row r="802" spans="1:813" ht="15.5">
      <c r="A802" s="948">
        <v>44483</v>
      </c>
      <c r="B802" s="947">
        <v>105500</v>
      </c>
      <c r="I802" s="948">
        <v>44452</v>
      </c>
      <c r="J802" s="947">
        <v>52625</v>
      </c>
      <c r="M802" s="948">
        <v>44482</v>
      </c>
      <c r="N802" s="947">
        <v>105500</v>
      </c>
      <c r="O802" s="947">
        <v>44482</v>
      </c>
      <c r="AEE802" s="636">
        <v>44561</v>
      </c>
      <c r="AEF802" s="635">
        <v>306.02</v>
      </c>
      <c r="AEG802" s="635">
        <v>22.654</v>
      </c>
    </row>
    <row r="803" spans="1:813" ht="15.5">
      <c r="A803" s="948">
        <v>44484</v>
      </c>
      <c r="B803" s="947">
        <v>105500</v>
      </c>
      <c r="I803" s="948">
        <v>44453</v>
      </c>
      <c r="J803" s="947">
        <v>52625</v>
      </c>
      <c r="M803" s="948">
        <v>44483</v>
      </c>
      <c r="N803" s="947">
        <v>105500</v>
      </c>
      <c r="O803" s="947">
        <v>44483</v>
      </c>
      <c r="AEE803" s="636">
        <v>44564</v>
      </c>
      <c r="AEF803" s="635">
        <v>347.43</v>
      </c>
      <c r="AEG803" s="635">
        <v>25.719000000000001</v>
      </c>
    </row>
    <row r="804" spans="1:813" ht="15.5">
      <c r="A804" s="948">
        <v>44487</v>
      </c>
      <c r="B804" s="947">
        <v>105500</v>
      </c>
      <c r="I804" s="948">
        <v>44454</v>
      </c>
      <c r="J804" s="947">
        <v>52625</v>
      </c>
      <c r="M804" s="948">
        <v>44484</v>
      </c>
      <c r="N804" s="947">
        <v>105500</v>
      </c>
      <c r="O804" s="947">
        <v>44484</v>
      </c>
      <c r="AEE804" s="636">
        <v>44565</v>
      </c>
      <c r="AEF804" s="635">
        <v>332.9</v>
      </c>
      <c r="AEG804" s="635">
        <v>24.643000000000001</v>
      </c>
    </row>
    <row r="805" spans="1:813" ht="15.5">
      <c r="A805" s="948">
        <v>44488</v>
      </c>
      <c r="B805" s="947">
        <v>105500</v>
      </c>
      <c r="I805" s="948">
        <v>44455</v>
      </c>
      <c r="J805" s="947">
        <v>52625</v>
      </c>
      <c r="M805" s="948">
        <v>44487</v>
      </c>
      <c r="N805" s="947">
        <v>105500</v>
      </c>
      <c r="O805" s="947">
        <v>44487</v>
      </c>
      <c r="AEE805" s="636">
        <v>44566</v>
      </c>
      <c r="AEF805" s="635">
        <v>315.10000000000002</v>
      </c>
      <c r="AEG805" s="635">
        <v>23.326000000000001</v>
      </c>
    </row>
    <row r="806" spans="1:813" ht="15.5">
      <c r="A806" s="948">
        <v>44489</v>
      </c>
      <c r="B806" s="947">
        <v>105500</v>
      </c>
      <c r="I806" s="948">
        <v>44456</v>
      </c>
      <c r="J806" s="947">
        <v>52625</v>
      </c>
      <c r="M806" s="948">
        <v>44488</v>
      </c>
      <c r="N806" s="947">
        <v>105500</v>
      </c>
      <c r="O806" s="947">
        <v>44488</v>
      </c>
      <c r="AEE806" s="636">
        <v>44567</v>
      </c>
      <c r="AEF806" s="635">
        <v>308.32</v>
      </c>
      <c r="AEG806" s="635">
        <v>22.824000000000002</v>
      </c>
    </row>
    <row r="807" spans="1:813" ht="15.5">
      <c r="A807" s="948">
        <v>44490</v>
      </c>
      <c r="B807" s="947">
        <v>105500</v>
      </c>
      <c r="I807" s="948">
        <v>44461</v>
      </c>
      <c r="J807" s="947">
        <v>52625</v>
      </c>
      <c r="M807" s="948">
        <v>44489</v>
      </c>
      <c r="N807" s="947">
        <v>105500</v>
      </c>
      <c r="O807" s="947">
        <v>44489</v>
      </c>
      <c r="AEE807" s="636">
        <v>44568</v>
      </c>
      <c r="AEF807" s="635">
        <v>297.39</v>
      </c>
      <c r="AEG807" s="635">
        <v>22.015000000000001</v>
      </c>
    </row>
    <row r="808" spans="1:813" ht="15.5">
      <c r="A808" s="948">
        <v>44491</v>
      </c>
      <c r="B808" s="947">
        <v>106500</v>
      </c>
      <c r="I808" s="948">
        <v>44462</v>
      </c>
      <c r="J808" s="947">
        <v>52625</v>
      </c>
      <c r="M808" s="948">
        <v>44490</v>
      </c>
      <c r="N808" s="947">
        <v>105500</v>
      </c>
      <c r="O808" s="947">
        <v>44490</v>
      </c>
      <c r="AEE808" s="636">
        <v>44571</v>
      </c>
      <c r="AEF808" s="635">
        <v>306.41000000000003</v>
      </c>
      <c r="AEG808" s="635">
        <v>22.683</v>
      </c>
    </row>
    <row r="809" spans="1:813" ht="15.5">
      <c r="A809" s="948">
        <v>44494</v>
      </c>
      <c r="B809" s="947">
        <v>107750</v>
      </c>
      <c r="I809" s="948">
        <v>44463</v>
      </c>
      <c r="J809" s="947">
        <v>52625</v>
      </c>
      <c r="M809" s="948">
        <v>44491</v>
      </c>
      <c r="N809" s="947">
        <v>106500</v>
      </c>
      <c r="O809" s="947">
        <v>44491</v>
      </c>
      <c r="AEE809" s="636">
        <v>44572</v>
      </c>
      <c r="AEF809" s="635">
        <v>308.23</v>
      </c>
      <c r="AEG809" s="635">
        <v>22.817</v>
      </c>
    </row>
    <row r="810" spans="1:813" ht="15.5">
      <c r="A810" s="948">
        <v>44495</v>
      </c>
      <c r="B810" s="947">
        <v>109250</v>
      </c>
      <c r="I810" s="948">
        <v>44466</v>
      </c>
      <c r="J810" s="947">
        <v>52625</v>
      </c>
      <c r="M810" s="948">
        <v>44494</v>
      </c>
      <c r="N810" s="947">
        <v>107750</v>
      </c>
      <c r="O810" s="947">
        <v>44494</v>
      </c>
      <c r="AEE810" s="636">
        <v>44573</v>
      </c>
      <c r="AEF810" s="635">
        <v>320.33999999999997</v>
      </c>
      <c r="AEG810" s="635">
        <v>23.713999999999999</v>
      </c>
    </row>
    <row r="811" spans="1:813" ht="15.5">
      <c r="A811" s="948">
        <v>44496</v>
      </c>
      <c r="B811" s="947">
        <v>109250</v>
      </c>
      <c r="I811" s="948">
        <v>44467</v>
      </c>
      <c r="J811" s="947">
        <v>52625</v>
      </c>
      <c r="M811" s="948">
        <v>44495</v>
      </c>
      <c r="N811" s="947">
        <v>109250</v>
      </c>
      <c r="O811" s="947">
        <v>44495</v>
      </c>
      <c r="AEE811" s="636">
        <v>44574</v>
      </c>
      <c r="AEF811" s="635">
        <v>298.72000000000003</v>
      </c>
      <c r="AEG811" s="635">
        <v>22.113</v>
      </c>
    </row>
    <row r="812" spans="1:813" ht="15.5">
      <c r="A812" s="948">
        <v>44497</v>
      </c>
      <c r="B812" s="947">
        <v>109250</v>
      </c>
      <c r="I812" s="948">
        <v>44468</v>
      </c>
      <c r="J812" s="947">
        <v>52625</v>
      </c>
      <c r="M812" s="948">
        <v>44496</v>
      </c>
      <c r="N812" s="947">
        <v>109250</v>
      </c>
      <c r="O812" s="947">
        <v>44496</v>
      </c>
      <c r="AEE812" s="636">
        <v>44575</v>
      </c>
      <c r="AEF812" s="635">
        <v>303.95</v>
      </c>
      <c r="AEG812" s="635">
        <v>22.5</v>
      </c>
    </row>
    <row r="813" spans="1:813" ht="15.5">
      <c r="A813" s="948">
        <v>44498</v>
      </c>
      <c r="B813" s="947">
        <v>109250</v>
      </c>
      <c r="I813" s="948">
        <v>44469</v>
      </c>
      <c r="J813" s="947">
        <v>52625</v>
      </c>
      <c r="M813" s="948">
        <v>44497</v>
      </c>
      <c r="N813" s="947">
        <v>109250</v>
      </c>
      <c r="O813" s="947">
        <v>44497</v>
      </c>
      <c r="AEE813" s="636">
        <v>44579</v>
      </c>
      <c r="AEF813" s="635">
        <v>298.42</v>
      </c>
      <c r="AEG813" s="635">
        <v>22.091000000000001</v>
      </c>
    </row>
    <row r="814" spans="1:813" ht="15.5">
      <c r="A814" s="948">
        <v>44501</v>
      </c>
      <c r="B814" s="947">
        <v>109250</v>
      </c>
      <c r="I814" s="948">
        <v>44477</v>
      </c>
      <c r="J814" s="947">
        <v>53625</v>
      </c>
      <c r="M814" s="948">
        <v>44498</v>
      </c>
      <c r="N814" s="947">
        <v>109250</v>
      </c>
      <c r="O814" s="947">
        <v>44498</v>
      </c>
      <c r="AEE814" s="636">
        <v>44580</v>
      </c>
      <c r="AEF814" s="635">
        <v>288.32</v>
      </c>
      <c r="AEG814" s="635">
        <v>21.343</v>
      </c>
    </row>
    <row r="815" spans="1:813" ht="15.5">
      <c r="A815" s="948">
        <v>44502</v>
      </c>
      <c r="B815" s="947">
        <v>109250</v>
      </c>
      <c r="I815" s="948">
        <v>44480</v>
      </c>
      <c r="J815" s="947">
        <v>53625</v>
      </c>
      <c r="M815" s="948">
        <v>44501</v>
      </c>
      <c r="N815" s="947">
        <v>109250</v>
      </c>
      <c r="O815" s="947">
        <v>44501</v>
      </c>
      <c r="AEE815" s="636">
        <v>44581</v>
      </c>
      <c r="AEF815" s="635">
        <v>288.5</v>
      </c>
      <c r="AEG815" s="635">
        <v>21.356999999999999</v>
      </c>
    </row>
    <row r="816" spans="1:813" ht="15.5">
      <c r="A816" s="948">
        <v>44503</v>
      </c>
      <c r="B816" s="947">
        <v>110750</v>
      </c>
      <c r="I816" s="948">
        <v>44481</v>
      </c>
      <c r="J816" s="947">
        <v>53625</v>
      </c>
      <c r="M816" s="948">
        <v>44502</v>
      </c>
      <c r="N816" s="947">
        <v>109250</v>
      </c>
      <c r="O816" s="947">
        <v>44502</v>
      </c>
      <c r="AEE816" s="636">
        <v>44582</v>
      </c>
      <c r="AEF816" s="635">
        <v>273.33999999999997</v>
      </c>
      <c r="AEG816" s="635">
        <v>20.234000000000002</v>
      </c>
    </row>
    <row r="817" spans="1:813" ht="15.5">
      <c r="A817" s="948">
        <v>44504</v>
      </c>
      <c r="B817" s="947">
        <v>111750</v>
      </c>
      <c r="I817" s="948">
        <v>44482</v>
      </c>
      <c r="J817" s="947">
        <v>53625</v>
      </c>
      <c r="M817" s="948">
        <v>44503</v>
      </c>
      <c r="N817" s="947">
        <v>110750</v>
      </c>
      <c r="O817" s="947">
        <v>44503</v>
      </c>
      <c r="AEE817" s="636">
        <v>44585</v>
      </c>
      <c r="AEF817" s="635">
        <v>269.31</v>
      </c>
      <c r="AEG817" s="635">
        <v>19.936</v>
      </c>
    </row>
    <row r="818" spans="1:813" ht="15.5">
      <c r="A818" s="948">
        <v>44505</v>
      </c>
      <c r="B818" s="947">
        <v>112750</v>
      </c>
      <c r="I818" s="948">
        <v>44483</v>
      </c>
      <c r="J818" s="947">
        <v>53625</v>
      </c>
      <c r="M818" s="948">
        <v>44504</v>
      </c>
      <c r="N818" s="947">
        <v>111750</v>
      </c>
      <c r="O818" s="947">
        <v>44504</v>
      </c>
      <c r="AEE818" s="636">
        <v>44586</v>
      </c>
      <c r="AEF818" s="635">
        <v>265.95</v>
      </c>
      <c r="AEG818" s="635">
        <v>19.687000000000001</v>
      </c>
    </row>
    <row r="819" spans="1:813" ht="15.5">
      <c r="A819" s="948">
        <v>44508</v>
      </c>
      <c r="B819" s="947">
        <v>112750</v>
      </c>
      <c r="I819" s="948">
        <v>44484</v>
      </c>
      <c r="J819" s="947">
        <v>53625</v>
      </c>
      <c r="M819" s="948">
        <v>44505</v>
      </c>
      <c r="N819" s="947">
        <v>112750</v>
      </c>
      <c r="O819" s="947">
        <v>44505</v>
      </c>
      <c r="AEE819" s="636">
        <v>44587</v>
      </c>
      <c r="AEF819" s="635">
        <v>170.58</v>
      </c>
      <c r="AEG819" s="635">
        <v>17.491</v>
      </c>
    </row>
    <row r="820" spans="1:813" ht="15.5">
      <c r="A820" s="948">
        <v>44509</v>
      </c>
      <c r="B820" s="947">
        <v>114750</v>
      </c>
      <c r="I820" s="948">
        <v>44487</v>
      </c>
      <c r="J820" s="947">
        <v>52500</v>
      </c>
      <c r="M820" s="948">
        <v>44508</v>
      </c>
      <c r="N820" s="947">
        <v>112750</v>
      </c>
      <c r="O820" s="947">
        <v>44508</v>
      </c>
      <c r="AEE820" s="636">
        <v>44588</v>
      </c>
      <c r="AEF820" s="635">
        <v>150.87</v>
      </c>
      <c r="AEG820" s="635">
        <v>15.47</v>
      </c>
    </row>
    <row r="821" spans="1:813" ht="15.5">
      <c r="A821" s="948">
        <v>44510</v>
      </c>
      <c r="B821" s="947">
        <v>114750</v>
      </c>
      <c r="I821" s="948">
        <v>44488</v>
      </c>
      <c r="J821" s="947">
        <v>52500</v>
      </c>
      <c r="M821" s="948">
        <v>44509</v>
      </c>
      <c r="N821" s="947">
        <v>114750</v>
      </c>
      <c r="O821" s="947">
        <v>44509</v>
      </c>
      <c r="AEE821" s="636">
        <v>44589</v>
      </c>
      <c r="AEF821" s="635">
        <v>154.01</v>
      </c>
      <c r="AEG821" s="635">
        <v>15.792</v>
      </c>
    </row>
    <row r="822" spans="1:813" ht="15.5">
      <c r="A822" s="948">
        <v>44511</v>
      </c>
      <c r="B822" s="947">
        <v>114750</v>
      </c>
      <c r="I822" s="948">
        <v>44489</v>
      </c>
      <c r="J822" s="947">
        <v>52500</v>
      </c>
      <c r="M822" s="948">
        <v>44510</v>
      </c>
      <c r="N822" s="947">
        <v>114750</v>
      </c>
      <c r="O822" s="947">
        <v>44510</v>
      </c>
      <c r="AEE822" s="636">
        <v>44592</v>
      </c>
      <c r="AEF822" s="635">
        <v>170.45</v>
      </c>
      <c r="AEG822" s="635">
        <v>17.478000000000002</v>
      </c>
    </row>
    <row r="823" spans="1:813" ht="15.5">
      <c r="A823" s="948">
        <v>44512</v>
      </c>
      <c r="B823" s="947">
        <v>116750</v>
      </c>
      <c r="I823" s="948">
        <v>44490</v>
      </c>
      <c r="J823" s="947">
        <v>52500</v>
      </c>
      <c r="M823" s="948">
        <v>44511</v>
      </c>
      <c r="N823" s="947">
        <v>114750</v>
      </c>
      <c r="O823" s="947">
        <v>44511</v>
      </c>
      <c r="AEE823" s="636">
        <v>44593</v>
      </c>
      <c r="AEF823" s="635">
        <v>169.46</v>
      </c>
      <c r="AEG823" s="635">
        <v>17.376000000000001</v>
      </c>
    </row>
    <row r="824" spans="1:813" ht="15.5">
      <c r="A824" s="948">
        <v>44515</v>
      </c>
      <c r="B824" s="947">
        <v>116750</v>
      </c>
      <c r="I824" s="948">
        <v>44491</v>
      </c>
      <c r="J824" s="947">
        <v>52500</v>
      </c>
      <c r="M824" s="948">
        <v>44512</v>
      </c>
      <c r="N824" s="947">
        <v>116750</v>
      </c>
      <c r="O824" s="947">
        <v>44512</v>
      </c>
      <c r="AEE824" s="636">
        <v>44594</v>
      </c>
      <c r="AEF824" s="635">
        <v>164.8</v>
      </c>
      <c r="AEG824" s="635">
        <v>16.898</v>
      </c>
    </row>
    <row r="825" spans="1:813" ht="15.5">
      <c r="A825" s="948">
        <v>44516</v>
      </c>
      <c r="B825" s="947">
        <v>116750</v>
      </c>
      <c r="I825" s="948">
        <v>44494</v>
      </c>
      <c r="J825" s="947">
        <v>52500</v>
      </c>
      <c r="M825" s="948">
        <v>44515</v>
      </c>
      <c r="N825" s="947">
        <v>116750</v>
      </c>
      <c r="O825" s="947">
        <v>44515</v>
      </c>
      <c r="AEE825" s="636">
        <v>44595</v>
      </c>
      <c r="AEF825" s="635">
        <v>162.16</v>
      </c>
      <c r="AEG825" s="635">
        <v>16.626999999999999</v>
      </c>
    </row>
    <row r="826" spans="1:813" ht="15.5">
      <c r="A826" s="948">
        <v>44517</v>
      </c>
      <c r="B826" s="947">
        <v>116750</v>
      </c>
      <c r="I826" s="948">
        <v>44495</v>
      </c>
      <c r="J826" s="947">
        <v>52500</v>
      </c>
      <c r="M826" s="948">
        <v>44516</v>
      </c>
      <c r="N826" s="947">
        <v>116750</v>
      </c>
      <c r="O826" s="947">
        <v>44516</v>
      </c>
      <c r="AEE826" s="636">
        <v>44596</v>
      </c>
      <c r="AEF826" s="635">
        <v>168.01</v>
      </c>
      <c r="AEG826" s="635">
        <v>17.228000000000002</v>
      </c>
    </row>
    <row r="827" spans="1:813" ht="15.5">
      <c r="A827" s="948">
        <v>44518</v>
      </c>
      <c r="B827" s="947">
        <v>116750</v>
      </c>
      <c r="I827" s="948">
        <v>44496</v>
      </c>
      <c r="J827" s="947">
        <v>52500</v>
      </c>
      <c r="M827" s="948">
        <v>44517</v>
      </c>
      <c r="N827" s="947">
        <v>116750</v>
      </c>
      <c r="O827" s="947">
        <v>44517</v>
      </c>
      <c r="AEE827" s="636">
        <v>44599</v>
      </c>
      <c r="AEF827" s="635">
        <v>169.91</v>
      </c>
      <c r="AEG827" s="635">
        <v>17.422999999999998</v>
      </c>
    </row>
    <row r="828" spans="1:813" ht="15.5">
      <c r="A828" s="948">
        <v>44519</v>
      </c>
      <c r="B828" s="947">
        <v>116750</v>
      </c>
      <c r="I828" s="948">
        <v>44497</v>
      </c>
      <c r="J828" s="947">
        <v>52500</v>
      </c>
      <c r="M828" s="948">
        <v>44518</v>
      </c>
      <c r="N828" s="947">
        <v>116750</v>
      </c>
      <c r="O828" s="947">
        <v>44518</v>
      </c>
      <c r="AEE828" s="636">
        <v>44600</v>
      </c>
      <c r="AEF828" s="635">
        <v>172.66</v>
      </c>
      <c r="AEG828" s="635">
        <v>17.704000000000001</v>
      </c>
    </row>
    <row r="829" spans="1:813" ht="15.5">
      <c r="A829" s="948">
        <v>44522</v>
      </c>
      <c r="B829" s="947">
        <v>116750</v>
      </c>
      <c r="I829" s="948">
        <v>44498</v>
      </c>
      <c r="J829" s="947">
        <v>52500</v>
      </c>
      <c r="M829" s="948">
        <v>44519</v>
      </c>
      <c r="N829" s="947">
        <v>116750</v>
      </c>
      <c r="O829" s="947">
        <v>44519</v>
      </c>
      <c r="AEE829" s="636">
        <v>44601</v>
      </c>
      <c r="AEF829" s="635">
        <v>174.53</v>
      </c>
      <c r="AEG829" s="635">
        <v>17.896000000000001</v>
      </c>
    </row>
    <row r="830" spans="1:813" ht="15.5">
      <c r="A830" s="948">
        <v>44523</v>
      </c>
      <c r="B830" s="947">
        <v>116750</v>
      </c>
      <c r="I830" s="948">
        <v>44501</v>
      </c>
      <c r="J830" s="947">
        <v>52500</v>
      </c>
      <c r="M830" s="948">
        <v>44522</v>
      </c>
      <c r="N830" s="947">
        <v>116750</v>
      </c>
      <c r="O830" s="947">
        <v>44522</v>
      </c>
      <c r="AEE830" s="636">
        <v>44602</v>
      </c>
      <c r="AEF830" s="635">
        <v>169.39</v>
      </c>
      <c r="AEG830" s="635">
        <v>17.369</v>
      </c>
    </row>
    <row r="831" spans="1:813" ht="15.5">
      <c r="A831" s="948">
        <v>44524</v>
      </c>
      <c r="B831" s="947">
        <v>116750</v>
      </c>
      <c r="I831" s="948">
        <v>44502</v>
      </c>
      <c r="J831" s="947">
        <v>52500</v>
      </c>
      <c r="M831" s="948">
        <v>44523</v>
      </c>
      <c r="N831" s="947">
        <v>116750</v>
      </c>
      <c r="O831" s="947">
        <v>44523</v>
      </c>
      <c r="AEE831" s="636">
        <v>44603</v>
      </c>
      <c r="AEF831" s="635">
        <v>161.05000000000001</v>
      </c>
      <c r="AEG831" s="635">
        <v>16.513999999999999</v>
      </c>
    </row>
    <row r="832" spans="1:813" ht="15.5">
      <c r="A832" s="948">
        <v>44525</v>
      </c>
      <c r="B832" s="947">
        <v>116750</v>
      </c>
      <c r="I832" s="948">
        <v>44503</v>
      </c>
      <c r="J832" s="947">
        <v>52500</v>
      </c>
      <c r="M832" s="948">
        <v>44524</v>
      </c>
      <c r="N832" s="947">
        <v>116750</v>
      </c>
      <c r="O832" s="947">
        <v>44524</v>
      </c>
      <c r="AEE832" s="636">
        <v>44606</v>
      </c>
      <c r="AEF832" s="635">
        <v>164</v>
      </c>
      <c r="AEG832" s="635">
        <v>16.815999999999999</v>
      </c>
    </row>
    <row r="833" spans="1:813" ht="15.5">
      <c r="A833" s="948">
        <v>44526</v>
      </c>
      <c r="B833" s="947">
        <v>116750</v>
      </c>
      <c r="I833" s="948">
        <v>44504</v>
      </c>
      <c r="J833" s="947">
        <v>52500</v>
      </c>
      <c r="M833" s="948">
        <v>44525</v>
      </c>
      <c r="N833" s="947">
        <v>116750</v>
      </c>
      <c r="O833" s="947">
        <v>44525</v>
      </c>
      <c r="AEE833" s="636">
        <v>44607</v>
      </c>
      <c r="AEF833" s="635">
        <v>172.74</v>
      </c>
      <c r="AEG833" s="635">
        <v>17.712</v>
      </c>
    </row>
    <row r="834" spans="1:813" ht="15.5">
      <c r="A834" s="948">
        <v>44529</v>
      </c>
      <c r="B834" s="947">
        <v>116750</v>
      </c>
      <c r="I834" s="948">
        <v>44505</v>
      </c>
      <c r="J834" s="947">
        <v>52500</v>
      </c>
      <c r="M834" s="948">
        <v>44526</v>
      </c>
      <c r="N834" s="947">
        <v>116750</v>
      </c>
      <c r="O834" s="947">
        <v>44526</v>
      </c>
      <c r="AEE834" s="636">
        <v>44608</v>
      </c>
      <c r="AEF834" s="635">
        <v>172.92</v>
      </c>
      <c r="AEG834" s="635">
        <v>17.731000000000002</v>
      </c>
    </row>
    <row r="835" spans="1:813" ht="15.5">
      <c r="A835" s="948">
        <v>44530</v>
      </c>
      <c r="B835" s="947">
        <v>116750</v>
      </c>
      <c r="I835" s="948">
        <v>44508</v>
      </c>
      <c r="J835" s="947">
        <v>52500</v>
      </c>
      <c r="M835" s="948">
        <v>44529</v>
      </c>
      <c r="N835" s="947">
        <v>116750</v>
      </c>
      <c r="O835" s="947">
        <v>44529</v>
      </c>
      <c r="AEE835" s="636">
        <v>44609</v>
      </c>
      <c r="AEF835" s="635">
        <v>164.11</v>
      </c>
      <c r="AEG835" s="635">
        <v>16.827999999999999</v>
      </c>
    </row>
    <row r="836" spans="1:813" ht="15.5">
      <c r="A836" s="948">
        <v>44531</v>
      </c>
      <c r="B836" s="947">
        <v>118250</v>
      </c>
      <c r="I836" s="948">
        <v>44509</v>
      </c>
      <c r="J836" s="947">
        <v>52500</v>
      </c>
      <c r="M836" s="948">
        <v>44530</v>
      </c>
      <c r="N836" s="947">
        <v>116750</v>
      </c>
      <c r="O836" s="947">
        <v>44530</v>
      </c>
      <c r="AEE836" s="636">
        <v>44610</v>
      </c>
      <c r="AEF836" s="635">
        <v>160.47999999999999</v>
      </c>
      <c r="AEG836" s="635">
        <v>16.456</v>
      </c>
    </row>
    <row r="837" spans="1:813" ht="15.5">
      <c r="A837" s="948">
        <v>44532</v>
      </c>
      <c r="B837" s="947">
        <v>118250</v>
      </c>
      <c r="I837" s="948">
        <v>44510</v>
      </c>
      <c r="J837" s="947">
        <v>52500</v>
      </c>
      <c r="M837" s="948">
        <v>44531</v>
      </c>
      <c r="N837" s="947">
        <v>118250</v>
      </c>
      <c r="O837" s="947">
        <v>44531</v>
      </c>
      <c r="AEE837" s="636">
        <v>44614</v>
      </c>
      <c r="AEF837" s="635">
        <v>153.84</v>
      </c>
      <c r="AEG837" s="635">
        <v>15.775</v>
      </c>
    </row>
    <row r="838" spans="1:813" ht="15.5">
      <c r="A838" s="948">
        <v>44533</v>
      </c>
      <c r="B838" s="947">
        <v>118250</v>
      </c>
      <c r="I838" s="948">
        <v>44511</v>
      </c>
      <c r="J838" s="947">
        <v>52500</v>
      </c>
      <c r="M838" s="948">
        <v>44532</v>
      </c>
      <c r="N838" s="947">
        <v>118250</v>
      </c>
      <c r="O838" s="947">
        <v>44532</v>
      </c>
      <c r="AEE838" s="636">
        <v>44615</v>
      </c>
      <c r="AEF838" s="635">
        <v>143.08000000000001</v>
      </c>
      <c r="AEG838" s="635">
        <v>14.670999999999999</v>
      </c>
    </row>
    <row r="839" spans="1:813" ht="15.5">
      <c r="A839" s="948">
        <v>44536</v>
      </c>
      <c r="B839" s="947">
        <v>118250</v>
      </c>
      <c r="I839" s="948">
        <v>44512</v>
      </c>
      <c r="J839" s="947">
        <v>52500</v>
      </c>
      <c r="M839" s="948">
        <v>44533</v>
      </c>
      <c r="N839" s="947">
        <v>118250</v>
      </c>
      <c r="O839" s="947">
        <v>44533</v>
      </c>
      <c r="AEE839" s="636">
        <v>44616</v>
      </c>
      <c r="AEF839" s="635">
        <v>149.96</v>
      </c>
      <c r="AEG839" s="635">
        <v>15.375999999999999</v>
      </c>
    </row>
    <row r="840" spans="1:813" ht="15.5">
      <c r="A840" s="948">
        <v>44537</v>
      </c>
      <c r="B840" s="947">
        <v>118250</v>
      </c>
      <c r="I840" s="948">
        <v>44515</v>
      </c>
      <c r="J840" s="947">
        <v>52500</v>
      </c>
      <c r="M840" s="948">
        <v>44536</v>
      </c>
      <c r="N840" s="947">
        <v>118250</v>
      </c>
      <c r="O840" s="947">
        <v>44536</v>
      </c>
      <c r="AEE840" s="636">
        <v>44617</v>
      </c>
      <c r="AEF840" s="635">
        <v>151.66</v>
      </c>
      <c r="AEG840" s="635">
        <v>15.551</v>
      </c>
    </row>
    <row r="841" spans="1:813" ht="15.5">
      <c r="A841" s="948">
        <v>44538</v>
      </c>
      <c r="B841" s="947">
        <v>118250</v>
      </c>
      <c r="I841" s="948">
        <v>44516</v>
      </c>
      <c r="J841" s="947">
        <v>52500</v>
      </c>
      <c r="M841" s="948">
        <v>44537</v>
      </c>
      <c r="N841" s="947">
        <v>118250</v>
      </c>
      <c r="O841" s="947">
        <v>44537</v>
      </c>
      <c r="AEE841" s="636">
        <v>44620</v>
      </c>
      <c r="AEF841" s="635">
        <v>163</v>
      </c>
      <c r="AEG841" s="635">
        <v>16.713999999999999</v>
      </c>
    </row>
    <row r="842" spans="1:813" ht="15.5">
      <c r="A842" s="948">
        <v>44539</v>
      </c>
      <c r="B842" s="947">
        <v>119000</v>
      </c>
      <c r="I842" s="948">
        <v>44517</v>
      </c>
      <c r="J842" s="947">
        <v>52500</v>
      </c>
      <c r="M842" s="948">
        <v>44538</v>
      </c>
      <c r="N842" s="947">
        <v>118250</v>
      </c>
      <c r="O842" s="947">
        <v>44538</v>
      </c>
      <c r="AEE842" s="636">
        <v>44621</v>
      </c>
      <c r="AEF842" s="635">
        <v>161.87</v>
      </c>
      <c r="AEG842" s="635">
        <v>16.597999999999999</v>
      </c>
    </row>
    <row r="843" spans="1:813" ht="15.5">
      <c r="A843" s="948">
        <v>44540</v>
      </c>
      <c r="B843" s="947">
        <v>119000</v>
      </c>
      <c r="I843" s="948">
        <v>44518</v>
      </c>
      <c r="J843" s="947">
        <v>52500</v>
      </c>
      <c r="M843" s="948">
        <v>44539</v>
      </c>
      <c r="N843" s="947">
        <v>119000</v>
      </c>
      <c r="O843" s="947">
        <v>44539</v>
      </c>
      <c r="AEE843" s="636">
        <v>44622</v>
      </c>
      <c r="AEF843" s="635">
        <v>164.77</v>
      </c>
      <c r="AEG843" s="635">
        <v>16.896000000000001</v>
      </c>
    </row>
    <row r="844" spans="1:813" ht="15.5">
      <c r="A844" s="948">
        <v>44543</v>
      </c>
      <c r="B844" s="947">
        <v>119000</v>
      </c>
      <c r="I844" s="948">
        <v>44519</v>
      </c>
      <c r="J844" s="947">
        <v>52500</v>
      </c>
      <c r="M844" s="948">
        <v>44540</v>
      </c>
      <c r="N844" s="947">
        <v>119000</v>
      </c>
      <c r="O844" s="947">
        <v>44540</v>
      </c>
      <c r="AEE844" s="636">
        <v>44623</v>
      </c>
      <c r="AEF844" s="635">
        <v>157.16999999999999</v>
      </c>
      <c r="AEG844" s="635">
        <v>16.116</v>
      </c>
    </row>
    <row r="845" spans="1:813" ht="15.5">
      <c r="A845" s="948">
        <v>44544</v>
      </c>
      <c r="B845" s="947">
        <v>120000</v>
      </c>
      <c r="I845" s="948">
        <v>44522</v>
      </c>
      <c r="J845" s="947">
        <v>52500</v>
      </c>
      <c r="M845" s="948">
        <v>44543</v>
      </c>
      <c r="N845" s="947">
        <v>119000</v>
      </c>
      <c r="O845" s="947">
        <v>44543</v>
      </c>
      <c r="AEE845" s="636">
        <v>44624</v>
      </c>
      <c r="AEF845" s="635">
        <v>156.97999999999999</v>
      </c>
      <c r="AEG845" s="635">
        <v>16.097000000000001</v>
      </c>
    </row>
    <row r="846" spans="1:813" ht="15.5">
      <c r="A846" s="948">
        <v>44545</v>
      </c>
      <c r="B846" s="947">
        <v>120750</v>
      </c>
      <c r="I846" s="948">
        <v>44523</v>
      </c>
      <c r="J846" s="947">
        <v>52500</v>
      </c>
      <c r="M846" s="948">
        <v>44544</v>
      </c>
      <c r="N846" s="947">
        <v>120000</v>
      </c>
      <c r="O846" s="947">
        <v>44544</v>
      </c>
      <c r="AEE846" s="636">
        <v>44627</v>
      </c>
      <c r="AEF846" s="635">
        <v>150.66999999999999</v>
      </c>
      <c r="AEG846" s="635">
        <v>15.45</v>
      </c>
    </row>
    <row r="847" spans="1:813" ht="15.5">
      <c r="A847" s="948">
        <v>44546</v>
      </c>
      <c r="B847" s="947">
        <v>121375</v>
      </c>
      <c r="I847" s="948">
        <v>44524</v>
      </c>
      <c r="J847" s="947">
        <v>52500</v>
      </c>
      <c r="M847" s="948">
        <v>44545</v>
      </c>
      <c r="N847" s="947">
        <v>120750</v>
      </c>
      <c r="O847" s="947">
        <v>44545</v>
      </c>
      <c r="AEE847" s="636">
        <v>44628</v>
      </c>
      <c r="AEF847" s="635">
        <v>154.38</v>
      </c>
      <c r="AEG847" s="635">
        <v>15.83</v>
      </c>
    </row>
    <row r="848" spans="1:813" ht="15.5">
      <c r="A848" s="948">
        <v>44547</v>
      </c>
      <c r="B848" s="947">
        <v>121375</v>
      </c>
      <c r="I848" s="948">
        <v>44525</v>
      </c>
      <c r="J848" s="947">
        <v>52500</v>
      </c>
      <c r="M848" s="948">
        <v>44546</v>
      </c>
      <c r="N848" s="947">
        <v>121375</v>
      </c>
      <c r="O848" s="947">
        <v>44546</v>
      </c>
      <c r="AEE848" s="636">
        <v>44629</v>
      </c>
      <c r="AEF848" s="635">
        <v>160.85</v>
      </c>
      <c r="AEG848" s="635">
        <v>16.494</v>
      </c>
    </row>
    <row r="849" spans="1:813" ht="15.5">
      <c r="A849" s="948">
        <v>44550</v>
      </c>
      <c r="B849" s="947">
        <v>121625</v>
      </c>
      <c r="I849" s="948">
        <v>44526</v>
      </c>
      <c r="J849" s="947">
        <v>52500</v>
      </c>
      <c r="M849" s="948">
        <v>44547</v>
      </c>
      <c r="N849" s="947">
        <v>121375</v>
      </c>
      <c r="O849" s="947">
        <v>44547</v>
      </c>
      <c r="AEE849" s="636">
        <v>44630</v>
      </c>
      <c r="AEF849" s="635">
        <v>156.97999999999999</v>
      </c>
      <c r="AEG849" s="635">
        <v>16.097000000000001</v>
      </c>
    </row>
    <row r="850" spans="1:813" ht="15.5">
      <c r="A850" s="948">
        <v>44551</v>
      </c>
      <c r="B850" s="947">
        <v>121625</v>
      </c>
      <c r="I850" s="948">
        <v>44529</v>
      </c>
      <c r="J850" s="947">
        <v>52625</v>
      </c>
      <c r="M850" s="948">
        <v>44550</v>
      </c>
      <c r="N850" s="947">
        <v>121625</v>
      </c>
      <c r="O850" s="947">
        <v>44550</v>
      </c>
      <c r="AEE850" s="636">
        <v>44631</v>
      </c>
      <c r="AEF850" s="635">
        <v>148.94</v>
      </c>
      <c r="AEG850" s="635">
        <v>15.272</v>
      </c>
    </row>
    <row r="851" spans="1:813" ht="15.5">
      <c r="A851" s="948">
        <v>44552</v>
      </c>
      <c r="B851" s="947">
        <v>121625</v>
      </c>
      <c r="I851" s="948">
        <v>44530</v>
      </c>
      <c r="J851" s="947">
        <v>52750</v>
      </c>
      <c r="M851" s="948">
        <v>44551</v>
      </c>
      <c r="N851" s="947">
        <v>121625</v>
      </c>
      <c r="O851" s="947">
        <v>44551</v>
      </c>
      <c r="AEE851" s="636">
        <v>44634</v>
      </c>
      <c r="AEF851" s="635">
        <v>143.51</v>
      </c>
      <c r="AEG851" s="635">
        <v>14.715999999999999</v>
      </c>
    </row>
    <row r="852" spans="1:813" ht="15.5">
      <c r="A852" s="948">
        <v>44553</v>
      </c>
      <c r="B852" s="947">
        <v>121625</v>
      </c>
      <c r="I852" s="948">
        <v>44531</v>
      </c>
      <c r="J852" s="947">
        <v>53000</v>
      </c>
      <c r="M852" s="948">
        <v>44552</v>
      </c>
      <c r="N852" s="947">
        <v>121625</v>
      </c>
      <c r="O852" s="947">
        <v>44552</v>
      </c>
      <c r="AEE852" s="636">
        <v>44635</v>
      </c>
      <c r="AEF852" s="635">
        <v>150.16999999999999</v>
      </c>
      <c r="AEG852" s="635">
        <v>15.398</v>
      </c>
    </row>
    <row r="853" spans="1:813" ht="15.5">
      <c r="A853" s="948">
        <v>44554</v>
      </c>
      <c r="B853" s="947">
        <v>121625</v>
      </c>
      <c r="I853" s="948">
        <v>44532</v>
      </c>
      <c r="J853" s="947">
        <v>53125</v>
      </c>
      <c r="M853" s="948">
        <v>44553</v>
      </c>
      <c r="N853" s="947">
        <v>121625</v>
      </c>
      <c r="O853" s="947">
        <v>44553</v>
      </c>
      <c r="AEE853" s="636">
        <v>44636</v>
      </c>
      <c r="AEF853" s="635">
        <v>157.34</v>
      </c>
      <c r="AEG853" s="635">
        <v>16.134</v>
      </c>
    </row>
    <row r="854" spans="1:813" ht="15.5">
      <c r="A854" s="948">
        <v>44557</v>
      </c>
      <c r="B854" s="947">
        <v>121625</v>
      </c>
      <c r="I854" s="948">
        <v>44533</v>
      </c>
      <c r="J854" s="947">
        <v>53125</v>
      </c>
      <c r="M854" s="948">
        <v>44554</v>
      </c>
      <c r="N854" s="947">
        <v>121625</v>
      </c>
      <c r="O854" s="947">
        <v>44554</v>
      </c>
      <c r="AEE854" s="636">
        <v>44637</v>
      </c>
      <c r="AEF854" s="635">
        <v>163.22</v>
      </c>
      <c r="AEG854" s="635">
        <v>16.736000000000001</v>
      </c>
    </row>
    <row r="855" spans="1:813" ht="15.5">
      <c r="A855" s="948">
        <v>44558</v>
      </c>
      <c r="B855" s="947">
        <v>121625</v>
      </c>
      <c r="I855" s="948">
        <v>44536</v>
      </c>
      <c r="J855" s="947">
        <v>53125</v>
      </c>
      <c r="M855" s="948">
        <v>44557</v>
      </c>
      <c r="N855" s="947">
        <v>121625</v>
      </c>
      <c r="O855" s="947">
        <v>44557</v>
      </c>
      <c r="AEE855" s="636">
        <v>44638</v>
      </c>
      <c r="AEF855" s="635">
        <v>169.55</v>
      </c>
      <c r="AEG855" s="635">
        <v>17.385000000000002</v>
      </c>
    </row>
    <row r="856" spans="1:813" ht="15.5">
      <c r="A856" s="948">
        <v>44559</v>
      </c>
      <c r="B856" s="947">
        <v>121625</v>
      </c>
      <c r="I856" s="948">
        <v>44537</v>
      </c>
      <c r="J856" s="947">
        <v>53375</v>
      </c>
      <c r="M856" s="948">
        <v>44558</v>
      </c>
      <c r="N856" s="947">
        <v>121625</v>
      </c>
      <c r="O856" s="947">
        <v>44558</v>
      </c>
      <c r="AEE856" s="636">
        <v>44641</v>
      </c>
      <c r="AEF856" s="635">
        <v>172.5</v>
      </c>
      <c r="AEG856" s="635">
        <v>17.687999999999999</v>
      </c>
    </row>
    <row r="857" spans="1:813" ht="15.5">
      <c r="A857" s="948">
        <v>44560</v>
      </c>
      <c r="B857" s="947">
        <v>121625</v>
      </c>
      <c r="I857" s="948">
        <v>44538</v>
      </c>
      <c r="J857" s="947">
        <v>53375</v>
      </c>
      <c r="M857" s="948">
        <v>44559</v>
      </c>
      <c r="N857" s="947">
        <v>121625</v>
      </c>
      <c r="O857" s="947">
        <v>44559</v>
      </c>
      <c r="AEE857" s="636">
        <v>44642</v>
      </c>
      <c r="AEF857" s="635">
        <v>186.14</v>
      </c>
      <c r="AEG857" s="635">
        <v>19.085999999999999</v>
      </c>
    </row>
    <row r="858" spans="1:813" ht="15.5">
      <c r="A858" s="948">
        <v>44561</v>
      </c>
      <c r="B858" s="947">
        <v>121625</v>
      </c>
      <c r="I858" s="948">
        <v>44539</v>
      </c>
      <c r="J858" s="947">
        <v>53625</v>
      </c>
      <c r="M858" s="948">
        <v>44560</v>
      </c>
      <c r="N858" s="947">
        <v>121625</v>
      </c>
      <c r="O858" s="947">
        <v>44560</v>
      </c>
      <c r="AEE858" s="636">
        <v>44643</v>
      </c>
      <c r="AEF858" s="635">
        <v>187.1</v>
      </c>
      <c r="AEG858" s="635">
        <v>19.184999999999999</v>
      </c>
    </row>
    <row r="859" spans="1:813" ht="15.5">
      <c r="A859" s="948">
        <v>44565</v>
      </c>
      <c r="B859" s="947">
        <v>121625</v>
      </c>
      <c r="I859" s="948">
        <v>44540</v>
      </c>
      <c r="J859" s="947">
        <v>53625</v>
      </c>
      <c r="M859" s="948">
        <v>44561</v>
      </c>
      <c r="N859" s="947">
        <v>121625</v>
      </c>
      <c r="O859" s="947">
        <v>44561</v>
      </c>
      <c r="AEE859" s="636">
        <v>44644</v>
      </c>
      <c r="AEF859" s="635">
        <v>189.87</v>
      </c>
      <c r="AEG859" s="635">
        <v>19.469000000000001</v>
      </c>
    </row>
    <row r="860" spans="1:813" ht="15.5">
      <c r="A860" s="948">
        <v>44566</v>
      </c>
      <c r="B860" s="947">
        <v>121625</v>
      </c>
      <c r="I860" s="948">
        <v>44543</v>
      </c>
      <c r="J860" s="947">
        <v>53625</v>
      </c>
      <c r="M860" s="948">
        <v>44565</v>
      </c>
      <c r="N860" s="947">
        <v>121625</v>
      </c>
      <c r="O860" s="947">
        <v>44565</v>
      </c>
      <c r="AEE860" s="636">
        <v>44645</v>
      </c>
      <c r="AEF860" s="635">
        <v>189.26</v>
      </c>
      <c r="AEG860" s="635">
        <v>19.405999999999999</v>
      </c>
    </row>
    <row r="861" spans="1:813" ht="15.5">
      <c r="A861" s="948">
        <v>44567</v>
      </c>
      <c r="B861" s="947">
        <v>121625</v>
      </c>
      <c r="I861" s="948">
        <v>44544</v>
      </c>
      <c r="J861" s="947">
        <v>54313</v>
      </c>
      <c r="M861" s="948">
        <v>44566</v>
      </c>
      <c r="N861" s="947">
        <v>121625</v>
      </c>
      <c r="O861" s="947">
        <v>44566</v>
      </c>
      <c r="AEE861" s="636">
        <v>44648</v>
      </c>
      <c r="AEF861" s="635">
        <v>204.46</v>
      </c>
      <c r="AEG861" s="635">
        <v>20.965</v>
      </c>
    </row>
    <row r="862" spans="1:813" ht="15.5">
      <c r="A862" s="948">
        <v>44568</v>
      </c>
      <c r="B862" s="947">
        <v>121625</v>
      </c>
      <c r="I862" s="948">
        <v>44545</v>
      </c>
      <c r="J862" s="947">
        <v>54313</v>
      </c>
      <c r="M862" s="948">
        <v>44567</v>
      </c>
      <c r="N862" s="947">
        <v>121625</v>
      </c>
      <c r="O862" s="947">
        <v>44567</v>
      </c>
      <c r="AEE862" s="636">
        <v>44649</v>
      </c>
      <c r="AEF862" s="635">
        <v>205.91</v>
      </c>
      <c r="AEG862" s="635">
        <v>21.114000000000001</v>
      </c>
    </row>
    <row r="863" spans="1:813" ht="15.5">
      <c r="A863" s="948">
        <v>44571</v>
      </c>
      <c r="B863" s="947">
        <v>121625</v>
      </c>
      <c r="I863" s="948">
        <v>44546</v>
      </c>
      <c r="J863" s="947">
        <v>54313</v>
      </c>
      <c r="M863" s="948">
        <v>44568</v>
      </c>
      <c r="N863" s="947">
        <v>121625</v>
      </c>
      <c r="O863" s="947">
        <v>44568</v>
      </c>
      <c r="AEE863" s="636">
        <v>44650</v>
      </c>
      <c r="AEF863" s="635">
        <v>204.86</v>
      </c>
      <c r="AEG863" s="635">
        <v>21.007000000000001</v>
      </c>
    </row>
    <row r="864" spans="1:813" ht="15.5">
      <c r="A864" s="948">
        <v>44572</v>
      </c>
      <c r="B864" s="947">
        <v>121625</v>
      </c>
      <c r="I864" s="948">
        <v>44547</v>
      </c>
      <c r="J864" s="947">
        <v>54313</v>
      </c>
      <c r="M864" s="948">
        <v>44571</v>
      </c>
      <c r="N864" s="947">
        <v>121625</v>
      </c>
      <c r="O864" s="947">
        <v>44571</v>
      </c>
      <c r="AEE864" s="636">
        <v>44651</v>
      </c>
      <c r="AEF864" s="635">
        <v>201.8</v>
      </c>
      <c r="AEG864" s="635">
        <v>20.692</v>
      </c>
    </row>
    <row r="865" spans="1:813" ht="15.5">
      <c r="A865" s="948">
        <v>44573</v>
      </c>
      <c r="B865" s="947">
        <v>121625</v>
      </c>
      <c r="I865" s="948">
        <v>44550</v>
      </c>
      <c r="J865" s="947">
        <v>54313</v>
      </c>
      <c r="M865" s="948">
        <v>44572</v>
      </c>
      <c r="N865" s="947">
        <v>121625</v>
      </c>
      <c r="O865" s="947">
        <v>44572</v>
      </c>
      <c r="AEE865" s="636">
        <v>44652</v>
      </c>
      <c r="AEF865" s="635">
        <v>203.1</v>
      </c>
      <c r="AEG865" s="635">
        <v>20.826000000000001</v>
      </c>
    </row>
    <row r="866" spans="1:813" ht="15.5">
      <c r="A866" s="948">
        <v>44574</v>
      </c>
      <c r="B866" s="947">
        <v>121625</v>
      </c>
      <c r="I866" s="948">
        <v>44551</v>
      </c>
      <c r="J866" s="947">
        <v>54313</v>
      </c>
      <c r="M866" s="948">
        <v>44573</v>
      </c>
      <c r="N866" s="947">
        <v>121625</v>
      </c>
      <c r="O866" s="947">
        <v>44573</v>
      </c>
      <c r="AEE866" s="636">
        <v>44655</v>
      </c>
      <c r="AEF866" s="635">
        <v>214.5</v>
      </c>
      <c r="AEG866" s="635">
        <v>21.995000000000001</v>
      </c>
    </row>
    <row r="867" spans="1:813" ht="15.5">
      <c r="A867" s="948">
        <v>44575</v>
      </c>
      <c r="B867" s="947">
        <v>121625</v>
      </c>
      <c r="I867" s="948">
        <v>44552</v>
      </c>
      <c r="J867" s="947">
        <v>54313</v>
      </c>
      <c r="M867" s="948">
        <v>44574</v>
      </c>
      <c r="N867" s="947">
        <v>121625</v>
      </c>
      <c r="O867" s="947">
        <v>44574</v>
      </c>
      <c r="AEE867" s="636">
        <v>44656</v>
      </c>
      <c r="AEF867" s="635">
        <v>204.35</v>
      </c>
      <c r="AEG867" s="635">
        <v>20.954000000000001</v>
      </c>
    </row>
    <row r="868" spans="1:813" ht="15.5">
      <c r="A868" s="948">
        <v>44578</v>
      </c>
      <c r="B868" s="947">
        <v>121625</v>
      </c>
      <c r="I868" s="948">
        <v>44553</v>
      </c>
      <c r="J868" s="947">
        <v>54313</v>
      </c>
      <c r="M868" s="948">
        <v>44575</v>
      </c>
      <c r="N868" s="947">
        <v>121625</v>
      </c>
      <c r="O868" s="947">
        <v>44575</v>
      </c>
      <c r="AEE868" s="636">
        <v>44657</v>
      </c>
      <c r="AEF868" s="635">
        <v>195.83</v>
      </c>
      <c r="AEG868" s="635">
        <v>20.081</v>
      </c>
    </row>
    <row r="869" spans="1:813" ht="15.5">
      <c r="A869" s="948">
        <v>44579</v>
      </c>
      <c r="B869" s="947">
        <v>121625</v>
      </c>
      <c r="I869" s="948">
        <v>44554</v>
      </c>
      <c r="J869" s="947">
        <v>54313</v>
      </c>
      <c r="M869" s="948">
        <v>44578</v>
      </c>
      <c r="N869" s="947">
        <v>121625</v>
      </c>
      <c r="O869" s="947">
        <v>44578</v>
      </c>
      <c r="AEE869" s="636">
        <v>44658</v>
      </c>
      <c r="AEF869" s="635">
        <v>197.99</v>
      </c>
      <c r="AEG869" s="635">
        <v>20.300999999999998</v>
      </c>
    </row>
    <row r="870" spans="1:813" ht="15.5">
      <c r="A870" s="948">
        <v>44580</v>
      </c>
      <c r="B870" s="947">
        <v>121625</v>
      </c>
      <c r="I870" s="948">
        <v>44557</v>
      </c>
      <c r="J870" s="947">
        <v>54313</v>
      </c>
      <c r="M870" s="948">
        <v>44579</v>
      </c>
      <c r="N870" s="947">
        <v>121625</v>
      </c>
      <c r="O870" s="947">
        <v>44579</v>
      </c>
      <c r="AEE870" s="636">
        <v>44659</v>
      </c>
      <c r="AEF870" s="635">
        <v>192.04</v>
      </c>
      <c r="AEG870" s="635">
        <v>19.690999999999999</v>
      </c>
    </row>
    <row r="871" spans="1:813" ht="15.5">
      <c r="A871" s="948">
        <v>44581</v>
      </c>
      <c r="B871" s="947">
        <v>121625</v>
      </c>
      <c r="I871" s="948">
        <v>44558</v>
      </c>
      <c r="J871" s="947">
        <v>54313</v>
      </c>
      <c r="M871" s="948">
        <v>44580</v>
      </c>
      <c r="N871" s="947">
        <v>121625</v>
      </c>
      <c r="O871" s="947">
        <v>44580</v>
      </c>
      <c r="AEE871" s="636">
        <v>44662</v>
      </c>
      <c r="AEF871" s="635">
        <v>182.76</v>
      </c>
      <c r="AEG871" s="635">
        <v>18.739999999999998</v>
      </c>
    </row>
    <row r="872" spans="1:813" ht="15.5">
      <c r="A872" s="948">
        <v>44582</v>
      </c>
      <c r="B872" s="947">
        <v>121625</v>
      </c>
      <c r="I872" s="948">
        <v>44559</v>
      </c>
      <c r="J872" s="947">
        <v>54750</v>
      </c>
      <c r="M872" s="948">
        <v>44581</v>
      </c>
      <c r="N872" s="947">
        <v>121625</v>
      </c>
      <c r="O872" s="947">
        <v>44581</v>
      </c>
      <c r="AEE872" s="636">
        <v>44663</v>
      </c>
      <c r="AEF872" s="635">
        <v>184.82</v>
      </c>
      <c r="AEG872" s="635">
        <v>18.951000000000001</v>
      </c>
    </row>
    <row r="873" spans="1:813" ht="15.5">
      <c r="A873" s="948">
        <v>44585</v>
      </c>
      <c r="B873" s="947">
        <v>121625</v>
      </c>
      <c r="I873" s="948">
        <v>44560</v>
      </c>
      <c r="J873" s="947">
        <v>54750</v>
      </c>
      <c r="M873" s="948">
        <v>44582</v>
      </c>
      <c r="N873" s="947">
        <v>121625</v>
      </c>
      <c r="O873" s="947">
        <v>44582</v>
      </c>
      <c r="AEE873" s="636">
        <v>44664</v>
      </c>
      <c r="AEF873" s="635">
        <v>191.45</v>
      </c>
      <c r="AEG873" s="635">
        <v>19.632000000000001</v>
      </c>
    </row>
    <row r="874" spans="1:813" ht="15.5">
      <c r="A874" s="948">
        <v>44586</v>
      </c>
      <c r="B874" s="947">
        <v>121625</v>
      </c>
      <c r="I874" s="948">
        <v>44561</v>
      </c>
      <c r="J874" s="947">
        <v>54750</v>
      </c>
      <c r="M874" s="948">
        <v>44585</v>
      </c>
      <c r="N874" s="947">
        <v>121625</v>
      </c>
      <c r="O874" s="947">
        <v>44585</v>
      </c>
      <c r="AEE874" s="636">
        <v>44665</v>
      </c>
      <c r="AEF874" s="635">
        <v>184.46</v>
      </c>
      <c r="AEG874" s="635">
        <v>18.914000000000001</v>
      </c>
    </row>
    <row r="875" spans="1:813" ht="15.5">
      <c r="A875" s="948">
        <v>44587</v>
      </c>
      <c r="B875" s="947">
        <v>121625</v>
      </c>
      <c r="I875" s="948">
        <v>44565</v>
      </c>
      <c r="J875" s="947">
        <v>54750</v>
      </c>
      <c r="M875" s="948">
        <v>44586</v>
      </c>
      <c r="N875" s="947">
        <v>121625</v>
      </c>
      <c r="O875" s="947">
        <v>44586</v>
      </c>
      <c r="AEE875" s="636">
        <v>44669</v>
      </c>
      <c r="AEF875" s="635">
        <v>188.07</v>
      </c>
      <c r="AEG875" s="635">
        <v>19.283999999999999</v>
      </c>
    </row>
    <row r="876" spans="1:813" ht="15.5">
      <c r="A876" s="948">
        <v>44588</v>
      </c>
      <c r="B876" s="947">
        <v>121625</v>
      </c>
      <c r="I876" s="948">
        <v>44566</v>
      </c>
      <c r="J876" s="947">
        <v>54750</v>
      </c>
      <c r="M876" s="948">
        <v>44587</v>
      </c>
      <c r="N876" s="947">
        <v>121625</v>
      </c>
      <c r="O876" s="947">
        <v>44587</v>
      </c>
      <c r="AEE876" s="636">
        <v>44670</v>
      </c>
      <c r="AEF876" s="635">
        <v>192.54</v>
      </c>
      <c r="AEG876" s="635">
        <v>19.742999999999999</v>
      </c>
    </row>
    <row r="877" spans="1:813" ht="15.5">
      <c r="A877" s="948">
        <v>44589</v>
      </c>
      <c r="B877" s="947">
        <v>121625</v>
      </c>
      <c r="I877" s="948">
        <v>44567</v>
      </c>
      <c r="J877" s="947">
        <v>54750</v>
      </c>
      <c r="M877" s="948">
        <v>44588</v>
      </c>
      <c r="N877" s="947">
        <v>121625</v>
      </c>
      <c r="O877" s="947">
        <v>44588</v>
      </c>
      <c r="AEE877" s="636">
        <v>44671</v>
      </c>
      <c r="AEF877" s="635">
        <v>120.25</v>
      </c>
      <c r="AEG877" s="635">
        <v>16.239999999999998</v>
      </c>
    </row>
    <row r="878" spans="1:813" ht="15.5">
      <c r="A878" s="948">
        <v>44599</v>
      </c>
      <c r="B878" s="947">
        <v>121625</v>
      </c>
      <c r="I878" s="948">
        <v>44568</v>
      </c>
      <c r="J878" s="947">
        <v>54750</v>
      </c>
      <c r="M878" s="948">
        <v>44589</v>
      </c>
      <c r="N878" s="947">
        <v>121625</v>
      </c>
      <c r="O878" s="947">
        <v>44589</v>
      </c>
      <c r="AEE878" s="636">
        <v>44672</v>
      </c>
      <c r="AEF878" s="635">
        <v>124.13</v>
      </c>
      <c r="AEG878" s="635">
        <v>16.763999999999999</v>
      </c>
    </row>
    <row r="879" spans="1:813" ht="15.5">
      <c r="A879" s="948">
        <v>44600</v>
      </c>
      <c r="B879" s="947">
        <v>121625</v>
      </c>
      <c r="I879" s="948">
        <v>44571</v>
      </c>
      <c r="J879" s="947">
        <v>54750</v>
      </c>
      <c r="M879" s="948">
        <v>44599</v>
      </c>
      <c r="N879" s="947">
        <v>121625</v>
      </c>
      <c r="O879" s="947">
        <v>44599</v>
      </c>
      <c r="AEE879" s="636">
        <v>44673</v>
      </c>
      <c r="AEF879" s="635">
        <v>123.67</v>
      </c>
      <c r="AEG879" s="635">
        <v>16.702000000000002</v>
      </c>
    </row>
    <row r="880" spans="1:813" ht="15.5">
      <c r="A880" s="948">
        <v>44601</v>
      </c>
      <c r="B880" s="947">
        <v>121625</v>
      </c>
      <c r="I880" s="948">
        <v>44572</v>
      </c>
      <c r="J880" s="947">
        <v>54750</v>
      </c>
      <c r="M880" s="948">
        <v>44600</v>
      </c>
      <c r="N880" s="947">
        <v>121625</v>
      </c>
      <c r="O880" s="947">
        <v>44600</v>
      </c>
      <c r="AEE880" s="636">
        <v>44676</v>
      </c>
      <c r="AEF880" s="635">
        <v>123.11</v>
      </c>
      <c r="AEG880" s="635">
        <v>16.626000000000001</v>
      </c>
    </row>
    <row r="881" spans="1:813" ht="15.5">
      <c r="A881" s="948">
        <v>44602</v>
      </c>
      <c r="B881" s="947">
        <v>121625</v>
      </c>
      <c r="I881" s="948">
        <v>44573</v>
      </c>
      <c r="J881" s="947">
        <v>54750</v>
      </c>
      <c r="M881" s="948">
        <v>44601</v>
      </c>
      <c r="N881" s="947">
        <v>121625</v>
      </c>
      <c r="O881" s="947">
        <v>44601</v>
      </c>
      <c r="AEE881" s="636">
        <v>44677</v>
      </c>
      <c r="AEF881" s="635">
        <v>108.11</v>
      </c>
      <c r="AEG881" s="635">
        <v>14.6</v>
      </c>
    </row>
    <row r="882" spans="1:813" ht="15.5">
      <c r="A882" s="948">
        <v>44603</v>
      </c>
      <c r="B882" s="947">
        <v>121625</v>
      </c>
      <c r="I882" s="948">
        <v>44574</v>
      </c>
      <c r="J882" s="947">
        <v>55500</v>
      </c>
      <c r="M882" s="948">
        <v>44602</v>
      </c>
      <c r="N882" s="947">
        <v>121625</v>
      </c>
      <c r="O882" s="947">
        <v>44602</v>
      </c>
      <c r="AEE882" s="636">
        <v>44678</v>
      </c>
      <c r="AEF882" s="635">
        <v>108.73</v>
      </c>
      <c r="AEG882" s="635">
        <v>14.685</v>
      </c>
    </row>
    <row r="883" spans="1:813" ht="15.5">
      <c r="A883" s="948">
        <v>44606</v>
      </c>
      <c r="B883" s="947">
        <v>121625</v>
      </c>
      <c r="I883" s="948">
        <v>44575</v>
      </c>
      <c r="J883" s="947">
        <v>55500</v>
      </c>
      <c r="M883" s="948">
        <v>44603</v>
      </c>
      <c r="N883" s="947">
        <v>121625</v>
      </c>
      <c r="O883" s="947">
        <v>44603</v>
      </c>
      <c r="AEE883" s="636">
        <v>44679</v>
      </c>
      <c r="AEF883" s="635">
        <v>108.24</v>
      </c>
      <c r="AEG883" s="635">
        <v>14.618</v>
      </c>
    </row>
    <row r="884" spans="1:813" ht="15.5">
      <c r="A884" s="948">
        <v>44607</v>
      </c>
      <c r="B884" s="947">
        <v>121625</v>
      </c>
      <c r="I884" s="948">
        <v>44578</v>
      </c>
      <c r="J884" s="947">
        <v>55500</v>
      </c>
      <c r="M884" s="948">
        <v>44606</v>
      </c>
      <c r="N884" s="947">
        <v>121625</v>
      </c>
      <c r="O884" s="947">
        <v>44606</v>
      </c>
      <c r="AEE884" s="636">
        <v>44680</v>
      </c>
      <c r="AEF884" s="635">
        <v>107.41</v>
      </c>
      <c r="AEG884" s="635">
        <v>14.506</v>
      </c>
    </row>
    <row r="885" spans="1:813" ht="15.5">
      <c r="A885" s="948">
        <v>44608</v>
      </c>
      <c r="B885" s="947">
        <v>121625</v>
      </c>
      <c r="I885" s="948">
        <v>44579</v>
      </c>
      <c r="J885" s="947">
        <v>55500</v>
      </c>
      <c r="M885" s="948">
        <v>44607</v>
      </c>
      <c r="N885" s="947">
        <v>121625</v>
      </c>
      <c r="O885" s="947">
        <v>44607</v>
      </c>
      <c r="AEE885" s="636">
        <v>44683</v>
      </c>
      <c r="AEF885" s="635">
        <v>111.38</v>
      </c>
      <c r="AEG885" s="635">
        <v>15.042</v>
      </c>
    </row>
    <row r="886" spans="1:813" ht="15.5">
      <c r="A886" s="948">
        <v>44609</v>
      </c>
      <c r="B886" s="947">
        <v>121625</v>
      </c>
      <c r="I886" s="948">
        <v>44580</v>
      </c>
      <c r="J886" s="947">
        <v>55500</v>
      </c>
      <c r="M886" s="948">
        <v>44608</v>
      </c>
      <c r="N886" s="947">
        <v>121625</v>
      </c>
      <c r="O886" s="947">
        <v>44608</v>
      </c>
      <c r="AEE886" s="636">
        <v>44684</v>
      </c>
      <c r="AEF886" s="635">
        <v>112.16</v>
      </c>
      <c r="AEG886" s="635">
        <v>15.147</v>
      </c>
    </row>
    <row r="887" spans="1:813" ht="15.5">
      <c r="A887" s="948">
        <v>44610</v>
      </c>
      <c r="B887" s="947">
        <v>121875</v>
      </c>
      <c r="I887" s="948">
        <v>44581</v>
      </c>
      <c r="J887" s="947">
        <v>55500</v>
      </c>
      <c r="M887" s="948">
        <v>44609</v>
      </c>
      <c r="N887" s="947">
        <v>121625</v>
      </c>
      <c r="O887" s="947">
        <v>44609</v>
      </c>
      <c r="AEE887" s="636">
        <v>44685</v>
      </c>
      <c r="AEF887" s="635">
        <v>117.51</v>
      </c>
      <c r="AEG887" s="635">
        <v>15.869</v>
      </c>
    </row>
    <row r="888" spans="1:813" ht="15.5">
      <c r="A888" s="948">
        <v>44613</v>
      </c>
      <c r="B888" s="947">
        <v>121875</v>
      </c>
      <c r="I888" s="948">
        <v>44582</v>
      </c>
      <c r="J888" s="947">
        <v>56000</v>
      </c>
      <c r="M888" s="948">
        <v>44610</v>
      </c>
      <c r="N888" s="947">
        <v>121875</v>
      </c>
      <c r="O888" s="947">
        <v>44610</v>
      </c>
      <c r="AEE888" s="636">
        <v>44686</v>
      </c>
      <c r="AEF888" s="635">
        <v>107.72</v>
      </c>
      <c r="AEG888" s="635">
        <v>14.548</v>
      </c>
    </row>
    <row r="889" spans="1:813" ht="15.5">
      <c r="A889" s="948">
        <v>44614</v>
      </c>
      <c r="B889" s="947">
        <v>121875</v>
      </c>
      <c r="I889" s="948">
        <v>44585</v>
      </c>
      <c r="J889" s="947">
        <v>56000</v>
      </c>
      <c r="M889" s="948">
        <v>44613</v>
      </c>
      <c r="N889" s="947">
        <v>121875</v>
      </c>
      <c r="O889" s="947">
        <v>44613</v>
      </c>
      <c r="AEE889" s="636">
        <v>44687</v>
      </c>
      <c r="AEF889" s="635">
        <v>106.78</v>
      </c>
      <c r="AEG889" s="635">
        <v>14.420999999999999</v>
      </c>
    </row>
    <row r="890" spans="1:813" ht="15.5">
      <c r="A890" s="948">
        <v>44615</v>
      </c>
      <c r="B890" s="947">
        <v>121875</v>
      </c>
      <c r="I890" s="948">
        <v>44586</v>
      </c>
      <c r="J890" s="947">
        <v>56000</v>
      </c>
      <c r="M890" s="948">
        <v>44614</v>
      </c>
      <c r="N890" s="947">
        <v>121875</v>
      </c>
      <c r="O890" s="947">
        <v>44614</v>
      </c>
      <c r="AEE890" s="636">
        <v>44690</v>
      </c>
      <c r="AEF890" s="635">
        <v>97.09</v>
      </c>
      <c r="AEG890" s="635">
        <v>13.112</v>
      </c>
    </row>
    <row r="891" spans="1:813" ht="15.5">
      <c r="A891" s="948">
        <v>44616</v>
      </c>
      <c r="B891" s="947">
        <v>121875</v>
      </c>
      <c r="I891" s="948">
        <v>44587</v>
      </c>
      <c r="J891" s="947">
        <v>56000</v>
      </c>
      <c r="M891" s="948">
        <v>44615</v>
      </c>
      <c r="N891" s="947">
        <v>121875</v>
      </c>
      <c r="O891" s="947">
        <v>44615</v>
      </c>
      <c r="AEE891" s="636">
        <v>44691</v>
      </c>
      <c r="AEF891" s="635">
        <v>98.68</v>
      </c>
      <c r="AEG891" s="635">
        <v>13.327999999999999</v>
      </c>
    </row>
    <row r="892" spans="1:813" ht="15.5">
      <c r="A892" s="948">
        <v>44617</v>
      </c>
      <c r="B892" s="947">
        <v>121875</v>
      </c>
      <c r="I892" s="948">
        <v>44588</v>
      </c>
      <c r="J892" s="947">
        <v>56000</v>
      </c>
      <c r="M892" s="948">
        <v>44616</v>
      </c>
      <c r="N892" s="947">
        <v>121875</v>
      </c>
      <c r="O892" s="947">
        <v>44616</v>
      </c>
      <c r="AEE892" s="636">
        <v>44692</v>
      </c>
      <c r="AEF892" s="635">
        <v>90.54</v>
      </c>
      <c r="AEG892" s="635">
        <v>12.228</v>
      </c>
    </row>
    <row r="893" spans="1:813" ht="15.5">
      <c r="A893" s="948">
        <v>44620</v>
      </c>
      <c r="B893" s="947">
        <v>121875</v>
      </c>
      <c r="I893" s="948">
        <v>44589</v>
      </c>
      <c r="J893" s="947">
        <v>56000</v>
      </c>
      <c r="M893" s="948">
        <v>44617</v>
      </c>
      <c r="N893" s="947">
        <v>121875</v>
      </c>
      <c r="O893" s="947">
        <v>44617</v>
      </c>
      <c r="AEE893" s="636">
        <v>44693</v>
      </c>
      <c r="AEF893" s="635">
        <v>89.8</v>
      </c>
      <c r="AEG893" s="635">
        <v>12.128</v>
      </c>
    </row>
    <row r="894" spans="1:813" ht="15.5">
      <c r="A894" s="948">
        <v>44621</v>
      </c>
      <c r="B894" s="947">
        <v>121875</v>
      </c>
      <c r="I894" s="948">
        <v>44599</v>
      </c>
      <c r="J894" s="947">
        <v>56000</v>
      </c>
      <c r="M894" s="948">
        <v>44620</v>
      </c>
      <c r="N894" s="947">
        <v>121875</v>
      </c>
      <c r="O894" s="947">
        <v>44620</v>
      </c>
      <c r="AEE894" s="636">
        <v>44694</v>
      </c>
      <c r="AEF894" s="635">
        <v>94.93</v>
      </c>
      <c r="AEG894" s="635">
        <v>12.82</v>
      </c>
    </row>
    <row r="895" spans="1:813" ht="15.5">
      <c r="A895" s="948">
        <v>44622</v>
      </c>
      <c r="B895" s="947">
        <v>121875</v>
      </c>
      <c r="I895" s="948">
        <v>44600</v>
      </c>
      <c r="J895" s="947">
        <v>56000</v>
      </c>
      <c r="M895" s="948">
        <v>44621</v>
      </c>
      <c r="N895" s="947">
        <v>121875</v>
      </c>
      <c r="O895" s="947">
        <v>44621</v>
      </c>
      <c r="AEE895" s="636">
        <v>44697</v>
      </c>
      <c r="AEF895" s="635">
        <v>89.35</v>
      </c>
      <c r="AEG895" s="635">
        <v>12.067</v>
      </c>
    </row>
    <row r="896" spans="1:813" ht="15.5">
      <c r="A896" s="948">
        <v>44623</v>
      </c>
      <c r="B896" s="947">
        <v>122625</v>
      </c>
      <c r="I896" s="948">
        <v>44601</v>
      </c>
      <c r="J896" s="947">
        <v>56000</v>
      </c>
      <c r="M896" s="948">
        <v>44622</v>
      </c>
      <c r="N896" s="947">
        <v>121875</v>
      </c>
      <c r="O896" s="947">
        <v>44622</v>
      </c>
      <c r="AEE896" s="636">
        <v>44698</v>
      </c>
      <c r="AEF896" s="635">
        <v>93.94</v>
      </c>
      <c r="AEG896" s="635">
        <v>12.686999999999999</v>
      </c>
    </row>
    <row r="897" spans="1:813" ht="15.5">
      <c r="A897" s="948">
        <v>44624</v>
      </c>
      <c r="B897" s="947">
        <v>122625</v>
      </c>
      <c r="I897" s="948">
        <v>44602</v>
      </c>
      <c r="J897" s="947">
        <v>56000</v>
      </c>
      <c r="M897" s="948">
        <v>44623</v>
      </c>
      <c r="N897" s="947">
        <v>122625</v>
      </c>
      <c r="O897" s="947">
        <v>44623</v>
      </c>
      <c r="AEE897" s="636">
        <v>44699</v>
      </c>
      <c r="AEF897" s="635">
        <v>87.55</v>
      </c>
      <c r="AEG897" s="635">
        <v>11.824999999999999</v>
      </c>
    </row>
    <row r="898" spans="1:813" ht="15.5">
      <c r="A898" s="948">
        <v>44627</v>
      </c>
      <c r="B898" s="947">
        <v>122625</v>
      </c>
      <c r="I898" s="948">
        <v>44603</v>
      </c>
      <c r="J898" s="947">
        <v>56000</v>
      </c>
      <c r="M898" s="948">
        <v>44624</v>
      </c>
      <c r="N898" s="947">
        <v>122625</v>
      </c>
      <c r="O898" s="947">
        <v>44624</v>
      </c>
      <c r="AEE898" s="636">
        <v>44700</v>
      </c>
      <c r="AEF898" s="635">
        <v>87.51</v>
      </c>
      <c r="AEG898" s="635">
        <v>11.818</v>
      </c>
    </row>
    <row r="899" spans="1:813" ht="15.5">
      <c r="A899" s="948">
        <v>44628</v>
      </c>
      <c r="B899" s="947">
        <v>122625</v>
      </c>
      <c r="I899" s="948">
        <v>44606</v>
      </c>
      <c r="J899" s="947">
        <v>56000</v>
      </c>
      <c r="M899" s="948">
        <v>44627</v>
      </c>
      <c r="N899" s="947">
        <v>122625</v>
      </c>
      <c r="O899" s="947">
        <v>44627</v>
      </c>
      <c r="AEE899" s="636">
        <v>44701</v>
      </c>
      <c r="AEF899" s="635">
        <v>81.89</v>
      </c>
      <c r="AEG899" s="635">
        <v>11.06</v>
      </c>
    </row>
    <row r="900" spans="1:813" ht="15.5">
      <c r="A900" s="948">
        <v>44629</v>
      </c>
      <c r="B900" s="947">
        <v>122625</v>
      </c>
      <c r="I900" s="948">
        <v>44607</v>
      </c>
      <c r="J900" s="947">
        <v>56000</v>
      </c>
      <c r="M900" s="948">
        <v>44628</v>
      </c>
      <c r="N900" s="947">
        <v>122625</v>
      </c>
      <c r="O900" s="947">
        <v>44628</v>
      </c>
      <c r="AEE900" s="636">
        <v>44704</v>
      </c>
      <c r="AEF900" s="635">
        <v>83.25</v>
      </c>
      <c r="AEG900" s="635">
        <v>11.243</v>
      </c>
    </row>
    <row r="901" spans="1:813" ht="15.5">
      <c r="A901" s="948">
        <v>44630</v>
      </c>
      <c r="B901" s="947">
        <v>122625</v>
      </c>
      <c r="I901" s="948">
        <v>44608</v>
      </c>
      <c r="J901" s="947">
        <v>56000</v>
      </c>
      <c r="M901" s="948">
        <v>44629</v>
      </c>
      <c r="N901" s="947">
        <v>122625</v>
      </c>
      <c r="O901" s="947">
        <v>44629</v>
      </c>
      <c r="AEE901" s="636">
        <v>44705</v>
      </c>
      <c r="AEF901" s="635">
        <v>77.48</v>
      </c>
      <c r="AEG901" s="635">
        <v>10.464</v>
      </c>
    </row>
    <row r="902" spans="1:813" ht="15.5">
      <c r="A902" s="948">
        <v>44631</v>
      </c>
      <c r="B902" s="947">
        <v>122625</v>
      </c>
      <c r="I902" s="948">
        <v>44609</v>
      </c>
      <c r="J902" s="947">
        <v>56000</v>
      </c>
      <c r="M902" s="948">
        <v>44630</v>
      </c>
      <c r="N902" s="947">
        <v>122625</v>
      </c>
      <c r="O902" s="947">
        <v>44630</v>
      </c>
      <c r="AEE902" s="636">
        <v>44706</v>
      </c>
      <c r="AEF902" s="635">
        <v>81.260000000000005</v>
      </c>
      <c r="AEG902" s="635">
        <v>10.975</v>
      </c>
    </row>
    <row r="903" spans="1:813" ht="15.5">
      <c r="A903" s="948">
        <v>44634</v>
      </c>
      <c r="B903" s="947">
        <v>122625</v>
      </c>
      <c r="I903" s="948">
        <v>44610</v>
      </c>
      <c r="J903" s="947">
        <v>56000</v>
      </c>
      <c r="M903" s="948">
        <v>44631</v>
      </c>
      <c r="N903" s="947">
        <v>122625</v>
      </c>
      <c r="O903" s="947">
        <v>44631</v>
      </c>
      <c r="AEE903" s="636">
        <v>44707</v>
      </c>
      <c r="AEF903" s="635">
        <v>87.3</v>
      </c>
      <c r="AEG903" s="635">
        <v>11.79</v>
      </c>
    </row>
    <row r="904" spans="1:813" ht="15.5">
      <c r="A904" s="948">
        <v>44635</v>
      </c>
      <c r="B904" s="947">
        <v>122625</v>
      </c>
      <c r="I904" s="948">
        <v>44613</v>
      </c>
      <c r="J904" s="947">
        <v>56000</v>
      </c>
      <c r="M904" s="948">
        <v>44634</v>
      </c>
      <c r="N904" s="947">
        <v>122625</v>
      </c>
      <c r="O904" s="947">
        <v>44634</v>
      </c>
      <c r="AEE904" s="636">
        <v>44708</v>
      </c>
      <c r="AEF904" s="635">
        <v>93.7</v>
      </c>
      <c r="AEG904" s="635">
        <v>12.654999999999999</v>
      </c>
    </row>
    <row r="905" spans="1:813" ht="15.5">
      <c r="A905" s="948">
        <v>44636</v>
      </c>
      <c r="B905" s="947">
        <v>122625</v>
      </c>
      <c r="I905" s="948">
        <v>44614</v>
      </c>
      <c r="J905" s="947">
        <v>56000</v>
      </c>
      <c r="M905" s="948">
        <v>44635</v>
      </c>
      <c r="N905" s="947">
        <v>122625</v>
      </c>
      <c r="O905" s="947">
        <v>44635</v>
      </c>
      <c r="AEE905" s="636">
        <v>44712</v>
      </c>
      <c r="AEF905" s="635">
        <v>93.53</v>
      </c>
      <c r="AEG905" s="635">
        <v>12.632</v>
      </c>
    </row>
    <row r="906" spans="1:813" ht="15.5">
      <c r="A906" s="948">
        <v>44637</v>
      </c>
      <c r="B906" s="947">
        <v>122625</v>
      </c>
      <c r="I906" s="948">
        <v>44615</v>
      </c>
      <c r="J906" s="947">
        <v>56000</v>
      </c>
      <c r="M906" s="948">
        <v>44636</v>
      </c>
      <c r="N906" s="947">
        <v>122625</v>
      </c>
      <c r="O906" s="947">
        <v>44636</v>
      </c>
      <c r="AEE906" s="636">
        <v>44713</v>
      </c>
      <c r="AEF906" s="635">
        <v>91.32</v>
      </c>
      <c r="AEG906" s="635">
        <v>12.334</v>
      </c>
    </row>
    <row r="907" spans="1:813" ht="15.5">
      <c r="A907" s="948">
        <v>44638</v>
      </c>
      <c r="B907" s="947">
        <v>122625</v>
      </c>
      <c r="I907" s="948">
        <v>44616</v>
      </c>
      <c r="J907" s="947">
        <v>56000</v>
      </c>
      <c r="M907" s="948">
        <v>44637</v>
      </c>
      <c r="N907" s="947">
        <v>122625</v>
      </c>
      <c r="O907" s="947">
        <v>44637</v>
      </c>
      <c r="AEE907" s="636">
        <v>44714</v>
      </c>
      <c r="AEF907" s="635">
        <v>95.6</v>
      </c>
      <c r="AEG907" s="635">
        <v>12.911</v>
      </c>
    </row>
    <row r="908" spans="1:813" ht="15.5">
      <c r="A908" s="948">
        <v>44641</v>
      </c>
      <c r="B908" s="947">
        <v>122625</v>
      </c>
      <c r="I908" s="948">
        <v>44617</v>
      </c>
      <c r="J908" s="947">
        <v>57250</v>
      </c>
      <c r="M908" s="948">
        <v>44638</v>
      </c>
      <c r="N908" s="947">
        <v>122625</v>
      </c>
      <c r="O908" s="947">
        <v>44638</v>
      </c>
      <c r="AEE908" s="636">
        <v>44715</v>
      </c>
      <c r="AEF908" s="635">
        <v>86.78</v>
      </c>
      <c r="AEG908" s="635">
        <v>11.72</v>
      </c>
    </row>
    <row r="909" spans="1:813" ht="15.5">
      <c r="A909" s="948">
        <v>44642</v>
      </c>
      <c r="B909" s="947">
        <v>122625</v>
      </c>
      <c r="I909" s="948">
        <v>44620</v>
      </c>
      <c r="J909" s="947">
        <v>57250</v>
      </c>
      <c r="M909" s="948">
        <v>44641</v>
      </c>
      <c r="N909" s="947">
        <v>122625</v>
      </c>
      <c r="O909" s="947">
        <v>44641</v>
      </c>
      <c r="AEE909" s="636">
        <v>44718</v>
      </c>
      <c r="AEF909" s="635">
        <v>88.18</v>
      </c>
      <c r="AEG909" s="635">
        <v>11.907999999999999</v>
      </c>
    </row>
    <row r="910" spans="1:813" ht="15.5">
      <c r="A910" s="948">
        <v>44643</v>
      </c>
      <c r="B910" s="947">
        <v>122625</v>
      </c>
      <c r="I910" s="948">
        <v>44621</v>
      </c>
      <c r="J910" s="947">
        <v>57250</v>
      </c>
      <c r="M910" s="948">
        <v>44642</v>
      </c>
      <c r="N910" s="947">
        <v>122625</v>
      </c>
      <c r="O910" s="947">
        <v>44642</v>
      </c>
      <c r="AEE910" s="636">
        <v>44719</v>
      </c>
      <c r="AEF910" s="635">
        <v>88.4</v>
      </c>
      <c r="AEG910" s="635">
        <v>11.939</v>
      </c>
    </row>
    <row r="911" spans="1:813" ht="15.5">
      <c r="A911" s="948">
        <v>44644</v>
      </c>
      <c r="B911" s="947">
        <v>122625</v>
      </c>
      <c r="I911" s="948">
        <v>44622</v>
      </c>
      <c r="J911" s="947">
        <v>57250</v>
      </c>
      <c r="M911" s="948">
        <v>44643</v>
      </c>
      <c r="N911" s="947">
        <v>122625</v>
      </c>
      <c r="O911" s="947">
        <v>44643</v>
      </c>
      <c r="AEE911" s="636">
        <v>44720</v>
      </c>
      <c r="AEF911" s="635">
        <v>89.5</v>
      </c>
      <c r="AEG911" s="635">
        <v>12.087999999999999</v>
      </c>
    </row>
    <row r="912" spans="1:813" ht="15.5">
      <c r="A912" s="948">
        <v>44645</v>
      </c>
      <c r="B912" s="947">
        <v>122625</v>
      </c>
      <c r="I912" s="948">
        <v>44623</v>
      </c>
      <c r="J912" s="947">
        <v>57250</v>
      </c>
      <c r="M912" s="948">
        <v>44644</v>
      </c>
      <c r="N912" s="947">
        <v>122625</v>
      </c>
      <c r="O912" s="947">
        <v>44644</v>
      </c>
      <c r="AEE912" s="636">
        <v>44721</v>
      </c>
      <c r="AEF912" s="635">
        <v>88.7</v>
      </c>
      <c r="AEG912" s="635">
        <v>11.98</v>
      </c>
    </row>
    <row r="913" spans="1:813" ht="15.5">
      <c r="A913" s="948">
        <v>44648</v>
      </c>
      <c r="B913" s="947">
        <v>122625</v>
      </c>
      <c r="I913" s="948">
        <v>44624</v>
      </c>
      <c r="J913" s="947">
        <v>57250</v>
      </c>
      <c r="M913" s="948">
        <v>44645</v>
      </c>
      <c r="N913" s="947">
        <v>122625</v>
      </c>
      <c r="O913" s="947">
        <v>44645</v>
      </c>
      <c r="AEE913" s="636">
        <v>44722</v>
      </c>
      <c r="AEF913" s="635">
        <v>85.94</v>
      </c>
      <c r="AEG913" s="635">
        <v>11.606</v>
      </c>
    </row>
    <row r="914" spans="1:813" ht="15.5">
      <c r="A914" s="948">
        <v>44649</v>
      </c>
      <c r="B914" s="947">
        <v>122625</v>
      </c>
      <c r="I914" s="948">
        <v>44627</v>
      </c>
      <c r="J914" s="947">
        <v>57250</v>
      </c>
      <c r="M914" s="948">
        <v>44648</v>
      </c>
      <c r="N914" s="947">
        <v>122625</v>
      </c>
      <c r="O914" s="947">
        <v>44648</v>
      </c>
      <c r="AEE914" s="636">
        <v>44725</v>
      </c>
      <c r="AEF914" s="635">
        <v>79.83</v>
      </c>
      <c r="AEG914" s="635">
        <v>10.782</v>
      </c>
    </row>
    <row r="915" spans="1:813" ht="15.5">
      <c r="A915" s="948">
        <v>44650</v>
      </c>
      <c r="B915" s="947">
        <v>122625</v>
      </c>
      <c r="I915" s="948">
        <v>44628</v>
      </c>
      <c r="J915" s="947">
        <v>57250</v>
      </c>
      <c r="M915" s="948">
        <v>44649</v>
      </c>
      <c r="N915" s="947">
        <v>122625</v>
      </c>
      <c r="O915" s="947">
        <v>44649</v>
      </c>
      <c r="AEE915" s="636">
        <v>44726</v>
      </c>
      <c r="AEF915" s="635">
        <v>81.739999999999995</v>
      </c>
      <c r="AEG915" s="635">
        <v>11.039</v>
      </c>
    </row>
    <row r="916" spans="1:813" ht="15.5">
      <c r="A916" s="948">
        <v>44651</v>
      </c>
      <c r="B916" s="947">
        <v>122625</v>
      </c>
      <c r="I916" s="948">
        <v>44629</v>
      </c>
      <c r="J916" s="947">
        <v>57250</v>
      </c>
      <c r="M916" s="948">
        <v>44650</v>
      </c>
      <c r="N916" s="947">
        <v>122625</v>
      </c>
      <c r="O916" s="947">
        <v>44650</v>
      </c>
      <c r="AEE916" s="636">
        <v>44727</v>
      </c>
      <c r="AEF916" s="635">
        <v>86.22</v>
      </c>
      <c r="AEG916" s="635">
        <v>11.644</v>
      </c>
    </row>
    <row r="917" spans="1:813" ht="15.5">
      <c r="A917" s="948">
        <v>44652</v>
      </c>
      <c r="B917" s="947">
        <v>122625</v>
      </c>
      <c r="I917" s="948">
        <v>44630</v>
      </c>
      <c r="J917" s="947">
        <v>57250</v>
      </c>
      <c r="M917" s="948">
        <v>44651</v>
      </c>
      <c r="N917" s="947">
        <v>122625</v>
      </c>
      <c r="O917" s="947">
        <v>44651</v>
      </c>
      <c r="AEE917" s="636">
        <v>44728</v>
      </c>
      <c r="AEF917" s="635">
        <v>78.86</v>
      </c>
      <c r="AEG917" s="635">
        <v>10.65</v>
      </c>
    </row>
    <row r="918" spans="1:813" ht="15.5">
      <c r="A918" s="948">
        <v>44657</v>
      </c>
      <c r="B918" s="947">
        <v>121250</v>
      </c>
      <c r="I918" s="948">
        <v>44631</v>
      </c>
      <c r="J918" s="947">
        <v>57250</v>
      </c>
      <c r="M918" s="948">
        <v>44652</v>
      </c>
      <c r="N918" s="947">
        <v>122625</v>
      </c>
      <c r="O918" s="947">
        <v>44652</v>
      </c>
      <c r="AEE918" s="636">
        <v>44729</v>
      </c>
      <c r="AEF918" s="635">
        <v>80.209999999999994</v>
      </c>
      <c r="AEG918" s="635">
        <v>10.833</v>
      </c>
    </row>
    <row r="919" spans="1:813" ht="15.5">
      <c r="A919" s="948">
        <v>44658</v>
      </c>
      <c r="B919" s="947">
        <v>119375</v>
      </c>
      <c r="I919" s="948">
        <v>44634</v>
      </c>
      <c r="J919" s="947">
        <v>57250</v>
      </c>
      <c r="M919" s="948">
        <v>44657</v>
      </c>
      <c r="N919" s="947">
        <v>121250</v>
      </c>
      <c r="O919" s="947">
        <v>44657</v>
      </c>
      <c r="AEE919" s="636">
        <v>44733</v>
      </c>
      <c r="AEF919" s="635">
        <v>87.72</v>
      </c>
      <c r="AEG919" s="635">
        <v>11.846</v>
      </c>
    </row>
    <row r="920" spans="1:813" ht="15.5">
      <c r="A920" s="948">
        <v>44659</v>
      </c>
      <c r="B920" s="947">
        <v>117125</v>
      </c>
      <c r="I920" s="948">
        <v>44635</v>
      </c>
      <c r="J920" s="947">
        <v>57250</v>
      </c>
      <c r="M920" s="948">
        <v>44658</v>
      </c>
      <c r="N920" s="947">
        <v>119375</v>
      </c>
      <c r="O920" s="947">
        <v>44658</v>
      </c>
      <c r="AEE920" s="636">
        <v>44734</v>
      </c>
      <c r="AEF920" s="635">
        <v>87.36</v>
      </c>
      <c r="AEG920" s="635">
        <v>11.798999999999999</v>
      </c>
    </row>
    <row r="921" spans="1:813" ht="15.5">
      <c r="A921" s="948">
        <v>44662</v>
      </c>
      <c r="B921" s="947">
        <v>116375</v>
      </c>
      <c r="I921" s="948">
        <v>44636</v>
      </c>
      <c r="J921" s="947">
        <v>57250</v>
      </c>
      <c r="M921" s="948">
        <v>44659</v>
      </c>
      <c r="N921" s="947">
        <v>117125</v>
      </c>
      <c r="O921" s="947">
        <v>44659</v>
      </c>
      <c r="AEE921" s="636">
        <v>44735</v>
      </c>
      <c r="AEF921" s="635">
        <v>86.99</v>
      </c>
      <c r="AEG921" s="635">
        <v>11.747999999999999</v>
      </c>
    </row>
    <row r="922" spans="1:813" ht="15.5">
      <c r="A922" s="948">
        <v>44663</v>
      </c>
      <c r="B922" s="947">
        <v>114750</v>
      </c>
      <c r="I922" s="948">
        <v>44637</v>
      </c>
      <c r="J922" s="947">
        <v>57250</v>
      </c>
      <c r="M922" s="948">
        <v>44662</v>
      </c>
      <c r="N922" s="947">
        <v>116375</v>
      </c>
      <c r="O922" s="947">
        <v>44662</v>
      </c>
      <c r="AEE922" s="636">
        <v>44736</v>
      </c>
      <c r="AEF922" s="635">
        <v>90.92</v>
      </c>
      <c r="AEG922" s="635">
        <v>12.28</v>
      </c>
    </row>
    <row r="923" spans="1:813" ht="15.5">
      <c r="A923" s="948">
        <v>44664</v>
      </c>
      <c r="B923" s="947">
        <v>112625</v>
      </c>
      <c r="I923" s="948">
        <v>44638</v>
      </c>
      <c r="J923" s="947">
        <v>57250</v>
      </c>
      <c r="M923" s="948">
        <v>44663</v>
      </c>
      <c r="N923" s="947">
        <v>114750</v>
      </c>
      <c r="O923" s="947">
        <v>44663</v>
      </c>
      <c r="AEE923" s="636">
        <v>44739</v>
      </c>
      <c r="AEF923" s="635">
        <v>90.63</v>
      </c>
      <c r="AEG923" s="635">
        <v>12.24</v>
      </c>
    </row>
    <row r="924" spans="1:813" ht="15.5">
      <c r="A924" s="948">
        <v>44665</v>
      </c>
      <c r="B924" s="947">
        <v>111500</v>
      </c>
      <c r="I924" s="948">
        <v>44641</v>
      </c>
      <c r="J924" s="947">
        <v>57250</v>
      </c>
      <c r="M924" s="948">
        <v>44664</v>
      </c>
      <c r="N924" s="947">
        <v>112625</v>
      </c>
      <c r="O924" s="947">
        <v>44664</v>
      </c>
      <c r="AEE924" s="636">
        <v>44740</v>
      </c>
      <c r="AEF924" s="635">
        <v>86.1</v>
      </c>
      <c r="AEG924" s="635">
        <v>11.628</v>
      </c>
    </row>
    <row r="925" spans="1:813" ht="15.5">
      <c r="A925" s="948">
        <v>44666</v>
      </c>
      <c r="B925" s="947">
        <v>110250</v>
      </c>
      <c r="I925" s="948">
        <v>44642</v>
      </c>
      <c r="J925" s="947">
        <v>57250</v>
      </c>
      <c r="M925" s="948">
        <v>44665</v>
      </c>
      <c r="N925" s="947">
        <v>111500</v>
      </c>
      <c r="O925" s="947">
        <v>44665</v>
      </c>
      <c r="AEE925" s="636">
        <v>44741</v>
      </c>
      <c r="AEF925" s="635">
        <v>84.55</v>
      </c>
      <c r="AEG925" s="635">
        <v>11.419</v>
      </c>
    </row>
    <row r="926" spans="1:813" ht="15.5">
      <c r="A926" s="948">
        <v>44669</v>
      </c>
      <c r="B926" s="947">
        <v>110250</v>
      </c>
      <c r="I926" s="948">
        <v>44643</v>
      </c>
      <c r="J926" s="947">
        <v>57250</v>
      </c>
      <c r="M926" s="948">
        <v>44666</v>
      </c>
      <c r="N926" s="947">
        <v>110250</v>
      </c>
      <c r="O926" s="947">
        <v>44666</v>
      </c>
      <c r="AEE926" s="636">
        <v>44742</v>
      </c>
      <c r="AEF926" s="635">
        <v>83.07</v>
      </c>
      <c r="AEG926" s="635">
        <v>11.218</v>
      </c>
    </row>
    <row r="927" spans="1:813" ht="15.5">
      <c r="A927" s="948">
        <v>44670</v>
      </c>
      <c r="B927" s="947">
        <v>110250</v>
      </c>
      <c r="I927" s="948">
        <v>44644</v>
      </c>
      <c r="J927" s="947">
        <v>57250</v>
      </c>
      <c r="M927" s="948">
        <v>44669</v>
      </c>
      <c r="N927" s="947">
        <v>110250</v>
      </c>
      <c r="O927" s="947">
        <v>44669</v>
      </c>
      <c r="AEE927" s="636">
        <v>44743</v>
      </c>
      <c r="AEF927" s="635">
        <v>84.1</v>
      </c>
      <c r="AEG927" s="635">
        <v>11.358000000000001</v>
      </c>
    </row>
    <row r="928" spans="1:813" ht="15.5">
      <c r="A928" s="948">
        <v>44671</v>
      </c>
      <c r="B928" s="947">
        <v>110250</v>
      </c>
      <c r="I928" s="948">
        <v>44645</v>
      </c>
      <c r="J928" s="947">
        <v>57250</v>
      </c>
      <c r="M928" s="948">
        <v>44670</v>
      </c>
      <c r="N928" s="947">
        <v>110250</v>
      </c>
      <c r="O928" s="947">
        <v>44670</v>
      </c>
      <c r="AEE928" s="636">
        <v>44747</v>
      </c>
      <c r="AEF928" s="635">
        <v>86.25</v>
      </c>
      <c r="AEG928" s="635">
        <v>11.648</v>
      </c>
    </row>
    <row r="929" spans="1:813" ht="15.5">
      <c r="A929" s="948">
        <v>44672</v>
      </c>
      <c r="B929" s="947">
        <v>108125</v>
      </c>
      <c r="I929" s="948">
        <v>44648</v>
      </c>
      <c r="J929" s="947">
        <v>57250</v>
      </c>
      <c r="M929" s="948">
        <v>44671</v>
      </c>
      <c r="N929" s="947">
        <v>110250</v>
      </c>
      <c r="O929" s="947">
        <v>44671</v>
      </c>
      <c r="AEE929" s="636">
        <v>44748</v>
      </c>
      <c r="AEF929" s="635">
        <v>85.75</v>
      </c>
      <c r="AEG929" s="635">
        <v>11.581</v>
      </c>
    </row>
    <row r="930" spans="1:813" ht="15.5">
      <c r="A930" s="948">
        <v>44673</v>
      </c>
      <c r="B930" s="947">
        <v>105500</v>
      </c>
      <c r="I930" s="948">
        <v>44649</v>
      </c>
      <c r="J930" s="947">
        <v>57250</v>
      </c>
      <c r="M930" s="948">
        <v>44672</v>
      </c>
      <c r="N930" s="947">
        <v>108125</v>
      </c>
      <c r="O930" s="947">
        <v>44672</v>
      </c>
      <c r="AEE930" s="636">
        <v>44749</v>
      </c>
      <c r="AEF930" s="635">
        <v>90.49</v>
      </c>
      <c r="AEG930" s="635">
        <v>12.221</v>
      </c>
    </row>
    <row r="931" spans="1:813" ht="15.5">
      <c r="A931" s="948">
        <v>44676</v>
      </c>
      <c r="B931" s="947">
        <v>102875</v>
      </c>
      <c r="I931" s="948">
        <v>44650</v>
      </c>
      <c r="J931" s="947">
        <v>58000</v>
      </c>
      <c r="M931" s="948">
        <v>44673</v>
      </c>
      <c r="N931" s="947">
        <v>105500</v>
      </c>
      <c r="O931" s="947">
        <v>44673</v>
      </c>
      <c r="AEE931" s="636">
        <v>44750</v>
      </c>
      <c r="AEF931" s="635">
        <v>92.79</v>
      </c>
      <c r="AEG931" s="635">
        <v>12.532</v>
      </c>
    </row>
    <row r="932" spans="1:813" ht="15.5">
      <c r="A932" s="948">
        <v>44677</v>
      </c>
      <c r="B932" s="947">
        <v>102875</v>
      </c>
      <c r="I932" s="948">
        <v>44651</v>
      </c>
      <c r="J932" s="947">
        <v>58000</v>
      </c>
      <c r="M932" s="948">
        <v>44676</v>
      </c>
      <c r="N932" s="947">
        <v>102875</v>
      </c>
      <c r="O932" s="947">
        <v>44676</v>
      </c>
      <c r="AEE932" s="636">
        <v>44753</v>
      </c>
      <c r="AEF932" s="635">
        <v>86.72</v>
      </c>
      <c r="AEG932" s="635">
        <v>11.712</v>
      </c>
    </row>
    <row r="933" spans="1:813" ht="15.5">
      <c r="A933" s="948">
        <v>44678</v>
      </c>
      <c r="B933" s="947">
        <v>102875</v>
      </c>
      <c r="I933" s="948">
        <v>44652</v>
      </c>
      <c r="J933" s="947">
        <v>58813</v>
      </c>
      <c r="M933" s="948">
        <v>44677</v>
      </c>
      <c r="N933" s="947">
        <v>102875</v>
      </c>
      <c r="O933" s="947">
        <v>44677</v>
      </c>
      <c r="AEE933" s="636">
        <v>44754</v>
      </c>
      <c r="AEF933" s="635">
        <v>86.25</v>
      </c>
      <c r="AEG933" s="635">
        <v>11.648</v>
      </c>
    </row>
    <row r="934" spans="1:813" ht="15.5">
      <c r="A934" s="948">
        <v>44679</v>
      </c>
      <c r="B934" s="947">
        <v>102875</v>
      </c>
      <c r="I934" s="948">
        <v>44657</v>
      </c>
      <c r="J934" s="947">
        <v>58813</v>
      </c>
      <c r="M934" s="948">
        <v>44678</v>
      </c>
      <c r="N934" s="947">
        <v>102875</v>
      </c>
      <c r="O934" s="947">
        <v>44678</v>
      </c>
      <c r="AEE934" s="636">
        <v>44755</v>
      </c>
      <c r="AEF934" s="635">
        <v>87.72</v>
      </c>
      <c r="AEG934" s="635">
        <v>11.846</v>
      </c>
    </row>
    <row r="935" spans="1:813" ht="15.5">
      <c r="A935" s="948">
        <v>44680</v>
      </c>
      <c r="B935" s="947">
        <v>102875</v>
      </c>
      <c r="I935" s="948">
        <v>44658</v>
      </c>
      <c r="J935" s="947">
        <v>58813</v>
      </c>
      <c r="M935" s="948">
        <v>44679</v>
      </c>
      <c r="N935" s="947">
        <v>102875</v>
      </c>
      <c r="O935" s="947">
        <v>44679</v>
      </c>
      <c r="AEE935" s="636">
        <v>44756</v>
      </c>
      <c r="AEF935" s="635">
        <v>88.19</v>
      </c>
      <c r="AEG935" s="635">
        <v>11.91</v>
      </c>
    </row>
    <row r="936" spans="1:813" ht="15.5">
      <c r="A936" s="948">
        <v>44686</v>
      </c>
      <c r="B936" s="947">
        <v>102875</v>
      </c>
      <c r="I936" s="948">
        <v>44659</v>
      </c>
      <c r="J936" s="947">
        <v>58813</v>
      </c>
      <c r="M936" s="948">
        <v>44680</v>
      </c>
      <c r="N936" s="947">
        <v>102875</v>
      </c>
      <c r="O936" s="947">
        <v>44680</v>
      </c>
      <c r="AEE936" s="636">
        <v>44757</v>
      </c>
      <c r="AEF936" s="635">
        <v>88.84</v>
      </c>
      <c r="AEG936" s="635">
        <v>11.997999999999999</v>
      </c>
    </row>
    <row r="937" spans="1:813" ht="15.5">
      <c r="A937" s="948">
        <v>44687</v>
      </c>
      <c r="B937" s="947">
        <v>102875</v>
      </c>
      <c r="I937" s="948">
        <v>44662</v>
      </c>
      <c r="J937" s="947">
        <v>59875</v>
      </c>
      <c r="M937" s="948">
        <v>44686</v>
      </c>
      <c r="N937" s="947">
        <v>102875</v>
      </c>
      <c r="O937" s="947">
        <v>44686</v>
      </c>
      <c r="AEE937" s="636">
        <v>44760</v>
      </c>
      <c r="AEF937" s="635">
        <v>89.01</v>
      </c>
      <c r="AEG937" s="635">
        <v>12.022</v>
      </c>
    </row>
    <row r="938" spans="1:813" ht="15.5">
      <c r="A938" s="948">
        <v>44690</v>
      </c>
      <c r="B938" s="947">
        <v>102875</v>
      </c>
      <c r="I938" s="948">
        <v>44663</v>
      </c>
      <c r="J938" s="947">
        <v>59875</v>
      </c>
      <c r="M938" s="948">
        <v>44687</v>
      </c>
      <c r="N938" s="947">
        <v>102875</v>
      </c>
      <c r="O938" s="947">
        <v>44687</v>
      </c>
      <c r="AEE938" s="636">
        <v>44761</v>
      </c>
      <c r="AEF938" s="635">
        <v>90.86</v>
      </c>
      <c r="AEG938" s="635">
        <v>12.271000000000001</v>
      </c>
    </row>
    <row r="939" spans="1:813" ht="15.5">
      <c r="A939" s="948">
        <v>44691</v>
      </c>
      <c r="B939" s="947">
        <v>100750</v>
      </c>
      <c r="I939" s="948">
        <v>44664</v>
      </c>
      <c r="J939" s="947">
        <v>59875</v>
      </c>
      <c r="M939" s="948">
        <v>44690</v>
      </c>
      <c r="N939" s="947">
        <v>102875</v>
      </c>
      <c r="O939" s="947">
        <v>44690</v>
      </c>
      <c r="AEE939" s="636">
        <v>44762</v>
      </c>
      <c r="AEF939" s="635">
        <v>80.84</v>
      </c>
      <c r="AEG939" s="635">
        <v>11.452999999999999</v>
      </c>
    </row>
    <row r="940" spans="1:813" ht="15.5">
      <c r="A940" s="948">
        <v>44692</v>
      </c>
      <c r="B940" s="947">
        <v>100750</v>
      </c>
      <c r="I940" s="948">
        <v>44665</v>
      </c>
      <c r="J940" s="947">
        <v>59875</v>
      </c>
      <c r="M940" s="948">
        <v>44691</v>
      </c>
      <c r="N940" s="947">
        <v>100750</v>
      </c>
      <c r="O940" s="947">
        <v>44691</v>
      </c>
      <c r="AEE940" s="636">
        <v>44763</v>
      </c>
      <c r="AEF940" s="635">
        <v>88.74</v>
      </c>
      <c r="AEG940" s="635">
        <v>12.573</v>
      </c>
    </row>
    <row r="941" spans="1:813" ht="15.5">
      <c r="A941" s="948">
        <v>44693</v>
      </c>
      <c r="B941" s="947">
        <v>100750</v>
      </c>
      <c r="I941" s="948">
        <v>44666</v>
      </c>
      <c r="J941" s="947">
        <v>59875</v>
      </c>
      <c r="M941" s="948">
        <v>44692</v>
      </c>
      <c r="N941" s="947">
        <v>100750</v>
      </c>
      <c r="O941" s="947">
        <v>44692</v>
      </c>
      <c r="AEE941" s="636">
        <v>44764</v>
      </c>
      <c r="AEF941" s="635">
        <v>88.92</v>
      </c>
      <c r="AEG941" s="635">
        <v>12.598000000000001</v>
      </c>
    </row>
    <row r="942" spans="1:813" ht="15.5">
      <c r="A942" s="948">
        <v>44694</v>
      </c>
      <c r="B942" s="947">
        <v>100750</v>
      </c>
      <c r="I942" s="948">
        <v>44669</v>
      </c>
      <c r="J942" s="947">
        <v>59875</v>
      </c>
      <c r="M942" s="948">
        <v>44693</v>
      </c>
      <c r="N942" s="947">
        <v>100750</v>
      </c>
      <c r="O942" s="947">
        <v>44693</v>
      </c>
      <c r="AEE942" s="636">
        <v>44767</v>
      </c>
      <c r="AEF942" s="635">
        <v>88.39</v>
      </c>
      <c r="AEG942" s="635">
        <v>12.523</v>
      </c>
    </row>
    <row r="943" spans="1:813" ht="15.5">
      <c r="A943" s="948">
        <v>44697</v>
      </c>
      <c r="B943" s="947">
        <v>100750</v>
      </c>
      <c r="I943" s="948">
        <v>44670</v>
      </c>
      <c r="J943" s="947">
        <v>59875</v>
      </c>
      <c r="M943" s="948">
        <v>44694</v>
      </c>
      <c r="N943" s="947">
        <v>100750</v>
      </c>
      <c r="O943" s="947">
        <v>44694</v>
      </c>
      <c r="AEE943" s="636">
        <v>44768</v>
      </c>
      <c r="AEF943" s="635">
        <v>85.24</v>
      </c>
      <c r="AEG943" s="635">
        <v>12.076000000000001</v>
      </c>
    </row>
    <row r="944" spans="1:813" ht="15.5">
      <c r="A944" s="948">
        <v>44698</v>
      </c>
      <c r="B944" s="947">
        <v>100750</v>
      </c>
      <c r="I944" s="948">
        <v>44671</v>
      </c>
      <c r="J944" s="947">
        <v>59875</v>
      </c>
      <c r="M944" s="948">
        <v>44697</v>
      </c>
      <c r="N944" s="947">
        <v>100750</v>
      </c>
      <c r="O944" s="947">
        <v>44697</v>
      </c>
      <c r="AEE944" s="636">
        <v>44769</v>
      </c>
      <c r="AEF944" s="635">
        <v>90.49</v>
      </c>
      <c r="AEG944" s="635">
        <v>12.821</v>
      </c>
    </row>
    <row r="945" spans="1:813" ht="15.5">
      <c r="A945" s="948">
        <v>44699</v>
      </c>
      <c r="B945" s="947">
        <v>100750</v>
      </c>
      <c r="I945" s="948">
        <v>44672</v>
      </c>
      <c r="J945" s="947">
        <v>59875</v>
      </c>
      <c r="M945" s="948">
        <v>44698</v>
      </c>
      <c r="N945" s="947">
        <v>100750</v>
      </c>
      <c r="O945" s="947">
        <v>44698</v>
      </c>
      <c r="AEE945" s="636">
        <v>44770</v>
      </c>
      <c r="AEF945" s="635">
        <v>92.5</v>
      </c>
      <c r="AEG945" s="635">
        <v>13.105</v>
      </c>
    </row>
    <row r="946" spans="1:813" ht="15.5">
      <c r="A946" s="948">
        <v>44700</v>
      </c>
      <c r="B946" s="947">
        <v>100750</v>
      </c>
      <c r="I946" s="948">
        <v>44673</v>
      </c>
      <c r="J946" s="947">
        <v>59875</v>
      </c>
      <c r="M946" s="948">
        <v>44699</v>
      </c>
      <c r="N946" s="947">
        <v>100750</v>
      </c>
      <c r="O946" s="947">
        <v>44699</v>
      </c>
      <c r="AEE946" s="636">
        <v>44771</v>
      </c>
      <c r="AEF946" s="635">
        <v>97.85</v>
      </c>
      <c r="AEG946" s="635">
        <v>13.863</v>
      </c>
    </row>
    <row r="947" spans="1:813" ht="15.5">
      <c r="A947" s="948">
        <v>44701</v>
      </c>
      <c r="B947" s="947">
        <v>100750</v>
      </c>
      <c r="I947" s="948">
        <v>44676</v>
      </c>
      <c r="J947" s="947">
        <v>59875</v>
      </c>
      <c r="M947" s="948">
        <v>44700</v>
      </c>
      <c r="N947" s="947">
        <v>100750</v>
      </c>
      <c r="O947" s="947">
        <v>44700</v>
      </c>
      <c r="AEE947" s="636">
        <v>44774</v>
      </c>
      <c r="AEF947" s="635">
        <v>97.89</v>
      </c>
      <c r="AEG947" s="635">
        <v>13.869</v>
      </c>
    </row>
    <row r="948" spans="1:813" ht="15.5">
      <c r="A948" s="948">
        <v>44704</v>
      </c>
      <c r="B948" s="947">
        <v>100750</v>
      </c>
      <c r="I948" s="948">
        <v>44677</v>
      </c>
      <c r="J948" s="947">
        <v>59875</v>
      </c>
      <c r="M948" s="948">
        <v>44701</v>
      </c>
      <c r="N948" s="947">
        <v>100750</v>
      </c>
      <c r="O948" s="947">
        <v>44701</v>
      </c>
      <c r="AEE948" s="636">
        <v>44775</v>
      </c>
      <c r="AEF948" s="635">
        <v>98.98</v>
      </c>
      <c r="AEG948" s="635">
        <v>14.023</v>
      </c>
    </row>
    <row r="949" spans="1:813" ht="15.5">
      <c r="A949" s="948">
        <v>44705</v>
      </c>
      <c r="B949" s="947">
        <v>100750</v>
      </c>
      <c r="I949" s="948">
        <v>44678</v>
      </c>
      <c r="J949" s="947">
        <v>59875</v>
      </c>
      <c r="M949" s="948">
        <v>44704</v>
      </c>
      <c r="N949" s="947">
        <v>100750</v>
      </c>
      <c r="O949" s="947">
        <v>44704</v>
      </c>
      <c r="AEE949" s="636">
        <v>44776</v>
      </c>
      <c r="AEF949" s="635">
        <v>101.22</v>
      </c>
      <c r="AEG949" s="635">
        <v>14.340999999999999</v>
      </c>
    </row>
    <row r="950" spans="1:813" ht="15.5">
      <c r="A950" s="948">
        <v>44706</v>
      </c>
      <c r="B950" s="947">
        <v>100750</v>
      </c>
      <c r="I950" s="948">
        <v>44679</v>
      </c>
      <c r="J950" s="947">
        <v>59875</v>
      </c>
      <c r="M950" s="948">
        <v>44705</v>
      </c>
      <c r="N950" s="947">
        <v>100750</v>
      </c>
      <c r="O950" s="947">
        <v>44705</v>
      </c>
      <c r="AEE950" s="636">
        <v>44777</v>
      </c>
      <c r="AEF950" s="635">
        <v>101.63</v>
      </c>
      <c r="AEG950" s="635">
        <v>14.398999999999999</v>
      </c>
    </row>
    <row r="951" spans="1:813" ht="15.5">
      <c r="A951" s="948">
        <v>44707</v>
      </c>
      <c r="B951" s="947">
        <v>100750</v>
      </c>
      <c r="I951" s="948">
        <v>44680</v>
      </c>
      <c r="J951" s="947">
        <v>60375</v>
      </c>
      <c r="M951" s="948">
        <v>44706</v>
      </c>
      <c r="N951" s="947">
        <v>100750</v>
      </c>
      <c r="O951" s="947">
        <v>44706</v>
      </c>
      <c r="AEE951" s="636">
        <v>44778</v>
      </c>
      <c r="AEF951" s="635">
        <v>94.89</v>
      </c>
      <c r="AEG951" s="635">
        <v>13.444000000000001</v>
      </c>
    </row>
    <row r="952" spans="1:813" ht="15.5">
      <c r="A952" s="948">
        <v>44708</v>
      </c>
      <c r="B952" s="947">
        <v>100750</v>
      </c>
      <c r="I952" s="948">
        <v>44686</v>
      </c>
      <c r="J952" s="947">
        <v>60375</v>
      </c>
      <c r="M952" s="948">
        <v>44707</v>
      </c>
      <c r="N952" s="947">
        <v>100750</v>
      </c>
      <c r="O952" s="947">
        <v>44707</v>
      </c>
      <c r="AEE952" s="636">
        <v>44781</v>
      </c>
      <c r="AEF952" s="635">
        <v>95.63</v>
      </c>
      <c r="AEG952" s="635">
        <v>13.548999999999999</v>
      </c>
    </row>
    <row r="953" spans="1:813" ht="15.5">
      <c r="A953" s="948">
        <v>44711</v>
      </c>
      <c r="B953" s="947">
        <v>98250</v>
      </c>
      <c r="I953" s="948">
        <v>44687</v>
      </c>
      <c r="J953" s="947">
        <v>60375</v>
      </c>
      <c r="M953" s="948">
        <v>44708</v>
      </c>
      <c r="N953" s="947">
        <v>100750</v>
      </c>
      <c r="O953" s="947">
        <v>44708</v>
      </c>
      <c r="AEE953" s="636">
        <v>44782</v>
      </c>
      <c r="AEF953" s="635">
        <v>93.3</v>
      </c>
      <c r="AEG953" s="635">
        <v>13.218</v>
      </c>
    </row>
    <row r="954" spans="1:813" ht="15.5">
      <c r="A954" s="948">
        <v>44712</v>
      </c>
      <c r="B954" s="947">
        <v>96000</v>
      </c>
      <c r="I954" s="948">
        <v>44690</v>
      </c>
      <c r="J954" s="947">
        <v>60375</v>
      </c>
      <c r="M954" s="948">
        <v>44711</v>
      </c>
      <c r="N954" s="947">
        <v>98250</v>
      </c>
      <c r="O954" s="947">
        <v>44711</v>
      </c>
      <c r="AEE954" s="636">
        <v>44783</v>
      </c>
      <c r="AEF954" s="635">
        <v>96.93</v>
      </c>
      <c r="AEG954" s="635">
        <v>13.733000000000001</v>
      </c>
    </row>
    <row r="955" spans="1:813" ht="15.5">
      <c r="A955" s="948">
        <v>44713</v>
      </c>
      <c r="B955" s="947">
        <v>95000</v>
      </c>
      <c r="I955" s="948">
        <v>44691</v>
      </c>
      <c r="J955" s="947">
        <v>60375</v>
      </c>
      <c r="M955" s="948">
        <v>44712</v>
      </c>
      <c r="N955" s="947">
        <v>96000</v>
      </c>
      <c r="O955" s="947">
        <v>44712</v>
      </c>
      <c r="AEE955" s="636">
        <v>44784</v>
      </c>
      <c r="AEF955" s="635">
        <v>94.38</v>
      </c>
      <c r="AEG955" s="635">
        <v>13.372</v>
      </c>
    </row>
    <row r="956" spans="1:813" ht="15.5">
      <c r="A956" s="948">
        <v>44714</v>
      </c>
      <c r="B956" s="947">
        <v>95000</v>
      </c>
      <c r="I956" s="948">
        <v>44692</v>
      </c>
      <c r="J956" s="947">
        <v>60375</v>
      </c>
      <c r="M956" s="948">
        <v>44713</v>
      </c>
      <c r="N956" s="947">
        <v>95000</v>
      </c>
      <c r="O956" s="947">
        <v>44713</v>
      </c>
      <c r="AEE956" s="636">
        <v>44785</v>
      </c>
      <c r="AEF956" s="635">
        <v>98.8</v>
      </c>
      <c r="AEG956" s="635">
        <v>13.997</v>
      </c>
    </row>
    <row r="957" spans="1:813" ht="15.5">
      <c r="A957" s="948">
        <v>44718</v>
      </c>
      <c r="B957" s="947">
        <v>92500</v>
      </c>
      <c r="I957" s="948">
        <v>44693</v>
      </c>
      <c r="J957" s="947">
        <v>60375</v>
      </c>
      <c r="M957" s="948">
        <v>44714</v>
      </c>
      <c r="N957" s="947">
        <v>95000</v>
      </c>
      <c r="O957" s="947">
        <v>44714</v>
      </c>
      <c r="AEE957" s="636">
        <v>44788</v>
      </c>
      <c r="AEF957" s="635">
        <v>101.85</v>
      </c>
      <c r="AEG957" s="635">
        <v>14.430999999999999</v>
      </c>
    </row>
    <row r="958" spans="1:813" ht="15.5">
      <c r="A958" s="948">
        <v>44719</v>
      </c>
      <c r="B958" s="947">
        <v>92500</v>
      </c>
      <c r="I958" s="948">
        <v>44694</v>
      </c>
      <c r="J958" s="947">
        <v>60375</v>
      </c>
      <c r="M958" s="948">
        <v>44718</v>
      </c>
      <c r="N958" s="947">
        <v>92500</v>
      </c>
      <c r="O958" s="947">
        <v>44718</v>
      </c>
      <c r="AEE958" s="636">
        <v>44789</v>
      </c>
      <c r="AEF958" s="635">
        <v>100.95</v>
      </c>
      <c r="AEG958" s="635">
        <v>14.302</v>
      </c>
    </row>
    <row r="959" spans="1:813" ht="15.5">
      <c r="A959" s="948">
        <v>44720</v>
      </c>
      <c r="B959" s="947">
        <v>90000</v>
      </c>
      <c r="I959" s="948">
        <v>44697</v>
      </c>
      <c r="J959" s="947">
        <v>60375</v>
      </c>
      <c r="M959" s="948">
        <v>44719</v>
      </c>
      <c r="N959" s="947">
        <v>92500</v>
      </c>
      <c r="O959" s="947">
        <v>44719</v>
      </c>
      <c r="AEE959" s="636">
        <v>44790</v>
      </c>
      <c r="AEF959" s="635">
        <v>100.1</v>
      </c>
      <c r="AEG959" s="635">
        <v>14.182</v>
      </c>
    </row>
    <row r="960" spans="1:813" ht="15.5">
      <c r="A960" s="948">
        <v>44721</v>
      </c>
      <c r="B960" s="947">
        <v>88000</v>
      </c>
      <c r="I960" s="948">
        <v>44698</v>
      </c>
      <c r="J960" s="947">
        <v>60375</v>
      </c>
      <c r="M960" s="948">
        <v>44720</v>
      </c>
      <c r="N960" s="947">
        <v>90000</v>
      </c>
      <c r="O960" s="947">
        <v>44720</v>
      </c>
      <c r="AEE960" s="636">
        <v>44791</v>
      </c>
      <c r="AEF960" s="635">
        <v>99.73</v>
      </c>
      <c r="AEG960" s="635">
        <v>14.13</v>
      </c>
    </row>
    <row r="961" spans="1:813" ht="15.5">
      <c r="A961" s="948">
        <v>44722</v>
      </c>
      <c r="B961" s="947">
        <v>86750</v>
      </c>
      <c r="I961" s="948">
        <v>44699</v>
      </c>
      <c r="J961" s="947">
        <v>60375</v>
      </c>
      <c r="M961" s="948">
        <v>44721</v>
      </c>
      <c r="N961" s="947">
        <v>88000</v>
      </c>
      <c r="O961" s="947">
        <v>44721</v>
      </c>
      <c r="AEE961" s="636">
        <v>44792</v>
      </c>
      <c r="AEF961" s="635">
        <v>97.69</v>
      </c>
      <c r="AEG961" s="635">
        <v>13.84</v>
      </c>
    </row>
    <row r="962" spans="1:813" ht="15.5">
      <c r="A962" s="948">
        <v>44725</v>
      </c>
      <c r="B962" s="947">
        <v>86750</v>
      </c>
      <c r="I962" s="948">
        <v>44700</v>
      </c>
      <c r="J962" s="947">
        <v>60375</v>
      </c>
      <c r="M962" s="948">
        <v>44722</v>
      </c>
      <c r="N962" s="947">
        <v>86750</v>
      </c>
      <c r="O962" s="947">
        <v>44722</v>
      </c>
      <c r="AEE962" s="636">
        <v>44795</v>
      </c>
      <c r="AEF962" s="635">
        <v>95.46</v>
      </c>
      <c r="AEG962" s="635">
        <v>13.525</v>
      </c>
    </row>
    <row r="963" spans="1:813" ht="15.5">
      <c r="A963" s="948">
        <v>44726</v>
      </c>
      <c r="B963" s="947">
        <v>86750</v>
      </c>
      <c r="I963" s="948">
        <v>44701</v>
      </c>
      <c r="J963" s="947">
        <v>60375</v>
      </c>
      <c r="M963" s="948">
        <v>44725</v>
      </c>
      <c r="N963" s="947">
        <v>86750</v>
      </c>
      <c r="O963" s="947">
        <v>44725</v>
      </c>
      <c r="AEE963" s="636">
        <v>44796</v>
      </c>
      <c r="AEF963" s="635">
        <v>97.62</v>
      </c>
      <c r="AEG963" s="635">
        <v>13.83</v>
      </c>
    </row>
    <row r="964" spans="1:813" ht="15.5">
      <c r="A964" s="948">
        <v>44727</v>
      </c>
      <c r="B964" s="947">
        <v>86750</v>
      </c>
      <c r="I964" s="948">
        <v>44704</v>
      </c>
      <c r="J964" s="947">
        <v>60375</v>
      </c>
      <c r="M964" s="948">
        <v>44726</v>
      </c>
      <c r="N964" s="947">
        <v>86750</v>
      </c>
      <c r="O964" s="947">
        <v>44726</v>
      </c>
      <c r="AEE964" s="636">
        <v>44797</v>
      </c>
      <c r="AEF964" s="635">
        <v>97.83</v>
      </c>
      <c r="AEG964" s="635">
        <v>13.86</v>
      </c>
    </row>
    <row r="965" spans="1:813" ht="15.5">
      <c r="A965" s="948">
        <v>44728</v>
      </c>
      <c r="B965" s="947">
        <v>85750</v>
      </c>
      <c r="I965" s="948">
        <v>44705</v>
      </c>
      <c r="J965" s="947">
        <v>60375</v>
      </c>
      <c r="M965" s="948">
        <v>44727</v>
      </c>
      <c r="N965" s="947">
        <v>86750</v>
      </c>
      <c r="O965" s="947">
        <v>44727</v>
      </c>
      <c r="AEE965" s="636">
        <v>44798</v>
      </c>
      <c r="AEF965" s="635">
        <v>97.49</v>
      </c>
      <c r="AEG965" s="635">
        <v>13.811999999999999</v>
      </c>
    </row>
    <row r="966" spans="1:813" ht="15.5">
      <c r="A966" s="948">
        <v>44729</v>
      </c>
      <c r="B966" s="947">
        <v>85750</v>
      </c>
      <c r="I966" s="948">
        <v>44706</v>
      </c>
      <c r="J966" s="947">
        <v>60375</v>
      </c>
      <c r="M966" s="948">
        <v>44728</v>
      </c>
      <c r="N966" s="947">
        <v>85750</v>
      </c>
      <c r="O966" s="947">
        <v>44728</v>
      </c>
      <c r="AEE966" s="636">
        <v>44799</v>
      </c>
      <c r="AEF966" s="635">
        <v>94.86</v>
      </c>
      <c r="AEG966" s="635">
        <v>13.44</v>
      </c>
    </row>
    <row r="967" spans="1:813" ht="15.5">
      <c r="A967" s="948">
        <v>44732</v>
      </c>
      <c r="B967" s="947">
        <v>85750</v>
      </c>
      <c r="I967" s="948">
        <v>44707</v>
      </c>
      <c r="J967" s="947">
        <v>60375</v>
      </c>
      <c r="M967" s="948">
        <v>44729</v>
      </c>
      <c r="N967" s="947">
        <v>85750</v>
      </c>
      <c r="O967" s="947">
        <v>44729</v>
      </c>
      <c r="AEE967" s="636">
        <v>44802</v>
      </c>
      <c r="AEF967" s="635">
        <v>93.79</v>
      </c>
      <c r="AEG967" s="635">
        <v>13.288</v>
      </c>
    </row>
    <row r="968" spans="1:813" ht="15.5">
      <c r="A968" s="948">
        <v>44733</v>
      </c>
      <c r="B968" s="947">
        <v>85750</v>
      </c>
      <c r="I968" s="948">
        <v>44708</v>
      </c>
      <c r="J968" s="947">
        <v>60375</v>
      </c>
      <c r="M968" s="948">
        <v>44732</v>
      </c>
      <c r="N968" s="947">
        <v>85750</v>
      </c>
      <c r="O968" s="947">
        <v>44732</v>
      </c>
      <c r="AEE968" s="636">
        <v>44803</v>
      </c>
      <c r="AEF968" s="635">
        <v>91.44</v>
      </c>
      <c r="AEG968" s="635">
        <v>12.955</v>
      </c>
    </row>
    <row r="969" spans="1:813" ht="15.5">
      <c r="A969" s="948">
        <v>44734</v>
      </c>
      <c r="B969" s="947">
        <v>85750</v>
      </c>
      <c r="I969" s="948">
        <v>44711</v>
      </c>
      <c r="J969" s="947">
        <v>60375</v>
      </c>
      <c r="M969" s="948">
        <v>44733</v>
      </c>
      <c r="N969" s="947">
        <v>85750</v>
      </c>
      <c r="O969" s="947">
        <v>44733</v>
      </c>
      <c r="AEE969" s="636">
        <v>44804</v>
      </c>
      <c r="AEF969" s="635">
        <v>90.75</v>
      </c>
      <c r="AEG969" s="635">
        <v>12.858000000000001</v>
      </c>
    </row>
    <row r="970" spans="1:813" ht="15.5">
      <c r="A970" s="948">
        <v>44735</v>
      </c>
      <c r="B970" s="947">
        <v>85750</v>
      </c>
      <c r="I970" s="948">
        <v>44712</v>
      </c>
      <c r="J970" s="947">
        <v>60375</v>
      </c>
      <c r="M970" s="948">
        <v>44734</v>
      </c>
      <c r="N970" s="947">
        <v>85750</v>
      </c>
      <c r="O970" s="947">
        <v>44734</v>
      </c>
      <c r="AEE970" s="636">
        <v>44805</v>
      </c>
      <c r="AEF970" s="635">
        <v>91.26</v>
      </c>
      <c r="AEG970" s="635">
        <v>12.93</v>
      </c>
    </row>
    <row r="971" spans="1:813" ht="15.5">
      <c r="A971" s="948">
        <v>44736</v>
      </c>
      <c r="B971" s="947">
        <v>85750</v>
      </c>
      <c r="I971" s="948">
        <v>44713</v>
      </c>
      <c r="J971" s="947">
        <v>60375</v>
      </c>
      <c r="M971" s="948">
        <v>44735</v>
      </c>
      <c r="N971" s="947">
        <v>85750</v>
      </c>
      <c r="O971" s="947">
        <v>44735</v>
      </c>
      <c r="AEE971" s="636">
        <v>44806</v>
      </c>
      <c r="AEF971" s="635">
        <v>88.98</v>
      </c>
      <c r="AEG971" s="635">
        <v>12.606</v>
      </c>
    </row>
    <row r="972" spans="1:813" ht="15.5">
      <c r="A972" s="948">
        <v>44739</v>
      </c>
      <c r="B972" s="947">
        <v>85750</v>
      </c>
      <c r="I972" s="948">
        <v>44714</v>
      </c>
      <c r="J972" s="947">
        <v>60375</v>
      </c>
      <c r="M972" s="948">
        <v>44736</v>
      </c>
      <c r="N972" s="947">
        <v>85750</v>
      </c>
      <c r="O972" s="947">
        <v>44736</v>
      </c>
      <c r="AEE972" s="636">
        <v>44810</v>
      </c>
      <c r="AEF972" s="635">
        <v>90.36</v>
      </c>
      <c r="AEG972" s="635">
        <v>12.802</v>
      </c>
    </row>
    <row r="973" spans="1:813" ht="15.5">
      <c r="A973" s="948">
        <v>44740</v>
      </c>
      <c r="B973" s="947">
        <v>85750</v>
      </c>
      <c r="I973" s="948">
        <v>44718</v>
      </c>
      <c r="J973" s="947">
        <v>60375</v>
      </c>
      <c r="M973" s="948">
        <v>44739</v>
      </c>
      <c r="N973" s="947">
        <v>85750</v>
      </c>
      <c r="O973" s="947">
        <v>44739</v>
      </c>
      <c r="AEE973" s="636">
        <v>44811</v>
      </c>
      <c r="AEF973" s="635">
        <v>93.42</v>
      </c>
      <c r="AEG973" s="635">
        <v>13.234999999999999</v>
      </c>
    </row>
    <row r="974" spans="1:813" ht="15.5">
      <c r="A974" s="948">
        <v>44741</v>
      </c>
      <c r="B974" s="947">
        <v>85750</v>
      </c>
      <c r="I974" s="948">
        <v>44719</v>
      </c>
      <c r="J974" s="947">
        <v>60375</v>
      </c>
      <c r="M974" s="948">
        <v>44740</v>
      </c>
      <c r="N974" s="947">
        <v>85750</v>
      </c>
      <c r="O974" s="947">
        <v>44740</v>
      </c>
      <c r="AEE974" s="636">
        <v>44812</v>
      </c>
      <c r="AEF974" s="635">
        <v>95.25</v>
      </c>
      <c r="AEG974" s="635">
        <v>13.494999999999999</v>
      </c>
    </row>
    <row r="975" spans="1:813" ht="15.5">
      <c r="A975" s="948">
        <v>44742</v>
      </c>
      <c r="B975" s="947">
        <v>85750</v>
      </c>
      <c r="I975" s="948">
        <v>44720</v>
      </c>
      <c r="J975" s="947">
        <v>60375</v>
      </c>
      <c r="M975" s="948">
        <v>44741</v>
      </c>
      <c r="N975" s="947">
        <v>85750</v>
      </c>
      <c r="O975" s="947">
        <v>44741</v>
      </c>
      <c r="AEE975" s="636">
        <v>44813</v>
      </c>
      <c r="AEF975" s="635">
        <v>98.68</v>
      </c>
      <c r="AEG975" s="635">
        <v>13.981</v>
      </c>
    </row>
    <row r="976" spans="1:813" ht="15.5">
      <c r="A976" s="948">
        <v>44743</v>
      </c>
      <c r="B976" s="947">
        <v>85750</v>
      </c>
      <c r="I976" s="948">
        <v>44721</v>
      </c>
      <c r="J976" s="947">
        <v>60375</v>
      </c>
      <c r="M976" s="948">
        <v>44742</v>
      </c>
      <c r="N976" s="947">
        <v>85750</v>
      </c>
      <c r="O976" s="947">
        <v>44742</v>
      </c>
      <c r="AEE976" s="636">
        <v>44816</v>
      </c>
      <c r="AEF976" s="635">
        <v>100.24</v>
      </c>
      <c r="AEG976" s="635">
        <v>14.202</v>
      </c>
    </row>
    <row r="977" spans="1:813" ht="15.5">
      <c r="A977" s="948">
        <v>44746</v>
      </c>
      <c r="B977" s="947">
        <v>85750</v>
      </c>
      <c r="I977" s="948">
        <v>44722</v>
      </c>
      <c r="J977" s="947">
        <v>60375</v>
      </c>
      <c r="M977" s="948">
        <v>44743</v>
      </c>
      <c r="N977" s="947">
        <v>85750</v>
      </c>
      <c r="O977" s="947">
        <v>44743</v>
      </c>
      <c r="AEE977" s="636">
        <v>44817</v>
      </c>
      <c r="AEF977" s="635">
        <v>96.19</v>
      </c>
      <c r="AEG977" s="635">
        <v>13.629</v>
      </c>
    </row>
    <row r="978" spans="1:813" ht="15.5">
      <c r="A978" s="948">
        <v>44747</v>
      </c>
      <c r="B978" s="947">
        <v>85750</v>
      </c>
      <c r="I978" s="948">
        <v>44725</v>
      </c>
      <c r="J978" s="947">
        <v>60375</v>
      </c>
      <c r="M978" s="948">
        <v>44746</v>
      </c>
      <c r="N978" s="947">
        <v>85750</v>
      </c>
      <c r="O978" s="947">
        <v>44746</v>
      </c>
      <c r="AEE978" s="636">
        <v>44818</v>
      </c>
      <c r="AEF978" s="635">
        <v>99.65</v>
      </c>
      <c r="AEG978" s="635">
        <v>14.118</v>
      </c>
    </row>
    <row r="979" spans="1:813" ht="15.5">
      <c r="A979" s="948">
        <v>44748</v>
      </c>
      <c r="B979" s="947">
        <v>85750</v>
      </c>
      <c r="I979" s="948">
        <v>44726</v>
      </c>
      <c r="J979" s="947">
        <v>60375</v>
      </c>
      <c r="M979" s="948">
        <v>44747</v>
      </c>
      <c r="N979" s="947">
        <v>85750</v>
      </c>
      <c r="O979" s="947">
        <v>44747</v>
      </c>
      <c r="AEE979" s="636">
        <v>44819</v>
      </c>
      <c r="AEF979" s="635">
        <v>100.02</v>
      </c>
      <c r="AEG979" s="635">
        <v>14.170999999999999</v>
      </c>
    </row>
    <row r="980" spans="1:813" ht="15.5">
      <c r="A980" s="948">
        <v>44749</v>
      </c>
      <c r="B980" s="947">
        <v>85750</v>
      </c>
      <c r="I980" s="948">
        <v>44727</v>
      </c>
      <c r="J980" s="947">
        <v>60375</v>
      </c>
      <c r="M980" s="948">
        <v>44748</v>
      </c>
      <c r="N980" s="947">
        <v>85750</v>
      </c>
      <c r="O980" s="947">
        <v>44748</v>
      </c>
      <c r="AEE980" s="636">
        <v>44820</v>
      </c>
      <c r="AEF980" s="635">
        <v>99.89</v>
      </c>
      <c r="AEG980" s="635">
        <v>14.151999999999999</v>
      </c>
    </row>
    <row r="981" spans="1:813" ht="15.5">
      <c r="A981" s="948">
        <v>44750</v>
      </c>
      <c r="B981" s="947">
        <v>85750</v>
      </c>
      <c r="I981" s="948">
        <v>44728</v>
      </c>
      <c r="J981" s="947">
        <v>60375</v>
      </c>
      <c r="M981" s="948">
        <v>44749</v>
      </c>
      <c r="N981" s="947">
        <v>85750</v>
      </c>
      <c r="O981" s="947">
        <v>44749</v>
      </c>
      <c r="AEE981" s="636">
        <v>44823</v>
      </c>
      <c r="AEF981" s="635">
        <v>101.77</v>
      </c>
      <c r="AEG981" s="635">
        <v>14.419</v>
      </c>
    </row>
    <row r="982" spans="1:813" ht="15.5">
      <c r="A982" s="948">
        <v>44753</v>
      </c>
      <c r="B982" s="947">
        <v>85750</v>
      </c>
      <c r="I982" s="948">
        <v>44729</v>
      </c>
      <c r="J982" s="947">
        <v>60375</v>
      </c>
      <c r="M982" s="948">
        <v>44750</v>
      </c>
      <c r="N982" s="947">
        <v>85750</v>
      </c>
      <c r="O982" s="947">
        <v>44750</v>
      </c>
      <c r="AEE982" s="636">
        <v>44824</v>
      </c>
      <c r="AEF982" s="635">
        <v>101.66</v>
      </c>
      <c r="AEG982" s="635">
        <v>14.403</v>
      </c>
    </row>
    <row r="983" spans="1:813" ht="15.5">
      <c r="A983" s="948">
        <v>44754</v>
      </c>
      <c r="B983" s="947">
        <v>85750</v>
      </c>
      <c r="I983" s="948">
        <v>44732</v>
      </c>
      <c r="J983" s="947">
        <v>60375</v>
      </c>
      <c r="M983" s="948">
        <v>44753</v>
      </c>
      <c r="N983" s="947">
        <v>85750</v>
      </c>
      <c r="O983" s="947">
        <v>44753</v>
      </c>
      <c r="AEE983" s="636">
        <v>44825</v>
      </c>
      <c r="AEF983" s="635">
        <v>99.05</v>
      </c>
      <c r="AEG983" s="635">
        <v>14.032999999999999</v>
      </c>
    </row>
    <row r="984" spans="1:813" ht="15.5">
      <c r="A984" s="948">
        <v>44755</v>
      </c>
      <c r="B984" s="947">
        <v>85750</v>
      </c>
      <c r="I984" s="948">
        <v>44733</v>
      </c>
      <c r="J984" s="947">
        <v>60375</v>
      </c>
      <c r="M984" s="948">
        <v>44754</v>
      </c>
      <c r="N984" s="947">
        <v>85750</v>
      </c>
      <c r="O984" s="947">
        <v>44754</v>
      </c>
      <c r="AEE984" s="636">
        <v>44826</v>
      </c>
      <c r="AEF984" s="635">
        <v>95.03</v>
      </c>
      <c r="AEG984" s="635">
        <v>13.462999999999999</v>
      </c>
    </row>
    <row r="985" spans="1:813" ht="15.5">
      <c r="A985" s="948">
        <v>44756</v>
      </c>
      <c r="B985" s="947">
        <v>85750</v>
      </c>
      <c r="I985" s="948">
        <v>44734</v>
      </c>
      <c r="J985" s="947">
        <v>60375</v>
      </c>
      <c r="M985" s="948">
        <v>44755</v>
      </c>
      <c r="N985" s="947">
        <v>85750</v>
      </c>
      <c r="O985" s="947">
        <v>44755</v>
      </c>
      <c r="AEE985" s="636">
        <v>44827</v>
      </c>
      <c r="AEF985" s="635">
        <v>90.66</v>
      </c>
      <c r="AEG985" s="635">
        <v>12.845000000000001</v>
      </c>
    </row>
    <row r="986" spans="1:813" ht="15.5">
      <c r="A986" s="948">
        <v>44757</v>
      </c>
      <c r="B986" s="947">
        <v>85750</v>
      </c>
      <c r="I986" s="948">
        <v>44735</v>
      </c>
      <c r="J986" s="947">
        <v>60375</v>
      </c>
      <c r="M986" s="948">
        <v>44756</v>
      </c>
      <c r="N986" s="947">
        <v>85750</v>
      </c>
      <c r="O986" s="947">
        <v>44756</v>
      </c>
      <c r="AEE986" s="636">
        <v>44830</v>
      </c>
      <c r="AEF986" s="635">
        <v>90.89</v>
      </c>
      <c r="AEG986" s="635">
        <v>12.877000000000001</v>
      </c>
    </row>
    <row r="987" spans="1:813" ht="15.5">
      <c r="A987" s="948">
        <v>44760</v>
      </c>
      <c r="B987" s="947">
        <v>85750</v>
      </c>
      <c r="I987" s="948">
        <v>44736</v>
      </c>
      <c r="J987" s="947">
        <v>60375</v>
      </c>
      <c r="M987" s="948">
        <v>44757</v>
      </c>
      <c r="N987" s="947">
        <v>85750</v>
      </c>
      <c r="O987" s="947">
        <v>44757</v>
      </c>
      <c r="AEE987" s="636">
        <v>44831</v>
      </c>
      <c r="AEF987" s="635">
        <v>93.17</v>
      </c>
      <c r="AEG987" s="635">
        <v>13.2</v>
      </c>
    </row>
    <row r="988" spans="1:813" ht="15.5">
      <c r="A988" s="948">
        <v>44761</v>
      </c>
      <c r="B988" s="947">
        <v>85750</v>
      </c>
      <c r="I988" s="948">
        <v>44739</v>
      </c>
      <c r="J988" s="947">
        <v>60375</v>
      </c>
      <c r="M988" s="948">
        <v>44760</v>
      </c>
      <c r="N988" s="947">
        <v>85750</v>
      </c>
      <c r="O988" s="947">
        <v>44760</v>
      </c>
      <c r="AEE988" s="636">
        <v>44832</v>
      </c>
      <c r="AEF988" s="635">
        <v>94.77</v>
      </c>
      <c r="AEG988" s="635">
        <v>13.427</v>
      </c>
    </row>
    <row r="989" spans="1:813" ht="15.5">
      <c r="A989" s="948">
        <v>44762</v>
      </c>
      <c r="B989" s="947">
        <v>85750</v>
      </c>
      <c r="I989" s="948">
        <v>44740</v>
      </c>
      <c r="J989" s="947">
        <v>60375</v>
      </c>
      <c r="M989" s="948">
        <v>44761</v>
      </c>
      <c r="N989" s="947">
        <v>85750</v>
      </c>
      <c r="O989" s="947">
        <v>44761</v>
      </c>
      <c r="AEE989" s="636">
        <v>44833</v>
      </c>
      <c r="AEF989" s="635">
        <v>88.32</v>
      </c>
      <c r="AEG989" s="635">
        <v>12.513</v>
      </c>
    </row>
    <row r="990" spans="1:813" ht="15.5">
      <c r="A990" s="948">
        <v>44763</v>
      </c>
      <c r="B990" s="947">
        <v>84000</v>
      </c>
      <c r="I990" s="948">
        <v>44741</v>
      </c>
      <c r="J990" s="947">
        <v>60375</v>
      </c>
      <c r="M990" s="948">
        <v>44762</v>
      </c>
      <c r="N990" s="947">
        <v>85750</v>
      </c>
      <c r="O990" s="947">
        <v>44762</v>
      </c>
      <c r="AEE990" s="636">
        <v>44834</v>
      </c>
      <c r="AEF990" s="635">
        <v>87.34</v>
      </c>
      <c r="AEG990" s="635">
        <v>12.375</v>
      </c>
    </row>
    <row r="991" spans="1:813" ht="15.5">
      <c r="A991" s="948">
        <v>44764</v>
      </c>
      <c r="B991" s="947">
        <v>84000</v>
      </c>
      <c r="I991" s="948">
        <v>44742</v>
      </c>
      <c r="J991" s="947">
        <v>60375</v>
      </c>
      <c r="M991" s="948">
        <v>44763</v>
      </c>
      <c r="N991" s="947">
        <v>84000</v>
      </c>
      <c r="O991" s="947">
        <v>44763</v>
      </c>
      <c r="AEE991" s="636">
        <v>44837</v>
      </c>
      <c r="AEF991" s="635">
        <v>79.819999999999993</v>
      </c>
      <c r="AEG991" s="635">
        <v>11.308999999999999</v>
      </c>
    </row>
    <row r="992" spans="1:813" ht="15.5">
      <c r="A992" s="948">
        <v>44767</v>
      </c>
      <c r="B992" s="947">
        <v>84000</v>
      </c>
      <c r="I992" s="948">
        <v>44743</v>
      </c>
      <c r="J992" s="947">
        <v>60375</v>
      </c>
      <c r="M992" s="948">
        <v>44764</v>
      </c>
      <c r="N992" s="947">
        <v>84000</v>
      </c>
      <c r="O992" s="947">
        <v>44764</v>
      </c>
      <c r="AEE992" s="636">
        <v>44838</v>
      </c>
      <c r="AEF992" s="635">
        <v>82.14</v>
      </c>
      <c r="AEG992" s="635">
        <v>11.637</v>
      </c>
    </row>
    <row r="993" spans="1:813" ht="15.5">
      <c r="A993" s="948">
        <v>44768</v>
      </c>
      <c r="B993" s="947">
        <v>84000</v>
      </c>
      <c r="I993" s="948">
        <v>44746</v>
      </c>
      <c r="J993" s="947">
        <v>60375</v>
      </c>
      <c r="M993" s="948">
        <v>44767</v>
      </c>
      <c r="N993" s="947">
        <v>84000</v>
      </c>
      <c r="O993" s="947">
        <v>44767</v>
      </c>
      <c r="AEE993" s="636">
        <v>44839</v>
      </c>
      <c r="AEF993" s="635">
        <v>79.3</v>
      </c>
      <c r="AEG993" s="635">
        <v>11.234</v>
      </c>
    </row>
    <row r="994" spans="1:813" ht="15.5">
      <c r="A994" s="948">
        <v>44769</v>
      </c>
      <c r="B994" s="947">
        <v>84000</v>
      </c>
      <c r="I994" s="948">
        <v>44747</v>
      </c>
      <c r="J994" s="947">
        <v>60375</v>
      </c>
      <c r="M994" s="948">
        <v>44768</v>
      </c>
      <c r="N994" s="947">
        <v>84000</v>
      </c>
      <c r="O994" s="947">
        <v>44768</v>
      </c>
      <c r="AEE994" s="636">
        <v>44840</v>
      </c>
      <c r="AEF994" s="635">
        <v>78.41</v>
      </c>
      <c r="AEG994" s="635">
        <v>11.109</v>
      </c>
    </row>
    <row r="995" spans="1:813" ht="15.5">
      <c r="A995" s="948">
        <v>44770</v>
      </c>
      <c r="B995" s="947">
        <v>84000</v>
      </c>
      <c r="I995" s="948">
        <v>44748</v>
      </c>
      <c r="J995" s="947">
        <v>60375</v>
      </c>
      <c r="M995" s="948">
        <v>44769</v>
      </c>
      <c r="N995" s="947">
        <v>84000</v>
      </c>
      <c r="O995" s="947">
        <v>44769</v>
      </c>
      <c r="AEE995" s="636">
        <v>44841</v>
      </c>
      <c r="AEF995" s="635">
        <v>73.45</v>
      </c>
      <c r="AEG995" s="635">
        <v>10.407</v>
      </c>
    </row>
    <row r="996" spans="1:813" ht="15.5">
      <c r="A996" s="948">
        <v>44771</v>
      </c>
      <c r="B996" s="947">
        <v>84000</v>
      </c>
      <c r="I996" s="948">
        <v>44749</v>
      </c>
      <c r="J996" s="947">
        <v>60375</v>
      </c>
      <c r="M996" s="948">
        <v>44770</v>
      </c>
      <c r="N996" s="947">
        <v>84000</v>
      </c>
      <c r="O996" s="947">
        <v>44770</v>
      </c>
      <c r="AEE996" s="636">
        <v>44844</v>
      </c>
      <c r="AEF996" s="635">
        <v>73.42</v>
      </c>
      <c r="AEG996" s="635">
        <v>10.401999999999999</v>
      </c>
    </row>
    <row r="997" spans="1:813" ht="15.5">
      <c r="A997" s="948">
        <v>44774</v>
      </c>
      <c r="B997" s="947">
        <v>84000</v>
      </c>
      <c r="I997" s="948">
        <v>44750</v>
      </c>
      <c r="J997" s="947">
        <v>60375</v>
      </c>
      <c r="M997" s="948">
        <v>44771</v>
      </c>
      <c r="N997" s="947">
        <v>84000</v>
      </c>
      <c r="O997" s="947">
        <v>44771</v>
      </c>
      <c r="AEE997" s="636">
        <v>44845</v>
      </c>
      <c r="AEF997" s="635">
        <v>71.290000000000006</v>
      </c>
      <c r="AEG997" s="635">
        <v>10.1</v>
      </c>
    </row>
    <row r="998" spans="1:813" ht="15.5">
      <c r="A998" s="948">
        <v>44775</v>
      </c>
      <c r="B998" s="947">
        <v>84000</v>
      </c>
      <c r="I998" s="948">
        <v>44753</v>
      </c>
      <c r="J998" s="947">
        <v>60375</v>
      </c>
      <c r="M998" s="948">
        <v>44774</v>
      </c>
      <c r="N998" s="947">
        <v>84000</v>
      </c>
      <c r="O998" s="947">
        <v>44774</v>
      </c>
      <c r="AEE998" s="636">
        <v>44846</v>
      </c>
      <c r="AEF998" s="635">
        <v>71.53</v>
      </c>
      <c r="AEG998" s="635">
        <v>10.135</v>
      </c>
    </row>
    <row r="999" spans="1:813" ht="15.5">
      <c r="A999" s="948">
        <v>44776</v>
      </c>
      <c r="B999" s="947">
        <v>84000</v>
      </c>
      <c r="I999" s="948">
        <v>44754</v>
      </c>
      <c r="J999" s="947">
        <v>60375</v>
      </c>
      <c r="M999" s="948">
        <v>44775</v>
      </c>
      <c r="N999" s="947">
        <v>84000</v>
      </c>
      <c r="O999" s="947">
        <v>44775</v>
      </c>
      <c r="AEE999" s="636">
        <v>44847</v>
      </c>
      <c r="AEF999" s="635">
        <v>73.010000000000005</v>
      </c>
      <c r="AEG999" s="635">
        <v>10.343999999999999</v>
      </c>
    </row>
    <row r="1000" spans="1:813" ht="15.5">
      <c r="A1000" s="948">
        <v>44777</v>
      </c>
      <c r="B1000" s="947">
        <v>84000</v>
      </c>
      <c r="I1000" s="948">
        <v>44755</v>
      </c>
      <c r="J1000" s="947">
        <v>60375</v>
      </c>
      <c r="M1000" s="948">
        <v>44776</v>
      </c>
      <c r="N1000" s="947">
        <v>84000</v>
      </c>
      <c r="O1000" s="947">
        <v>44776</v>
      </c>
      <c r="AEE1000" s="636">
        <v>44848</v>
      </c>
      <c r="AEF1000" s="635">
        <v>67.5</v>
      </c>
      <c r="AEG1000" s="635">
        <v>9.5630000000000006</v>
      </c>
    </row>
    <row r="1001" spans="1:813" ht="15.5">
      <c r="A1001" s="948">
        <v>44778</v>
      </c>
      <c r="B1001" s="947">
        <v>84000</v>
      </c>
      <c r="I1001" s="948">
        <v>44756</v>
      </c>
      <c r="J1001" s="947">
        <v>60375</v>
      </c>
      <c r="M1001" s="948">
        <v>44777</v>
      </c>
      <c r="N1001" s="947">
        <v>84000</v>
      </c>
      <c r="O1001" s="947">
        <v>44777</v>
      </c>
      <c r="AEE1001" s="636">
        <v>44851</v>
      </c>
      <c r="AEF1001" s="635">
        <v>72.23</v>
      </c>
      <c r="AEG1001" s="635">
        <v>10.233000000000001</v>
      </c>
    </row>
    <row r="1002" spans="1:813" ht="15.5">
      <c r="A1002" s="948">
        <v>44781</v>
      </c>
      <c r="B1002" s="947">
        <v>84000</v>
      </c>
      <c r="I1002" s="948">
        <v>44757</v>
      </c>
      <c r="J1002" s="947">
        <v>60375</v>
      </c>
      <c r="M1002" s="948">
        <v>44778</v>
      </c>
      <c r="N1002" s="947">
        <v>84000</v>
      </c>
      <c r="O1002" s="947">
        <v>44778</v>
      </c>
      <c r="AEE1002" s="636">
        <v>44852</v>
      </c>
      <c r="AEF1002" s="635">
        <v>72.510000000000005</v>
      </c>
      <c r="AEG1002" s="635">
        <v>10.272</v>
      </c>
    </row>
    <row r="1003" spans="1:813" ht="15.5">
      <c r="A1003" s="948">
        <v>44782</v>
      </c>
      <c r="B1003" s="947">
        <v>84000</v>
      </c>
      <c r="I1003" s="948">
        <v>44760</v>
      </c>
      <c r="J1003" s="947">
        <v>60375</v>
      </c>
      <c r="M1003" s="948">
        <v>44781</v>
      </c>
      <c r="N1003" s="947">
        <v>84000</v>
      </c>
      <c r="O1003" s="947">
        <v>44781</v>
      </c>
      <c r="AEE1003" s="636">
        <v>44853</v>
      </c>
      <c r="AEF1003" s="635">
        <v>62.18</v>
      </c>
      <c r="AEG1003" s="635">
        <v>9.2940000000000005</v>
      </c>
    </row>
    <row r="1004" spans="1:813" ht="15.5">
      <c r="A1004" s="948">
        <v>44783</v>
      </c>
      <c r="B1004" s="947">
        <v>84000</v>
      </c>
      <c r="I1004" s="948">
        <v>44761</v>
      </c>
      <c r="J1004" s="947">
        <v>60375</v>
      </c>
      <c r="M1004" s="948">
        <v>44782</v>
      </c>
      <c r="N1004" s="947">
        <v>84000</v>
      </c>
      <c r="O1004" s="947">
        <v>44782</v>
      </c>
      <c r="AEE1004" s="636">
        <v>44854</v>
      </c>
      <c r="AEF1004" s="635">
        <v>58.04</v>
      </c>
      <c r="AEG1004" s="635">
        <v>8.6760000000000002</v>
      </c>
    </row>
    <row r="1005" spans="1:813" ht="15.5">
      <c r="A1005" s="948">
        <v>44784</v>
      </c>
      <c r="B1005" s="947">
        <v>84000</v>
      </c>
      <c r="I1005" s="948">
        <v>44762</v>
      </c>
      <c r="J1005" s="947">
        <v>60375</v>
      </c>
      <c r="M1005" s="948">
        <v>44783</v>
      </c>
      <c r="N1005" s="947">
        <v>84000</v>
      </c>
      <c r="O1005" s="947">
        <v>44783</v>
      </c>
      <c r="AEE1005" s="636">
        <v>44855</v>
      </c>
      <c r="AEF1005" s="635">
        <v>60.05</v>
      </c>
      <c r="AEG1005" s="635">
        <v>8.9760000000000009</v>
      </c>
    </row>
    <row r="1006" spans="1:813" ht="15.5">
      <c r="A1006" s="948">
        <v>44785</v>
      </c>
      <c r="B1006" s="947">
        <v>81750</v>
      </c>
      <c r="I1006" s="948">
        <v>44763</v>
      </c>
      <c r="J1006" s="947">
        <v>60375</v>
      </c>
      <c r="M1006" s="948">
        <v>44784</v>
      </c>
      <c r="N1006" s="947">
        <v>84000</v>
      </c>
      <c r="O1006" s="947">
        <v>44784</v>
      </c>
      <c r="AEE1006" s="636">
        <v>44858</v>
      </c>
      <c r="AEF1006" s="635">
        <v>59.61</v>
      </c>
      <c r="AEG1006" s="635">
        <v>8.9109999999999996</v>
      </c>
    </row>
    <row r="1007" spans="1:813" ht="15.5">
      <c r="A1007" s="948">
        <v>44788</v>
      </c>
      <c r="B1007" s="947">
        <v>81750</v>
      </c>
      <c r="I1007" s="948">
        <v>44764</v>
      </c>
      <c r="J1007" s="947">
        <v>60375</v>
      </c>
      <c r="M1007" s="948">
        <v>44785</v>
      </c>
      <c r="N1007" s="947">
        <v>81750</v>
      </c>
      <c r="O1007" s="947">
        <v>44785</v>
      </c>
      <c r="AEE1007" s="636">
        <v>44859</v>
      </c>
      <c r="AEF1007" s="635">
        <v>62.76</v>
      </c>
      <c r="AEG1007" s="635">
        <v>9.3819999999999997</v>
      </c>
    </row>
    <row r="1008" spans="1:813" ht="15.5">
      <c r="A1008" s="948">
        <v>44789</v>
      </c>
      <c r="B1008" s="947">
        <v>81750</v>
      </c>
      <c r="I1008" s="948">
        <v>44767</v>
      </c>
      <c r="J1008" s="947">
        <v>60375</v>
      </c>
      <c r="M1008" s="948">
        <v>44788</v>
      </c>
      <c r="N1008" s="947">
        <v>81750</v>
      </c>
      <c r="O1008" s="947">
        <v>44788</v>
      </c>
      <c r="AEE1008" s="636">
        <v>44860</v>
      </c>
      <c r="AEF1008" s="635">
        <v>63.39</v>
      </c>
      <c r="AEG1008" s="635">
        <v>9.4749999999999996</v>
      </c>
    </row>
    <row r="1009" spans="1:813" ht="15.5">
      <c r="A1009" s="948">
        <v>44790</v>
      </c>
      <c r="B1009" s="947">
        <v>81750</v>
      </c>
      <c r="I1009" s="948">
        <v>44768</v>
      </c>
      <c r="J1009" s="947">
        <v>60375</v>
      </c>
      <c r="M1009" s="948">
        <v>44789</v>
      </c>
      <c r="N1009" s="947">
        <v>81750</v>
      </c>
      <c r="O1009" s="947">
        <v>44789</v>
      </c>
      <c r="AEE1009" s="636">
        <v>44861</v>
      </c>
      <c r="AEF1009" s="635">
        <v>63.52</v>
      </c>
      <c r="AEG1009" s="635">
        <v>9.4939999999999998</v>
      </c>
    </row>
    <row r="1010" spans="1:813" ht="15.5">
      <c r="A1010" s="948">
        <v>44791</v>
      </c>
      <c r="B1010" s="947">
        <v>81750</v>
      </c>
      <c r="I1010" s="948">
        <v>44769</v>
      </c>
      <c r="J1010" s="947">
        <v>60375</v>
      </c>
      <c r="M1010" s="948">
        <v>44790</v>
      </c>
      <c r="N1010" s="947">
        <v>81750</v>
      </c>
      <c r="O1010" s="947">
        <v>44790</v>
      </c>
      <c r="AEE1010" s="636">
        <v>44862</v>
      </c>
      <c r="AEF1010" s="635">
        <v>64.489999999999995</v>
      </c>
      <c r="AEG1010" s="635">
        <v>9.6389999999999993</v>
      </c>
    </row>
    <row r="1011" spans="1:813" ht="15.5">
      <c r="A1011" s="948">
        <v>44792</v>
      </c>
      <c r="B1011" s="947">
        <v>81750</v>
      </c>
      <c r="I1011" s="948">
        <v>44770</v>
      </c>
      <c r="J1011" s="947">
        <v>60375</v>
      </c>
      <c r="M1011" s="948">
        <v>44791</v>
      </c>
      <c r="N1011" s="947">
        <v>81750</v>
      </c>
      <c r="O1011" s="947">
        <v>44791</v>
      </c>
      <c r="AEE1011" s="636">
        <v>44865</v>
      </c>
      <c r="AEF1011" s="635">
        <v>64.209999999999994</v>
      </c>
      <c r="AEG1011" s="635">
        <v>9.5980000000000008</v>
      </c>
    </row>
    <row r="1012" spans="1:813" ht="15.5">
      <c r="A1012" s="948">
        <v>44795</v>
      </c>
      <c r="B1012" s="947">
        <v>81750</v>
      </c>
      <c r="I1012" s="948">
        <v>44771</v>
      </c>
      <c r="J1012" s="947">
        <v>60375</v>
      </c>
      <c r="M1012" s="948">
        <v>44792</v>
      </c>
      <c r="N1012" s="947">
        <v>81750</v>
      </c>
      <c r="O1012" s="947">
        <v>44792</v>
      </c>
      <c r="AEE1012" s="636">
        <v>44866</v>
      </c>
      <c r="AEF1012" s="635">
        <v>64.290000000000006</v>
      </c>
      <c r="AEG1012" s="635">
        <v>9.61</v>
      </c>
    </row>
    <row r="1013" spans="1:813" ht="15.5">
      <c r="A1013" s="948">
        <v>44796</v>
      </c>
      <c r="B1013" s="947">
        <v>81750</v>
      </c>
      <c r="I1013" s="948">
        <v>44774</v>
      </c>
      <c r="J1013" s="947">
        <v>60375</v>
      </c>
      <c r="M1013" s="948">
        <v>44795</v>
      </c>
      <c r="N1013" s="947">
        <v>81750</v>
      </c>
      <c r="O1013" s="947">
        <v>44795</v>
      </c>
      <c r="AEE1013" s="636">
        <v>44867</v>
      </c>
      <c r="AEF1013" s="635">
        <v>60.67</v>
      </c>
      <c r="AEG1013" s="635">
        <v>9.0679999999999996</v>
      </c>
    </row>
    <row r="1014" spans="1:813" ht="15.5">
      <c r="A1014" s="948">
        <v>44797</v>
      </c>
      <c r="B1014" s="947">
        <v>81750</v>
      </c>
      <c r="I1014" s="948">
        <v>44775</v>
      </c>
      <c r="J1014" s="947">
        <v>60375</v>
      </c>
      <c r="M1014" s="948">
        <v>44796</v>
      </c>
      <c r="N1014" s="947">
        <v>81750</v>
      </c>
      <c r="O1014" s="947">
        <v>44796</v>
      </c>
      <c r="AEE1014" s="636">
        <v>44868</v>
      </c>
      <c r="AEF1014" s="635">
        <v>60.76</v>
      </c>
      <c r="AEG1014" s="635">
        <v>9.0820000000000007</v>
      </c>
    </row>
    <row r="1015" spans="1:813" ht="15.5">
      <c r="A1015" s="948">
        <v>44798</v>
      </c>
      <c r="B1015" s="947">
        <v>81750</v>
      </c>
      <c r="I1015" s="948">
        <v>44776</v>
      </c>
      <c r="J1015" s="947">
        <v>60375</v>
      </c>
      <c r="M1015" s="948">
        <v>44797</v>
      </c>
      <c r="N1015" s="947">
        <v>81750</v>
      </c>
      <c r="O1015" s="947">
        <v>44797</v>
      </c>
      <c r="AEE1015" s="636">
        <v>44869</v>
      </c>
      <c r="AEF1015" s="635">
        <v>58.55</v>
      </c>
      <c r="AEG1015" s="635">
        <v>8.7509999999999994</v>
      </c>
    </row>
    <row r="1016" spans="1:813" ht="15.5">
      <c r="A1016" s="948">
        <v>44799</v>
      </c>
      <c r="B1016" s="947">
        <v>81750</v>
      </c>
      <c r="I1016" s="948">
        <v>44777</v>
      </c>
      <c r="J1016" s="947">
        <v>60375</v>
      </c>
      <c r="M1016" s="948">
        <v>44798</v>
      </c>
      <c r="N1016" s="947">
        <v>81750</v>
      </c>
      <c r="O1016" s="947">
        <v>44798</v>
      </c>
      <c r="AEE1016" s="636">
        <v>44872</v>
      </c>
      <c r="AEF1016" s="635">
        <v>55.62</v>
      </c>
      <c r="AEG1016" s="635">
        <v>8.3130000000000006</v>
      </c>
    </row>
    <row r="1017" spans="1:813" ht="15.5">
      <c r="A1017" s="948">
        <v>44802</v>
      </c>
      <c r="B1017" s="947">
        <v>81750</v>
      </c>
      <c r="I1017" s="948">
        <v>44778</v>
      </c>
      <c r="J1017" s="947">
        <v>60375</v>
      </c>
      <c r="M1017" s="948">
        <v>44799</v>
      </c>
      <c r="N1017" s="947">
        <v>81750</v>
      </c>
      <c r="O1017" s="947">
        <v>44799</v>
      </c>
      <c r="AEE1017" s="636">
        <v>44873</v>
      </c>
      <c r="AEF1017" s="635">
        <v>53.98</v>
      </c>
      <c r="AEG1017" s="635">
        <v>8.0690000000000008</v>
      </c>
    </row>
    <row r="1018" spans="1:813" ht="15.5">
      <c r="A1018" s="948">
        <v>44803</v>
      </c>
      <c r="B1018" s="947">
        <v>81750</v>
      </c>
      <c r="I1018" s="948">
        <v>44781</v>
      </c>
      <c r="J1018" s="947">
        <v>60375</v>
      </c>
      <c r="M1018" s="948">
        <v>44802</v>
      </c>
      <c r="N1018" s="947">
        <v>81750</v>
      </c>
      <c r="O1018" s="947">
        <v>44802</v>
      </c>
      <c r="AEE1018" s="636">
        <v>44874</v>
      </c>
      <c r="AEF1018" s="635">
        <v>50.12</v>
      </c>
      <c r="AEG1018" s="635">
        <v>7.4909999999999997</v>
      </c>
    </row>
    <row r="1019" spans="1:813" ht="15.5">
      <c r="A1019" s="948">
        <v>44804</v>
      </c>
      <c r="B1019" s="947">
        <v>81750</v>
      </c>
      <c r="I1019" s="948">
        <v>44782</v>
      </c>
      <c r="J1019" s="947">
        <v>60375</v>
      </c>
      <c r="M1019" s="948">
        <v>44803</v>
      </c>
      <c r="N1019" s="947">
        <v>81750</v>
      </c>
      <c r="O1019" s="947">
        <v>44803</v>
      </c>
      <c r="AEE1019" s="636">
        <v>44875</v>
      </c>
      <c r="AEF1019" s="635">
        <v>53.82</v>
      </c>
      <c r="AEG1019" s="635">
        <v>8.0449999999999999</v>
      </c>
    </row>
    <row r="1020" spans="1:813" ht="15.5">
      <c r="A1020" s="948">
        <v>44805</v>
      </c>
      <c r="B1020" s="947">
        <v>81750</v>
      </c>
      <c r="I1020" s="948">
        <v>44783</v>
      </c>
      <c r="J1020" s="947">
        <v>60375</v>
      </c>
      <c r="M1020" s="948">
        <v>44804</v>
      </c>
      <c r="N1020" s="947">
        <v>81750</v>
      </c>
      <c r="O1020" s="947">
        <v>44804</v>
      </c>
      <c r="AEE1020" s="636">
        <v>44876</v>
      </c>
      <c r="AEF1020" s="635">
        <v>55.3</v>
      </c>
      <c r="AEG1020" s="635">
        <v>8.266</v>
      </c>
    </row>
    <row r="1021" spans="1:813" ht="15.5">
      <c r="A1021" s="948">
        <v>44806</v>
      </c>
      <c r="B1021" s="947">
        <v>81750</v>
      </c>
      <c r="I1021" s="948">
        <v>44784</v>
      </c>
      <c r="J1021" s="947">
        <v>60375</v>
      </c>
      <c r="M1021" s="948">
        <v>44805</v>
      </c>
      <c r="N1021" s="947">
        <v>81750</v>
      </c>
      <c r="O1021" s="947">
        <v>44805</v>
      </c>
      <c r="AEE1021" s="636">
        <v>44879</v>
      </c>
      <c r="AEF1021" s="635">
        <v>53.89</v>
      </c>
      <c r="AEG1021" s="635">
        <v>8.0540000000000003</v>
      </c>
    </row>
    <row r="1022" spans="1:813" ht="15.5">
      <c r="A1022" s="948">
        <v>44809</v>
      </c>
      <c r="B1022" s="947">
        <v>81750</v>
      </c>
      <c r="I1022" s="948">
        <v>44785</v>
      </c>
      <c r="J1022" s="947">
        <v>60375</v>
      </c>
      <c r="M1022" s="948">
        <v>44806</v>
      </c>
      <c r="N1022" s="947">
        <v>81750</v>
      </c>
      <c r="O1022" s="947">
        <v>44806</v>
      </c>
      <c r="AEE1022" s="636">
        <v>44880</v>
      </c>
      <c r="AEF1022" s="635">
        <v>54.86</v>
      </c>
      <c r="AEG1022" s="635">
        <v>8.2010000000000005</v>
      </c>
    </row>
    <row r="1023" spans="1:813" ht="15.5">
      <c r="A1023" s="948">
        <v>44810</v>
      </c>
      <c r="B1023" s="947">
        <v>81750</v>
      </c>
      <c r="I1023" s="948">
        <v>44788</v>
      </c>
      <c r="J1023" s="947">
        <v>60375</v>
      </c>
      <c r="M1023" s="948">
        <v>44809</v>
      </c>
      <c r="N1023" s="947">
        <v>81750</v>
      </c>
      <c r="O1023" s="947">
        <v>44809</v>
      </c>
      <c r="AEE1023" s="636">
        <v>44881</v>
      </c>
      <c r="AEF1023" s="635">
        <v>52.75</v>
      </c>
      <c r="AEG1023" s="635">
        <v>7.8840000000000003</v>
      </c>
    </row>
    <row r="1024" spans="1:813" ht="15.5">
      <c r="A1024" s="948">
        <v>44811</v>
      </c>
      <c r="B1024" s="947">
        <v>81750</v>
      </c>
      <c r="I1024" s="948">
        <v>44789</v>
      </c>
      <c r="J1024" s="947">
        <v>60375</v>
      </c>
      <c r="M1024" s="948">
        <v>44810</v>
      </c>
      <c r="N1024" s="947">
        <v>81750</v>
      </c>
      <c r="O1024" s="947">
        <v>44810</v>
      </c>
      <c r="AEE1024" s="636">
        <v>44882</v>
      </c>
      <c r="AEF1024" s="635">
        <v>51.69</v>
      </c>
      <c r="AEG1024" s="635">
        <v>7.726</v>
      </c>
    </row>
    <row r="1025" spans="1:813" ht="15.5">
      <c r="A1025" s="948">
        <v>44812</v>
      </c>
      <c r="B1025" s="947">
        <v>81750</v>
      </c>
      <c r="I1025" s="948">
        <v>44790</v>
      </c>
      <c r="J1025" s="947">
        <v>60375</v>
      </c>
      <c r="M1025" s="948">
        <v>44811</v>
      </c>
      <c r="N1025" s="947">
        <v>81750</v>
      </c>
      <c r="O1025" s="947">
        <v>44811</v>
      </c>
      <c r="AEE1025" s="636">
        <v>44883</v>
      </c>
      <c r="AEF1025" s="635">
        <v>50.85</v>
      </c>
      <c r="AEG1025" s="635">
        <v>7.6</v>
      </c>
    </row>
    <row r="1026" spans="1:813" ht="15.5">
      <c r="A1026" s="948">
        <v>44813</v>
      </c>
      <c r="B1026" s="947">
        <v>81000</v>
      </c>
      <c r="I1026" s="948">
        <v>44791</v>
      </c>
      <c r="J1026" s="947">
        <v>60375</v>
      </c>
      <c r="M1026" s="948">
        <v>44812</v>
      </c>
      <c r="N1026" s="947">
        <v>81750</v>
      </c>
      <c r="O1026" s="947">
        <v>44812</v>
      </c>
      <c r="AEE1026" s="636">
        <v>44886</v>
      </c>
      <c r="AEF1026" s="635">
        <v>47.37</v>
      </c>
      <c r="AEG1026" s="635">
        <v>7.0810000000000004</v>
      </c>
    </row>
    <row r="1027" spans="1:813" ht="15.5">
      <c r="A1027" s="948">
        <v>44817</v>
      </c>
      <c r="B1027" s="947">
        <v>81000</v>
      </c>
      <c r="I1027" s="948">
        <v>44792</v>
      </c>
      <c r="J1027" s="947">
        <v>60375</v>
      </c>
      <c r="M1027" s="948">
        <v>44813</v>
      </c>
      <c r="N1027" s="947">
        <v>81000</v>
      </c>
      <c r="O1027" s="947">
        <v>44813</v>
      </c>
      <c r="AEE1027" s="636">
        <v>44887</v>
      </c>
      <c r="AEF1027" s="635">
        <v>47.95</v>
      </c>
      <c r="AEG1027" s="635">
        <v>7.1669999999999998</v>
      </c>
    </row>
    <row r="1028" spans="1:813" ht="15.5">
      <c r="A1028" s="948">
        <v>44818</v>
      </c>
      <c r="B1028" s="947">
        <v>81000</v>
      </c>
      <c r="I1028" s="948">
        <v>44795</v>
      </c>
      <c r="J1028" s="947">
        <v>60375</v>
      </c>
      <c r="M1028" s="948">
        <v>44817</v>
      </c>
      <c r="N1028" s="947">
        <v>81000</v>
      </c>
      <c r="O1028" s="947">
        <v>44817</v>
      </c>
      <c r="AEE1028" s="636">
        <v>44888</v>
      </c>
      <c r="AEF1028" s="635">
        <v>51.7</v>
      </c>
      <c r="AEG1028" s="635">
        <v>7.7270000000000003</v>
      </c>
    </row>
    <row r="1029" spans="1:813" ht="15.5">
      <c r="A1029" s="948">
        <v>44819</v>
      </c>
      <c r="B1029" s="947">
        <v>81000</v>
      </c>
      <c r="I1029" s="948">
        <v>44796</v>
      </c>
      <c r="J1029" s="947">
        <v>60375</v>
      </c>
      <c r="M1029" s="948">
        <v>44818</v>
      </c>
      <c r="N1029" s="947">
        <v>81000</v>
      </c>
      <c r="O1029" s="947">
        <v>44818</v>
      </c>
      <c r="AEE1029" s="636">
        <v>44890</v>
      </c>
      <c r="AEF1029" s="635">
        <v>51.6</v>
      </c>
      <c r="AEG1029" s="635">
        <v>7.7130000000000001</v>
      </c>
    </row>
    <row r="1030" spans="1:813" ht="15.5">
      <c r="A1030" s="948">
        <v>44820</v>
      </c>
      <c r="B1030" s="947">
        <v>81000</v>
      </c>
      <c r="I1030" s="948">
        <v>44797</v>
      </c>
      <c r="J1030" s="947">
        <v>60375</v>
      </c>
      <c r="M1030" s="948">
        <v>44819</v>
      </c>
      <c r="N1030" s="947">
        <v>81000</v>
      </c>
      <c r="O1030" s="947">
        <v>44819</v>
      </c>
      <c r="AEE1030" s="636">
        <v>44893</v>
      </c>
      <c r="AEF1030" s="635">
        <v>51.62</v>
      </c>
      <c r="AEG1030" s="635">
        <v>7.7160000000000002</v>
      </c>
    </row>
    <row r="1031" spans="1:813" ht="15.5">
      <c r="A1031" s="948">
        <v>44823</v>
      </c>
      <c r="B1031" s="947">
        <v>81000</v>
      </c>
      <c r="I1031" s="948">
        <v>44798</v>
      </c>
      <c r="J1031" s="947">
        <v>60375</v>
      </c>
      <c r="M1031" s="948">
        <v>44820</v>
      </c>
      <c r="N1031" s="947">
        <v>81000</v>
      </c>
      <c r="O1031" s="947">
        <v>44820</v>
      </c>
      <c r="AEE1031" s="636">
        <v>44894</v>
      </c>
      <c r="AEF1031" s="635">
        <v>51.03</v>
      </c>
      <c r="AEG1031" s="635">
        <v>7.6269999999999998</v>
      </c>
    </row>
    <row r="1032" spans="1:813" ht="15.5">
      <c r="A1032" s="948">
        <v>44824</v>
      </c>
      <c r="B1032" s="947">
        <v>81000</v>
      </c>
      <c r="I1032" s="948">
        <v>44799</v>
      </c>
      <c r="J1032" s="947">
        <v>60375</v>
      </c>
      <c r="M1032" s="948">
        <v>44823</v>
      </c>
      <c r="N1032" s="947">
        <v>81000</v>
      </c>
      <c r="O1032" s="947">
        <v>44823</v>
      </c>
      <c r="AEE1032" s="636">
        <v>44895</v>
      </c>
      <c r="AEF1032" s="635">
        <v>54.94</v>
      </c>
      <c r="AEG1032" s="635">
        <v>8.2129999999999992</v>
      </c>
    </row>
    <row r="1033" spans="1:813" ht="15.5">
      <c r="A1033" s="948">
        <v>44825</v>
      </c>
      <c r="B1033" s="947">
        <v>81000</v>
      </c>
      <c r="I1033" s="948">
        <v>44802</v>
      </c>
      <c r="J1033" s="947">
        <v>60375</v>
      </c>
      <c r="M1033" s="948">
        <v>44824</v>
      </c>
      <c r="N1033" s="947">
        <v>81000</v>
      </c>
      <c r="O1033" s="947">
        <v>44824</v>
      </c>
      <c r="AEE1033" s="636">
        <v>44896</v>
      </c>
      <c r="AEF1033" s="635">
        <v>54.94</v>
      </c>
      <c r="AEG1033" s="635">
        <v>8.2129999999999992</v>
      </c>
    </row>
    <row r="1034" spans="1:813" ht="15.5">
      <c r="A1034" s="948">
        <v>44826</v>
      </c>
      <c r="B1034" s="947">
        <v>81000</v>
      </c>
      <c r="I1034" s="948">
        <v>44803</v>
      </c>
      <c r="J1034" s="947">
        <v>60375</v>
      </c>
      <c r="M1034" s="948">
        <v>44825</v>
      </c>
      <c r="N1034" s="947">
        <v>81000</v>
      </c>
      <c r="O1034" s="947">
        <v>44825</v>
      </c>
      <c r="AEE1034" s="636">
        <v>44897</v>
      </c>
      <c r="AEF1034" s="635">
        <v>54.99</v>
      </c>
      <c r="AEG1034" s="635">
        <v>8.2189999999999994</v>
      </c>
    </row>
    <row r="1035" spans="1:813" ht="15.5">
      <c r="A1035" s="948">
        <v>44827</v>
      </c>
      <c r="B1035" s="947">
        <v>81000</v>
      </c>
      <c r="I1035" s="948">
        <v>44804</v>
      </c>
      <c r="J1035" s="947">
        <v>60375</v>
      </c>
      <c r="M1035" s="948">
        <v>44826</v>
      </c>
      <c r="N1035" s="947">
        <v>81000</v>
      </c>
      <c r="O1035" s="947">
        <v>44826</v>
      </c>
      <c r="AEE1035" s="636">
        <v>44900</v>
      </c>
      <c r="AEF1035" s="635">
        <v>51.49</v>
      </c>
      <c r="AEG1035" s="635">
        <v>7.6959999999999997</v>
      </c>
    </row>
    <row r="1036" spans="1:813" ht="15.5">
      <c r="A1036" s="948">
        <v>44830</v>
      </c>
      <c r="B1036" s="947">
        <v>81000</v>
      </c>
      <c r="I1036" s="948">
        <v>44805</v>
      </c>
      <c r="J1036" s="947">
        <v>60375</v>
      </c>
      <c r="M1036" s="948">
        <v>44827</v>
      </c>
      <c r="N1036" s="947">
        <v>81000</v>
      </c>
      <c r="O1036" s="947">
        <v>44827</v>
      </c>
      <c r="AEE1036" s="636">
        <v>44901</v>
      </c>
      <c r="AEF1036" s="635">
        <v>50.74</v>
      </c>
      <c r="AEG1036" s="635">
        <v>7.585</v>
      </c>
    </row>
    <row r="1037" spans="1:813" ht="15.5">
      <c r="A1037" s="948">
        <v>44831</v>
      </c>
      <c r="B1037" s="947">
        <v>81500</v>
      </c>
      <c r="I1037" s="948">
        <v>44806</v>
      </c>
      <c r="J1037" s="947">
        <v>60375</v>
      </c>
      <c r="M1037" s="948">
        <v>44830</v>
      </c>
      <c r="N1037" s="947">
        <v>81000</v>
      </c>
      <c r="O1037" s="947">
        <v>44830</v>
      </c>
      <c r="AEE1037" s="636">
        <v>44902</v>
      </c>
      <c r="AEF1037" s="635">
        <v>49.11</v>
      </c>
      <c r="AEG1037" s="635">
        <v>7.3410000000000002</v>
      </c>
    </row>
    <row r="1038" spans="1:813" ht="15.5">
      <c r="A1038" s="948">
        <v>44832</v>
      </c>
      <c r="B1038" s="947">
        <v>81500</v>
      </c>
      <c r="I1038" s="948">
        <v>44809</v>
      </c>
      <c r="J1038" s="947">
        <v>60375</v>
      </c>
      <c r="M1038" s="948">
        <v>44831</v>
      </c>
      <c r="N1038" s="947">
        <v>81500</v>
      </c>
      <c r="O1038" s="947">
        <v>44831</v>
      </c>
      <c r="AEE1038" s="636">
        <v>44903</v>
      </c>
      <c r="AEF1038" s="635">
        <v>48.94</v>
      </c>
      <c r="AEG1038" s="635">
        <v>7.3159999999999998</v>
      </c>
    </row>
    <row r="1039" spans="1:813" ht="15.5">
      <c r="A1039" s="948">
        <v>44833</v>
      </c>
      <c r="B1039" s="947">
        <v>81500</v>
      </c>
      <c r="I1039" s="948">
        <v>44810</v>
      </c>
      <c r="J1039" s="947">
        <v>60375</v>
      </c>
      <c r="M1039" s="948">
        <v>44832</v>
      </c>
      <c r="N1039" s="947">
        <v>81500</v>
      </c>
      <c r="O1039" s="947">
        <v>44832</v>
      </c>
      <c r="AEE1039" s="636">
        <v>44904</v>
      </c>
      <c r="AEF1039" s="635">
        <v>50.53</v>
      </c>
      <c r="AEG1039" s="635">
        <v>7.5519999999999996</v>
      </c>
    </row>
    <row r="1040" spans="1:813" ht="15.5">
      <c r="A1040" s="948">
        <v>44834</v>
      </c>
      <c r="B1040" s="947">
        <v>81500</v>
      </c>
      <c r="I1040" s="948">
        <v>44811</v>
      </c>
      <c r="J1040" s="947">
        <v>60375</v>
      </c>
      <c r="M1040" s="948">
        <v>44833</v>
      </c>
      <c r="N1040" s="947">
        <v>81500</v>
      </c>
      <c r="O1040" s="947">
        <v>44833</v>
      </c>
      <c r="AEE1040" s="636">
        <v>44907</v>
      </c>
      <c r="AEF1040" s="635">
        <v>47.36</v>
      </c>
      <c r="AEG1040" s="635">
        <v>7.0789999999999997</v>
      </c>
    </row>
    <row r="1041" spans="1:813" ht="15.5">
      <c r="A1041" s="948">
        <v>44844</v>
      </c>
      <c r="B1041" s="947">
        <v>81500</v>
      </c>
      <c r="I1041" s="948">
        <v>44812</v>
      </c>
      <c r="J1041" s="947">
        <v>60375</v>
      </c>
      <c r="M1041" s="948">
        <v>44834</v>
      </c>
      <c r="N1041" s="947">
        <v>81500</v>
      </c>
      <c r="O1041" s="947">
        <v>44834</v>
      </c>
      <c r="AEE1041" s="636">
        <v>44908</v>
      </c>
      <c r="AEF1041" s="635">
        <v>45.42</v>
      </c>
      <c r="AEG1041" s="635">
        <v>6.7889999999999997</v>
      </c>
    </row>
    <row r="1042" spans="1:813" ht="15.5">
      <c r="A1042" s="948">
        <v>44845</v>
      </c>
      <c r="B1042" s="947">
        <v>81500</v>
      </c>
      <c r="I1042" s="948">
        <v>44813</v>
      </c>
      <c r="J1042" s="947">
        <v>60375</v>
      </c>
      <c r="M1042" s="948">
        <v>44844</v>
      </c>
      <c r="N1042" s="947">
        <v>81500</v>
      </c>
      <c r="O1042" s="947">
        <v>44844</v>
      </c>
      <c r="AEE1042" s="636">
        <v>44909</v>
      </c>
      <c r="AEF1042" s="635">
        <v>44.25</v>
      </c>
      <c r="AEG1042" s="635">
        <v>6.6139999999999999</v>
      </c>
    </row>
    <row r="1043" spans="1:813" ht="15.5">
      <c r="A1043" s="948">
        <v>44846</v>
      </c>
      <c r="B1043" s="947">
        <v>82250</v>
      </c>
      <c r="I1043" s="948">
        <v>44817</v>
      </c>
      <c r="J1043" s="947">
        <v>60375</v>
      </c>
      <c r="M1043" s="948">
        <v>44845</v>
      </c>
      <c r="N1043" s="947">
        <v>81500</v>
      </c>
      <c r="O1043" s="947">
        <v>44845</v>
      </c>
      <c r="AEE1043" s="636">
        <v>44910</v>
      </c>
      <c r="AEF1043" s="635">
        <v>44.49</v>
      </c>
      <c r="AEG1043" s="635">
        <v>6.6509999999999998</v>
      </c>
    </row>
    <row r="1044" spans="1:813" ht="15.5">
      <c r="A1044" s="948">
        <v>44847</v>
      </c>
      <c r="B1044" s="947">
        <v>82250</v>
      </c>
      <c r="I1044" s="948">
        <v>44818</v>
      </c>
      <c r="J1044" s="947">
        <v>60375</v>
      </c>
      <c r="M1044" s="948">
        <v>44846</v>
      </c>
      <c r="N1044" s="947">
        <v>82250</v>
      </c>
      <c r="O1044" s="947">
        <v>44846</v>
      </c>
      <c r="AEE1044" s="636">
        <v>44911</v>
      </c>
      <c r="AEF1044" s="635">
        <v>42.39</v>
      </c>
      <c r="AEG1044" s="635">
        <v>6.3369999999999997</v>
      </c>
    </row>
    <row r="1045" spans="1:813" ht="15.5">
      <c r="A1045" s="948">
        <v>44848</v>
      </c>
      <c r="B1045" s="947">
        <v>82250</v>
      </c>
      <c r="I1045" s="948">
        <v>44819</v>
      </c>
      <c r="J1045" s="947">
        <v>60375</v>
      </c>
      <c r="M1045" s="948">
        <v>44847</v>
      </c>
      <c r="N1045" s="947">
        <v>82250</v>
      </c>
      <c r="O1045" s="947">
        <v>44847</v>
      </c>
      <c r="AEE1045" s="636">
        <v>44914</v>
      </c>
      <c r="AEF1045" s="635">
        <v>42.29</v>
      </c>
      <c r="AEG1045" s="635">
        <v>6.3220000000000001</v>
      </c>
    </row>
    <row r="1046" spans="1:813" ht="15.5">
      <c r="A1046" s="948">
        <v>44851</v>
      </c>
      <c r="B1046" s="947">
        <v>82250</v>
      </c>
      <c r="I1046" s="948">
        <v>44820</v>
      </c>
      <c r="J1046" s="947">
        <v>60375</v>
      </c>
      <c r="M1046" s="948">
        <v>44848</v>
      </c>
      <c r="N1046" s="947">
        <v>82250</v>
      </c>
      <c r="O1046" s="947">
        <v>44848</v>
      </c>
      <c r="AEE1046" s="636">
        <v>44915</v>
      </c>
      <c r="AEF1046" s="635">
        <v>38.89</v>
      </c>
      <c r="AEG1046" s="635">
        <v>5.8120000000000003</v>
      </c>
    </row>
    <row r="1047" spans="1:813" ht="15.5">
      <c r="A1047" s="948">
        <v>44852</v>
      </c>
      <c r="B1047" s="947">
        <v>82250</v>
      </c>
      <c r="I1047" s="948">
        <v>44823</v>
      </c>
      <c r="J1047" s="947">
        <v>60375</v>
      </c>
      <c r="M1047" s="948">
        <v>44851</v>
      </c>
      <c r="N1047" s="947">
        <v>82250</v>
      </c>
      <c r="O1047" s="947">
        <v>44851</v>
      </c>
      <c r="AEE1047" s="636">
        <v>44916</v>
      </c>
      <c r="AEF1047" s="635">
        <v>38.82</v>
      </c>
      <c r="AEG1047" s="635">
        <v>5.8029999999999999</v>
      </c>
    </row>
    <row r="1048" spans="1:813" ht="15.5">
      <c r="A1048" s="948">
        <v>44853</v>
      </c>
      <c r="B1048" s="947">
        <v>82250</v>
      </c>
      <c r="I1048" s="948">
        <v>44824</v>
      </c>
      <c r="J1048" s="947">
        <v>60375</v>
      </c>
      <c r="M1048" s="948">
        <v>44852</v>
      </c>
      <c r="N1048" s="947">
        <v>82250</v>
      </c>
      <c r="O1048" s="947">
        <v>44852</v>
      </c>
      <c r="AEE1048" s="636">
        <v>44917</v>
      </c>
      <c r="AEF1048" s="635">
        <v>35.369999999999997</v>
      </c>
      <c r="AEG1048" s="635">
        <v>5.2869999999999999</v>
      </c>
    </row>
    <row r="1049" spans="1:813" ht="15.5">
      <c r="A1049" s="948">
        <v>44854</v>
      </c>
      <c r="B1049" s="947">
        <v>82250</v>
      </c>
      <c r="I1049" s="948">
        <v>44825</v>
      </c>
      <c r="J1049" s="947">
        <v>60375</v>
      </c>
      <c r="M1049" s="948">
        <v>44853</v>
      </c>
      <c r="N1049" s="947">
        <v>82250</v>
      </c>
      <c r="O1049" s="947">
        <v>44853</v>
      </c>
      <c r="AEE1049" s="636">
        <v>44918</v>
      </c>
      <c r="AEF1049" s="635">
        <v>34.75</v>
      </c>
      <c r="AEG1049" s="635">
        <v>5.1950000000000003</v>
      </c>
    </row>
    <row r="1050" spans="1:813" ht="15.5">
      <c r="A1050" s="948">
        <v>44855</v>
      </c>
      <c r="B1050" s="947">
        <v>82250</v>
      </c>
      <c r="I1050" s="948">
        <v>44826</v>
      </c>
      <c r="J1050" s="947">
        <v>60375</v>
      </c>
      <c r="M1050" s="948">
        <v>44854</v>
      </c>
      <c r="N1050" s="947">
        <v>82250</v>
      </c>
      <c r="O1050" s="947">
        <v>44854</v>
      </c>
      <c r="AEE1050" s="636">
        <v>44922</v>
      </c>
      <c r="AEF1050" s="635">
        <v>30.79</v>
      </c>
      <c r="AEG1050" s="635">
        <v>4.6020000000000003</v>
      </c>
    </row>
    <row r="1051" spans="1:813" ht="15.5">
      <c r="A1051" s="948">
        <v>44858</v>
      </c>
      <c r="B1051" s="947">
        <v>82250</v>
      </c>
      <c r="I1051" s="948">
        <v>44827</v>
      </c>
      <c r="J1051" s="947">
        <v>60375</v>
      </c>
      <c r="M1051" s="948">
        <v>44855</v>
      </c>
      <c r="N1051" s="947">
        <v>82250</v>
      </c>
      <c r="O1051" s="947">
        <v>44855</v>
      </c>
      <c r="AEE1051" s="636">
        <v>44923</v>
      </c>
      <c r="AEF1051" s="635">
        <v>31.81</v>
      </c>
      <c r="AEG1051" s="635">
        <v>4.7539999999999996</v>
      </c>
    </row>
    <row r="1052" spans="1:813" ht="15.5">
      <c r="A1052" s="948">
        <v>44859</v>
      </c>
      <c r="B1052" s="947">
        <v>82250</v>
      </c>
      <c r="I1052" s="948">
        <v>44830</v>
      </c>
      <c r="J1052" s="947">
        <v>60375</v>
      </c>
      <c r="M1052" s="948">
        <v>44858</v>
      </c>
      <c r="N1052" s="947">
        <v>82250</v>
      </c>
      <c r="O1052" s="947">
        <v>44858</v>
      </c>
      <c r="AEE1052" s="636">
        <v>44924</v>
      </c>
      <c r="AEF1052" s="635">
        <v>34.380000000000003</v>
      </c>
      <c r="AEG1052" s="635">
        <v>5.1379999999999999</v>
      </c>
    </row>
    <row r="1053" spans="1:813" ht="15.5">
      <c r="A1053" s="948">
        <v>44860</v>
      </c>
      <c r="B1053" s="947">
        <v>82250</v>
      </c>
      <c r="I1053" s="948">
        <v>44831</v>
      </c>
      <c r="J1053" s="947">
        <v>60375</v>
      </c>
      <c r="M1053" s="948">
        <v>44859</v>
      </c>
      <c r="N1053" s="947">
        <v>82250</v>
      </c>
      <c r="O1053" s="947">
        <v>44859</v>
      </c>
      <c r="AEE1053" s="636">
        <v>44925</v>
      </c>
      <c r="AEF1053" s="635">
        <v>34.76</v>
      </c>
      <c r="AEG1053" s="635">
        <v>5.1959999999999997</v>
      </c>
    </row>
    <row r="1054" spans="1:813" ht="15.5">
      <c r="A1054" s="948">
        <v>44861</v>
      </c>
      <c r="B1054" s="947">
        <v>82250</v>
      </c>
      <c r="I1054" s="948">
        <v>44832</v>
      </c>
      <c r="J1054" s="947">
        <v>60375</v>
      </c>
      <c r="M1054" s="948">
        <v>44860</v>
      </c>
      <c r="N1054" s="947">
        <v>82250</v>
      </c>
      <c r="O1054" s="947">
        <v>44860</v>
      </c>
      <c r="AEE1054" s="636">
        <v>44929</v>
      </c>
      <c r="AEF1054" s="635">
        <v>30.51</v>
      </c>
      <c r="AEG1054" s="635">
        <v>4.5599999999999996</v>
      </c>
    </row>
    <row r="1055" spans="1:813" ht="15.5">
      <c r="A1055" s="948">
        <v>44862</v>
      </c>
      <c r="B1055" s="947">
        <v>82250</v>
      </c>
      <c r="I1055" s="948">
        <v>44833</v>
      </c>
      <c r="J1055" s="947">
        <v>60375</v>
      </c>
      <c r="M1055" s="948">
        <v>44861</v>
      </c>
      <c r="N1055" s="947">
        <v>82250</v>
      </c>
      <c r="O1055" s="947">
        <v>44861</v>
      </c>
      <c r="AEE1055" s="636">
        <v>44930</v>
      </c>
      <c r="AEF1055" s="635">
        <v>32.07</v>
      </c>
      <c r="AEG1055" s="635">
        <v>4.7930000000000001</v>
      </c>
    </row>
    <row r="1056" spans="1:813" ht="15.5">
      <c r="A1056" s="948">
        <v>44865</v>
      </c>
      <c r="B1056" s="947">
        <v>82250</v>
      </c>
      <c r="I1056" s="948">
        <v>44834</v>
      </c>
      <c r="J1056" s="947">
        <v>60375</v>
      </c>
      <c r="M1056" s="948">
        <v>44862</v>
      </c>
      <c r="N1056" s="947">
        <v>82250</v>
      </c>
      <c r="O1056" s="947">
        <v>44862</v>
      </c>
      <c r="AEE1056" s="636">
        <v>44931</v>
      </c>
      <c r="AEF1056" s="635">
        <v>31.14</v>
      </c>
      <c r="AEG1056" s="635">
        <v>4.6539999999999999</v>
      </c>
    </row>
    <row r="1057" spans="1:813" ht="15.5">
      <c r="A1057" s="948">
        <v>44866</v>
      </c>
      <c r="B1057" s="947">
        <v>82250</v>
      </c>
      <c r="I1057" s="948">
        <v>44844</v>
      </c>
      <c r="J1057" s="947">
        <v>60375</v>
      </c>
      <c r="M1057" s="948">
        <v>44865</v>
      </c>
      <c r="N1057" s="947">
        <v>82250</v>
      </c>
      <c r="O1057" s="947">
        <v>44865</v>
      </c>
      <c r="AEE1057" s="636">
        <v>44932</v>
      </c>
      <c r="AEF1057" s="635">
        <v>31.91</v>
      </c>
      <c r="AEG1057" s="635">
        <v>4.7690000000000001</v>
      </c>
    </row>
    <row r="1058" spans="1:813" ht="15.5">
      <c r="A1058" s="948">
        <v>44867</v>
      </c>
      <c r="B1058" s="947">
        <v>82250</v>
      </c>
      <c r="I1058" s="948">
        <v>44845</v>
      </c>
      <c r="J1058" s="947">
        <v>60375</v>
      </c>
      <c r="M1058" s="948">
        <v>44866</v>
      </c>
      <c r="N1058" s="947">
        <v>82250</v>
      </c>
      <c r="O1058" s="947">
        <v>44866</v>
      </c>
      <c r="AEE1058" s="636">
        <v>44935</v>
      </c>
      <c r="AEF1058" s="635">
        <v>33.799999999999997</v>
      </c>
      <c r="AEG1058" s="635">
        <v>5.0519999999999996</v>
      </c>
    </row>
    <row r="1059" spans="1:813" ht="15.5">
      <c r="A1059" s="948">
        <v>44868</v>
      </c>
      <c r="B1059" s="947">
        <v>82250</v>
      </c>
      <c r="I1059" s="948">
        <v>44846</v>
      </c>
      <c r="J1059" s="947">
        <v>60375</v>
      </c>
      <c r="M1059" s="948">
        <v>44867</v>
      </c>
      <c r="N1059" s="947">
        <v>82250</v>
      </c>
      <c r="O1059" s="947">
        <v>44867</v>
      </c>
      <c r="AEE1059" s="636">
        <v>44936</v>
      </c>
      <c r="AEF1059" s="635">
        <v>33.54</v>
      </c>
      <c r="AEG1059" s="635">
        <v>5.0129999999999999</v>
      </c>
    </row>
    <row r="1060" spans="1:813" ht="15.5">
      <c r="A1060" s="948">
        <v>44869</v>
      </c>
      <c r="B1060" s="947">
        <v>82250</v>
      </c>
      <c r="I1060" s="948">
        <v>44847</v>
      </c>
      <c r="J1060" s="947">
        <v>60375</v>
      </c>
      <c r="M1060" s="948">
        <v>44868</v>
      </c>
      <c r="N1060" s="947">
        <v>82250</v>
      </c>
      <c r="O1060" s="947">
        <v>44868</v>
      </c>
      <c r="AEE1060" s="636">
        <v>44937</v>
      </c>
      <c r="AEF1060" s="635">
        <v>34.770000000000003</v>
      </c>
      <c r="AEG1060" s="635">
        <v>5.1970000000000001</v>
      </c>
    </row>
    <row r="1061" spans="1:813" ht="15.5">
      <c r="A1061" s="948">
        <v>44872</v>
      </c>
      <c r="B1061" s="947">
        <v>82250</v>
      </c>
      <c r="I1061" s="948">
        <v>44848</v>
      </c>
      <c r="J1061" s="947">
        <v>60375</v>
      </c>
      <c r="M1061" s="948">
        <v>44869</v>
      </c>
      <c r="N1061" s="947">
        <v>82250</v>
      </c>
      <c r="O1061" s="947">
        <v>44869</v>
      </c>
      <c r="AEE1061" s="636">
        <v>44938</v>
      </c>
      <c r="AEF1061" s="635">
        <v>34.869999999999997</v>
      </c>
      <c r="AEG1061" s="635">
        <v>5.2119999999999997</v>
      </c>
    </row>
    <row r="1062" spans="1:813" ht="15.5">
      <c r="A1062" s="948">
        <v>44873</v>
      </c>
      <c r="B1062" s="947">
        <v>82250</v>
      </c>
      <c r="I1062" s="948">
        <v>44851</v>
      </c>
      <c r="J1062" s="947">
        <v>60375</v>
      </c>
      <c r="M1062" s="948">
        <v>44872</v>
      </c>
      <c r="N1062" s="947">
        <v>82250</v>
      </c>
      <c r="O1062" s="947">
        <v>44872</v>
      </c>
      <c r="AEE1062" s="636">
        <v>44939</v>
      </c>
      <c r="AEF1062" s="635">
        <v>34.54</v>
      </c>
      <c r="AEG1062" s="635">
        <v>5.1630000000000003</v>
      </c>
    </row>
    <row r="1063" spans="1:813" ht="15.5">
      <c r="A1063" s="948">
        <v>44874</v>
      </c>
      <c r="B1063" s="947">
        <v>82250</v>
      </c>
      <c r="I1063" s="948">
        <v>44852</v>
      </c>
      <c r="J1063" s="947">
        <v>60375</v>
      </c>
      <c r="M1063" s="948">
        <v>44873</v>
      </c>
      <c r="N1063" s="947">
        <v>82250</v>
      </c>
      <c r="O1063" s="947">
        <v>44873</v>
      </c>
      <c r="AEE1063" s="636">
        <v>44943</v>
      </c>
      <c r="AEF1063" s="635">
        <v>37.11</v>
      </c>
      <c r="AEG1063" s="635">
        <v>5.5460000000000003</v>
      </c>
    </row>
    <row r="1064" spans="1:813" ht="15.5">
      <c r="A1064" s="948">
        <v>44875</v>
      </c>
      <c r="B1064" s="947">
        <v>82250</v>
      </c>
      <c r="I1064" s="948">
        <v>44853</v>
      </c>
      <c r="J1064" s="947">
        <v>60375</v>
      </c>
      <c r="M1064" s="948">
        <v>44874</v>
      </c>
      <c r="N1064" s="947">
        <v>82250</v>
      </c>
      <c r="O1064" s="947">
        <v>44874</v>
      </c>
      <c r="AEE1064" s="636">
        <v>44944</v>
      </c>
      <c r="AEF1064" s="635">
        <v>36.340000000000003</v>
      </c>
      <c r="AEG1064" s="635">
        <v>5.4320000000000004</v>
      </c>
    </row>
    <row r="1065" spans="1:813" ht="15.5">
      <c r="A1065" s="948">
        <v>44876</v>
      </c>
      <c r="B1065" s="947">
        <v>82250</v>
      </c>
      <c r="I1065" s="948">
        <v>44854</v>
      </c>
      <c r="J1065" s="947">
        <v>60375</v>
      </c>
      <c r="M1065" s="948">
        <v>44875</v>
      </c>
      <c r="N1065" s="947">
        <v>82250</v>
      </c>
      <c r="O1065" s="947">
        <v>44875</v>
      </c>
      <c r="AEE1065" s="636">
        <v>44945</v>
      </c>
      <c r="AEF1065" s="635">
        <v>35.89</v>
      </c>
      <c r="AEG1065" s="635">
        <v>5.3639999999999999</v>
      </c>
    </row>
    <row r="1066" spans="1:813" ht="15.5">
      <c r="A1066" s="948">
        <v>44879</v>
      </c>
      <c r="B1066" s="947">
        <v>82250</v>
      </c>
      <c r="I1066" s="948">
        <v>44855</v>
      </c>
      <c r="J1066" s="947">
        <v>60375</v>
      </c>
      <c r="M1066" s="948">
        <v>44876</v>
      </c>
      <c r="N1066" s="947">
        <v>82250</v>
      </c>
      <c r="O1066" s="947">
        <v>44876</v>
      </c>
      <c r="AEE1066" s="636">
        <v>44946</v>
      </c>
      <c r="AEF1066" s="635">
        <v>36.82</v>
      </c>
      <c r="AEG1066" s="635">
        <v>5.6280000000000001</v>
      </c>
    </row>
    <row r="1067" spans="1:813" ht="15.5">
      <c r="A1067" s="948">
        <v>44880</v>
      </c>
      <c r="B1067" s="947">
        <v>82250</v>
      </c>
      <c r="I1067" s="948">
        <v>44858</v>
      </c>
      <c r="J1067" s="947">
        <v>60375</v>
      </c>
      <c r="M1067" s="948">
        <v>44879</v>
      </c>
      <c r="N1067" s="947">
        <v>82250</v>
      </c>
      <c r="O1067" s="947">
        <v>44879</v>
      </c>
      <c r="AEE1067" s="636">
        <v>44949</v>
      </c>
      <c r="AEF1067" s="635">
        <v>39.67</v>
      </c>
      <c r="AEG1067" s="635">
        <v>6.0629999999999997</v>
      </c>
    </row>
    <row r="1068" spans="1:813" ht="15.5">
      <c r="A1068" s="948">
        <v>44881</v>
      </c>
      <c r="B1068" s="947">
        <v>82250</v>
      </c>
      <c r="I1068" s="948">
        <v>44859</v>
      </c>
      <c r="J1068" s="947">
        <v>60375</v>
      </c>
      <c r="M1068" s="948">
        <v>44880</v>
      </c>
      <c r="N1068" s="947">
        <v>82250</v>
      </c>
      <c r="O1068" s="947">
        <v>44880</v>
      </c>
      <c r="AEE1068" s="636">
        <v>44950</v>
      </c>
      <c r="AEF1068" s="635">
        <v>39.71</v>
      </c>
      <c r="AEG1068" s="635">
        <v>6.069</v>
      </c>
    </row>
    <row r="1069" spans="1:813" ht="15.5">
      <c r="A1069" s="948">
        <v>44882</v>
      </c>
      <c r="B1069" s="947">
        <v>82250</v>
      </c>
      <c r="I1069" s="948">
        <v>44860</v>
      </c>
      <c r="J1069" s="947">
        <v>60375</v>
      </c>
      <c r="M1069" s="948">
        <v>44881</v>
      </c>
      <c r="N1069" s="947">
        <v>82250</v>
      </c>
      <c r="O1069" s="947">
        <v>44881</v>
      </c>
      <c r="AEE1069" s="636">
        <v>44951</v>
      </c>
      <c r="AEF1069" s="635">
        <v>39.86</v>
      </c>
      <c r="AEG1069" s="635">
        <v>5.5990000000000002</v>
      </c>
    </row>
    <row r="1070" spans="1:813" ht="15.5">
      <c r="A1070" s="948">
        <v>44883</v>
      </c>
      <c r="B1070" s="947">
        <v>82250</v>
      </c>
      <c r="I1070" s="948">
        <v>44861</v>
      </c>
      <c r="J1070" s="947">
        <v>60375</v>
      </c>
      <c r="M1070" s="948">
        <v>44882</v>
      </c>
      <c r="N1070" s="947">
        <v>82250</v>
      </c>
      <c r="O1070" s="947">
        <v>44882</v>
      </c>
      <c r="AEE1070" s="636">
        <v>44952</v>
      </c>
      <c r="AEF1070" s="635">
        <v>44.23</v>
      </c>
      <c r="AEG1070" s="635">
        <v>6.2130000000000001</v>
      </c>
    </row>
    <row r="1071" spans="1:813" ht="15.5">
      <c r="A1071" s="948">
        <v>44886</v>
      </c>
      <c r="B1071" s="947">
        <v>82250</v>
      </c>
      <c r="I1071" s="948">
        <v>44862</v>
      </c>
      <c r="J1071" s="947">
        <v>60375</v>
      </c>
      <c r="M1071" s="948">
        <v>44883</v>
      </c>
      <c r="N1071" s="947">
        <v>82250</v>
      </c>
      <c r="O1071" s="947">
        <v>44883</v>
      </c>
      <c r="AEE1071" s="636">
        <v>44953</v>
      </c>
      <c r="AEF1071" s="635">
        <v>49.1</v>
      </c>
      <c r="AEG1071" s="635">
        <v>6.8959999999999999</v>
      </c>
    </row>
    <row r="1072" spans="1:813" ht="15.5">
      <c r="A1072" s="948">
        <v>44887</v>
      </c>
      <c r="B1072" s="947">
        <v>82250</v>
      </c>
      <c r="I1072" s="948">
        <v>44865</v>
      </c>
      <c r="J1072" s="947">
        <v>60375</v>
      </c>
      <c r="M1072" s="948">
        <v>44886</v>
      </c>
      <c r="N1072" s="947">
        <v>82250</v>
      </c>
      <c r="O1072" s="947">
        <v>44886</v>
      </c>
      <c r="AEE1072" s="636">
        <v>44956</v>
      </c>
      <c r="AEF1072" s="635">
        <v>46</v>
      </c>
      <c r="AEG1072" s="635">
        <v>6.46</v>
      </c>
    </row>
    <row r="1073" spans="1:813" ht="15.5">
      <c r="A1073" s="948">
        <v>44888</v>
      </c>
      <c r="B1073" s="947">
        <v>82250</v>
      </c>
      <c r="I1073" s="948">
        <v>44866</v>
      </c>
      <c r="J1073" s="947">
        <v>60375</v>
      </c>
      <c r="M1073" s="948">
        <v>44887</v>
      </c>
      <c r="N1073" s="947">
        <v>82250</v>
      </c>
      <c r="O1073" s="947">
        <v>44887</v>
      </c>
      <c r="AEE1073" s="636">
        <v>44957</v>
      </c>
      <c r="AEF1073" s="635">
        <v>47.81</v>
      </c>
      <c r="AEG1073" s="635">
        <v>6.7279999999999998</v>
      </c>
    </row>
    <row r="1074" spans="1:813" ht="15.5">
      <c r="A1074" s="948">
        <v>44889</v>
      </c>
      <c r="B1074" s="947">
        <v>82250</v>
      </c>
      <c r="I1074" s="948">
        <v>44867</v>
      </c>
      <c r="J1074" s="947">
        <v>60375</v>
      </c>
      <c r="M1074" s="948">
        <v>44888</v>
      </c>
      <c r="N1074" s="947">
        <v>82250</v>
      </c>
      <c r="O1074" s="947">
        <v>44888</v>
      </c>
      <c r="AEE1074" s="636">
        <v>44958</v>
      </c>
      <c r="AEF1074" s="635">
        <v>50.07</v>
      </c>
      <c r="AEG1074">
        <v>7.7290000000000001</v>
      </c>
    </row>
    <row r="1075" spans="1:813" ht="15.5">
      <c r="A1075" s="948">
        <v>44890</v>
      </c>
      <c r="B1075" s="947">
        <v>82250</v>
      </c>
      <c r="I1075" s="948">
        <v>44868</v>
      </c>
      <c r="J1075" s="947">
        <v>60375</v>
      </c>
      <c r="M1075" s="948">
        <v>44889</v>
      </c>
      <c r="N1075" s="947">
        <v>82250</v>
      </c>
      <c r="O1075" s="947">
        <v>44889</v>
      </c>
      <c r="AEE1075" s="636">
        <v>44959</v>
      </c>
      <c r="AEF1075" s="635">
        <v>51.96</v>
      </c>
      <c r="AEG1075">
        <v>8.0210000000000008</v>
      </c>
    </row>
    <row r="1076" spans="1:813" ht="15.5">
      <c r="A1076" s="948">
        <v>44893</v>
      </c>
      <c r="B1076" s="947">
        <v>82250</v>
      </c>
      <c r="I1076" s="948">
        <v>44869</v>
      </c>
      <c r="J1076" s="947">
        <v>60375</v>
      </c>
      <c r="M1076" s="948">
        <v>44890</v>
      </c>
      <c r="N1076" s="947">
        <v>82250</v>
      </c>
      <c r="O1076" s="947">
        <v>44890</v>
      </c>
      <c r="AEE1076" s="636">
        <v>44960</v>
      </c>
      <c r="AEF1076" s="635">
        <v>52.43</v>
      </c>
      <c r="AEG1076">
        <v>8.0939999999999994</v>
      </c>
    </row>
    <row r="1077" spans="1:813" ht="15.5">
      <c r="A1077" s="948">
        <v>44894</v>
      </c>
      <c r="B1077" s="947">
        <v>82250</v>
      </c>
      <c r="I1077" s="948">
        <v>44872</v>
      </c>
      <c r="J1077" s="947">
        <v>60375</v>
      </c>
      <c r="M1077" s="948">
        <v>44893</v>
      </c>
      <c r="N1077" s="947">
        <v>82250</v>
      </c>
      <c r="O1077" s="947">
        <v>44893</v>
      </c>
      <c r="AEE1077" s="636">
        <v>44963</v>
      </c>
      <c r="AEF1077" s="635">
        <v>53.75</v>
      </c>
      <c r="AEG1077">
        <v>8.2970000000000006</v>
      </c>
    </row>
    <row r="1078" spans="1:813" ht="15.5">
      <c r="A1078" s="948">
        <v>44895</v>
      </c>
      <c r="B1078" s="947">
        <v>82250</v>
      </c>
      <c r="I1078" s="948">
        <v>44873</v>
      </c>
      <c r="J1078" s="947">
        <v>60375</v>
      </c>
      <c r="M1078" s="948">
        <v>44894</v>
      </c>
      <c r="N1078" s="947">
        <v>82250</v>
      </c>
      <c r="O1078" s="947">
        <v>44894</v>
      </c>
      <c r="AEE1078" s="636">
        <v>44964</v>
      </c>
      <c r="AEF1078" s="635">
        <v>54.32</v>
      </c>
      <c r="AEG1078">
        <v>8.3849999999999998</v>
      </c>
    </row>
    <row r="1079" spans="1:813" ht="15.5">
      <c r="A1079" s="948">
        <v>44896</v>
      </c>
      <c r="B1079" s="947">
        <v>82250</v>
      </c>
      <c r="I1079" s="948">
        <v>44874</v>
      </c>
      <c r="J1079" s="947">
        <v>60375</v>
      </c>
      <c r="M1079" s="948">
        <v>44895</v>
      </c>
      <c r="N1079" s="947">
        <v>82250</v>
      </c>
      <c r="O1079" s="947">
        <v>44895</v>
      </c>
      <c r="AEE1079" s="636">
        <v>44965</v>
      </c>
      <c r="AEF1079" s="635">
        <v>55.55</v>
      </c>
      <c r="AEG1079">
        <v>8.5760000000000005</v>
      </c>
    </row>
    <row r="1080" spans="1:813" ht="15.5">
      <c r="A1080" s="948">
        <v>44897</v>
      </c>
      <c r="B1080" s="947">
        <v>82250</v>
      </c>
      <c r="I1080" s="948">
        <v>44875</v>
      </c>
      <c r="J1080" s="947">
        <v>60375</v>
      </c>
      <c r="M1080" s="948">
        <v>44896</v>
      </c>
      <c r="N1080" s="947">
        <v>82250</v>
      </c>
      <c r="O1080" s="947">
        <v>44896</v>
      </c>
      <c r="AEE1080" s="636">
        <v>44966</v>
      </c>
      <c r="AEF1080">
        <v>57.22</v>
      </c>
      <c r="AEG1080">
        <v>8.8320000000000007</v>
      </c>
    </row>
    <row r="1081" spans="1:813" ht="15.5">
      <c r="A1081" s="948">
        <v>44900</v>
      </c>
      <c r="B1081" s="947">
        <v>82250</v>
      </c>
      <c r="I1081" s="948">
        <v>44876</v>
      </c>
      <c r="J1081" s="947">
        <v>60375</v>
      </c>
      <c r="M1081" s="948">
        <v>44897</v>
      </c>
      <c r="N1081" s="947">
        <v>82250</v>
      </c>
      <c r="O1081" s="947">
        <v>44897</v>
      </c>
      <c r="AEE1081" s="636">
        <v>44967</v>
      </c>
      <c r="AEF1081">
        <v>54.34</v>
      </c>
      <c r="AEG1081">
        <v>8.3879999999999999</v>
      </c>
    </row>
    <row r="1082" spans="1:813" ht="15.5">
      <c r="A1082" s="948">
        <v>44901</v>
      </c>
      <c r="B1082" s="947">
        <v>82250</v>
      </c>
      <c r="I1082" s="948">
        <v>44879</v>
      </c>
      <c r="J1082" s="947">
        <v>60375</v>
      </c>
      <c r="M1082" s="948">
        <v>44900</v>
      </c>
      <c r="N1082" s="947">
        <v>82250</v>
      </c>
      <c r="O1082" s="947">
        <v>44900</v>
      </c>
      <c r="AEE1082" s="636">
        <v>44970</v>
      </c>
      <c r="AEF1082">
        <v>53.72</v>
      </c>
      <c r="AEG1082">
        <v>8.2919999999999998</v>
      </c>
    </row>
    <row r="1083" spans="1:813" ht="15.5">
      <c r="A1083" s="948">
        <v>44902</v>
      </c>
      <c r="B1083" s="947">
        <v>82250</v>
      </c>
      <c r="I1083" s="948">
        <v>44880</v>
      </c>
      <c r="J1083" s="947">
        <v>60375</v>
      </c>
      <c r="M1083" s="948">
        <v>44901</v>
      </c>
      <c r="N1083" s="947">
        <v>82250</v>
      </c>
      <c r="O1083" s="947">
        <v>44901</v>
      </c>
      <c r="AEE1083" s="636">
        <v>44971</v>
      </c>
      <c r="AEF1083">
        <v>57.75</v>
      </c>
      <c r="AEG1083">
        <v>8.9149999999999991</v>
      </c>
    </row>
    <row r="1084" spans="1:813" ht="15.5">
      <c r="A1084" s="948">
        <v>44903</v>
      </c>
      <c r="B1084" s="947">
        <v>82250</v>
      </c>
      <c r="I1084" s="948">
        <v>44881</v>
      </c>
      <c r="J1084" s="947">
        <v>60375</v>
      </c>
      <c r="M1084" s="948">
        <v>44902</v>
      </c>
      <c r="N1084" s="947">
        <v>82250</v>
      </c>
      <c r="O1084" s="947">
        <v>44902</v>
      </c>
      <c r="AEE1084" s="636">
        <v>44972</v>
      </c>
      <c r="AEF1084">
        <v>59.13</v>
      </c>
      <c r="AEG1084">
        <v>9.1270000000000007</v>
      </c>
    </row>
    <row r="1085" spans="1:813" ht="15.5">
      <c r="A1085" s="948">
        <v>44904</v>
      </c>
      <c r="B1085" s="947">
        <v>82250</v>
      </c>
      <c r="I1085" s="948">
        <v>44882</v>
      </c>
      <c r="J1085" s="947">
        <v>60375</v>
      </c>
      <c r="M1085" s="948">
        <v>44903</v>
      </c>
      <c r="N1085" s="947">
        <v>82250</v>
      </c>
      <c r="O1085" s="947">
        <v>44903</v>
      </c>
      <c r="AEE1085" s="636">
        <v>44973</v>
      </c>
      <c r="AEF1085">
        <v>55.76</v>
      </c>
      <c r="AEG1085">
        <v>8.6069999999999993</v>
      </c>
    </row>
    <row r="1086" spans="1:813" ht="15.5">
      <c r="A1086" s="948">
        <v>44907</v>
      </c>
      <c r="B1086" s="947">
        <v>82250</v>
      </c>
      <c r="I1086" s="948">
        <v>44883</v>
      </c>
      <c r="J1086" s="947">
        <v>60375</v>
      </c>
      <c r="M1086" s="948">
        <v>44904</v>
      </c>
      <c r="N1086" s="947">
        <v>82250</v>
      </c>
      <c r="O1086" s="947">
        <v>44904</v>
      </c>
      <c r="AEE1086" s="636">
        <v>44974</v>
      </c>
      <c r="AEF1086">
        <v>57.49</v>
      </c>
      <c r="AEG1086">
        <v>8.875</v>
      </c>
    </row>
    <row r="1087" spans="1:813" ht="15.5">
      <c r="A1087" s="948">
        <v>44908</v>
      </c>
      <c r="B1087" s="947">
        <v>82250</v>
      </c>
      <c r="I1087" s="948">
        <v>44886</v>
      </c>
      <c r="J1087" s="947">
        <v>60375</v>
      </c>
      <c r="M1087" s="948">
        <v>44907</v>
      </c>
      <c r="N1087" s="947">
        <v>82250</v>
      </c>
      <c r="O1087" s="947">
        <v>44907</v>
      </c>
      <c r="AEE1087" s="636">
        <v>44978</v>
      </c>
      <c r="AEF1087">
        <v>54.47</v>
      </c>
      <c r="AEG1087">
        <v>8.4079999999999995</v>
      </c>
    </row>
    <row r="1088" spans="1:813" ht="15.5">
      <c r="A1088" s="948">
        <v>44909</v>
      </c>
      <c r="B1088" s="947">
        <v>82250</v>
      </c>
      <c r="I1088" s="948">
        <v>44887</v>
      </c>
      <c r="J1088" s="947">
        <v>60375</v>
      </c>
      <c r="M1088" s="948">
        <v>44908</v>
      </c>
      <c r="N1088" s="947">
        <v>82250</v>
      </c>
      <c r="O1088" s="947">
        <v>44908</v>
      </c>
      <c r="AEE1088" s="636">
        <v>44979</v>
      </c>
      <c r="AEF1088">
        <v>55.44</v>
      </c>
      <c r="AEG1088">
        <v>8.5570000000000004</v>
      </c>
    </row>
    <row r="1089" spans="1:813" ht="15.5">
      <c r="A1089" s="948">
        <v>44910</v>
      </c>
      <c r="B1089" s="947">
        <v>82250</v>
      </c>
      <c r="I1089" s="948">
        <v>44888</v>
      </c>
      <c r="J1089" s="947">
        <v>60375</v>
      </c>
      <c r="M1089" s="948">
        <v>44909</v>
      </c>
      <c r="N1089" s="947">
        <v>82250</v>
      </c>
      <c r="O1089" s="947">
        <v>44909</v>
      </c>
      <c r="AEE1089" s="636">
        <v>44980</v>
      </c>
      <c r="AEF1089">
        <v>55.77</v>
      </c>
      <c r="AEG1089">
        <v>8.609</v>
      </c>
    </row>
    <row r="1090" spans="1:813" ht="15.5">
      <c r="A1090" s="948">
        <v>44911</v>
      </c>
      <c r="B1090" s="947">
        <v>80250</v>
      </c>
      <c r="C1090" s="60">
        <f>(B1090-B1158)/B1090</f>
        <v>0.39750778816199378</v>
      </c>
      <c r="I1090" s="948">
        <v>44889</v>
      </c>
      <c r="J1090" s="947">
        <v>60375</v>
      </c>
      <c r="M1090" s="948">
        <v>44910</v>
      </c>
      <c r="N1090" s="947">
        <v>82250</v>
      </c>
      <c r="O1090" s="947">
        <v>44910</v>
      </c>
      <c r="AEE1090" s="636">
        <v>44981</v>
      </c>
      <c r="AEF1090">
        <v>54.34</v>
      </c>
      <c r="AEG1090">
        <v>8.3879999999999999</v>
      </c>
    </row>
    <row r="1091" spans="1:813" ht="15.5">
      <c r="A1091" s="948">
        <v>44914</v>
      </c>
      <c r="B1091" s="947">
        <v>78500</v>
      </c>
      <c r="I1091" s="948">
        <v>44890</v>
      </c>
      <c r="J1091" s="947">
        <v>60375</v>
      </c>
      <c r="M1091" s="948">
        <v>44911</v>
      </c>
      <c r="N1091" s="947">
        <v>80250</v>
      </c>
      <c r="O1091" s="947">
        <v>44911</v>
      </c>
      <c r="AEE1091" s="636">
        <v>44984</v>
      </c>
      <c r="AEF1091">
        <v>57.3</v>
      </c>
      <c r="AEG1091">
        <v>8.8460000000000001</v>
      </c>
    </row>
    <row r="1092" spans="1:813" ht="15.5">
      <c r="A1092" s="948">
        <v>44915</v>
      </c>
      <c r="B1092" s="947">
        <v>78500</v>
      </c>
      <c r="I1092" s="948">
        <v>44893</v>
      </c>
      <c r="J1092" s="947">
        <v>60375</v>
      </c>
      <c r="M1092" s="948">
        <v>44914</v>
      </c>
      <c r="N1092" s="947">
        <v>78500</v>
      </c>
      <c r="O1092" s="947">
        <v>44914</v>
      </c>
      <c r="AEE1092" s="636">
        <v>44985</v>
      </c>
      <c r="AEF1092">
        <v>56.77</v>
      </c>
      <c r="AEG1092">
        <v>8.7639999999999993</v>
      </c>
    </row>
    <row r="1093" spans="1:813" ht="15.5">
      <c r="A1093" s="948">
        <v>44916</v>
      </c>
      <c r="B1093" s="947">
        <v>73500</v>
      </c>
      <c r="I1093" s="948">
        <v>44894</v>
      </c>
      <c r="J1093" s="947">
        <v>60375</v>
      </c>
      <c r="M1093" s="948">
        <v>44915</v>
      </c>
      <c r="N1093" s="947">
        <v>78500</v>
      </c>
      <c r="O1093" s="947">
        <v>44915</v>
      </c>
      <c r="AEE1093" s="636">
        <v>44986</v>
      </c>
      <c r="AEF1093">
        <v>55.96</v>
      </c>
      <c r="AEG1093">
        <v>8.6379999999999999</v>
      </c>
    </row>
    <row r="1094" spans="1:813" ht="15.5">
      <c r="A1094" s="948">
        <v>44917</v>
      </c>
      <c r="B1094" s="947">
        <v>71000</v>
      </c>
      <c r="I1094" s="948">
        <v>44895</v>
      </c>
      <c r="J1094" s="947">
        <v>60375</v>
      </c>
      <c r="M1094" s="948">
        <v>44916</v>
      </c>
      <c r="N1094" s="947">
        <v>73500</v>
      </c>
      <c r="O1094" s="947">
        <v>44916</v>
      </c>
      <c r="AEE1094" s="636">
        <v>44987</v>
      </c>
      <c r="AEF1094">
        <v>52.69</v>
      </c>
      <c r="AEG1094">
        <v>8.1329999999999991</v>
      </c>
    </row>
    <row r="1095" spans="1:813" ht="15.5">
      <c r="A1095" s="948">
        <v>44918</v>
      </c>
      <c r="B1095" s="947">
        <v>71000</v>
      </c>
      <c r="I1095" s="948">
        <v>44896</v>
      </c>
      <c r="J1095" s="947">
        <v>60375</v>
      </c>
      <c r="M1095" s="948">
        <v>44917</v>
      </c>
      <c r="N1095" s="947">
        <v>71000</v>
      </c>
      <c r="O1095" s="947">
        <v>44917</v>
      </c>
      <c r="AEE1095" s="636">
        <v>44988</v>
      </c>
      <c r="AEF1095">
        <v>54.59</v>
      </c>
      <c r="AEG1095">
        <v>8.4260000000000002</v>
      </c>
    </row>
    <row r="1096" spans="1:813" ht="15.5">
      <c r="A1096" s="948">
        <v>44921</v>
      </c>
      <c r="B1096" s="947">
        <v>71000</v>
      </c>
      <c r="I1096" s="948">
        <v>44897</v>
      </c>
      <c r="J1096" s="947">
        <v>60375</v>
      </c>
      <c r="M1096" s="948">
        <v>44918</v>
      </c>
      <c r="N1096" s="947">
        <v>71000</v>
      </c>
      <c r="O1096" s="947">
        <v>44918</v>
      </c>
      <c r="AEE1096" s="636">
        <v>44991</v>
      </c>
      <c r="AEF1096">
        <v>53.49</v>
      </c>
      <c r="AEG1096">
        <v>8.2569999999999997</v>
      </c>
    </row>
    <row r="1097" spans="1:813" ht="15.5">
      <c r="A1097" s="948">
        <v>44922</v>
      </c>
      <c r="B1097" s="947">
        <v>68500</v>
      </c>
      <c r="I1097" s="948">
        <v>44900</v>
      </c>
      <c r="J1097" s="947">
        <v>60375</v>
      </c>
      <c r="M1097" s="948">
        <v>44921</v>
      </c>
      <c r="N1097" s="947">
        <v>71000</v>
      </c>
      <c r="O1097" s="947">
        <v>44921</v>
      </c>
      <c r="AEE1097" s="636">
        <v>44992</v>
      </c>
      <c r="AEF1097">
        <v>51.81</v>
      </c>
      <c r="AEG1097">
        <v>7.9969999999999999</v>
      </c>
    </row>
    <row r="1098" spans="1:813" ht="15.5">
      <c r="A1098" s="948">
        <v>44923</v>
      </c>
      <c r="B1098" s="947">
        <v>63813</v>
      </c>
      <c r="I1098" s="948">
        <v>44901</v>
      </c>
      <c r="J1098" s="947">
        <v>60375</v>
      </c>
      <c r="M1098" s="948">
        <v>44922</v>
      </c>
      <c r="N1098" s="947">
        <v>68500</v>
      </c>
      <c r="O1098" s="947">
        <v>44922</v>
      </c>
      <c r="AEE1098" s="636">
        <v>44993</v>
      </c>
      <c r="AEF1098">
        <v>50.23</v>
      </c>
      <c r="AEG1098">
        <v>7.7539999999999996</v>
      </c>
    </row>
    <row r="1099" spans="1:813" ht="15.5">
      <c r="A1099" s="948">
        <v>44924</v>
      </c>
      <c r="B1099" s="947">
        <v>62626</v>
      </c>
      <c r="I1099" s="948">
        <v>44902</v>
      </c>
      <c r="J1099" s="947">
        <v>60375</v>
      </c>
      <c r="M1099" s="948">
        <v>44923</v>
      </c>
      <c r="N1099" s="947">
        <v>63813</v>
      </c>
      <c r="O1099" s="947">
        <v>44923</v>
      </c>
      <c r="AEE1099" s="636">
        <v>44994</v>
      </c>
      <c r="AEF1099">
        <v>47.72</v>
      </c>
      <c r="AEG1099">
        <v>7.367</v>
      </c>
    </row>
    <row r="1100" spans="1:813" ht="15.5">
      <c r="A1100" s="948">
        <v>44925</v>
      </c>
      <c r="B1100" s="947">
        <v>60626</v>
      </c>
      <c r="I1100" s="948">
        <v>44903</v>
      </c>
      <c r="J1100" s="947">
        <v>60375</v>
      </c>
      <c r="M1100" s="948">
        <v>44924</v>
      </c>
      <c r="N1100" s="947">
        <v>62626</v>
      </c>
      <c r="O1100" s="947">
        <v>44924</v>
      </c>
      <c r="AEE1100" s="636">
        <v>44995</v>
      </c>
      <c r="AEF1100">
        <v>47.87</v>
      </c>
      <c r="AEG1100">
        <v>7.3890000000000002</v>
      </c>
    </row>
    <row r="1101" spans="1:813" ht="15.5">
      <c r="A1101" s="948">
        <v>44929</v>
      </c>
      <c r="B1101" s="947">
        <v>60500</v>
      </c>
      <c r="I1101" s="948">
        <v>44904</v>
      </c>
      <c r="J1101" s="947">
        <v>60375</v>
      </c>
      <c r="M1101" s="948">
        <v>44925</v>
      </c>
      <c r="N1101" s="947">
        <v>60626</v>
      </c>
      <c r="O1101" s="947">
        <v>44925</v>
      </c>
      <c r="AEE1101" s="636">
        <v>44998</v>
      </c>
      <c r="AEF1101">
        <v>48.15</v>
      </c>
      <c r="AEG1101">
        <v>7.4329999999999998</v>
      </c>
    </row>
    <row r="1102" spans="1:813" ht="15.5">
      <c r="A1102" s="948">
        <v>44930</v>
      </c>
      <c r="B1102" s="947">
        <v>60500</v>
      </c>
      <c r="I1102" s="948">
        <v>44907</v>
      </c>
      <c r="J1102" s="947">
        <v>60375</v>
      </c>
      <c r="M1102" s="948">
        <v>44929</v>
      </c>
      <c r="N1102" s="947">
        <v>60500</v>
      </c>
      <c r="O1102" s="947">
        <v>44929</v>
      </c>
      <c r="AEE1102" s="636">
        <v>44999</v>
      </c>
      <c r="AEF1102">
        <v>50.58</v>
      </c>
      <c r="AEG1102">
        <v>7.8070000000000004</v>
      </c>
    </row>
    <row r="1103" spans="1:813" ht="15.5">
      <c r="A1103" s="948">
        <v>44931</v>
      </c>
      <c r="B1103" s="947">
        <v>60500</v>
      </c>
      <c r="I1103" s="948">
        <v>44908</v>
      </c>
      <c r="J1103" s="947">
        <v>60375</v>
      </c>
      <c r="M1103" s="948">
        <v>44930</v>
      </c>
      <c r="N1103" s="947">
        <v>60500</v>
      </c>
      <c r="O1103" s="947">
        <v>44930</v>
      </c>
      <c r="AEE1103" s="636">
        <v>45000</v>
      </c>
      <c r="AEF1103">
        <v>48.83</v>
      </c>
      <c r="AEG1103">
        <v>7.6820000000000004</v>
      </c>
    </row>
    <row r="1104" spans="1:813">
      <c r="A1104" s="948">
        <v>44932</v>
      </c>
      <c r="B1104" s="947">
        <v>60500</v>
      </c>
      <c r="I1104" s="948">
        <v>44909</v>
      </c>
      <c r="J1104" s="947">
        <v>60375</v>
      </c>
      <c r="M1104" s="948">
        <v>44931</v>
      </c>
      <c r="N1104" s="947">
        <v>60500</v>
      </c>
      <c r="O1104" s="947">
        <v>44931</v>
      </c>
    </row>
    <row r="1105" spans="1:15">
      <c r="A1105" s="948">
        <v>44935</v>
      </c>
      <c r="B1105" s="947">
        <v>60500</v>
      </c>
      <c r="I1105" s="948">
        <v>44910</v>
      </c>
      <c r="J1105" s="947">
        <v>60375</v>
      </c>
      <c r="M1105" s="948">
        <v>44932</v>
      </c>
      <c r="N1105" s="947">
        <v>60500</v>
      </c>
      <c r="O1105" s="947">
        <v>44932</v>
      </c>
    </row>
    <row r="1106" spans="1:15">
      <c r="A1106" s="948">
        <v>44936</v>
      </c>
      <c r="B1106" s="947">
        <v>60500</v>
      </c>
      <c r="I1106" s="948">
        <v>44911</v>
      </c>
      <c r="J1106" s="947">
        <v>60375</v>
      </c>
      <c r="M1106" s="948">
        <v>44935</v>
      </c>
      <c r="N1106" s="947">
        <v>60500</v>
      </c>
      <c r="O1106" s="947">
        <v>44935</v>
      </c>
    </row>
    <row r="1107" spans="1:15">
      <c r="A1107" s="948">
        <v>44937</v>
      </c>
      <c r="B1107" s="947">
        <v>60500</v>
      </c>
      <c r="I1107" s="948">
        <v>44914</v>
      </c>
      <c r="J1107" s="947">
        <v>60375</v>
      </c>
      <c r="M1107" s="948">
        <v>44936</v>
      </c>
      <c r="N1107" s="947">
        <v>60500</v>
      </c>
      <c r="O1107" s="947">
        <v>44936</v>
      </c>
    </row>
    <row r="1108" spans="1:15">
      <c r="A1108" s="948">
        <v>44938</v>
      </c>
      <c r="B1108" s="947">
        <v>60500</v>
      </c>
      <c r="I1108" s="948">
        <v>44915</v>
      </c>
      <c r="J1108" s="947">
        <v>60375</v>
      </c>
      <c r="M1108" s="948">
        <v>44937</v>
      </c>
      <c r="N1108" s="947">
        <v>60500</v>
      </c>
      <c r="O1108" s="947">
        <v>44937</v>
      </c>
    </row>
    <row r="1109" spans="1:15">
      <c r="A1109" s="948">
        <v>44939</v>
      </c>
      <c r="B1109" s="947">
        <v>60500</v>
      </c>
      <c r="I1109" s="948">
        <v>44916</v>
      </c>
      <c r="J1109" s="947">
        <v>60375</v>
      </c>
      <c r="M1109" s="948">
        <v>44938</v>
      </c>
      <c r="N1109" s="947">
        <v>60500</v>
      </c>
      <c r="O1109" s="947">
        <v>44938</v>
      </c>
    </row>
    <row r="1110" spans="1:15">
      <c r="A1110" s="948">
        <v>44942</v>
      </c>
      <c r="B1110" s="947">
        <v>60500</v>
      </c>
      <c r="I1110" s="948">
        <v>44917</v>
      </c>
      <c r="J1110" s="947">
        <v>60375</v>
      </c>
      <c r="M1110" s="948">
        <v>44939</v>
      </c>
      <c r="N1110" s="947">
        <v>60500</v>
      </c>
      <c r="O1110" s="947">
        <v>44939</v>
      </c>
    </row>
    <row r="1111" spans="1:15">
      <c r="A1111" s="948">
        <v>44943</v>
      </c>
      <c r="B1111" s="947">
        <v>60500</v>
      </c>
      <c r="I1111" s="948">
        <v>44918</v>
      </c>
      <c r="J1111" s="947">
        <v>60375</v>
      </c>
      <c r="M1111" s="948">
        <v>44942</v>
      </c>
      <c r="N1111" s="947">
        <v>60500</v>
      </c>
      <c r="O1111" s="947">
        <v>44942</v>
      </c>
    </row>
    <row r="1112" spans="1:15">
      <c r="A1112" s="948">
        <v>44944</v>
      </c>
      <c r="B1112" s="947">
        <v>60500</v>
      </c>
      <c r="I1112" s="948">
        <v>44921</v>
      </c>
      <c r="J1112" s="947">
        <v>60375</v>
      </c>
      <c r="K1112" s="60">
        <f>(J1112-J1174)/J1112</f>
        <v>0.18219461697722567</v>
      </c>
      <c r="M1112" s="948">
        <v>44943</v>
      </c>
      <c r="N1112" s="947">
        <v>60500</v>
      </c>
      <c r="O1112" s="947">
        <v>44943</v>
      </c>
    </row>
    <row r="1113" spans="1:15">
      <c r="A1113" s="948">
        <v>44945</v>
      </c>
      <c r="B1113" s="947">
        <v>60500</v>
      </c>
      <c r="I1113" s="948">
        <v>44922</v>
      </c>
      <c r="J1113" s="947">
        <v>59375</v>
      </c>
      <c r="M1113" s="948">
        <v>44944</v>
      </c>
      <c r="N1113" s="947">
        <v>60500</v>
      </c>
      <c r="O1113" s="947">
        <v>44944</v>
      </c>
    </row>
    <row r="1114" spans="1:15">
      <c r="A1114" s="948">
        <v>44946</v>
      </c>
      <c r="B1114" s="947">
        <v>60500</v>
      </c>
      <c r="I1114" s="948">
        <v>44923</v>
      </c>
      <c r="J1114" s="947">
        <v>58375</v>
      </c>
      <c r="M1114" s="948">
        <v>44945</v>
      </c>
      <c r="N1114" s="947">
        <v>60500</v>
      </c>
      <c r="O1114" s="947">
        <v>44945</v>
      </c>
    </row>
    <row r="1115" spans="1:15">
      <c r="A1115" s="948">
        <v>44954</v>
      </c>
      <c r="B1115" s="947">
        <v>60500</v>
      </c>
      <c r="I1115" s="948">
        <v>44924</v>
      </c>
      <c r="J1115" s="947">
        <v>58375</v>
      </c>
      <c r="M1115" s="948">
        <v>44946</v>
      </c>
      <c r="N1115" s="947">
        <v>60500</v>
      </c>
      <c r="O1115" s="947">
        <v>44946</v>
      </c>
    </row>
    <row r="1116" spans="1:15">
      <c r="A1116" s="948">
        <v>44955</v>
      </c>
      <c r="B1116" s="947">
        <v>60500</v>
      </c>
      <c r="I1116" s="948">
        <v>44925</v>
      </c>
      <c r="J1116" s="947">
        <v>58375</v>
      </c>
      <c r="M1116" s="948">
        <v>44954</v>
      </c>
      <c r="N1116" s="947">
        <v>60500</v>
      </c>
      <c r="O1116" s="947">
        <v>44954</v>
      </c>
    </row>
    <row r="1117" spans="1:15">
      <c r="A1117" s="948">
        <v>44956</v>
      </c>
      <c r="B1117" s="947">
        <v>60500</v>
      </c>
      <c r="I1117" s="948">
        <v>44929</v>
      </c>
      <c r="J1117" s="947">
        <v>58375</v>
      </c>
      <c r="M1117" s="948">
        <v>44955</v>
      </c>
      <c r="N1117" s="947">
        <v>60500</v>
      </c>
      <c r="O1117" s="947">
        <v>44955</v>
      </c>
    </row>
    <row r="1118" spans="1:15">
      <c r="A1118" s="948">
        <v>44957</v>
      </c>
      <c r="B1118" s="947">
        <v>60500</v>
      </c>
      <c r="I1118" s="948">
        <v>44930</v>
      </c>
      <c r="J1118" s="947">
        <v>58375</v>
      </c>
      <c r="M1118" s="948">
        <v>44956</v>
      </c>
      <c r="N1118" s="947">
        <v>60500</v>
      </c>
      <c r="O1118" s="947">
        <v>44956</v>
      </c>
    </row>
    <row r="1119" spans="1:15">
      <c r="A1119" s="948">
        <v>44958</v>
      </c>
      <c r="B1119" s="947">
        <v>60500</v>
      </c>
      <c r="I1119" s="948">
        <v>44931</v>
      </c>
      <c r="J1119" s="947">
        <v>58375</v>
      </c>
      <c r="M1119" s="948">
        <v>44957</v>
      </c>
      <c r="N1119" s="947">
        <v>60500</v>
      </c>
      <c r="O1119" s="947">
        <v>44957</v>
      </c>
    </row>
    <row r="1120" spans="1:15">
      <c r="A1120" s="948">
        <v>44959</v>
      </c>
      <c r="B1120" s="947">
        <v>60500</v>
      </c>
      <c r="I1120" s="948">
        <v>44932</v>
      </c>
      <c r="J1120" s="947">
        <v>58375</v>
      </c>
      <c r="M1120" s="948">
        <v>44958</v>
      </c>
      <c r="N1120" s="947">
        <v>60500</v>
      </c>
      <c r="O1120" s="947">
        <v>44958</v>
      </c>
    </row>
    <row r="1121" spans="1:15">
      <c r="A1121" s="948">
        <v>44960</v>
      </c>
      <c r="B1121" s="947">
        <v>60500</v>
      </c>
      <c r="I1121" s="948">
        <v>44935</v>
      </c>
      <c r="J1121" s="947">
        <v>58375</v>
      </c>
      <c r="M1121" s="948">
        <v>44959</v>
      </c>
      <c r="N1121" s="947">
        <v>60500</v>
      </c>
      <c r="O1121" s="947">
        <v>44959</v>
      </c>
    </row>
    <row r="1122" spans="1:15">
      <c r="A1122" s="948">
        <v>44963</v>
      </c>
      <c r="B1122" s="947">
        <v>59500</v>
      </c>
      <c r="I1122" s="948">
        <v>44936</v>
      </c>
      <c r="J1122" s="947">
        <v>53833</v>
      </c>
      <c r="M1122" s="948">
        <v>44960</v>
      </c>
      <c r="N1122" s="947">
        <v>60500</v>
      </c>
      <c r="O1122" s="947">
        <v>44960</v>
      </c>
    </row>
    <row r="1123" spans="1:15">
      <c r="A1123" s="948">
        <v>44964</v>
      </c>
      <c r="B1123" s="947">
        <v>58750</v>
      </c>
      <c r="I1123" s="948">
        <v>44937</v>
      </c>
      <c r="J1123" s="947">
        <v>53750</v>
      </c>
      <c r="M1123" s="948">
        <v>44963</v>
      </c>
      <c r="N1123" s="947">
        <v>59500</v>
      </c>
      <c r="O1123" s="947">
        <v>44963</v>
      </c>
    </row>
    <row r="1124" spans="1:15">
      <c r="A1124" s="948">
        <v>44965</v>
      </c>
      <c r="B1124" s="947">
        <v>58750</v>
      </c>
      <c r="I1124" s="948">
        <v>44938</v>
      </c>
      <c r="J1124" s="947">
        <v>53666</v>
      </c>
      <c r="M1124" s="948">
        <v>44964</v>
      </c>
      <c r="N1124" s="947">
        <v>58750</v>
      </c>
      <c r="O1124" s="947">
        <v>44964</v>
      </c>
    </row>
    <row r="1125" spans="1:15">
      <c r="A1125" s="948">
        <v>44966</v>
      </c>
      <c r="B1125" s="947">
        <v>58750</v>
      </c>
      <c r="I1125" s="948">
        <v>44939</v>
      </c>
      <c r="J1125" s="947">
        <v>53583</v>
      </c>
      <c r="M1125" s="948">
        <v>44965</v>
      </c>
      <c r="N1125" s="947">
        <v>58750</v>
      </c>
      <c r="O1125" s="947">
        <v>44965</v>
      </c>
    </row>
    <row r="1126" spans="1:15">
      <c r="A1126" s="948">
        <v>44967</v>
      </c>
      <c r="B1126" s="947">
        <v>58750</v>
      </c>
      <c r="I1126" s="948">
        <v>44942</v>
      </c>
      <c r="J1126" s="947">
        <v>53500</v>
      </c>
      <c r="M1126" s="948">
        <v>44966</v>
      </c>
      <c r="N1126" s="947">
        <v>58750</v>
      </c>
      <c r="O1126" s="947">
        <v>44966</v>
      </c>
    </row>
    <row r="1127" spans="1:15">
      <c r="A1127" s="948">
        <v>44970</v>
      </c>
      <c r="B1127" s="947">
        <v>58750</v>
      </c>
      <c r="I1127" s="948">
        <v>44943</v>
      </c>
      <c r="J1127" s="947">
        <v>53500</v>
      </c>
      <c r="M1127" s="948">
        <v>44967</v>
      </c>
      <c r="N1127" s="947">
        <v>58750</v>
      </c>
      <c r="O1127" s="947">
        <v>44967</v>
      </c>
    </row>
    <row r="1128" spans="1:15">
      <c r="A1128" s="948">
        <v>44971</v>
      </c>
      <c r="B1128" s="947">
        <v>58750</v>
      </c>
      <c r="I1128" s="948">
        <v>44944</v>
      </c>
      <c r="J1128" s="947">
        <v>53417</v>
      </c>
      <c r="M1128" s="948">
        <v>44970</v>
      </c>
      <c r="N1128" s="947">
        <v>58750</v>
      </c>
      <c r="O1128" s="947">
        <v>44970</v>
      </c>
    </row>
    <row r="1129" spans="1:15">
      <c r="A1129" s="948">
        <v>44972</v>
      </c>
      <c r="B1129" s="947">
        <v>58750</v>
      </c>
      <c r="I1129" s="948">
        <v>44945</v>
      </c>
      <c r="J1129" s="947">
        <v>53417</v>
      </c>
      <c r="M1129" s="948">
        <v>44971</v>
      </c>
      <c r="N1129" s="947">
        <v>58750</v>
      </c>
      <c r="O1129" s="947">
        <v>44971</v>
      </c>
    </row>
    <row r="1130" spans="1:15">
      <c r="A1130" s="948">
        <v>44973</v>
      </c>
      <c r="B1130" s="947">
        <v>58500</v>
      </c>
      <c r="I1130" s="948">
        <v>44946</v>
      </c>
      <c r="J1130" s="947">
        <v>53333</v>
      </c>
      <c r="M1130" s="948">
        <v>44972</v>
      </c>
      <c r="N1130" s="947">
        <v>58750</v>
      </c>
      <c r="O1130" s="947">
        <v>44972</v>
      </c>
    </row>
    <row r="1131" spans="1:15">
      <c r="A1131" s="948">
        <v>44974</v>
      </c>
      <c r="B1131" s="947">
        <v>58500</v>
      </c>
      <c r="I1131" s="948">
        <v>44954</v>
      </c>
      <c r="J1131" s="947">
        <v>53333</v>
      </c>
      <c r="M1131" s="948">
        <v>44973</v>
      </c>
      <c r="N1131" s="947">
        <v>58500</v>
      </c>
      <c r="O1131" s="947">
        <v>44973</v>
      </c>
    </row>
    <row r="1132" spans="1:15">
      <c r="A1132" s="948">
        <v>44977</v>
      </c>
      <c r="B1132" s="947">
        <v>58500</v>
      </c>
      <c r="I1132" s="948">
        <v>44955</v>
      </c>
      <c r="J1132" s="947">
        <v>53333</v>
      </c>
      <c r="M1132" s="948">
        <v>44974</v>
      </c>
      <c r="N1132" s="947">
        <v>58500</v>
      </c>
      <c r="O1132" s="947">
        <v>44974</v>
      </c>
    </row>
    <row r="1133" spans="1:15">
      <c r="A1133" s="948">
        <v>44978</v>
      </c>
      <c r="B1133" s="947">
        <v>58500</v>
      </c>
      <c r="I1133" s="948">
        <v>44956</v>
      </c>
      <c r="J1133" s="947">
        <v>53250</v>
      </c>
      <c r="M1133" s="948">
        <v>44977</v>
      </c>
      <c r="N1133" s="947">
        <v>58500</v>
      </c>
      <c r="O1133" s="947">
        <v>44977</v>
      </c>
    </row>
    <row r="1134" spans="1:15">
      <c r="A1134" s="948">
        <v>44979</v>
      </c>
      <c r="B1134" s="947">
        <v>58500</v>
      </c>
      <c r="I1134" s="948">
        <v>44957</v>
      </c>
      <c r="J1134" s="947">
        <v>53125</v>
      </c>
      <c r="M1134" s="948">
        <v>44978</v>
      </c>
      <c r="N1134" s="947">
        <v>58500</v>
      </c>
      <c r="O1134" s="947">
        <v>44978</v>
      </c>
    </row>
    <row r="1135" spans="1:15">
      <c r="A1135" s="948">
        <v>44980</v>
      </c>
      <c r="B1135" s="947">
        <v>58500</v>
      </c>
      <c r="I1135" s="948">
        <v>44958</v>
      </c>
      <c r="J1135" s="947">
        <v>53041</v>
      </c>
      <c r="M1135" s="948">
        <v>44979</v>
      </c>
      <c r="N1135" s="947">
        <v>58500</v>
      </c>
      <c r="O1135" s="947">
        <v>44979</v>
      </c>
    </row>
    <row r="1136" spans="1:15">
      <c r="A1136" s="948">
        <v>44981</v>
      </c>
      <c r="B1136" s="947">
        <v>57875</v>
      </c>
      <c r="I1136" s="948">
        <v>44959</v>
      </c>
      <c r="J1136" s="947">
        <v>52916</v>
      </c>
      <c r="M1136" s="948">
        <v>44980</v>
      </c>
      <c r="N1136" s="947">
        <v>58500</v>
      </c>
      <c r="O1136" s="947">
        <v>44980</v>
      </c>
    </row>
    <row r="1137" spans="1:15">
      <c r="A1137" s="948">
        <v>44984</v>
      </c>
      <c r="B1137" s="947">
        <v>57875</v>
      </c>
      <c r="I1137" s="948">
        <v>44960</v>
      </c>
      <c r="J1137" s="947">
        <v>52916</v>
      </c>
      <c r="M1137" s="948">
        <v>44981</v>
      </c>
      <c r="N1137" s="947">
        <v>57875</v>
      </c>
      <c r="O1137" s="947">
        <v>44981</v>
      </c>
    </row>
    <row r="1138" spans="1:15">
      <c r="A1138" s="948">
        <v>44985</v>
      </c>
      <c r="B1138" s="947">
        <v>57875</v>
      </c>
      <c r="I1138" s="948">
        <v>44963</v>
      </c>
      <c r="J1138" s="947">
        <v>52041</v>
      </c>
      <c r="M1138" s="948">
        <v>44984</v>
      </c>
      <c r="N1138" s="947">
        <v>57875</v>
      </c>
      <c r="O1138" s="947">
        <v>44984</v>
      </c>
    </row>
    <row r="1139" spans="1:15">
      <c r="A1139" s="948">
        <v>44986</v>
      </c>
      <c r="B1139" s="947">
        <v>57875</v>
      </c>
      <c r="I1139" s="948">
        <v>44964</v>
      </c>
      <c r="J1139" s="947">
        <v>50916</v>
      </c>
      <c r="M1139" s="948">
        <v>44985</v>
      </c>
      <c r="N1139" s="947">
        <v>57875</v>
      </c>
      <c r="O1139" s="947">
        <v>44985</v>
      </c>
    </row>
    <row r="1140" spans="1:15">
      <c r="A1140" s="948">
        <v>44987</v>
      </c>
      <c r="B1140" s="947">
        <v>55250</v>
      </c>
      <c r="I1140" s="948">
        <v>44965</v>
      </c>
      <c r="J1140" s="947">
        <v>50875</v>
      </c>
      <c r="M1140" s="948">
        <v>44986</v>
      </c>
      <c r="N1140" s="947">
        <v>57875</v>
      </c>
      <c r="O1140" s="947">
        <v>44986</v>
      </c>
    </row>
    <row r="1141" spans="1:15">
      <c r="A1141" s="948">
        <v>44988</v>
      </c>
      <c r="B1141" s="947">
        <v>52750</v>
      </c>
      <c r="I1141" s="948">
        <v>44966</v>
      </c>
      <c r="J1141" s="947">
        <v>50875</v>
      </c>
      <c r="M1141" s="948">
        <v>44987</v>
      </c>
      <c r="N1141" s="947">
        <v>55250</v>
      </c>
      <c r="O1141" s="947">
        <v>44987</v>
      </c>
    </row>
    <row r="1142" spans="1:15">
      <c r="A1142" s="948">
        <v>44991</v>
      </c>
      <c r="B1142" s="947">
        <v>51375</v>
      </c>
      <c r="I1142" s="948">
        <v>44967</v>
      </c>
      <c r="J1142" s="947">
        <v>50875</v>
      </c>
      <c r="M1142" s="948">
        <v>44988</v>
      </c>
      <c r="N1142" s="947">
        <v>52750</v>
      </c>
      <c r="O1142" s="947">
        <v>44988</v>
      </c>
    </row>
    <row r="1143" spans="1:15">
      <c r="A1143" s="948">
        <v>44992</v>
      </c>
      <c r="B1143" s="947">
        <v>50125</v>
      </c>
      <c r="I1143" s="948">
        <v>44970</v>
      </c>
      <c r="J1143" s="947">
        <v>50875</v>
      </c>
      <c r="M1143" s="948">
        <v>44991</v>
      </c>
      <c r="N1143" s="947">
        <v>51375</v>
      </c>
      <c r="O1143" s="947">
        <v>44991</v>
      </c>
    </row>
    <row r="1144" spans="1:15">
      <c r="A1144" s="948">
        <v>44993</v>
      </c>
      <c r="B1144" s="947">
        <v>50125</v>
      </c>
      <c r="I1144" s="948">
        <v>44971</v>
      </c>
      <c r="J1144" s="947">
        <v>50875</v>
      </c>
      <c r="M1144" s="948">
        <v>44992</v>
      </c>
      <c r="N1144" s="947">
        <v>50125</v>
      </c>
      <c r="O1144" s="947">
        <v>44992</v>
      </c>
    </row>
    <row r="1145" spans="1:15">
      <c r="A1145" s="948">
        <v>44994</v>
      </c>
      <c r="B1145" s="947">
        <v>50125</v>
      </c>
      <c r="I1145" s="948">
        <v>44972</v>
      </c>
      <c r="J1145" s="947">
        <v>50791</v>
      </c>
      <c r="M1145" s="948">
        <v>44993</v>
      </c>
      <c r="N1145" s="947">
        <v>50125</v>
      </c>
      <c r="O1145" s="947">
        <v>44993</v>
      </c>
    </row>
    <row r="1146" spans="1:15">
      <c r="A1146" s="948">
        <v>44995</v>
      </c>
      <c r="B1146" s="947">
        <v>49937</v>
      </c>
      <c r="I1146" s="948">
        <v>44973</v>
      </c>
      <c r="J1146" s="947">
        <v>50750</v>
      </c>
      <c r="M1146" s="948">
        <v>44994</v>
      </c>
      <c r="N1146" s="947">
        <v>50125</v>
      </c>
      <c r="O1146" s="947">
        <v>44994</v>
      </c>
    </row>
    <row r="1147" spans="1:15">
      <c r="A1147" s="948">
        <v>44998</v>
      </c>
      <c r="B1147" s="947">
        <v>49812</v>
      </c>
      <c r="I1147" s="948">
        <v>44974</v>
      </c>
      <c r="J1147" s="947">
        <v>50708</v>
      </c>
      <c r="M1147" s="948">
        <v>44995</v>
      </c>
      <c r="N1147" s="947">
        <v>49937</v>
      </c>
      <c r="O1147" s="947">
        <v>44995</v>
      </c>
    </row>
    <row r="1148" spans="1:15">
      <c r="A1148" s="948">
        <v>44999</v>
      </c>
      <c r="B1148" s="947">
        <v>49812</v>
      </c>
      <c r="I1148" s="948">
        <v>44977</v>
      </c>
      <c r="J1148" s="947">
        <v>50667</v>
      </c>
      <c r="M1148" s="948">
        <v>44998</v>
      </c>
      <c r="N1148" s="947">
        <v>49812</v>
      </c>
      <c r="O1148" s="947">
        <v>44998</v>
      </c>
    </row>
    <row r="1149" spans="1:15">
      <c r="A1149" s="948">
        <v>45000</v>
      </c>
      <c r="B1149" s="947">
        <v>49812</v>
      </c>
      <c r="I1149" s="948">
        <v>44978</v>
      </c>
      <c r="J1149" s="947">
        <v>50667</v>
      </c>
      <c r="M1149" s="948">
        <v>44999</v>
      </c>
      <c r="N1149" s="947">
        <v>49812</v>
      </c>
      <c r="O1149" s="947">
        <v>44999</v>
      </c>
    </row>
    <row r="1150" spans="1:15">
      <c r="A1150" s="948">
        <v>45001</v>
      </c>
      <c r="B1150" s="947">
        <v>49437</v>
      </c>
      <c r="I1150" s="948">
        <v>44979</v>
      </c>
      <c r="J1150" s="947">
        <v>50667</v>
      </c>
      <c r="M1150" s="948">
        <v>45000</v>
      </c>
      <c r="N1150" s="947">
        <v>49812</v>
      </c>
      <c r="O1150" s="947">
        <v>45000</v>
      </c>
    </row>
    <row r="1151" spans="1:15">
      <c r="A1151" s="948">
        <v>45002</v>
      </c>
      <c r="B1151" s="947">
        <v>49187</v>
      </c>
      <c r="I1151" s="948">
        <v>44980</v>
      </c>
      <c r="J1151" s="947">
        <v>50667</v>
      </c>
      <c r="M1151" s="948">
        <v>45001</v>
      </c>
      <c r="N1151" s="947">
        <v>49437</v>
      </c>
      <c r="O1151" s="947">
        <v>45001</v>
      </c>
    </row>
    <row r="1152" spans="1:15">
      <c r="A1152" s="948">
        <v>45005</v>
      </c>
      <c r="B1152" s="947">
        <v>49050</v>
      </c>
      <c r="I1152" s="948">
        <v>44981</v>
      </c>
      <c r="J1152" s="947">
        <v>50583</v>
      </c>
      <c r="M1152" s="948">
        <v>45002</v>
      </c>
      <c r="N1152" s="947">
        <v>49187</v>
      </c>
      <c r="O1152" s="947">
        <v>45002</v>
      </c>
    </row>
    <row r="1153" spans="1:15">
      <c r="A1153" s="948">
        <v>45006</v>
      </c>
      <c r="B1153" s="947">
        <v>49050</v>
      </c>
      <c r="I1153" s="948">
        <v>44984</v>
      </c>
      <c r="J1153" s="947">
        <v>50500</v>
      </c>
      <c r="M1153" s="948">
        <v>45005</v>
      </c>
      <c r="N1153" s="947">
        <v>49050</v>
      </c>
      <c r="O1153" s="947">
        <v>45005</v>
      </c>
    </row>
    <row r="1154" spans="1:15">
      <c r="A1154" s="948">
        <v>45007</v>
      </c>
      <c r="B1154" s="947">
        <v>48850</v>
      </c>
      <c r="I1154" s="948">
        <v>44985</v>
      </c>
      <c r="J1154" s="947">
        <v>50416</v>
      </c>
      <c r="M1154" s="948">
        <v>45006</v>
      </c>
      <c r="N1154" s="947">
        <v>49050</v>
      </c>
      <c r="O1154" s="947">
        <v>45006</v>
      </c>
    </row>
    <row r="1155" spans="1:15">
      <c r="A1155" s="948">
        <v>45008</v>
      </c>
      <c r="B1155" s="947">
        <v>48850</v>
      </c>
      <c r="I1155" s="948">
        <v>44986</v>
      </c>
      <c r="J1155" s="947">
        <v>50375</v>
      </c>
      <c r="M1155" s="948">
        <v>45007</v>
      </c>
      <c r="N1155" s="947">
        <v>48850</v>
      </c>
      <c r="O1155" s="947">
        <v>45007</v>
      </c>
    </row>
    <row r="1156" spans="1:15">
      <c r="A1156" s="948">
        <v>45009</v>
      </c>
      <c r="B1156" s="947">
        <v>48850</v>
      </c>
      <c r="I1156" s="948">
        <v>44987</v>
      </c>
      <c r="J1156" s="947">
        <v>48925</v>
      </c>
      <c r="M1156" s="948">
        <v>45008</v>
      </c>
      <c r="N1156" s="947">
        <v>48850</v>
      </c>
      <c r="O1156" s="947">
        <v>45008</v>
      </c>
    </row>
    <row r="1157" spans="1:15">
      <c r="A1157" s="948">
        <v>45012</v>
      </c>
      <c r="B1157" s="947">
        <v>48350</v>
      </c>
      <c r="I1157" s="948">
        <v>44988</v>
      </c>
      <c r="J1157" s="947">
        <v>48313</v>
      </c>
      <c r="M1157" s="948">
        <v>45009</v>
      </c>
      <c r="N1157" s="947">
        <v>48850</v>
      </c>
      <c r="O1157" s="947">
        <v>45009</v>
      </c>
    </row>
    <row r="1158" spans="1:15">
      <c r="A1158" s="948">
        <v>45013</v>
      </c>
      <c r="B1158" s="947">
        <v>48350</v>
      </c>
      <c r="I1158" s="948">
        <v>44991</v>
      </c>
      <c r="J1158" s="947">
        <v>47688</v>
      </c>
      <c r="M1158" s="948">
        <v>45012</v>
      </c>
      <c r="N1158" s="947">
        <v>48350</v>
      </c>
      <c r="O1158" s="947">
        <v>45012</v>
      </c>
    </row>
    <row r="1159" spans="1:15">
      <c r="I1159" s="948">
        <v>44992</v>
      </c>
      <c r="J1159" s="947">
        <v>47688</v>
      </c>
      <c r="M1159" s="948">
        <v>45013</v>
      </c>
      <c r="N1159" s="947">
        <v>48350</v>
      </c>
      <c r="O1159" s="947">
        <v>45013</v>
      </c>
    </row>
    <row r="1160" spans="1:15">
      <c r="I1160" s="948">
        <v>44993</v>
      </c>
      <c r="J1160" s="947">
        <v>50500</v>
      </c>
      <c r="M1160" s="947"/>
      <c r="N1160" s="947"/>
      <c r="O1160" s="947"/>
    </row>
    <row r="1161" spans="1:15" ht="14.5">
      <c r="I1161" s="948">
        <v>44994</v>
      </c>
      <c r="J1161" s="947">
        <v>50000</v>
      </c>
      <c r="M1161" s="949" t="s">
        <v>2110</v>
      </c>
      <c r="N1161" s="947"/>
      <c r="O1161" s="947"/>
    </row>
    <row r="1162" spans="1:15">
      <c r="I1162" s="948">
        <v>44995</v>
      </c>
      <c r="J1162" s="947">
        <v>50000</v>
      </c>
    </row>
    <row r="1163" spans="1:15">
      <c r="I1163" s="948">
        <v>44998</v>
      </c>
      <c r="J1163" s="947">
        <v>50125</v>
      </c>
    </row>
    <row r="1164" spans="1:15">
      <c r="I1164" s="948">
        <v>44999</v>
      </c>
      <c r="J1164" s="947">
        <v>50125</v>
      </c>
    </row>
    <row r="1165" spans="1:15">
      <c r="A1165" s="947"/>
      <c r="B1165" s="947" t="s">
        <v>2111</v>
      </c>
      <c r="C1165" s="947" t="s">
        <v>2112</v>
      </c>
      <c r="D1165" s="947" t="s">
        <v>2113</v>
      </c>
      <c r="I1165" s="948">
        <v>45000</v>
      </c>
      <c r="J1165" s="947">
        <v>50125</v>
      </c>
    </row>
    <row r="1166" spans="1:15">
      <c r="A1166" s="948">
        <v>44335</v>
      </c>
      <c r="B1166" s="947">
        <v>1.95</v>
      </c>
      <c r="C1166" s="947">
        <v>2.4</v>
      </c>
      <c r="D1166" s="947">
        <v>1.9</v>
      </c>
      <c r="I1166" s="948">
        <v>45001</v>
      </c>
      <c r="J1166" s="947">
        <v>50125</v>
      </c>
    </row>
    <row r="1167" spans="1:15">
      <c r="A1167" s="948">
        <v>44336</v>
      </c>
      <c r="B1167" s="947">
        <v>1.95</v>
      </c>
      <c r="C1167" s="947">
        <v>2.4</v>
      </c>
      <c r="D1167" s="947">
        <v>1.9</v>
      </c>
      <c r="I1167" s="948">
        <v>45002</v>
      </c>
      <c r="J1167" s="947">
        <v>50125</v>
      </c>
    </row>
    <row r="1168" spans="1:15">
      <c r="A1168" s="948">
        <v>44337</v>
      </c>
      <c r="B1168" s="947">
        <v>1.95</v>
      </c>
      <c r="C1168" s="947">
        <v>2.4</v>
      </c>
      <c r="D1168" s="947">
        <v>1.9</v>
      </c>
      <c r="I1168" s="948">
        <v>45005</v>
      </c>
      <c r="J1168" s="947">
        <v>50125</v>
      </c>
    </row>
    <row r="1169" spans="1:10">
      <c r="A1169" s="948">
        <v>44340</v>
      </c>
      <c r="B1169" s="947">
        <v>1.95</v>
      </c>
      <c r="C1169" s="947">
        <v>2.4</v>
      </c>
      <c r="D1169" s="947">
        <v>1.9</v>
      </c>
      <c r="I1169" s="948">
        <v>45006</v>
      </c>
      <c r="J1169" s="947">
        <v>50125</v>
      </c>
    </row>
    <row r="1170" spans="1:10">
      <c r="A1170" s="948">
        <v>44341</v>
      </c>
      <c r="B1170" s="947">
        <v>1.95</v>
      </c>
      <c r="C1170" s="947">
        <v>2.4</v>
      </c>
      <c r="D1170" s="947">
        <v>1.9</v>
      </c>
      <c r="I1170" s="948">
        <v>45007</v>
      </c>
      <c r="J1170" s="947">
        <v>49875</v>
      </c>
    </row>
    <row r="1171" spans="1:10">
      <c r="A1171" s="948">
        <v>44342</v>
      </c>
      <c r="B1171" s="947">
        <v>1.95</v>
      </c>
      <c r="C1171" s="947">
        <v>2.4</v>
      </c>
      <c r="D1171" s="947">
        <v>1.9</v>
      </c>
      <c r="I1171" s="948">
        <v>45008</v>
      </c>
      <c r="J1171" s="947">
        <v>49875</v>
      </c>
    </row>
    <row r="1172" spans="1:10">
      <c r="A1172" s="948">
        <v>44343</v>
      </c>
      <c r="B1172" s="947">
        <v>1.95</v>
      </c>
      <c r="C1172" s="947">
        <v>2.4</v>
      </c>
      <c r="D1172" s="947">
        <v>1.9</v>
      </c>
      <c r="I1172" s="948">
        <v>45009</v>
      </c>
      <c r="J1172" s="947">
        <v>49875</v>
      </c>
    </row>
    <row r="1173" spans="1:10">
      <c r="A1173" s="948">
        <v>44344</v>
      </c>
      <c r="B1173" s="947">
        <v>1.95</v>
      </c>
      <c r="C1173" s="947">
        <v>2.4</v>
      </c>
      <c r="D1173" s="947">
        <v>1.9</v>
      </c>
      <c r="I1173" s="948">
        <v>45012</v>
      </c>
      <c r="J1173" s="947">
        <v>49375</v>
      </c>
    </row>
    <row r="1174" spans="1:10">
      <c r="A1174" s="948">
        <v>44347</v>
      </c>
      <c r="B1174" s="947">
        <v>1.95</v>
      </c>
      <c r="C1174" s="947">
        <v>2.4</v>
      </c>
      <c r="D1174" s="947">
        <v>1.9</v>
      </c>
      <c r="I1174" s="948">
        <v>45013</v>
      </c>
      <c r="J1174" s="947">
        <v>49375</v>
      </c>
    </row>
    <row r="1175" spans="1:10">
      <c r="A1175" s="948">
        <v>44348</v>
      </c>
      <c r="B1175" s="947">
        <v>1.95</v>
      </c>
      <c r="C1175" s="947">
        <v>2.4</v>
      </c>
      <c r="D1175" s="947">
        <v>1.9</v>
      </c>
    </row>
    <row r="1176" spans="1:10">
      <c r="A1176" s="948">
        <v>44349</v>
      </c>
      <c r="B1176" s="947">
        <v>1.95</v>
      </c>
      <c r="C1176" s="947">
        <v>2.4</v>
      </c>
      <c r="D1176" s="947">
        <v>1.9</v>
      </c>
    </row>
    <row r="1177" spans="1:10">
      <c r="A1177" s="948">
        <v>44350</v>
      </c>
      <c r="B1177" s="947">
        <v>1.95</v>
      </c>
      <c r="C1177" s="947">
        <v>2.4</v>
      </c>
      <c r="D1177" s="947">
        <v>1.9</v>
      </c>
    </row>
    <row r="1178" spans="1:10">
      <c r="A1178" s="948">
        <v>44351</v>
      </c>
      <c r="B1178" s="947">
        <v>1.95</v>
      </c>
      <c r="C1178" s="947">
        <v>2.4</v>
      </c>
      <c r="D1178" s="947">
        <v>1.9</v>
      </c>
    </row>
    <row r="1179" spans="1:10">
      <c r="A1179" s="948">
        <v>44354</v>
      </c>
      <c r="B1179" s="947">
        <v>1.95</v>
      </c>
      <c r="C1179" s="947">
        <v>2.4</v>
      </c>
      <c r="D1179" s="947">
        <v>1.9</v>
      </c>
    </row>
    <row r="1180" spans="1:10">
      <c r="A1180" s="948">
        <v>44355</v>
      </c>
      <c r="B1180" s="947">
        <v>1.95</v>
      </c>
      <c r="C1180" s="947">
        <v>2.4</v>
      </c>
      <c r="D1180" s="947">
        <v>1.9</v>
      </c>
    </row>
    <row r="1181" spans="1:10">
      <c r="A1181" s="948">
        <v>44356</v>
      </c>
      <c r="B1181" s="947">
        <v>1.95</v>
      </c>
      <c r="C1181" s="947">
        <v>2.4</v>
      </c>
      <c r="D1181" s="947">
        <v>1.9</v>
      </c>
    </row>
    <row r="1182" spans="1:10">
      <c r="A1182" s="948">
        <v>44357</v>
      </c>
      <c r="B1182" s="947">
        <v>1.95</v>
      </c>
      <c r="C1182" s="947">
        <v>2.4</v>
      </c>
      <c r="D1182" s="947">
        <v>1.9</v>
      </c>
    </row>
    <row r="1183" spans="1:10">
      <c r="A1183" s="948">
        <v>44358</v>
      </c>
      <c r="B1183" s="947">
        <v>1.95</v>
      </c>
      <c r="C1183" s="947">
        <v>2.4</v>
      </c>
      <c r="D1183" s="947">
        <v>1.9</v>
      </c>
    </row>
    <row r="1184" spans="1:10">
      <c r="A1184" s="948">
        <v>44361</v>
      </c>
      <c r="B1184" s="947">
        <v>1.95</v>
      </c>
      <c r="C1184" s="947">
        <v>2.4</v>
      </c>
      <c r="D1184" s="947">
        <v>1.9</v>
      </c>
    </row>
    <row r="1185" spans="1:4">
      <c r="A1185" s="948">
        <v>44362</v>
      </c>
      <c r="B1185" s="947">
        <v>1.95</v>
      </c>
      <c r="C1185" s="947">
        <v>2.4</v>
      </c>
      <c r="D1185" s="947">
        <v>1.9</v>
      </c>
    </row>
    <row r="1186" spans="1:4">
      <c r="A1186" s="948">
        <v>44363</v>
      </c>
      <c r="B1186" s="947">
        <v>1.95</v>
      </c>
      <c r="C1186" s="947">
        <v>2.4</v>
      </c>
      <c r="D1186" s="947">
        <v>1.9</v>
      </c>
    </row>
    <row r="1187" spans="1:4">
      <c r="A1187" s="948">
        <v>44364</v>
      </c>
      <c r="B1187" s="947">
        <v>1.95</v>
      </c>
      <c r="C1187" s="947">
        <v>2.4</v>
      </c>
      <c r="D1187" s="947">
        <v>1.9</v>
      </c>
    </row>
    <row r="1188" spans="1:4">
      <c r="A1188" s="948">
        <v>44365</v>
      </c>
      <c r="B1188" s="947">
        <v>1.95</v>
      </c>
      <c r="C1188" s="947">
        <v>2.4</v>
      </c>
      <c r="D1188" s="947">
        <v>1.9</v>
      </c>
    </row>
    <row r="1189" spans="1:4">
      <c r="A1189" s="948">
        <v>44368</v>
      </c>
      <c r="B1189" s="947">
        <v>1.95</v>
      </c>
      <c r="C1189" s="947">
        <v>2.4</v>
      </c>
      <c r="D1189" s="947">
        <v>1.9</v>
      </c>
    </row>
    <row r="1190" spans="1:4">
      <c r="A1190" s="948">
        <v>44369</v>
      </c>
      <c r="B1190" s="947">
        <v>1.95</v>
      </c>
      <c r="C1190" s="947">
        <v>2.4</v>
      </c>
      <c r="D1190" s="947">
        <v>1.9</v>
      </c>
    </row>
    <row r="1191" spans="1:4">
      <c r="A1191" s="948">
        <v>44370</v>
      </c>
      <c r="B1191" s="947">
        <v>1.95</v>
      </c>
      <c r="C1191" s="947">
        <v>2.4</v>
      </c>
      <c r="D1191" s="947">
        <v>1.9</v>
      </c>
    </row>
    <row r="1192" spans="1:4">
      <c r="A1192" s="948">
        <v>44371</v>
      </c>
      <c r="B1192" s="947">
        <v>1.95</v>
      </c>
      <c r="C1192" s="947">
        <v>2.4</v>
      </c>
      <c r="D1192" s="947">
        <v>1.9</v>
      </c>
    </row>
    <row r="1193" spans="1:4">
      <c r="A1193" s="948">
        <v>44372</v>
      </c>
      <c r="B1193" s="947">
        <v>1.95</v>
      </c>
      <c r="C1193" s="947">
        <v>2.4</v>
      </c>
      <c r="D1193" s="947">
        <v>1.9</v>
      </c>
    </row>
    <row r="1194" spans="1:4">
      <c r="A1194" s="948">
        <v>44375</v>
      </c>
      <c r="B1194" s="947">
        <v>1.95</v>
      </c>
      <c r="C1194" s="947">
        <v>2.4</v>
      </c>
      <c r="D1194" s="947">
        <v>1.9</v>
      </c>
    </row>
    <row r="1195" spans="1:4">
      <c r="A1195" s="948">
        <v>44376</v>
      </c>
      <c r="B1195" s="947">
        <v>1.95</v>
      </c>
      <c r="C1195" s="947">
        <v>2.4</v>
      </c>
      <c r="D1195" s="947">
        <v>1.9</v>
      </c>
    </row>
    <row r="1196" spans="1:4">
      <c r="A1196" s="948">
        <v>44377</v>
      </c>
      <c r="B1196" s="947">
        <v>1.95</v>
      </c>
      <c r="C1196" s="947">
        <v>2.4</v>
      </c>
      <c r="D1196" s="947">
        <v>1.9</v>
      </c>
    </row>
    <row r="1197" spans="1:4">
      <c r="A1197" s="948">
        <v>44378</v>
      </c>
      <c r="B1197" s="947">
        <v>1.95</v>
      </c>
      <c r="C1197" s="947">
        <v>2.4</v>
      </c>
      <c r="D1197" s="947">
        <v>1.9</v>
      </c>
    </row>
    <row r="1198" spans="1:4">
      <c r="A1198" s="948">
        <v>44379</v>
      </c>
      <c r="B1198" s="947">
        <v>1.95</v>
      </c>
      <c r="C1198" s="947">
        <v>2.4</v>
      </c>
      <c r="D1198" s="947">
        <v>1.9</v>
      </c>
    </row>
    <row r="1199" spans="1:4">
      <c r="A1199" s="948">
        <v>44382</v>
      </c>
      <c r="B1199" s="947">
        <v>1.95</v>
      </c>
      <c r="C1199" s="947">
        <v>2.4</v>
      </c>
      <c r="D1199" s="947">
        <v>1.9</v>
      </c>
    </row>
    <row r="1200" spans="1:4">
      <c r="A1200" s="948">
        <v>44383</v>
      </c>
      <c r="B1200" s="947">
        <v>1.95</v>
      </c>
      <c r="C1200" s="947">
        <v>2.4</v>
      </c>
      <c r="D1200" s="947">
        <v>1.9</v>
      </c>
    </row>
    <row r="1201" spans="1:4">
      <c r="A1201" s="948">
        <v>44384</v>
      </c>
      <c r="B1201" s="947">
        <v>1.95</v>
      </c>
      <c r="C1201" s="947">
        <v>2.4</v>
      </c>
      <c r="D1201" s="947">
        <v>1.9</v>
      </c>
    </row>
    <row r="1202" spans="1:4">
      <c r="A1202" s="948">
        <v>44385</v>
      </c>
      <c r="B1202" s="947">
        <v>1.95</v>
      </c>
      <c r="C1202" s="947">
        <v>2.4</v>
      </c>
      <c r="D1202" s="947">
        <v>1.9</v>
      </c>
    </row>
    <row r="1203" spans="1:4">
      <c r="A1203" s="948">
        <v>44386</v>
      </c>
      <c r="B1203" s="947">
        <v>1.95</v>
      </c>
      <c r="C1203" s="947">
        <v>2.4</v>
      </c>
      <c r="D1203" s="947">
        <v>1.9</v>
      </c>
    </row>
    <row r="1204" spans="1:4">
      <c r="A1204" s="948">
        <v>44389</v>
      </c>
      <c r="B1204" s="947">
        <v>1.95</v>
      </c>
      <c r="C1204" s="947">
        <v>2.4</v>
      </c>
      <c r="D1204" s="947">
        <v>1.9</v>
      </c>
    </row>
    <row r="1205" spans="1:4">
      <c r="A1205" s="948">
        <v>44390</v>
      </c>
      <c r="B1205" s="947">
        <v>1.95</v>
      </c>
      <c r="C1205" s="947">
        <v>2.4</v>
      </c>
      <c r="D1205" s="947">
        <v>1.9</v>
      </c>
    </row>
    <row r="1206" spans="1:4">
      <c r="A1206" s="948">
        <v>44391</v>
      </c>
      <c r="B1206" s="947">
        <v>1.95</v>
      </c>
      <c r="C1206" s="947">
        <v>2.4</v>
      </c>
      <c r="D1206" s="947">
        <v>1.9</v>
      </c>
    </row>
    <row r="1207" spans="1:4">
      <c r="A1207" s="948">
        <v>44392</v>
      </c>
      <c r="B1207" s="947">
        <v>1.95</v>
      </c>
      <c r="C1207" s="947">
        <v>2.4</v>
      </c>
      <c r="D1207" s="947">
        <v>1.9</v>
      </c>
    </row>
    <row r="1208" spans="1:4">
      <c r="A1208" s="948">
        <v>44393</v>
      </c>
      <c r="B1208" s="947">
        <v>1.95</v>
      </c>
      <c r="C1208" s="947">
        <v>2.4</v>
      </c>
      <c r="D1208" s="947">
        <v>1.9</v>
      </c>
    </row>
    <row r="1209" spans="1:4">
      <c r="A1209" s="948">
        <v>44396</v>
      </c>
      <c r="B1209" s="947">
        <v>1.95</v>
      </c>
      <c r="C1209" s="947">
        <v>2.4</v>
      </c>
      <c r="D1209" s="947">
        <v>1.9</v>
      </c>
    </row>
    <row r="1210" spans="1:4">
      <c r="A1210" s="948">
        <v>44397</v>
      </c>
      <c r="B1210" s="947">
        <v>1.95</v>
      </c>
      <c r="C1210" s="947">
        <v>2.4</v>
      </c>
      <c r="D1210" s="947">
        <v>1.9</v>
      </c>
    </row>
    <row r="1211" spans="1:4">
      <c r="A1211" s="948">
        <v>44398</v>
      </c>
      <c r="B1211" s="947">
        <v>1.95</v>
      </c>
      <c r="C1211" s="947">
        <v>2.4</v>
      </c>
      <c r="D1211" s="947">
        <v>1.9</v>
      </c>
    </row>
    <row r="1212" spans="1:4">
      <c r="A1212" s="948">
        <v>44399</v>
      </c>
      <c r="B1212" s="947">
        <v>1.95</v>
      </c>
      <c r="C1212" s="947">
        <v>2.4</v>
      </c>
      <c r="D1212" s="947">
        <v>1.9</v>
      </c>
    </row>
    <row r="1213" spans="1:4">
      <c r="A1213" s="948">
        <v>44400</v>
      </c>
      <c r="B1213" s="947">
        <v>1.95</v>
      </c>
      <c r="C1213" s="947">
        <v>2.4</v>
      </c>
      <c r="D1213" s="947">
        <v>1.9</v>
      </c>
    </row>
    <row r="1214" spans="1:4">
      <c r="A1214" s="948">
        <v>44403</v>
      </c>
      <c r="B1214" s="947">
        <v>1.95</v>
      </c>
      <c r="C1214" s="947">
        <v>2.4</v>
      </c>
      <c r="D1214" s="947">
        <v>1.9</v>
      </c>
    </row>
    <row r="1215" spans="1:4">
      <c r="A1215" s="948">
        <v>44404</v>
      </c>
      <c r="B1215" s="947">
        <v>1.95</v>
      </c>
      <c r="C1215" s="947">
        <v>2.4</v>
      </c>
      <c r="D1215" s="947">
        <v>1.9</v>
      </c>
    </row>
    <row r="1216" spans="1:4">
      <c r="A1216" s="948">
        <v>44405</v>
      </c>
      <c r="B1216" s="947">
        <v>1.95</v>
      </c>
      <c r="C1216" s="947">
        <v>2.4</v>
      </c>
      <c r="D1216" s="947">
        <v>1.9</v>
      </c>
    </row>
    <row r="1217" spans="1:4">
      <c r="A1217" s="948">
        <v>44406</v>
      </c>
      <c r="B1217" s="947">
        <v>1.95</v>
      </c>
      <c r="C1217" s="947">
        <v>2.4</v>
      </c>
      <c r="D1217" s="947">
        <v>1.9</v>
      </c>
    </row>
    <row r="1218" spans="1:4">
      <c r="A1218" s="948">
        <v>44407</v>
      </c>
      <c r="B1218" s="947">
        <v>1.95</v>
      </c>
      <c r="C1218" s="947">
        <v>2.4</v>
      </c>
      <c r="D1218" s="947">
        <v>1.9</v>
      </c>
    </row>
    <row r="1219" spans="1:4">
      <c r="A1219" s="948">
        <v>44410</v>
      </c>
      <c r="B1219" s="947">
        <v>1.95</v>
      </c>
      <c r="C1219" s="947">
        <v>2.4</v>
      </c>
      <c r="D1219" s="947">
        <v>1.9</v>
      </c>
    </row>
    <row r="1220" spans="1:4">
      <c r="A1220" s="948">
        <v>44411</v>
      </c>
      <c r="B1220" s="947">
        <v>1.95</v>
      </c>
      <c r="C1220" s="947">
        <v>2.4</v>
      </c>
      <c r="D1220" s="947">
        <v>1.9</v>
      </c>
    </row>
    <row r="1221" spans="1:4">
      <c r="A1221" s="948">
        <v>44412</v>
      </c>
      <c r="B1221" s="947">
        <v>1.95</v>
      </c>
      <c r="C1221" s="947">
        <v>2.4</v>
      </c>
      <c r="D1221" s="947">
        <v>1.9</v>
      </c>
    </row>
    <row r="1222" spans="1:4">
      <c r="A1222" s="948">
        <v>44413</v>
      </c>
      <c r="B1222" s="947">
        <v>1.95</v>
      </c>
      <c r="C1222" s="947">
        <v>2.4</v>
      </c>
      <c r="D1222" s="947">
        <v>1.9</v>
      </c>
    </row>
    <row r="1223" spans="1:4">
      <c r="A1223" s="948">
        <v>44414</v>
      </c>
      <c r="B1223" s="947">
        <v>1.95</v>
      </c>
      <c r="C1223" s="947">
        <v>2.4</v>
      </c>
      <c r="D1223" s="947">
        <v>1.9</v>
      </c>
    </row>
    <row r="1224" spans="1:4">
      <c r="A1224" s="948">
        <v>44417</v>
      </c>
      <c r="B1224" s="947">
        <v>1.95</v>
      </c>
      <c r="C1224" s="947">
        <v>2.4</v>
      </c>
      <c r="D1224" s="947">
        <v>1.9</v>
      </c>
    </row>
    <row r="1225" spans="1:4">
      <c r="A1225" s="948">
        <v>44418</v>
      </c>
      <c r="B1225" s="947">
        <v>1.95</v>
      </c>
      <c r="C1225" s="947">
        <v>2.4</v>
      </c>
      <c r="D1225" s="947">
        <v>1.9</v>
      </c>
    </row>
    <row r="1226" spans="1:4">
      <c r="A1226" s="948">
        <v>44419</v>
      </c>
      <c r="B1226" s="947">
        <v>1.95</v>
      </c>
      <c r="C1226" s="947">
        <v>2.4</v>
      </c>
      <c r="D1226" s="947">
        <v>1.9</v>
      </c>
    </row>
    <row r="1227" spans="1:4">
      <c r="A1227" s="948">
        <v>44420</v>
      </c>
      <c r="B1227" s="947">
        <v>1.95</v>
      </c>
      <c r="C1227" s="947">
        <v>2.4</v>
      </c>
      <c r="D1227" s="947">
        <v>1.9</v>
      </c>
    </row>
    <row r="1228" spans="1:4">
      <c r="A1228" s="948">
        <v>44421</v>
      </c>
      <c r="B1228" s="947">
        <v>1.95</v>
      </c>
      <c r="C1228" s="947">
        <v>2.4</v>
      </c>
      <c r="D1228" s="947">
        <v>1.9</v>
      </c>
    </row>
    <row r="1229" spans="1:4">
      <c r="A1229" s="948">
        <v>44424</v>
      </c>
      <c r="B1229" s="947">
        <v>1.95</v>
      </c>
      <c r="C1229" s="947">
        <v>2.4</v>
      </c>
      <c r="D1229" s="947">
        <v>1.9</v>
      </c>
    </row>
    <row r="1230" spans="1:4">
      <c r="A1230" s="948">
        <v>44425</v>
      </c>
      <c r="B1230" s="947">
        <v>1.95</v>
      </c>
      <c r="C1230" s="947">
        <v>2.4</v>
      </c>
      <c r="D1230" s="947">
        <v>1.9</v>
      </c>
    </row>
    <row r="1231" spans="1:4">
      <c r="A1231" s="948">
        <v>44426</v>
      </c>
      <c r="B1231" s="947">
        <v>1.95</v>
      </c>
      <c r="C1231" s="947">
        <v>2.4</v>
      </c>
      <c r="D1231" s="947">
        <v>1.9</v>
      </c>
    </row>
    <row r="1232" spans="1:4">
      <c r="A1232" s="948">
        <v>44427</v>
      </c>
      <c r="B1232" s="947">
        <v>1.95</v>
      </c>
      <c r="C1232" s="947">
        <v>2.4</v>
      </c>
      <c r="D1232" s="947">
        <v>1.9</v>
      </c>
    </row>
    <row r="1233" spans="1:4">
      <c r="A1233" s="948">
        <v>44428</v>
      </c>
      <c r="B1233" s="947">
        <v>1.95</v>
      </c>
      <c r="C1233" s="947">
        <v>2.4</v>
      </c>
      <c r="D1233" s="947">
        <v>1.9</v>
      </c>
    </row>
    <row r="1234" spans="1:4">
      <c r="A1234" s="948">
        <v>44431</v>
      </c>
      <c r="B1234" s="947">
        <v>1.95</v>
      </c>
      <c r="C1234" s="947">
        <v>2.4</v>
      </c>
      <c r="D1234" s="947">
        <v>1.9</v>
      </c>
    </row>
    <row r="1235" spans="1:4">
      <c r="A1235" s="948">
        <v>44432</v>
      </c>
      <c r="B1235" s="947">
        <v>1.95</v>
      </c>
      <c r="C1235" s="947">
        <v>2.4</v>
      </c>
      <c r="D1235" s="947">
        <v>1.9</v>
      </c>
    </row>
    <row r="1236" spans="1:4">
      <c r="A1236" s="948">
        <v>44433</v>
      </c>
      <c r="B1236" s="947">
        <v>1.95</v>
      </c>
      <c r="C1236" s="947">
        <v>2.4</v>
      </c>
      <c r="D1236" s="947">
        <v>1.9</v>
      </c>
    </row>
    <row r="1237" spans="1:4">
      <c r="A1237" s="948">
        <v>44434</v>
      </c>
      <c r="B1237" s="947">
        <v>1.95</v>
      </c>
      <c r="C1237" s="947">
        <v>2.4</v>
      </c>
      <c r="D1237" s="947">
        <v>1.9</v>
      </c>
    </row>
    <row r="1238" spans="1:4">
      <c r="A1238" s="948">
        <v>44435</v>
      </c>
      <c r="B1238" s="947">
        <v>1.95</v>
      </c>
      <c r="C1238" s="947">
        <v>2.4</v>
      </c>
      <c r="D1238" s="947">
        <v>1.9</v>
      </c>
    </row>
    <row r="1239" spans="1:4">
      <c r="A1239" s="948">
        <v>44438</v>
      </c>
      <c r="B1239" s="947">
        <v>1.95</v>
      </c>
      <c r="C1239" s="947">
        <v>2.4</v>
      </c>
      <c r="D1239" s="947">
        <v>1.9</v>
      </c>
    </row>
    <row r="1240" spans="1:4">
      <c r="A1240" s="948">
        <v>44439</v>
      </c>
      <c r="B1240" s="947">
        <v>1.95</v>
      </c>
      <c r="C1240" s="947">
        <v>2.4</v>
      </c>
      <c r="D1240" s="947">
        <v>1.9</v>
      </c>
    </row>
    <row r="1241" spans="1:4">
      <c r="A1241" s="948">
        <v>44440</v>
      </c>
      <c r="B1241" s="947">
        <v>1.95</v>
      </c>
      <c r="C1241" s="947">
        <v>2.4</v>
      </c>
      <c r="D1241" s="947">
        <v>1.9</v>
      </c>
    </row>
    <row r="1242" spans="1:4">
      <c r="A1242" s="948">
        <v>44441</v>
      </c>
      <c r="B1242" s="947">
        <v>1.95</v>
      </c>
      <c r="C1242" s="947">
        <v>2.4</v>
      </c>
      <c r="D1242" s="947">
        <v>1.9</v>
      </c>
    </row>
    <row r="1243" spans="1:4">
      <c r="A1243" s="948">
        <v>44442</v>
      </c>
      <c r="B1243" s="947">
        <v>1.95</v>
      </c>
      <c r="C1243" s="947">
        <v>2.4</v>
      </c>
      <c r="D1243" s="947">
        <v>1.9</v>
      </c>
    </row>
    <row r="1244" spans="1:4">
      <c r="A1244" s="948">
        <v>44445</v>
      </c>
      <c r="B1244" s="947">
        <v>1.95</v>
      </c>
      <c r="C1244" s="947">
        <v>2.4</v>
      </c>
      <c r="D1244" s="947">
        <v>1.9</v>
      </c>
    </row>
    <row r="1245" spans="1:4">
      <c r="A1245" s="948">
        <v>44446</v>
      </c>
      <c r="B1245" s="947">
        <v>1.95</v>
      </c>
      <c r="C1245" s="947">
        <v>2.4</v>
      </c>
      <c r="D1245" s="947">
        <v>1.9</v>
      </c>
    </row>
    <row r="1246" spans="1:4">
      <c r="A1246" s="948">
        <v>44447</v>
      </c>
      <c r="B1246" s="947">
        <v>1.95</v>
      </c>
      <c r="C1246" s="947">
        <v>2.4</v>
      </c>
      <c r="D1246" s="947">
        <v>1.9</v>
      </c>
    </row>
    <row r="1247" spans="1:4">
      <c r="A1247" s="948">
        <v>44448</v>
      </c>
      <c r="B1247" s="947">
        <v>1.95</v>
      </c>
      <c r="C1247" s="947">
        <v>2.4</v>
      </c>
      <c r="D1247" s="947">
        <v>1.9</v>
      </c>
    </row>
    <row r="1248" spans="1:4">
      <c r="A1248" s="948">
        <v>44449</v>
      </c>
      <c r="B1248" s="947">
        <v>1.95</v>
      </c>
      <c r="C1248" s="947">
        <v>2.4</v>
      </c>
      <c r="D1248" s="947">
        <v>1.9</v>
      </c>
    </row>
    <row r="1249" spans="1:4">
      <c r="A1249" s="948">
        <v>44452</v>
      </c>
      <c r="B1249" s="947">
        <v>1.95</v>
      </c>
      <c r="C1249" s="947">
        <v>2.4</v>
      </c>
      <c r="D1249" s="947">
        <v>1.9</v>
      </c>
    </row>
    <row r="1250" spans="1:4">
      <c r="A1250" s="948">
        <v>44453</v>
      </c>
      <c r="B1250" s="947">
        <v>1.95</v>
      </c>
      <c r="C1250" s="947">
        <v>2.4</v>
      </c>
      <c r="D1250" s="947">
        <v>1.9</v>
      </c>
    </row>
    <row r="1251" spans="1:4">
      <c r="A1251" s="948">
        <v>44454</v>
      </c>
      <c r="B1251" s="947">
        <v>1.95</v>
      </c>
      <c r="C1251" s="947">
        <v>2.4</v>
      </c>
      <c r="D1251" s="947">
        <v>1.9</v>
      </c>
    </row>
    <row r="1252" spans="1:4">
      <c r="A1252" s="948">
        <v>44455</v>
      </c>
      <c r="B1252" s="947">
        <v>1.95</v>
      </c>
      <c r="C1252" s="947">
        <v>2.4</v>
      </c>
      <c r="D1252" s="947">
        <v>1.9</v>
      </c>
    </row>
    <row r="1253" spans="1:4">
      <c r="A1253" s="948">
        <v>44456</v>
      </c>
      <c r="B1253" s="947">
        <v>1.95</v>
      </c>
      <c r="C1253" s="947">
        <v>2.4</v>
      </c>
      <c r="D1253" s="947">
        <v>1.9</v>
      </c>
    </row>
    <row r="1254" spans="1:4">
      <c r="A1254" s="948">
        <v>44459</v>
      </c>
      <c r="B1254" s="947">
        <v>1.95</v>
      </c>
      <c r="C1254" s="947">
        <v>2.4</v>
      </c>
      <c r="D1254" s="947">
        <v>1.9</v>
      </c>
    </row>
    <row r="1255" spans="1:4">
      <c r="A1255" s="948">
        <v>44460</v>
      </c>
      <c r="B1255" s="947">
        <v>1.95</v>
      </c>
      <c r="C1255" s="947">
        <v>2.4</v>
      </c>
      <c r="D1255" s="947">
        <v>1.9</v>
      </c>
    </row>
    <row r="1256" spans="1:4">
      <c r="A1256" s="948">
        <v>44461</v>
      </c>
      <c r="B1256" s="947">
        <v>1.95</v>
      </c>
      <c r="C1256" s="947">
        <v>2.4</v>
      </c>
      <c r="D1256" s="947">
        <v>1.9</v>
      </c>
    </row>
    <row r="1257" spans="1:4">
      <c r="A1257" s="948">
        <v>44462</v>
      </c>
      <c r="B1257" s="947">
        <v>1.95</v>
      </c>
      <c r="C1257" s="947">
        <v>2.4</v>
      </c>
      <c r="D1257" s="947">
        <v>1.9</v>
      </c>
    </row>
    <row r="1258" spans="1:4">
      <c r="A1258" s="948">
        <v>44463</v>
      </c>
      <c r="B1258" s="947">
        <v>1.95</v>
      </c>
      <c r="C1258" s="947">
        <v>2.4</v>
      </c>
      <c r="D1258" s="947">
        <v>1.9</v>
      </c>
    </row>
    <row r="1259" spans="1:4">
      <c r="A1259" s="948">
        <v>44466</v>
      </c>
      <c r="B1259" s="947">
        <v>1.95</v>
      </c>
      <c r="C1259" s="947">
        <v>2.4</v>
      </c>
      <c r="D1259" s="947">
        <v>1.9</v>
      </c>
    </row>
    <row r="1260" spans="1:4">
      <c r="A1260" s="948">
        <v>44467</v>
      </c>
      <c r="B1260" s="947">
        <v>1.95</v>
      </c>
      <c r="C1260" s="947">
        <v>2.4</v>
      </c>
      <c r="D1260" s="947">
        <v>1.9</v>
      </c>
    </row>
    <row r="1261" spans="1:4">
      <c r="A1261" s="948">
        <v>44468</v>
      </c>
      <c r="B1261" s="947">
        <v>1.95</v>
      </c>
      <c r="C1261" s="947">
        <v>2.4</v>
      </c>
      <c r="D1261" s="947">
        <v>1.9</v>
      </c>
    </row>
    <row r="1262" spans="1:4">
      <c r="A1262" s="948">
        <v>44469</v>
      </c>
      <c r="B1262" s="947">
        <v>1.95</v>
      </c>
      <c r="C1262" s="947">
        <v>2.4</v>
      </c>
      <c r="D1262" s="947">
        <v>1.9</v>
      </c>
    </row>
    <row r="1263" spans="1:4">
      <c r="A1263" s="948">
        <v>44477</v>
      </c>
      <c r="B1263" s="947">
        <v>1.95</v>
      </c>
      <c r="C1263" s="947">
        <v>2.4</v>
      </c>
      <c r="D1263" s="947">
        <v>1.9</v>
      </c>
    </row>
    <row r="1264" spans="1:4">
      <c r="A1264" s="948">
        <v>44480</v>
      </c>
      <c r="B1264" s="947">
        <v>1.95</v>
      </c>
      <c r="C1264" s="947">
        <v>2.4</v>
      </c>
      <c r="D1264" s="947">
        <v>1.9</v>
      </c>
    </row>
    <row r="1265" spans="1:4">
      <c r="A1265" s="948">
        <v>44481</v>
      </c>
      <c r="B1265" s="947">
        <v>1.95</v>
      </c>
      <c r="C1265" s="947">
        <v>2.4</v>
      </c>
      <c r="D1265" s="947">
        <v>1.9</v>
      </c>
    </row>
    <row r="1266" spans="1:4">
      <c r="A1266" s="948">
        <v>44482</v>
      </c>
      <c r="B1266" s="947">
        <v>1.95</v>
      </c>
      <c r="C1266" s="947">
        <v>2.4</v>
      </c>
      <c r="D1266" s="947">
        <v>1.9</v>
      </c>
    </row>
    <row r="1267" spans="1:4">
      <c r="A1267" s="948">
        <v>44483</v>
      </c>
      <c r="B1267" s="947">
        <v>1.95</v>
      </c>
      <c r="C1267" s="947">
        <v>2.4</v>
      </c>
      <c r="D1267" s="947">
        <v>1.9</v>
      </c>
    </row>
    <row r="1268" spans="1:4">
      <c r="A1268" s="948">
        <v>44484</v>
      </c>
      <c r="B1268" s="947">
        <v>1.95</v>
      </c>
      <c r="C1268" s="947">
        <v>2.4</v>
      </c>
      <c r="D1268" s="947">
        <v>1.9</v>
      </c>
    </row>
    <row r="1269" spans="1:4">
      <c r="A1269" s="948">
        <v>44487</v>
      </c>
      <c r="B1269" s="947">
        <v>1.95</v>
      </c>
      <c r="C1269" s="947">
        <v>2.4</v>
      </c>
      <c r="D1269" s="947">
        <v>1.9</v>
      </c>
    </row>
    <row r="1270" spans="1:4">
      <c r="A1270" s="948">
        <v>44488</v>
      </c>
      <c r="B1270" s="947">
        <v>1.95</v>
      </c>
      <c r="C1270" s="947">
        <v>2.4</v>
      </c>
      <c r="D1270" s="947">
        <v>1.9</v>
      </c>
    </row>
    <row r="1271" spans="1:4">
      <c r="A1271" s="948">
        <v>44489</v>
      </c>
      <c r="B1271" s="947">
        <v>1.95</v>
      </c>
      <c r="C1271" s="947">
        <v>2.4</v>
      </c>
      <c r="D1271" s="947">
        <v>1.9</v>
      </c>
    </row>
    <row r="1272" spans="1:4">
      <c r="A1272" s="948">
        <v>44490</v>
      </c>
      <c r="B1272" s="947">
        <v>1.95</v>
      </c>
      <c r="C1272" s="947">
        <v>2.4</v>
      </c>
      <c r="D1272" s="947">
        <v>1.9</v>
      </c>
    </row>
    <row r="1273" spans="1:4">
      <c r="A1273" s="948">
        <v>44491</v>
      </c>
      <c r="B1273" s="947">
        <v>1.95</v>
      </c>
      <c r="C1273" s="947">
        <v>2.4</v>
      </c>
      <c r="D1273" s="947">
        <v>1.9</v>
      </c>
    </row>
    <row r="1274" spans="1:4">
      <c r="A1274" s="948">
        <v>44494</v>
      </c>
      <c r="B1274" s="947">
        <v>1.95</v>
      </c>
      <c r="C1274" s="947">
        <v>2.4</v>
      </c>
      <c r="D1274" s="947">
        <v>1.9</v>
      </c>
    </row>
    <row r="1275" spans="1:4">
      <c r="A1275" s="948">
        <v>44495</v>
      </c>
      <c r="B1275" s="947">
        <v>1.95</v>
      </c>
      <c r="C1275" s="947">
        <v>2.4</v>
      </c>
      <c r="D1275" s="947">
        <v>1.9</v>
      </c>
    </row>
    <row r="1276" spans="1:4">
      <c r="A1276" s="948">
        <v>44496</v>
      </c>
      <c r="B1276" s="947">
        <v>1.95</v>
      </c>
      <c r="C1276" s="947">
        <v>2.4</v>
      </c>
      <c r="D1276" s="947">
        <v>1.9</v>
      </c>
    </row>
    <row r="1277" spans="1:4">
      <c r="A1277" s="948">
        <v>44497</v>
      </c>
      <c r="B1277" s="947">
        <v>1.95</v>
      </c>
      <c r="C1277" s="947">
        <v>2.4</v>
      </c>
      <c r="D1277" s="947">
        <v>1.9</v>
      </c>
    </row>
    <row r="1278" spans="1:4">
      <c r="A1278" s="948">
        <v>44498</v>
      </c>
      <c r="B1278" s="947">
        <v>1.95</v>
      </c>
      <c r="C1278" s="947">
        <v>2.4</v>
      </c>
      <c r="D1278" s="947">
        <v>1.9</v>
      </c>
    </row>
    <row r="1279" spans="1:4">
      <c r="A1279" s="948">
        <v>44501</v>
      </c>
      <c r="B1279" s="947">
        <v>1.95</v>
      </c>
      <c r="C1279" s="947">
        <v>2.4</v>
      </c>
      <c r="D1279" s="947">
        <v>1.9</v>
      </c>
    </row>
    <row r="1280" spans="1:4">
      <c r="A1280" s="948">
        <v>44502</v>
      </c>
      <c r="B1280" s="947">
        <v>1.95</v>
      </c>
      <c r="C1280" s="947">
        <v>2.4</v>
      </c>
      <c r="D1280" s="947">
        <v>1.9</v>
      </c>
    </row>
    <row r="1281" spans="1:4">
      <c r="A1281" s="948">
        <v>44503</v>
      </c>
      <c r="B1281" s="947">
        <v>1.95</v>
      </c>
      <c r="C1281" s="947">
        <v>2.4</v>
      </c>
      <c r="D1281" s="947">
        <v>1.9</v>
      </c>
    </row>
    <row r="1282" spans="1:4">
      <c r="A1282" s="948">
        <v>44504</v>
      </c>
      <c r="B1282" s="947">
        <v>2.0499999999999998</v>
      </c>
      <c r="C1282" s="947">
        <v>2.5</v>
      </c>
      <c r="D1282" s="947">
        <v>2</v>
      </c>
    </row>
    <row r="1283" spans="1:4">
      <c r="A1283" s="948">
        <v>44505</v>
      </c>
      <c r="B1283" s="947">
        <v>2.0499999999999998</v>
      </c>
      <c r="C1283" s="947">
        <v>2.5</v>
      </c>
      <c r="D1283" s="947">
        <v>2</v>
      </c>
    </row>
    <row r="1284" spans="1:4">
      <c r="A1284" s="948">
        <v>44508</v>
      </c>
      <c r="B1284" s="947">
        <v>2.0499999999999998</v>
      </c>
      <c r="C1284" s="947">
        <v>2.5</v>
      </c>
      <c r="D1284" s="947">
        <v>2</v>
      </c>
    </row>
    <row r="1285" spans="1:4">
      <c r="A1285" s="948">
        <v>44509</v>
      </c>
      <c r="B1285" s="947">
        <v>2.0499999999999998</v>
      </c>
      <c r="C1285" s="947">
        <v>2.5</v>
      </c>
      <c r="D1285" s="947">
        <v>2</v>
      </c>
    </row>
    <row r="1286" spans="1:4">
      <c r="A1286" s="948">
        <v>44510</v>
      </c>
      <c r="B1286" s="947">
        <v>2.0499999999999998</v>
      </c>
      <c r="C1286" s="947">
        <v>2.5</v>
      </c>
      <c r="D1286" s="947">
        <v>2</v>
      </c>
    </row>
    <row r="1287" spans="1:4">
      <c r="A1287" s="948">
        <v>44511</v>
      </c>
      <c r="B1287" s="947">
        <v>2.0499999999999998</v>
      </c>
      <c r="C1287" s="947">
        <v>2.5</v>
      </c>
      <c r="D1287" s="947">
        <v>2</v>
      </c>
    </row>
    <row r="1288" spans="1:4">
      <c r="A1288" s="948">
        <v>44512</v>
      </c>
      <c r="B1288" s="947">
        <v>2.0499999999999998</v>
      </c>
      <c r="C1288" s="947">
        <v>2.5</v>
      </c>
      <c r="D1288" s="947">
        <v>2</v>
      </c>
    </row>
    <row r="1289" spans="1:4">
      <c r="A1289" s="948">
        <v>44515</v>
      </c>
      <c r="B1289" s="947">
        <v>2.0499999999999998</v>
      </c>
      <c r="C1289" s="947">
        <v>2.5</v>
      </c>
      <c r="D1289" s="947">
        <v>2</v>
      </c>
    </row>
    <row r="1290" spans="1:4">
      <c r="A1290" s="948">
        <v>44516</v>
      </c>
      <c r="B1290" s="947">
        <v>2.0499999999999998</v>
      </c>
      <c r="C1290" s="947">
        <v>2.5</v>
      </c>
      <c r="D1290" s="947">
        <v>2</v>
      </c>
    </row>
    <row r="1291" spans="1:4">
      <c r="A1291" s="948">
        <v>44517</v>
      </c>
      <c r="B1291" s="947">
        <v>2.0499999999999998</v>
      </c>
      <c r="C1291" s="947">
        <v>2.5</v>
      </c>
      <c r="D1291" s="947">
        <v>2</v>
      </c>
    </row>
    <row r="1292" spans="1:4">
      <c r="A1292" s="948">
        <v>44518</v>
      </c>
      <c r="B1292" s="947">
        <v>2.0499999999999998</v>
      </c>
      <c r="C1292" s="947">
        <v>2.5</v>
      </c>
      <c r="D1292" s="947">
        <v>2</v>
      </c>
    </row>
    <row r="1293" spans="1:4">
      <c r="A1293" s="948">
        <v>44519</v>
      </c>
      <c r="B1293" s="947">
        <v>2.0499999999999998</v>
      </c>
      <c r="C1293" s="947">
        <v>2.5</v>
      </c>
      <c r="D1293" s="947">
        <v>2</v>
      </c>
    </row>
    <row r="1294" spans="1:4">
      <c r="A1294" s="948">
        <v>44522</v>
      </c>
      <c r="B1294" s="947">
        <v>2.0499999999999998</v>
      </c>
      <c r="C1294" s="947">
        <v>2.5</v>
      </c>
      <c r="D1294" s="947">
        <v>2</v>
      </c>
    </row>
    <row r="1295" spans="1:4">
      <c r="A1295" s="948">
        <v>44523</v>
      </c>
      <c r="B1295" s="947">
        <v>2.0499999999999998</v>
      </c>
      <c r="C1295" s="947">
        <v>2.5</v>
      </c>
      <c r="D1295" s="947">
        <v>2</v>
      </c>
    </row>
    <row r="1296" spans="1:4">
      <c r="A1296" s="948">
        <v>44524</v>
      </c>
      <c r="B1296" s="947">
        <v>2.0499999999999998</v>
      </c>
      <c r="C1296" s="947">
        <v>2.5</v>
      </c>
      <c r="D1296" s="947">
        <v>2</v>
      </c>
    </row>
    <row r="1297" spans="1:4">
      <c r="A1297" s="948">
        <v>44525</v>
      </c>
      <c r="B1297" s="947">
        <v>2.0499999999999998</v>
      </c>
      <c r="C1297" s="947">
        <v>2.5</v>
      </c>
      <c r="D1297" s="947">
        <v>2</v>
      </c>
    </row>
    <row r="1298" spans="1:4">
      <c r="A1298" s="948">
        <v>44526</v>
      </c>
      <c r="B1298" s="947">
        <v>2.0499999999999998</v>
      </c>
      <c r="C1298" s="947">
        <v>2.5</v>
      </c>
      <c r="D1298" s="947">
        <v>2</v>
      </c>
    </row>
    <row r="1299" spans="1:4">
      <c r="A1299" s="948">
        <v>44529</v>
      </c>
      <c r="B1299" s="947">
        <v>2.1</v>
      </c>
      <c r="C1299" s="947">
        <v>2.6</v>
      </c>
      <c r="D1299" s="947">
        <v>2.0499999999999998</v>
      </c>
    </row>
    <row r="1300" spans="1:4">
      <c r="A1300" s="948">
        <v>44530</v>
      </c>
      <c r="B1300" s="947">
        <v>2.1</v>
      </c>
      <c r="C1300" s="947">
        <v>2.6</v>
      </c>
      <c r="D1300" s="947">
        <v>2.0499999999999998</v>
      </c>
    </row>
    <row r="1301" spans="1:4">
      <c r="A1301" s="948">
        <v>44531</v>
      </c>
      <c r="B1301" s="947">
        <v>2.1</v>
      </c>
      <c r="C1301" s="947">
        <v>2.6</v>
      </c>
      <c r="D1301" s="947">
        <v>2.0499999999999998</v>
      </c>
    </row>
    <row r="1302" spans="1:4">
      <c r="A1302" s="948">
        <v>44532</v>
      </c>
      <c r="B1302" s="947">
        <v>2.1</v>
      </c>
      <c r="C1302" s="947">
        <v>2.6</v>
      </c>
      <c r="D1302" s="947">
        <v>2.0499999999999998</v>
      </c>
    </row>
    <row r="1303" spans="1:4">
      <c r="A1303" s="948">
        <v>44533</v>
      </c>
      <c r="B1303" s="947">
        <v>2.1</v>
      </c>
      <c r="C1303" s="947">
        <v>2.6</v>
      </c>
      <c r="D1303" s="947">
        <v>2.0499999999999998</v>
      </c>
    </row>
    <row r="1304" spans="1:4">
      <c r="A1304" s="948">
        <v>44536</v>
      </c>
      <c r="B1304" s="947">
        <v>2.1</v>
      </c>
      <c r="C1304" s="947">
        <v>2.6</v>
      </c>
      <c r="D1304" s="947">
        <v>2.0499999999999998</v>
      </c>
    </row>
    <row r="1305" spans="1:4">
      <c r="A1305" s="948">
        <v>44537</v>
      </c>
      <c r="B1305" s="947">
        <v>2.1</v>
      </c>
      <c r="C1305" s="947">
        <v>2.6</v>
      </c>
      <c r="D1305" s="947">
        <v>2.0499999999999998</v>
      </c>
    </row>
    <row r="1306" spans="1:4">
      <c r="A1306" s="948">
        <v>44538</v>
      </c>
      <c r="B1306" s="947">
        <v>2.1</v>
      </c>
      <c r="C1306" s="947">
        <v>2.6</v>
      </c>
      <c r="D1306" s="947">
        <v>2.0499999999999998</v>
      </c>
    </row>
    <row r="1307" spans="1:4">
      <c r="A1307" s="948">
        <v>44539</v>
      </c>
      <c r="B1307" s="947">
        <v>2.1</v>
      </c>
      <c r="C1307" s="947">
        <v>2.6</v>
      </c>
      <c r="D1307" s="947">
        <v>2.0499999999999998</v>
      </c>
    </row>
    <row r="1308" spans="1:4">
      <c r="A1308" s="948">
        <v>44540</v>
      </c>
      <c r="B1308" s="947">
        <v>2.1</v>
      </c>
      <c r="C1308" s="947">
        <v>2.6</v>
      </c>
      <c r="D1308" s="947">
        <v>2.0499999999999998</v>
      </c>
    </row>
    <row r="1309" spans="1:4">
      <c r="A1309" s="948">
        <v>44543</v>
      </c>
      <c r="B1309" s="947">
        <v>2.1</v>
      </c>
      <c r="C1309" s="947">
        <v>2.6</v>
      </c>
      <c r="D1309" s="947">
        <v>2.0499999999999998</v>
      </c>
    </row>
    <row r="1310" spans="1:4">
      <c r="A1310" s="948">
        <v>44544</v>
      </c>
      <c r="B1310" s="947">
        <v>2.1</v>
      </c>
      <c r="C1310" s="947">
        <v>2.6</v>
      </c>
      <c r="D1310" s="947">
        <v>2.0499999999999998</v>
      </c>
    </row>
    <row r="1311" spans="1:4">
      <c r="A1311" s="948">
        <v>44545</v>
      </c>
      <c r="B1311" s="947">
        <v>2.1</v>
      </c>
      <c r="C1311" s="947">
        <v>2.6</v>
      </c>
      <c r="D1311" s="947">
        <v>2.0499999999999998</v>
      </c>
    </row>
    <row r="1312" spans="1:4">
      <c r="A1312" s="948">
        <v>44546</v>
      </c>
      <c r="B1312" s="947">
        <v>2.1</v>
      </c>
      <c r="C1312" s="947">
        <v>2.6</v>
      </c>
      <c r="D1312" s="947">
        <v>2.0499999999999998</v>
      </c>
    </row>
    <row r="1313" spans="1:7">
      <c r="A1313" s="948">
        <v>44547</v>
      </c>
      <c r="B1313" s="947">
        <v>2.1</v>
      </c>
      <c r="C1313" s="947">
        <v>2.6</v>
      </c>
      <c r="D1313" s="947">
        <v>2.0499999999999998</v>
      </c>
    </row>
    <row r="1314" spans="1:7">
      <c r="A1314" s="948">
        <v>44550</v>
      </c>
      <c r="B1314" s="947">
        <v>2.1</v>
      </c>
      <c r="C1314" s="947">
        <v>2.6</v>
      </c>
      <c r="D1314" s="947">
        <v>2.0499999999999998</v>
      </c>
    </row>
    <row r="1315" spans="1:7">
      <c r="A1315" s="948">
        <v>44551</v>
      </c>
      <c r="B1315" s="947">
        <v>2.1</v>
      </c>
      <c r="C1315" s="947">
        <v>2.6</v>
      </c>
      <c r="D1315" s="947">
        <v>2.0499999999999998</v>
      </c>
    </row>
    <row r="1316" spans="1:7">
      <c r="A1316" s="948">
        <v>44552</v>
      </c>
      <c r="B1316" s="947">
        <v>2.1</v>
      </c>
      <c r="C1316" s="947">
        <v>2.6</v>
      </c>
      <c r="D1316" s="947">
        <v>2.0499999999999998</v>
      </c>
    </row>
    <row r="1317" spans="1:7">
      <c r="A1317" s="948">
        <v>44553</v>
      </c>
      <c r="B1317" s="947">
        <v>2.1</v>
      </c>
      <c r="C1317" s="947">
        <v>2.6</v>
      </c>
      <c r="D1317" s="947">
        <v>2.0499999999999998</v>
      </c>
    </row>
    <row r="1318" spans="1:7">
      <c r="A1318" s="948">
        <v>44554</v>
      </c>
      <c r="B1318" s="947">
        <v>2.15</v>
      </c>
      <c r="C1318" s="947">
        <v>2.6</v>
      </c>
      <c r="D1318" s="947">
        <v>2.1</v>
      </c>
      <c r="E1318" s="60"/>
      <c r="F1318" s="60"/>
      <c r="G1318" s="60"/>
    </row>
    <row r="1319" spans="1:7">
      <c r="A1319" s="948">
        <v>44557</v>
      </c>
      <c r="B1319" s="947">
        <v>2.15</v>
      </c>
      <c r="C1319" s="947">
        <v>2.6</v>
      </c>
      <c r="D1319" s="947">
        <v>2.1</v>
      </c>
      <c r="E1319" s="60"/>
      <c r="F1319" s="60"/>
      <c r="G1319" s="60"/>
    </row>
    <row r="1320" spans="1:7">
      <c r="A1320" s="948">
        <v>44558</v>
      </c>
      <c r="B1320" s="947">
        <v>2.15</v>
      </c>
      <c r="C1320" s="947">
        <v>2.6</v>
      </c>
      <c r="D1320" s="947">
        <v>2.1</v>
      </c>
      <c r="E1320" s="60"/>
      <c r="F1320" s="60"/>
      <c r="G1320" s="60"/>
    </row>
    <row r="1321" spans="1:7">
      <c r="A1321" s="948">
        <v>44559</v>
      </c>
      <c r="B1321" s="947">
        <v>2.15</v>
      </c>
      <c r="C1321" s="947">
        <v>2.6</v>
      </c>
      <c r="D1321" s="947">
        <v>2.1</v>
      </c>
      <c r="E1321" s="60"/>
      <c r="F1321" s="60"/>
      <c r="G1321" s="60"/>
    </row>
    <row r="1322" spans="1:7">
      <c r="A1322" s="948">
        <v>44560</v>
      </c>
      <c r="B1322" s="947">
        <v>2.15</v>
      </c>
      <c r="C1322" s="947">
        <v>2.6</v>
      </c>
      <c r="D1322" s="947">
        <v>2.1</v>
      </c>
      <c r="E1322" s="60"/>
      <c r="F1322" s="60"/>
      <c r="G1322" s="60"/>
    </row>
    <row r="1323" spans="1:7">
      <c r="A1323" s="948">
        <v>44561</v>
      </c>
      <c r="B1323" s="947">
        <v>2.15</v>
      </c>
      <c r="C1323" s="947">
        <v>2.6</v>
      </c>
      <c r="D1323" s="947">
        <v>2.1</v>
      </c>
      <c r="E1323" s="60"/>
      <c r="F1323" s="60"/>
      <c r="G1323" s="60"/>
    </row>
    <row r="1324" spans="1:7">
      <c r="A1324" s="948">
        <v>44565</v>
      </c>
      <c r="B1324" s="947">
        <v>2.15</v>
      </c>
      <c r="C1324" s="947">
        <v>2.6</v>
      </c>
      <c r="D1324" s="947">
        <v>2.1</v>
      </c>
      <c r="E1324" s="60"/>
      <c r="F1324" s="60"/>
      <c r="G1324" s="60"/>
    </row>
    <row r="1325" spans="1:7">
      <c r="A1325" s="948">
        <v>44566</v>
      </c>
      <c r="B1325" s="947">
        <v>2.15</v>
      </c>
      <c r="C1325" s="947">
        <v>2.6</v>
      </c>
      <c r="D1325" s="947">
        <v>2.1</v>
      </c>
      <c r="E1325" s="60"/>
      <c r="F1325" s="60"/>
      <c r="G1325" s="60"/>
    </row>
    <row r="1326" spans="1:7">
      <c r="A1326" s="948">
        <v>44567</v>
      </c>
      <c r="B1326" s="947">
        <v>2.15</v>
      </c>
      <c r="C1326" s="947">
        <v>2.6</v>
      </c>
      <c r="D1326" s="947">
        <v>2.1</v>
      </c>
      <c r="E1326" s="60"/>
      <c r="F1326" s="60"/>
      <c r="G1326" s="60"/>
    </row>
    <row r="1327" spans="1:7">
      <c r="A1327" s="948">
        <v>44568</v>
      </c>
      <c r="B1327" s="947">
        <v>2.15</v>
      </c>
      <c r="C1327" s="947">
        <v>2.6</v>
      </c>
      <c r="D1327" s="947">
        <v>2.1</v>
      </c>
      <c r="E1327" s="60"/>
      <c r="F1327" s="60"/>
      <c r="G1327" s="60"/>
    </row>
    <row r="1328" spans="1:7">
      <c r="A1328" s="948">
        <v>44571</v>
      </c>
      <c r="B1328" s="947">
        <v>2.15</v>
      </c>
      <c r="C1328" s="947">
        <v>2.6</v>
      </c>
      <c r="D1328" s="947">
        <v>2.1</v>
      </c>
      <c r="E1328" s="60"/>
      <c r="F1328" s="60"/>
      <c r="G1328" s="60"/>
    </row>
    <row r="1329" spans="1:7">
      <c r="A1329" s="948">
        <v>44572</v>
      </c>
      <c r="B1329" s="947">
        <v>2.15</v>
      </c>
      <c r="C1329" s="947">
        <v>2.6</v>
      </c>
      <c r="D1329" s="947">
        <v>2.1</v>
      </c>
      <c r="E1329" s="60"/>
      <c r="F1329" s="60"/>
      <c r="G1329" s="60"/>
    </row>
    <row r="1330" spans="1:7">
      <c r="A1330" s="948">
        <v>44573</v>
      </c>
      <c r="B1330" s="947">
        <v>2.15</v>
      </c>
      <c r="C1330" s="947">
        <v>2.6</v>
      </c>
      <c r="D1330" s="947">
        <v>2.1</v>
      </c>
      <c r="E1330" s="60"/>
      <c r="F1330" s="60"/>
      <c r="G1330" s="60"/>
    </row>
    <row r="1331" spans="1:7">
      <c r="A1331" s="948">
        <v>44574</v>
      </c>
      <c r="B1331" s="947">
        <v>2.15</v>
      </c>
      <c r="C1331" s="947">
        <v>2.6</v>
      </c>
      <c r="D1331" s="947">
        <v>2.1</v>
      </c>
      <c r="E1331" s="60"/>
      <c r="F1331" s="60"/>
      <c r="G1331" s="60"/>
    </row>
    <row r="1332" spans="1:7">
      <c r="A1332" s="948">
        <v>44575</v>
      </c>
      <c r="B1332" s="947">
        <v>2.15</v>
      </c>
      <c r="C1332" s="947">
        <v>2.6</v>
      </c>
      <c r="D1332" s="947">
        <v>2.1</v>
      </c>
      <c r="E1332" s="60"/>
      <c r="F1332" s="60"/>
      <c r="G1332" s="60"/>
    </row>
    <row r="1333" spans="1:7">
      <c r="A1333" s="948">
        <v>44578</v>
      </c>
      <c r="B1333" s="947">
        <v>2.15</v>
      </c>
      <c r="C1333" s="947">
        <v>2.6</v>
      </c>
      <c r="D1333" s="947">
        <v>2.1</v>
      </c>
      <c r="E1333" s="60"/>
      <c r="F1333" s="60"/>
      <c r="G1333" s="60"/>
    </row>
    <row r="1334" spans="1:7">
      <c r="A1334" s="948">
        <v>44579</v>
      </c>
      <c r="B1334" s="947">
        <v>2.15</v>
      </c>
      <c r="C1334" s="947">
        <v>2.6</v>
      </c>
      <c r="D1334" s="947">
        <v>2.1</v>
      </c>
      <c r="E1334" s="60"/>
      <c r="F1334" s="60"/>
      <c r="G1334" s="60"/>
    </row>
    <row r="1335" spans="1:7">
      <c r="A1335" s="948">
        <v>44580</v>
      </c>
      <c r="B1335" s="947">
        <v>2.15</v>
      </c>
      <c r="C1335" s="947">
        <v>2.6</v>
      </c>
      <c r="D1335" s="947">
        <v>2.1</v>
      </c>
      <c r="E1335" s="60"/>
      <c r="F1335" s="60"/>
      <c r="G1335" s="60"/>
    </row>
    <row r="1336" spans="1:7">
      <c r="A1336" s="948">
        <v>44581</v>
      </c>
      <c r="B1336" s="947">
        <v>2.15</v>
      </c>
      <c r="C1336" s="947">
        <v>2.6</v>
      </c>
      <c r="D1336" s="947">
        <v>2.1</v>
      </c>
      <c r="E1336" s="60"/>
      <c r="F1336" s="60"/>
      <c r="G1336" s="60"/>
    </row>
    <row r="1337" spans="1:7">
      <c r="A1337" s="948">
        <v>44582</v>
      </c>
      <c r="B1337" s="947">
        <v>2.15</v>
      </c>
      <c r="C1337" s="947">
        <v>2.6</v>
      </c>
      <c r="D1337" s="947">
        <v>2.1</v>
      </c>
      <c r="E1337" s="60"/>
      <c r="F1337" s="60"/>
      <c r="G1337" s="60"/>
    </row>
    <row r="1338" spans="1:7">
      <c r="A1338" s="948">
        <v>44585</v>
      </c>
      <c r="B1338" s="947">
        <v>2.15</v>
      </c>
      <c r="C1338" s="947">
        <v>2.6</v>
      </c>
      <c r="D1338" s="947">
        <v>2.1</v>
      </c>
      <c r="E1338" s="60"/>
      <c r="F1338" s="60"/>
      <c r="G1338" s="60"/>
    </row>
    <row r="1339" spans="1:7">
      <c r="A1339" s="948">
        <v>44586</v>
      </c>
      <c r="B1339" s="947">
        <v>2.15</v>
      </c>
      <c r="C1339" s="947">
        <v>2.6</v>
      </c>
      <c r="D1339" s="947">
        <v>2.1</v>
      </c>
      <c r="E1339" s="60"/>
      <c r="F1339" s="60"/>
      <c r="G1339" s="60"/>
    </row>
    <row r="1340" spans="1:7">
      <c r="A1340" s="948">
        <v>44587</v>
      </c>
      <c r="B1340" s="947">
        <v>2.15</v>
      </c>
      <c r="C1340" s="947">
        <v>2.6</v>
      </c>
      <c r="D1340" s="947">
        <v>2.1</v>
      </c>
      <c r="E1340" s="60"/>
      <c r="F1340" s="60"/>
      <c r="G1340" s="60"/>
    </row>
    <row r="1341" spans="1:7">
      <c r="A1341" s="948">
        <v>44588</v>
      </c>
      <c r="B1341" s="947">
        <v>2.15</v>
      </c>
      <c r="C1341" s="947">
        <v>2.6</v>
      </c>
      <c r="D1341" s="947">
        <v>2.1</v>
      </c>
      <c r="E1341" s="60"/>
      <c r="F1341" s="60"/>
      <c r="G1341" s="60"/>
    </row>
    <row r="1342" spans="1:7">
      <c r="A1342" s="948">
        <v>44589</v>
      </c>
      <c r="B1342" s="947">
        <v>2.15</v>
      </c>
      <c r="C1342" s="947">
        <v>2.6</v>
      </c>
      <c r="D1342" s="947">
        <v>2.1</v>
      </c>
      <c r="E1342" s="60"/>
      <c r="F1342" s="60"/>
      <c r="G1342" s="60"/>
    </row>
    <row r="1343" spans="1:7">
      <c r="A1343" s="948">
        <v>44599</v>
      </c>
      <c r="B1343" s="947">
        <v>2.15</v>
      </c>
      <c r="C1343" s="947">
        <v>2.6</v>
      </c>
      <c r="D1343" s="947">
        <v>2.1</v>
      </c>
      <c r="E1343" s="60"/>
      <c r="F1343" s="60"/>
      <c r="G1343" s="60"/>
    </row>
    <row r="1344" spans="1:7">
      <c r="A1344" s="948">
        <v>44600</v>
      </c>
      <c r="B1344" s="947">
        <v>2.15</v>
      </c>
      <c r="C1344" s="947">
        <v>2.6</v>
      </c>
      <c r="D1344" s="947">
        <v>2.1</v>
      </c>
      <c r="E1344" s="60"/>
      <c r="F1344" s="60"/>
      <c r="G1344" s="60"/>
    </row>
    <row r="1345" spans="1:7">
      <c r="A1345" s="948">
        <v>44601</v>
      </c>
      <c r="B1345" s="947">
        <v>2.15</v>
      </c>
      <c r="C1345" s="947">
        <v>2.6</v>
      </c>
      <c r="D1345" s="947">
        <v>2.1</v>
      </c>
      <c r="E1345" s="60"/>
      <c r="F1345" s="60"/>
      <c r="G1345" s="60"/>
    </row>
    <row r="1346" spans="1:7">
      <c r="A1346" s="948">
        <v>44602</v>
      </c>
      <c r="B1346" s="947">
        <v>2.15</v>
      </c>
      <c r="C1346" s="947">
        <v>2.6</v>
      </c>
      <c r="D1346" s="947">
        <v>2.1</v>
      </c>
      <c r="E1346" s="60"/>
      <c r="F1346" s="60"/>
      <c r="G1346" s="60"/>
    </row>
    <row r="1347" spans="1:7">
      <c r="A1347" s="948">
        <v>44603</v>
      </c>
      <c r="B1347" s="947">
        <v>2.15</v>
      </c>
      <c r="C1347" s="947">
        <v>2.6</v>
      </c>
      <c r="D1347" s="947">
        <v>2.1</v>
      </c>
      <c r="E1347" s="60"/>
      <c r="F1347" s="60"/>
      <c r="G1347" s="60"/>
    </row>
    <row r="1348" spans="1:7">
      <c r="A1348" s="948">
        <v>44606</v>
      </c>
      <c r="B1348" s="947">
        <v>2.15</v>
      </c>
      <c r="C1348" s="947">
        <v>2.6</v>
      </c>
      <c r="D1348" s="947">
        <v>2.1</v>
      </c>
      <c r="E1348" s="60"/>
      <c r="F1348" s="60"/>
      <c r="G1348" s="60"/>
    </row>
    <row r="1349" spans="1:7">
      <c r="A1349" s="948">
        <v>44607</v>
      </c>
      <c r="B1349" s="947">
        <v>2.15</v>
      </c>
      <c r="C1349" s="947">
        <v>2.6</v>
      </c>
      <c r="D1349" s="947">
        <v>2.1</v>
      </c>
      <c r="E1349" s="60"/>
      <c r="F1349" s="60"/>
      <c r="G1349" s="60"/>
    </row>
    <row r="1350" spans="1:7">
      <c r="A1350" s="948">
        <v>44608</v>
      </c>
      <c r="B1350" s="947">
        <v>2.15</v>
      </c>
      <c r="C1350" s="947">
        <v>2.6</v>
      </c>
      <c r="D1350" s="947">
        <v>2.1</v>
      </c>
      <c r="E1350" s="60"/>
      <c r="F1350" s="60"/>
      <c r="G1350" s="60"/>
    </row>
    <row r="1351" spans="1:7">
      <c r="A1351" s="948">
        <v>44609</v>
      </c>
      <c r="B1351" s="947">
        <v>2.15</v>
      </c>
      <c r="C1351" s="947">
        <v>2.6</v>
      </c>
      <c r="D1351" s="947">
        <v>2.1</v>
      </c>
      <c r="E1351" s="60"/>
      <c r="F1351" s="60"/>
      <c r="G1351" s="60"/>
    </row>
    <row r="1352" spans="1:7">
      <c r="A1352" s="948">
        <v>44610</v>
      </c>
      <c r="B1352" s="947">
        <v>2.1800000000000002</v>
      </c>
      <c r="C1352" s="947">
        <v>2.6</v>
      </c>
      <c r="D1352" s="947">
        <v>2.13</v>
      </c>
      <c r="E1352" s="60"/>
      <c r="F1352" s="60"/>
      <c r="G1352" s="60"/>
    </row>
    <row r="1353" spans="1:7">
      <c r="A1353" s="948">
        <v>44613</v>
      </c>
      <c r="B1353" s="947">
        <v>2.1800000000000002</v>
      </c>
      <c r="C1353" s="947">
        <v>2.6</v>
      </c>
      <c r="D1353" s="947">
        <v>2.13</v>
      </c>
      <c r="E1353" s="60"/>
      <c r="F1353" s="60"/>
      <c r="G1353" s="60"/>
    </row>
    <row r="1354" spans="1:7">
      <c r="A1354" s="948">
        <v>44614</v>
      </c>
      <c r="B1354" s="947">
        <v>2.1800000000000002</v>
      </c>
      <c r="C1354" s="947">
        <v>2.6</v>
      </c>
      <c r="D1354" s="947">
        <v>2.13</v>
      </c>
      <c r="E1354" s="60"/>
      <c r="F1354" s="60"/>
      <c r="G1354" s="60"/>
    </row>
    <row r="1355" spans="1:7">
      <c r="A1355" s="948">
        <v>44615</v>
      </c>
      <c r="B1355" s="947">
        <v>2.1800000000000002</v>
      </c>
      <c r="C1355" s="947">
        <v>2.6</v>
      </c>
      <c r="D1355" s="947">
        <v>2.13</v>
      </c>
      <c r="E1355" s="60"/>
      <c r="F1355" s="60"/>
      <c r="G1355" s="60"/>
    </row>
    <row r="1356" spans="1:7">
      <c r="A1356" s="948">
        <v>44616</v>
      </c>
      <c r="B1356" s="947">
        <v>2.1800000000000002</v>
      </c>
      <c r="C1356" s="947">
        <v>2.6</v>
      </c>
      <c r="D1356" s="947">
        <v>2.13</v>
      </c>
      <c r="E1356" s="60"/>
      <c r="F1356" s="60"/>
      <c r="G1356" s="60"/>
    </row>
    <row r="1357" spans="1:7">
      <c r="A1357" s="948">
        <v>44617</v>
      </c>
      <c r="B1357" s="947">
        <v>2.1800000000000002</v>
      </c>
      <c r="C1357" s="947">
        <v>2.6</v>
      </c>
      <c r="D1357" s="947">
        <v>2.13</v>
      </c>
      <c r="E1357" s="60"/>
      <c r="F1357" s="60"/>
      <c r="G1357" s="60"/>
    </row>
    <row r="1358" spans="1:7">
      <c r="A1358" s="948">
        <v>44620</v>
      </c>
      <c r="B1358" s="947">
        <v>2.1800000000000002</v>
      </c>
      <c r="C1358" s="947">
        <v>2.6</v>
      </c>
      <c r="D1358" s="947">
        <v>2.13</v>
      </c>
      <c r="E1358" s="60"/>
      <c r="F1358" s="60"/>
      <c r="G1358" s="60"/>
    </row>
    <row r="1359" spans="1:7">
      <c r="A1359" s="948">
        <v>44621</v>
      </c>
      <c r="B1359" s="947">
        <v>2.1800000000000002</v>
      </c>
      <c r="C1359" s="947">
        <v>2.6</v>
      </c>
      <c r="D1359" s="947">
        <v>2.13</v>
      </c>
      <c r="E1359" s="60"/>
      <c r="F1359" s="60"/>
      <c r="G1359" s="60"/>
    </row>
    <row r="1360" spans="1:7">
      <c r="A1360" s="948">
        <v>44622</v>
      </c>
      <c r="B1360" s="947">
        <v>2.1800000000000002</v>
      </c>
      <c r="C1360" s="947">
        <v>2.6</v>
      </c>
      <c r="D1360" s="947">
        <v>2.13</v>
      </c>
      <c r="E1360" s="60"/>
      <c r="F1360" s="60"/>
      <c r="G1360" s="60"/>
    </row>
    <row r="1361" spans="1:7">
      <c r="A1361" s="948">
        <v>44623</v>
      </c>
      <c r="B1361" s="947">
        <v>2.1800000000000002</v>
      </c>
      <c r="C1361" s="947">
        <v>2.6</v>
      </c>
      <c r="D1361" s="947">
        <v>2.13</v>
      </c>
      <c r="E1361" s="60"/>
      <c r="F1361" s="60"/>
      <c r="G1361" s="60"/>
    </row>
    <row r="1362" spans="1:7">
      <c r="A1362" s="948">
        <v>44624</v>
      </c>
      <c r="B1362" s="947">
        <v>2.1800000000000002</v>
      </c>
      <c r="C1362" s="947">
        <v>2.6</v>
      </c>
      <c r="D1362" s="947">
        <v>2.13</v>
      </c>
      <c r="E1362" s="60"/>
      <c r="F1362" s="60"/>
      <c r="G1362" s="60"/>
    </row>
    <row r="1363" spans="1:7">
      <c r="A1363" s="948">
        <v>44627</v>
      </c>
      <c r="B1363" s="947">
        <v>2.1800000000000002</v>
      </c>
      <c r="C1363" s="947">
        <v>2.6</v>
      </c>
      <c r="D1363" s="947">
        <v>2.13</v>
      </c>
      <c r="E1363" s="60"/>
      <c r="F1363" s="60"/>
      <c r="G1363" s="60"/>
    </row>
    <row r="1364" spans="1:7">
      <c r="A1364" s="948">
        <v>44628</v>
      </c>
      <c r="B1364" s="947">
        <v>2.1800000000000002</v>
      </c>
      <c r="C1364" s="947">
        <v>2.6</v>
      </c>
      <c r="D1364" s="947">
        <v>2.13</v>
      </c>
      <c r="E1364" s="60"/>
      <c r="F1364" s="60"/>
      <c r="G1364" s="60"/>
    </row>
    <row r="1365" spans="1:7">
      <c r="A1365" s="948">
        <v>44629</v>
      </c>
      <c r="B1365" s="947">
        <v>2.1800000000000002</v>
      </c>
      <c r="C1365" s="947">
        <v>2.6</v>
      </c>
      <c r="D1365" s="947">
        <v>2.13</v>
      </c>
      <c r="E1365" s="60"/>
      <c r="F1365" s="60"/>
      <c r="G1365" s="60"/>
    </row>
    <row r="1366" spans="1:7">
      <c r="A1366" s="948">
        <v>44630</v>
      </c>
      <c r="B1366" s="947">
        <v>2.1800000000000002</v>
      </c>
      <c r="C1366" s="947">
        <v>2.6</v>
      </c>
      <c r="D1366" s="947">
        <v>2.13</v>
      </c>
      <c r="E1366" s="60"/>
      <c r="F1366" s="60"/>
      <c r="G1366" s="60"/>
    </row>
    <row r="1367" spans="1:7">
      <c r="A1367" s="948">
        <v>44631</v>
      </c>
      <c r="B1367" s="947">
        <v>2.1800000000000002</v>
      </c>
      <c r="C1367" s="947">
        <v>2.6</v>
      </c>
      <c r="D1367" s="947">
        <v>2.13</v>
      </c>
      <c r="E1367" s="60"/>
      <c r="F1367" s="60"/>
      <c r="G1367" s="60"/>
    </row>
    <row r="1368" spans="1:7">
      <c r="A1368" s="948">
        <v>44634</v>
      </c>
      <c r="B1368" s="947">
        <v>2.1800000000000002</v>
      </c>
      <c r="C1368" s="947">
        <v>2.6</v>
      </c>
      <c r="D1368" s="947">
        <v>2.13</v>
      </c>
      <c r="E1368" s="60"/>
      <c r="F1368" s="60"/>
      <c r="G1368" s="60"/>
    </row>
    <row r="1369" spans="1:7">
      <c r="A1369" s="948">
        <v>44635</v>
      </c>
      <c r="B1369" s="947">
        <v>2.1800000000000002</v>
      </c>
      <c r="C1369" s="947">
        <v>2.6</v>
      </c>
      <c r="D1369" s="947">
        <v>2.13</v>
      </c>
      <c r="E1369" s="60"/>
      <c r="F1369" s="60"/>
      <c r="G1369" s="60"/>
    </row>
    <row r="1370" spans="1:7">
      <c r="A1370" s="948">
        <v>44636</v>
      </c>
      <c r="B1370" s="947">
        <v>2.1800000000000002</v>
      </c>
      <c r="C1370" s="947">
        <v>2.6</v>
      </c>
      <c r="D1370" s="947">
        <v>2.13</v>
      </c>
      <c r="E1370" s="60"/>
      <c r="F1370" s="60"/>
      <c r="G1370" s="60"/>
    </row>
    <row r="1371" spans="1:7">
      <c r="A1371" s="948">
        <v>44637</v>
      </c>
      <c r="B1371" s="947">
        <v>2.1800000000000002</v>
      </c>
      <c r="C1371" s="947">
        <v>2.6</v>
      </c>
      <c r="D1371" s="947">
        <v>2.13</v>
      </c>
      <c r="E1371" s="60"/>
      <c r="F1371" s="60"/>
      <c r="G1371" s="60"/>
    </row>
    <row r="1372" spans="1:7">
      <c r="A1372" s="948">
        <v>44638</v>
      </c>
      <c r="B1372" s="947">
        <v>2.1800000000000002</v>
      </c>
      <c r="C1372" s="947">
        <v>2.6</v>
      </c>
      <c r="D1372" s="947">
        <v>2.13</v>
      </c>
      <c r="E1372" s="60"/>
      <c r="F1372" s="60"/>
      <c r="G1372" s="60"/>
    </row>
    <row r="1373" spans="1:7">
      <c r="A1373" s="948">
        <v>44641</v>
      </c>
      <c r="B1373" s="947">
        <v>2.1800000000000002</v>
      </c>
      <c r="C1373" s="947">
        <v>2.6</v>
      </c>
      <c r="D1373" s="947">
        <v>2.13</v>
      </c>
      <c r="E1373" s="60"/>
      <c r="F1373" s="60"/>
      <c r="G1373" s="60"/>
    </row>
    <row r="1374" spans="1:7">
      <c r="A1374" s="948">
        <v>44642</v>
      </c>
      <c r="B1374" s="947">
        <v>2.1800000000000002</v>
      </c>
      <c r="C1374" s="947">
        <v>2.6</v>
      </c>
      <c r="D1374" s="947">
        <v>2.13</v>
      </c>
      <c r="E1374" s="60"/>
      <c r="F1374" s="60"/>
      <c r="G1374" s="60"/>
    </row>
    <row r="1375" spans="1:7">
      <c r="A1375" s="948">
        <v>44643</v>
      </c>
      <c r="B1375" s="947">
        <v>2.1800000000000002</v>
      </c>
      <c r="C1375" s="947">
        <v>2.6</v>
      </c>
      <c r="D1375" s="947">
        <v>2.13</v>
      </c>
      <c r="E1375" s="60"/>
      <c r="F1375" s="60"/>
      <c r="G1375" s="60"/>
    </row>
    <row r="1376" spans="1:7">
      <c r="A1376" s="948">
        <v>44644</v>
      </c>
      <c r="B1376" s="947">
        <v>2.1800000000000002</v>
      </c>
      <c r="C1376" s="947">
        <v>2.6</v>
      </c>
      <c r="D1376" s="947">
        <v>2.13</v>
      </c>
      <c r="E1376" s="60"/>
      <c r="F1376" s="60"/>
      <c r="G1376" s="60"/>
    </row>
    <row r="1377" spans="1:7">
      <c r="A1377" s="948">
        <v>44645</v>
      </c>
      <c r="B1377" s="947">
        <v>2.1800000000000002</v>
      </c>
      <c r="C1377" s="947">
        <v>2.6</v>
      </c>
      <c r="D1377" s="947">
        <v>2.13</v>
      </c>
      <c r="E1377" s="60"/>
      <c r="F1377" s="60"/>
      <c r="G1377" s="60"/>
    </row>
    <row r="1378" spans="1:7">
      <c r="A1378" s="948">
        <v>44648</v>
      </c>
      <c r="B1378" s="947">
        <v>2.1800000000000002</v>
      </c>
      <c r="C1378" s="947">
        <v>2.6</v>
      </c>
      <c r="D1378" s="947">
        <v>2.13</v>
      </c>
      <c r="E1378" s="60"/>
      <c r="F1378" s="60"/>
      <c r="G1378" s="60"/>
    </row>
    <row r="1379" spans="1:7">
      <c r="A1379" s="948">
        <v>44649</v>
      </c>
      <c r="B1379" s="947">
        <v>2.1800000000000002</v>
      </c>
      <c r="C1379" s="947">
        <v>2.6</v>
      </c>
      <c r="D1379" s="947">
        <v>2.13</v>
      </c>
      <c r="E1379" s="60"/>
      <c r="F1379" s="60"/>
      <c r="G1379" s="60"/>
    </row>
    <row r="1380" spans="1:7">
      <c r="A1380" s="948">
        <v>44650</v>
      </c>
      <c r="B1380" s="947">
        <v>2.1800000000000002</v>
      </c>
      <c r="C1380" s="947">
        <v>2.6</v>
      </c>
      <c r="D1380" s="947">
        <v>2.13</v>
      </c>
      <c r="E1380" s="60"/>
      <c r="F1380" s="60"/>
      <c r="G1380" s="60"/>
    </row>
    <row r="1381" spans="1:7">
      <c r="A1381" s="948">
        <v>44651</v>
      </c>
      <c r="B1381" s="947">
        <v>2.1800000000000002</v>
      </c>
      <c r="C1381" s="947">
        <v>2.6</v>
      </c>
      <c r="D1381" s="947">
        <v>2.13</v>
      </c>
      <c r="E1381" s="60"/>
      <c r="F1381" s="60"/>
      <c r="G1381" s="60"/>
    </row>
    <row r="1382" spans="1:7">
      <c r="A1382" s="948">
        <v>44652</v>
      </c>
      <c r="B1382" s="947">
        <v>2.1800000000000002</v>
      </c>
      <c r="C1382" s="947">
        <v>2.6</v>
      </c>
      <c r="D1382" s="947">
        <v>2.13</v>
      </c>
      <c r="E1382" s="60"/>
      <c r="F1382" s="60"/>
      <c r="G1382" s="60"/>
    </row>
    <row r="1383" spans="1:7">
      <c r="A1383" s="948">
        <v>44655</v>
      </c>
      <c r="B1383" s="947">
        <v>2.1800000000000002</v>
      </c>
      <c r="C1383" s="947">
        <v>2.6</v>
      </c>
      <c r="D1383" s="947">
        <v>2.13</v>
      </c>
      <c r="E1383" s="60"/>
      <c r="F1383" s="60"/>
      <c r="G1383" s="60"/>
    </row>
    <row r="1384" spans="1:7">
      <c r="A1384" s="948">
        <v>44656</v>
      </c>
      <c r="B1384" s="947">
        <v>2.1800000000000002</v>
      </c>
      <c r="C1384" s="947">
        <v>2.6</v>
      </c>
      <c r="D1384" s="947">
        <v>2.13</v>
      </c>
      <c r="E1384" s="60"/>
      <c r="F1384" s="60"/>
      <c r="G1384" s="60"/>
    </row>
    <row r="1385" spans="1:7">
      <c r="A1385" s="948">
        <v>44657</v>
      </c>
      <c r="B1385" s="947">
        <v>2.1800000000000002</v>
      </c>
      <c r="C1385" s="947">
        <v>2.6</v>
      </c>
      <c r="D1385" s="947">
        <v>2.13</v>
      </c>
      <c r="E1385" s="60"/>
      <c r="F1385" s="60"/>
      <c r="G1385" s="60"/>
    </row>
    <row r="1386" spans="1:7">
      <c r="A1386" s="948">
        <v>44658</v>
      </c>
      <c r="B1386" s="947">
        <v>2.1800000000000002</v>
      </c>
      <c r="C1386" s="947">
        <v>2.6</v>
      </c>
      <c r="D1386" s="947">
        <v>2.13</v>
      </c>
      <c r="E1386" s="60"/>
      <c r="F1386" s="60"/>
      <c r="G1386" s="60"/>
    </row>
    <row r="1387" spans="1:7">
      <c r="A1387" s="948">
        <v>44659</v>
      </c>
      <c r="B1387" s="947">
        <v>2.1800000000000002</v>
      </c>
      <c r="C1387" s="947">
        <v>2.6</v>
      </c>
      <c r="D1387" s="947">
        <v>2.13</v>
      </c>
      <c r="E1387" s="60"/>
      <c r="F1387" s="60"/>
      <c r="G1387" s="60"/>
    </row>
    <row r="1388" spans="1:7">
      <c r="A1388" s="948">
        <v>44662</v>
      </c>
      <c r="B1388" s="947">
        <v>2.1800000000000002</v>
      </c>
      <c r="C1388" s="947">
        <v>2.6</v>
      </c>
      <c r="D1388" s="947">
        <v>2.13</v>
      </c>
      <c r="E1388" s="60"/>
      <c r="F1388" s="60"/>
      <c r="G1388" s="60"/>
    </row>
    <row r="1389" spans="1:7">
      <c r="A1389" s="948">
        <v>44663</v>
      </c>
      <c r="B1389" s="947">
        <v>2.1800000000000002</v>
      </c>
      <c r="C1389" s="947">
        <v>2.6</v>
      </c>
      <c r="D1389" s="947">
        <v>2.13</v>
      </c>
      <c r="E1389" s="60"/>
      <c r="F1389" s="60"/>
      <c r="G1389" s="60"/>
    </row>
    <row r="1390" spans="1:7">
      <c r="A1390" s="948">
        <v>44664</v>
      </c>
      <c r="B1390" s="947">
        <v>2.1800000000000002</v>
      </c>
      <c r="C1390" s="947">
        <v>2.6</v>
      </c>
      <c r="D1390" s="947">
        <v>2.13</v>
      </c>
      <c r="E1390" s="60"/>
      <c r="F1390" s="60"/>
      <c r="G1390" s="60"/>
    </row>
    <row r="1391" spans="1:7">
      <c r="A1391" s="948">
        <v>44665</v>
      </c>
      <c r="B1391" s="947">
        <v>2.1800000000000002</v>
      </c>
      <c r="C1391" s="947">
        <v>2.6</v>
      </c>
      <c r="D1391" s="947">
        <v>2.13</v>
      </c>
      <c r="E1391" s="60"/>
      <c r="F1391" s="60"/>
      <c r="G1391" s="60"/>
    </row>
    <row r="1392" spans="1:7">
      <c r="A1392" s="948">
        <v>44666</v>
      </c>
      <c r="B1392" s="947">
        <v>2.1800000000000002</v>
      </c>
      <c r="C1392" s="947">
        <v>2.6</v>
      </c>
      <c r="D1392" s="947">
        <v>2.13</v>
      </c>
      <c r="E1392" s="60"/>
      <c r="F1392" s="60"/>
      <c r="G1392" s="60"/>
    </row>
    <row r="1393" spans="1:7">
      <c r="A1393" s="948">
        <v>44669</v>
      </c>
      <c r="B1393" s="947">
        <v>2.1800000000000002</v>
      </c>
      <c r="C1393" s="947">
        <v>2.6</v>
      </c>
      <c r="D1393" s="947">
        <v>2.13</v>
      </c>
      <c r="E1393" s="60"/>
      <c r="F1393" s="60"/>
      <c r="G1393" s="60"/>
    </row>
    <row r="1394" spans="1:7">
      <c r="A1394" s="948">
        <v>44670</v>
      </c>
      <c r="B1394" s="947">
        <v>2.1800000000000002</v>
      </c>
      <c r="C1394" s="947">
        <v>2.6</v>
      </c>
      <c r="D1394" s="947">
        <v>2.13</v>
      </c>
      <c r="E1394" s="60"/>
      <c r="F1394" s="60"/>
      <c r="G1394" s="60"/>
    </row>
    <row r="1395" spans="1:7">
      <c r="A1395" s="948">
        <v>44671</v>
      </c>
      <c r="B1395" s="947">
        <v>2.1800000000000002</v>
      </c>
      <c r="C1395" s="947">
        <v>2.6</v>
      </c>
      <c r="D1395" s="947">
        <v>2.13</v>
      </c>
      <c r="E1395" s="60"/>
      <c r="F1395" s="60"/>
      <c r="G1395" s="60"/>
    </row>
    <row r="1396" spans="1:7">
      <c r="A1396" s="948">
        <v>44672</v>
      </c>
      <c r="B1396" s="947">
        <v>2.1800000000000002</v>
      </c>
      <c r="C1396" s="947">
        <v>2.6</v>
      </c>
      <c r="D1396" s="947">
        <v>2.2000000000000002</v>
      </c>
      <c r="E1396" s="60"/>
      <c r="F1396" s="60"/>
      <c r="G1396" s="60"/>
    </row>
    <row r="1397" spans="1:7">
      <c r="A1397" s="948">
        <v>44673</v>
      </c>
      <c r="B1397" s="947">
        <v>2.1800000000000002</v>
      </c>
      <c r="C1397" s="947">
        <v>2.6</v>
      </c>
      <c r="D1397" s="947">
        <v>2.2000000000000002</v>
      </c>
      <c r="E1397" s="60"/>
      <c r="F1397" s="60"/>
      <c r="G1397" s="60"/>
    </row>
    <row r="1398" spans="1:7">
      <c r="A1398" s="948">
        <v>44675</v>
      </c>
      <c r="B1398" s="947">
        <v>2.1800000000000002</v>
      </c>
      <c r="C1398" s="947">
        <v>2.6</v>
      </c>
      <c r="D1398" s="947">
        <v>2.2000000000000002</v>
      </c>
      <c r="E1398" s="60"/>
      <c r="F1398" s="60"/>
      <c r="G1398" s="60"/>
    </row>
    <row r="1399" spans="1:7">
      <c r="A1399" s="948">
        <v>44676</v>
      </c>
      <c r="B1399" s="947">
        <v>2.1800000000000002</v>
      </c>
      <c r="C1399" s="947">
        <v>2.6</v>
      </c>
      <c r="D1399" s="947">
        <v>2.2000000000000002</v>
      </c>
      <c r="E1399" s="60"/>
      <c r="F1399" s="60"/>
      <c r="G1399" s="60"/>
    </row>
    <row r="1400" spans="1:7">
      <c r="A1400" s="948">
        <v>44677</v>
      </c>
      <c r="B1400" s="947">
        <v>2.1800000000000002</v>
      </c>
      <c r="C1400" s="947">
        <v>2.6</v>
      </c>
      <c r="D1400" s="947">
        <v>2.2000000000000002</v>
      </c>
      <c r="E1400" s="60"/>
      <c r="F1400" s="60"/>
      <c r="G1400" s="60"/>
    </row>
    <row r="1401" spans="1:7">
      <c r="A1401" s="948">
        <v>44678</v>
      </c>
      <c r="B1401" s="947">
        <v>2.1800000000000002</v>
      </c>
      <c r="C1401" s="947">
        <v>2.6</v>
      </c>
      <c r="D1401" s="947">
        <v>2.2000000000000002</v>
      </c>
      <c r="E1401" s="60"/>
      <c r="F1401" s="60"/>
      <c r="G1401" s="60"/>
    </row>
    <row r="1402" spans="1:7">
      <c r="A1402" s="948">
        <v>44679</v>
      </c>
      <c r="B1402" s="947">
        <v>2.1800000000000002</v>
      </c>
      <c r="C1402" s="947">
        <v>2.6</v>
      </c>
      <c r="D1402" s="947">
        <v>2.2000000000000002</v>
      </c>
      <c r="E1402" s="60"/>
      <c r="F1402" s="60"/>
      <c r="G1402" s="60"/>
    </row>
    <row r="1403" spans="1:7">
      <c r="A1403" s="948">
        <v>44680</v>
      </c>
      <c r="B1403" s="947">
        <v>2.1800000000000002</v>
      </c>
      <c r="C1403" s="947">
        <v>2.6</v>
      </c>
      <c r="D1403" s="947">
        <v>2.2000000000000002</v>
      </c>
      <c r="E1403" s="60"/>
      <c r="F1403" s="60"/>
      <c r="G1403" s="60"/>
    </row>
    <row r="1404" spans="1:7">
      <c r="A1404" s="948">
        <v>44686</v>
      </c>
      <c r="B1404" s="947">
        <v>2.1800000000000002</v>
      </c>
      <c r="C1404" s="947">
        <v>2.6</v>
      </c>
      <c r="D1404" s="947">
        <v>2.2000000000000002</v>
      </c>
      <c r="E1404" s="60"/>
      <c r="F1404" s="60"/>
      <c r="G1404" s="60"/>
    </row>
    <row r="1405" spans="1:7">
      <c r="A1405" s="948">
        <v>44687</v>
      </c>
      <c r="B1405" s="947">
        <v>2.1800000000000002</v>
      </c>
      <c r="C1405" s="947">
        <v>2.6</v>
      </c>
      <c r="D1405" s="947">
        <v>2.2000000000000002</v>
      </c>
      <c r="E1405" s="60"/>
      <c r="F1405" s="60"/>
      <c r="G1405" s="60"/>
    </row>
    <row r="1406" spans="1:7">
      <c r="A1406" s="948">
        <v>44688</v>
      </c>
      <c r="B1406" s="947">
        <v>2.1800000000000002</v>
      </c>
      <c r="C1406" s="947">
        <v>2.6</v>
      </c>
      <c r="D1406" s="947">
        <v>2.2000000000000002</v>
      </c>
      <c r="E1406" s="60"/>
      <c r="F1406" s="60"/>
      <c r="G1406" s="60"/>
    </row>
    <row r="1407" spans="1:7">
      <c r="A1407" s="948">
        <v>44690</v>
      </c>
      <c r="B1407" s="947">
        <v>2.1800000000000002</v>
      </c>
      <c r="C1407" s="947">
        <v>2.6</v>
      </c>
      <c r="D1407" s="947">
        <v>2.2000000000000002</v>
      </c>
      <c r="E1407" s="60"/>
      <c r="F1407" s="60"/>
      <c r="G1407" s="60"/>
    </row>
    <row r="1408" spans="1:7">
      <c r="A1408" s="948">
        <v>44691</v>
      </c>
      <c r="B1408" s="947">
        <v>2.1800000000000002</v>
      </c>
      <c r="C1408" s="947">
        <v>2.6</v>
      </c>
      <c r="D1408" s="947">
        <v>2.2000000000000002</v>
      </c>
      <c r="E1408" s="60"/>
      <c r="F1408" s="60"/>
      <c r="G1408" s="60"/>
    </row>
    <row r="1409" spans="1:7">
      <c r="A1409" s="948">
        <v>44692</v>
      </c>
      <c r="B1409" s="947">
        <v>2.1800000000000002</v>
      </c>
      <c r="C1409" s="947">
        <v>2.6</v>
      </c>
      <c r="D1409" s="947">
        <v>2.2000000000000002</v>
      </c>
      <c r="E1409" s="60"/>
      <c r="F1409" s="60"/>
      <c r="G1409" s="60"/>
    </row>
    <row r="1410" spans="1:7">
      <c r="A1410" s="948">
        <v>44693</v>
      </c>
      <c r="B1410" s="947">
        <v>2.1800000000000002</v>
      </c>
      <c r="C1410" s="947">
        <v>2.6</v>
      </c>
      <c r="D1410" s="947">
        <v>2.2000000000000002</v>
      </c>
      <c r="E1410" s="60"/>
      <c r="F1410" s="60"/>
      <c r="G1410" s="60"/>
    </row>
    <row r="1411" spans="1:7">
      <c r="A1411" s="948">
        <v>44694</v>
      </c>
      <c r="B1411" s="947">
        <v>2.1800000000000002</v>
      </c>
      <c r="C1411" s="947">
        <v>2.6</v>
      </c>
      <c r="D1411" s="947">
        <v>2.2000000000000002</v>
      </c>
      <c r="E1411" s="60"/>
      <c r="F1411" s="60"/>
      <c r="G1411" s="60"/>
    </row>
    <row r="1412" spans="1:7">
      <c r="A1412" s="948">
        <v>44697</v>
      </c>
      <c r="B1412" s="947">
        <v>2.1800000000000002</v>
      </c>
      <c r="C1412" s="947">
        <v>2.6</v>
      </c>
      <c r="D1412" s="947">
        <v>2.2000000000000002</v>
      </c>
      <c r="E1412" s="60"/>
      <c r="F1412" s="60"/>
      <c r="G1412" s="60"/>
    </row>
    <row r="1413" spans="1:7">
      <c r="A1413" s="948">
        <v>44698</v>
      </c>
      <c r="B1413" s="947">
        <v>2.1800000000000002</v>
      </c>
      <c r="C1413" s="947">
        <v>2.6</v>
      </c>
      <c r="D1413" s="947">
        <v>2.2000000000000002</v>
      </c>
      <c r="E1413" s="60"/>
      <c r="F1413" s="60"/>
      <c r="G1413" s="60"/>
    </row>
    <row r="1414" spans="1:7">
      <c r="A1414" s="948">
        <v>44699</v>
      </c>
      <c r="B1414" s="947">
        <v>2.1800000000000002</v>
      </c>
      <c r="C1414" s="947">
        <v>2.6</v>
      </c>
      <c r="D1414" s="947">
        <v>2.2000000000000002</v>
      </c>
      <c r="E1414" s="60"/>
      <c r="F1414" s="60"/>
      <c r="G1414" s="60"/>
    </row>
    <row r="1415" spans="1:7">
      <c r="A1415" s="948">
        <v>44700</v>
      </c>
      <c r="B1415" s="947">
        <v>2.1800000000000002</v>
      </c>
      <c r="C1415" s="947">
        <v>2.6</v>
      </c>
      <c r="D1415" s="947">
        <v>2.2000000000000002</v>
      </c>
      <c r="E1415" s="60"/>
      <c r="F1415" s="60"/>
      <c r="G1415" s="60"/>
    </row>
    <row r="1416" spans="1:7">
      <c r="A1416" s="948">
        <v>44701</v>
      </c>
      <c r="B1416" s="947">
        <v>2.1800000000000002</v>
      </c>
      <c r="C1416" s="947">
        <v>2.6</v>
      </c>
      <c r="D1416" s="947">
        <v>2.2000000000000002</v>
      </c>
      <c r="E1416" s="60"/>
      <c r="F1416" s="60"/>
      <c r="G1416" s="60"/>
    </row>
    <row r="1417" spans="1:7">
      <c r="A1417" s="948">
        <v>44704</v>
      </c>
      <c r="B1417" s="947">
        <v>2.1800000000000002</v>
      </c>
      <c r="C1417" s="947">
        <v>2.6</v>
      </c>
      <c r="D1417" s="947">
        <v>2.2000000000000002</v>
      </c>
      <c r="E1417" s="60"/>
      <c r="F1417" s="60"/>
      <c r="G1417" s="60"/>
    </row>
    <row r="1418" spans="1:7">
      <c r="A1418" s="948">
        <v>44705</v>
      </c>
      <c r="B1418" s="947">
        <v>2.1800000000000002</v>
      </c>
      <c r="C1418" s="947">
        <v>2.6</v>
      </c>
      <c r="D1418" s="947">
        <v>2.2000000000000002</v>
      </c>
      <c r="E1418" s="60"/>
      <c r="F1418" s="60"/>
      <c r="G1418" s="60"/>
    </row>
    <row r="1419" spans="1:7">
      <c r="A1419" s="948">
        <v>44706</v>
      </c>
      <c r="B1419" s="947">
        <v>2.1800000000000002</v>
      </c>
      <c r="C1419" s="947">
        <v>2.6</v>
      </c>
      <c r="D1419" s="947">
        <v>2.2000000000000002</v>
      </c>
      <c r="E1419" s="60"/>
      <c r="F1419" s="60"/>
      <c r="G1419" s="60"/>
    </row>
    <row r="1420" spans="1:7">
      <c r="A1420" s="948">
        <v>44707</v>
      </c>
      <c r="B1420" s="947">
        <v>2.1800000000000002</v>
      </c>
      <c r="C1420" s="947">
        <v>2.6</v>
      </c>
      <c r="D1420" s="947">
        <v>2.2000000000000002</v>
      </c>
      <c r="E1420" s="60"/>
      <c r="F1420" s="60"/>
      <c r="G1420" s="60"/>
    </row>
    <row r="1421" spans="1:7">
      <c r="A1421" s="948">
        <v>44708</v>
      </c>
      <c r="B1421" s="947">
        <v>2.1800000000000002</v>
      </c>
      <c r="C1421" s="947">
        <v>2.6</v>
      </c>
      <c r="D1421" s="947">
        <v>2.2000000000000002</v>
      </c>
      <c r="E1421" s="60"/>
      <c r="F1421" s="60"/>
      <c r="G1421" s="60"/>
    </row>
    <row r="1422" spans="1:7">
      <c r="A1422" s="948">
        <v>44711</v>
      </c>
      <c r="B1422" s="947">
        <v>2.1800000000000002</v>
      </c>
      <c r="C1422" s="947">
        <v>2.6</v>
      </c>
      <c r="D1422" s="947">
        <v>2.2000000000000002</v>
      </c>
      <c r="E1422" s="60"/>
      <c r="F1422" s="60"/>
      <c r="G1422" s="60"/>
    </row>
    <row r="1423" spans="1:7">
      <c r="A1423" s="948">
        <v>44712</v>
      </c>
      <c r="B1423" s="947">
        <v>2.1800000000000002</v>
      </c>
      <c r="C1423" s="947">
        <v>2.6</v>
      </c>
      <c r="D1423" s="947">
        <v>2.2000000000000002</v>
      </c>
      <c r="E1423" s="60"/>
      <c r="F1423" s="60"/>
      <c r="G1423" s="60"/>
    </row>
    <row r="1424" spans="1:7">
      <c r="A1424" s="948">
        <v>44713</v>
      </c>
      <c r="B1424" s="947">
        <v>2.1800000000000002</v>
      </c>
      <c r="C1424" s="947">
        <v>2.6</v>
      </c>
      <c r="D1424" s="947">
        <v>2.2000000000000002</v>
      </c>
      <c r="E1424" s="60"/>
      <c r="F1424" s="60"/>
      <c r="G1424" s="60"/>
    </row>
    <row r="1425" spans="1:7">
      <c r="A1425" s="948">
        <v>44714</v>
      </c>
      <c r="B1425" s="947">
        <v>2.1800000000000002</v>
      </c>
      <c r="C1425" s="947">
        <v>2.6</v>
      </c>
      <c r="D1425" s="947">
        <v>2.2000000000000002</v>
      </c>
      <c r="E1425" s="60"/>
      <c r="F1425" s="60"/>
      <c r="G1425" s="60"/>
    </row>
    <row r="1426" spans="1:7">
      <c r="A1426" s="948">
        <v>44715</v>
      </c>
      <c r="B1426" s="947">
        <v>2.1800000000000002</v>
      </c>
      <c r="C1426" s="947">
        <v>2.6</v>
      </c>
      <c r="D1426" s="947">
        <v>2.2000000000000002</v>
      </c>
      <c r="E1426" s="60"/>
      <c r="F1426" s="60"/>
      <c r="G1426" s="60"/>
    </row>
    <row r="1427" spans="1:7">
      <c r="A1427" s="948">
        <v>44718</v>
      </c>
      <c r="B1427" s="947">
        <v>2.1800000000000002</v>
      </c>
      <c r="C1427" s="947">
        <v>2.6</v>
      </c>
      <c r="D1427" s="947">
        <v>2.2000000000000002</v>
      </c>
      <c r="E1427" s="60"/>
      <c r="F1427" s="60"/>
      <c r="G1427" s="60"/>
    </row>
    <row r="1428" spans="1:7">
      <c r="A1428" s="948">
        <v>44719</v>
      </c>
      <c r="B1428" s="947">
        <v>2.1800000000000002</v>
      </c>
      <c r="C1428" s="947">
        <v>2.6</v>
      </c>
      <c r="D1428" s="947">
        <v>2.2000000000000002</v>
      </c>
      <c r="E1428" s="60"/>
      <c r="F1428" s="60"/>
      <c r="G1428" s="60"/>
    </row>
    <row r="1429" spans="1:7">
      <c r="A1429" s="948">
        <v>44720</v>
      </c>
      <c r="B1429" s="947">
        <v>2.1800000000000002</v>
      </c>
      <c r="C1429" s="947">
        <v>2.6</v>
      </c>
      <c r="D1429" s="947">
        <v>2.2000000000000002</v>
      </c>
      <c r="E1429" s="60"/>
      <c r="F1429" s="60"/>
      <c r="G1429" s="60"/>
    </row>
    <row r="1430" spans="1:7">
      <c r="A1430" s="948">
        <v>44721</v>
      </c>
      <c r="B1430" s="947">
        <v>2.1800000000000002</v>
      </c>
      <c r="C1430" s="947">
        <v>2.6</v>
      </c>
      <c r="D1430" s="947">
        <v>2.2000000000000002</v>
      </c>
      <c r="E1430" s="60"/>
      <c r="F1430" s="60"/>
      <c r="G1430" s="60"/>
    </row>
    <row r="1431" spans="1:7">
      <c r="A1431" s="948">
        <v>44722</v>
      </c>
      <c r="B1431" s="947">
        <v>2.1800000000000002</v>
      </c>
      <c r="C1431" s="947">
        <v>2.6</v>
      </c>
      <c r="D1431" s="947">
        <v>2.2000000000000002</v>
      </c>
      <c r="E1431" s="60"/>
      <c r="F1431" s="60"/>
      <c r="G1431" s="60"/>
    </row>
    <row r="1432" spans="1:7">
      <c r="A1432" s="948">
        <v>44725</v>
      </c>
      <c r="B1432" s="947">
        <v>2.1800000000000002</v>
      </c>
      <c r="C1432" s="947">
        <v>2.6</v>
      </c>
      <c r="D1432" s="947">
        <v>2.2000000000000002</v>
      </c>
      <c r="E1432" s="60"/>
      <c r="F1432" s="60"/>
      <c r="G1432" s="60"/>
    </row>
    <row r="1433" spans="1:7">
      <c r="A1433" s="948">
        <v>44726</v>
      </c>
      <c r="B1433" s="947">
        <v>2.1800000000000002</v>
      </c>
      <c r="C1433" s="947">
        <v>2.6</v>
      </c>
      <c r="D1433" s="947">
        <v>2.2000000000000002</v>
      </c>
      <c r="E1433" s="60"/>
      <c r="F1433" s="60"/>
      <c r="G1433" s="60"/>
    </row>
    <row r="1434" spans="1:7">
      <c r="A1434" s="948">
        <v>44727</v>
      </c>
      <c r="B1434" s="947">
        <v>2.1800000000000002</v>
      </c>
      <c r="C1434" s="947">
        <v>2.6</v>
      </c>
      <c r="D1434" s="947">
        <v>2.2000000000000002</v>
      </c>
      <c r="E1434" s="60"/>
      <c r="F1434" s="60"/>
      <c r="G1434" s="60"/>
    </row>
    <row r="1435" spans="1:7">
      <c r="A1435" s="948">
        <v>44728</v>
      </c>
      <c r="B1435" s="947">
        <v>2.1800000000000002</v>
      </c>
      <c r="C1435" s="947">
        <v>2.6</v>
      </c>
      <c r="D1435" s="947">
        <v>2.2000000000000002</v>
      </c>
      <c r="E1435" s="60"/>
      <c r="F1435" s="60"/>
      <c r="G1435" s="60"/>
    </row>
    <row r="1436" spans="1:7">
      <c r="A1436" s="948">
        <v>44729</v>
      </c>
      <c r="B1436" s="947">
        <v>2.1800000000000002</v>
      </c>
      <c r="C1436" s="947">
        <v>2.6</v>
      </c>
      <c r="D1436" s="947">
        <v>2.2000000000000002</v>
      </c>
      <c r="E1436" s="60"/>
      <c r="F1436" s="60"/>
      <c r="G1436" s="60"/>
    </row>
    <row r="1437" spans="1:7">
      <c r="A1437" s="948">
        <v>44732</v>
      </c>
      <c r="B1437" s="947">
        <v>2.1800000000000002</v>
      </c>
      <c r="C1437" s="947">
        <v>2.6</v>
      </c>
      <c r="D1437" s="947">
        <v>2.2000000000000002</v>
      </c>
      <c r="E1437" s="60"/>
      <c r="F1437" s="60"/>
      <c r="G1437" s="60"/>
    </row>
    <row r="1438" spans="1:7">
      <c r="A1438" s="948">
        <v>44733</v>
      </c>
      <c r="B1438" s="947">
        <v>2.1800000000000002</v>
      </c>
      <c r="C1438" s="947">
        <v>2.6</v>
      </c>
      <c r="D1438" s="947">
        <v>2.2000000000000002</v>
      </c>
      <c r="E1438" s="60"/>
      <c r="F1438" s="60"/>
      <c r="G1438" s="60"/>
    </row>
    <row r="1439" spans="1:7">
      <c r="A1439" s="948">
        <v>44734</v>
      </c>
      <c r="B1439" s="947">
        <v>2.1800000000000002</v>
      </c>
      <c r="C1439" s="947">
        <v>2.6</v>
      </c>
      <c r="D1439" s="947">
        <v>2.2000000000000002</v>
      </c>
      <c r="E1439" s="60"/>
      <c r="F1439" s="60"/>
      <c r="G1439" s="60"/>
    </row>
    <row r="1440" spans="1:7">
      <c r="A1440" s="948">
        <v>44735</v>
      </c>
      <c r="B1440" s="947">
        <v>2.1800000000000002</v>
      </c>
      <c r="C1440" s="947">
        <v>2.6</v>
      </c>
      <c r="D1440" s="947">
        <v>2.2000000000000002</v>
      </c>
      <c r="E1440" s="60"/>
      <c r="F1440" s="60"/>
      <c r="G1440" s="60"/>
    </row>
    <row r="1441" spans="1:7">
      <c r="A1441" s="948">
        <v>44736</v>
      </c>
      <c r="B1441" s="947">
        <v>2.1800000000000002</v>
      </c>
      <c r="C1441" s="947">
        <v>2.6</v>
      </c>
      <c r="D1441" s="947">
        <v>2.2000000000000002</v>
      </c>
      <c r="E1441" s="60"/>
      <c r="F1441" s="60"/>
      <c r="G1441" s="60"/>
    </row>
    <row r="1442" spans="1:7">
      <c r="A1442" s="948">
        <v>44739</v>
      </c>
      <c r="B1442" s="947">
        <v>2.1800000000000002</v>
      </c>
      <c r="C1442" s="947">
        <v>2.6</v>
      </c>
      <c r="D1442" s="947">
        <v>2.2000000000000002</v>
      </c>
      <c r="E1442" s="60"/>
      <c r="F1442" s="60"/>
      <c r="G1442" s="60"/>
    </row>
    <row r="1443" spans="1:7">
      <c r="A1443" s="948">
        <v>44740</v>
      </c>
      <c r="B1443" s="947">
        <v>2.1800000000000002</v>
      </c>
      <c r="C1443" s="947">
        <v>2.6</v>
      </c>
      <c r="D1443" s="947">
        <v>2.2000000000000002</v>
      </c>
      <c r="E1443" s="60"/>
      <c r="F1443" s="60"/>
      <c r="G1443" s="60"/>
    </row>
    <row r="1444" spans="1:7">
      <c r="A1444" s="948">
        <v>44741</v>
      </c>
      <c r="B1444" s="947">
        <v>2.1800000000000002</v>
      </c>
      <c r="C1444" s="947">
        <v>2.6</v>
      </c>
      <c r="D1444" s="947">
        <v>2.2000000000000002</v>
      </c>
      <c r="E1444" s="60"/>
      <c r="F1444" s="60"/>
      <c r="G1444" s="60"/>
    </row>
    <row r="1445" spans="1:7">
      <c r="A1445" s="948">
        <v>44742</v>
      </c>
      <c r="B1445" s="947">
        <v>2.1800000000000002</v>
      </c>
      <c r="C1445" s="947">
        <v>2.6</v>
      </c>
      <c r="D1445" s="947">
        <v>2.2000000000000002</v>
      </c>
      <c r="E1445" s="60"/>
      <c r="F1445" s="60"/>
      <c r="G1445" s="60"/>
    </row>
    <row r="1446" spans="1:7">
      <c r="A1446" s="948">
        <v>44743</v>
      </c>
      <c r="B1446" s="947">
        <v>2.1800000000000002</v>
      </c>
      <c r="C1446" s="947">
        <v>2.6</v>
      </c>
      <c r="D1446" s="947">
        <v>2.2000000000000002</v>
      </c>
      <c r="E1446" s="60"/>
      <c r="F1446" s="60"/>
      <c r="G1446" s="60"/>
    </row>
    <row r="1447" spans="1:7">
      <c r="A1447" s="948">
        <v>44746</v>
      </c>
      <c r="B1447" s="947">
        <v>2.1800000000000002</v>
      </c>
      <c r="C1447" s="947">
        <v>2.6</v>
      </c>
      <c r="D1447" s="947">
        <v>2.2000000000000002</v>
      </c>
      <c r="E1447" s="60"/>
      <c r="F1447" s="60"/>
      <c r="G1447" s="60"/>
    </row>
    <row r="1448" spans="1:7">
      <c r="A1448" s="948">
        <v>44747</v>
      </c>
      <c r="B1448" s="947">
        <v>2.1800000000000002</v>
      </c>
      <c r="C1448" s="947">
        <v>2.6</v>
      </c>
      <c r="D1448" s="947">
        <v>2.2000000000000002</v>
      </c>
      <c r="E1448" s="60"/>
      <c r="F1448" s="60"/>
      <c r="G1448" s="60"/>
    </row>
    <row r="1449" spans="1:7">
      <c r="A1449" s="948">
        <v>44748</v>
      </c>
      <c r="B1449" s="947">
        <v>2.1800000000000002</v>
      </c>
      <c r="C1449" s="947">
        <v>2.6</v>
      </c>
      <c r="D1449" s="947">
        <v>2.2000000000000002</v>
      </c>
      <c r="E1449" s="60"/>
      <c r="F1449" s="60"/>
      <c r="G1449" s="60"/>
    </row>
    <row r="1450" spans="1:7">
      <c r="A1450" s="948">
        <v>44749</v>
      </c>
      <c r="B1450" s="947">
        <v>2.1800000000000002</v>
      </c>
      <c r="C1450" s="947">
        <v>2.6</v>
      </c>
      <c r="D1450" s="947">
        <v>2.2000000000000002</v>
      </c>
      <c r="E1450" s="60"/>
      <c r="F1450" s="60"/>
      <c r="G1450" s="60"/>
    </row>
    <row r="1451" spans="1:7">
      <c r="A1451" s="948">
        <v>44750</v>
      </c>
      <c r="B1451" s="947">
        <v>2.1800000000000002</v>
      </c>
      <c r="C1451" s="947">
        <v>2.6</v>
      </c>
      <c r="D1451" s="947">
        <v>2.2000000000000002</v>
      </c>
      <c r="E1451" s="60"/>
      <c r="F1451" s="60"/>
      <c r="G1451" s="60"/>
    </row>
    <row r="1452" spans="1:7">
      <c r="A1452" s="948">
        <v>44753</v>
      </c>
      <c r="B1452" s="947">
        <v>2.1800000000000002</v>
      </c>
      <c r="C1452" s="947">
        <v>2.6</v>
      </c>
      <c r="D1452" s="947">
        <v>2.2000000000000002</v>
      </c>
      <c r="E1452" s="60"/>
      <c r="F1452" s="60"/>
      <c r="G1452" s="60"/>
    </row>
    <row r="1453" spans="1:7">
      <c r="A1453" s="948">
        <v>44754</v>
      </c>
      <c r="B1453" s="947">
        <v>2.1800000000000002</v>
      </c>
      <c r="C1453" s="947">
        <v>2.6</v>
      </c>
      <c r="D1453" s="947">
        <v>2.2000000000000002</v>
      </c>
      <c r="E1453" s="60"/>
      <c r="F1453" s="60"/>
      <c r="G1453" s="60"/>
    </row>
    <row r="1454" spans="1:7">
      <c r="A1454" s="948">
        <v>44755</v>
      </c>
      <c r="B1454" s="947">
        <v>2.1800000000000002</v>
      </c>
      <c r="C1454" s="947">
        <v>2.6</v>
      </c>
      <c r="D1454" s="947">
        <v>2.2000000000000002</v>
      </c>
      <c r="E1454" s="60"/>
      <c r="F1454" s="60"/>
      <c r="G1454" s="60"/>
    </row>
    <row r="1455" spans="1:7">
      <c r="A1455" s="948">
        <v>44756</v>
      </c>
      <c r="B1455" s="947">
        <v>2.1800000000000002</v>
      </c>
      <c r="C1455" s="947">
        <v>2.6</v>
      </c>
      <c r="D1455" s="947">
        <v>2.2000000000000002</v>
      </c>
      <c r="E1455" s="60"/>
      <c r="F1455" s="60"/>
      <c r="G1455" s="60"/>
    </row>
    <row r="1456" spans="1:7">
      <c r="A1456" s="948">
        <v>44757</v>
      </c>
      <c r="B1456" s="947">
        <v>2.1800000000000002</v>
      </c>
      <c r="C1456" s="947">
        <v>2.6</v>
      </c>
      <c r="D1456" s="947">
        <v>2.2000000000000002</v>
      </c>
      <c r="E1456" s="60"/>
      <c r="F1456" s="60"/>
      <c r="G1456" s="60"/>
    </row>
    <row r="1457" spans="1:7">
      <c r="A1457" s="948">
        <v>44760</v>
      </c>
      <c r="B1457" s="947">
        <v>2.1800000000000002</v>
      </c>
      <c r="C1457" s="947">
        <v>2.6</v>
      </c>
      <c r="D1457" s="947">
        <v>2.2000000000000002</v>
      </c>
      <c r="E1457" s="60"/>
      <c r="F1457" s="60"/>
      <c r="G1457" s="60"/>
    </row>
    <row r="1458" spans="1:7">
      <c r="A1458" s="948">
        <v>44761</v>
      </c>
      <c r="B1458" s="947">
        <v>2.1800000000000002</v>
      </c>
      <c r="C1458" s="947">
        <v>2.6</v>
      </c>
      <c r="D1458" s="947">
        <v>2.2000000000000002</v>
      </c>
      <c r="E1458" s="60"/>
      <c r="F1458" s="60"/>
      <c r="G1458" s="60"/>
    </row>
    <row r="1459" spans="1:7">
      <c r="A1459" s="948">
        <v>44762</v>
      </c>
      <c r="B1459" s="947">
        <v>2.1800000000000002</v>
      </c>
      <c r="C1459" s="947">
        <v>2.6</v>
      </c>
      <c r="D1459" s="947">
        <v>2.2000000000000002</v>
      </c>
      <c r="E1459" s="60"/>
      <c r="F1459" s="60"/>
      <c r="G1459" s="60"/>
    </row>
    <row r="1460" spans="1:7">
      <c r="A1460" s="948">
        <v>44763</v>
      </c>
      <c r="B1460" s="947">
        <v>2.1800000000000002</v>
      </c>
      <c r="C1460" s="947">
        <v>2.6</v>
      </c>
      <c r="D1460" s="947">
        <v>2.2000000000000002</v>
      </c>
      <c r="E1460" s="60"/>
      <c r="F1460" s="60"/>
      <c r="G1460" s="60"/>
    </row>
    <row r="1461" spans="1:7">
      <c r="A1461" s="948">
        <v>44764</v>
      </c>
      <c r="B1461" s="947">
        <v>2.1800000000000002</v>
      </c>
      <c r="C1461" s="947">
        <v>2.6</v>
      </c>
      <c r="D1461" s="947">
        <v>2.2000000000000002</v>
      </c>
      <c r="E1461" s="60"/>
      <c r="F1461" s="60"/>
      <c r="G1461" s="60"/>
    </row>
    <row r="1462" spans="1:7">
      <c r="A1462" s="948">
        <v>44767</v>
      </c>
      <c r="B1462" s="947">
        <v>2.1800000000000002</v>
      </c>
      <c r="C1462" s="947">
        <v>2.6</v>
      </c>
      <c r="D1462" s="947">
        <v>2.2000000000000002</v>
      </c>
      <c r="E1462" s="60"/>
      <c r="F1462" s="60"/>
      <c r="G1462" s="60"/>
    </row>
    <row r="1463" spans="1:7">
      <c r="A1463" s="948">
        <v>44768</v>
      </c>
      <c r="B1463" s="947">
        <v>2.1800000000000002</v>
      </c>
      <c r="C1463" s="947">
        <v>2.6</v>
      </c>
      <c r="D1463" s="947">
        <v>2.2000000000000002</v>
      </c>
      <c r="E1463" s="60"/>
      <c r="F1463" s="60"/>
      <c r="G1463" s="60"/>
    </row>
    <row r="1464" spans="1:7">
      <c r="A1464" s="948">
        <v>44769</v>
      </c>
      <c r="B1464" s="947">
        <v>2.1800000000000002</v>
      </c>
      <c r="C1464" s="947">
        <v>2.6</v>
      </c>
      <c r="D1464" s="947">
        <v>2.2000000000000002</v>
      </c>
      <c r="E1464" s="60"/>
      <c r="F1464" s="60"/>
      <c r="G1464" s="60"/>
    </row>
    <row r="1465" spans="1:7">
      <c r="A1465" s="948">
        <v>44770</v>
      </c>
      <c r="B1465" s="947">
        <v>2.1800000000000002</v>
      </c>
      <c r="C1465" s="947">
        <v>2.6</v>
      </c>
      <c r="D1465" s="947">
        <v>2.2000000000000002</v>
      </c>
      <c r="E1465" s="60"/>
      <c r="F1465" s="60"/>
      <c r="G1465" s="60"/>
    </row>
    <row r="1466" spans="1:7">
      <c r="A1466" s="948">
        <v>44771</v>
      </c>
      <c r="B1466" s="947">
        <v>2.1800000000000002</v>
      </c>
      <c r="C1466" s="947">
        <v>2.6</v>
      </c>
      <c r="D1466" s="947">
        <v>2.2000000000000002</v>
      </c>
      <c r="E1466" s="60"/>
      <c r="F1466" s="60"/>
      <c r="G1466" s="60"/>
    </row>
    <row r="1467" spans="1:7">
      <c r="A1467" s="948">
        <v>44774</v>
      </c>
      <c r="B1467" s="947">
        <v>2.1800000000000002</v>
      </c>
      <c r="C1467" s="947">
        <v>2.6</v>
      </c>
      <c r="D1467" s="947">
        <v>2.2000000000000002</v>
      </c>
      <c r="E1467" s="60"/>
      <c r="F1467" s="60"/>
      <c r="G1467" s="60"/>
    </row>
    <row r="1468" spans="1:7">
      <c r="A1468" s="948">
        <v>44775</v>
      </c>
      <c r="B1468" s="947">
        <v>2.1800000000000002</v>
      </c>
      <c r="C1468" s="947">
        <v>2.6</v>
      </c>
      <c r="D1468" s="947">
        <v>2.2000000000000002</v>
      </c>
      <c r="E1468" s="60"/>
      <c r="F1468" s="60"/>
      <c r="G1468" s="60"/>
    </row>
    <row r="1469" spans="1:7">
      <c r="A1469" s="948">
        <v>44776</v>
      </c>
      <c r="B1469" s="947">
        <v>2.1800000000000002</v>
      </c>
      <c r="C1469" s="947">
        <v>2.6</v>
      </c>
      <c r="D1469" s="947">
        <v>2.2000000000000002</v>
      </c>
      <c r="E1469" s="60"/>
      <c r="F1469" s="60"/>
      <c r="G1469" s="60"/>
    </row>
    <row r="1470" spans="1:7">
      <c r="A1470" s="948">
        <v>44777</v>
      </c>
      <c r="B1470" s="947">
        <v>2.1800000000000002</v>
      </c>
      <c r="C1470" s="947">
        <v>2.6</v>
      </c>
      <c r="D1470" s="947">
        <v>2.2000000000000002</v>
      </c>
      <c r="E1470" s="60"/>
      <c r="F1470" s="60"/>
      <c r="G1470" s="60"/>
    </row>
    <row r="1471" spans="1:7">
      <c r="A1471" s="948">
        <v>44778</v>
      </c>
      <c r="B1471" s="947">
        <v>2.1800000000000002</v>
      </c>
      <c r="C1471" s="947">
        <v>2.6</v>
      </c>
      <c r="D1471" s="947">
        <v>2.2000000000000002</v>
      </c>
      <c r="E1471" s="60"/>
      <c r="F1471" s="60"/>
      <c r="G1471" s="60"/>
    </row>
    <row r="1472" spans="1:7">
      <c r="A1472" s="948">
        <v>44781</v>
      </c>
      <c r="B1472" s="947">
        <v>2.1800000000000002</v>
      </c>
      <c r="C1472" s="947">
        <v>2.6</v>
      </c>
      <c r="D1472" s="947">
        <v>2.2000000000000002</v>
      </c>
      <c r="E1472" s="60"/>
      <c r="F1472" s="60"/>
      <c r="G1472" s="60"/>
    </row>
    <row r="1473" spans="1:7">
      <c r="A1473" s="948">
        <v>44782</v>
      </c>
      <c r="B1473" s="947">
        <v>2.1800000000000002</v>
      </c>
      <c r="C1473" s="947">
        <v>2.6</v>
      </c>
      <c r="D1473" s="947">
        <v>2.2000000000000002</v>
      </c>
      <c r="E1473" s="60"/>
      <c r="F1473" s="60"/>
      <c r="G1473" s="60"/>
    </row>
    <row r="1474" spans="1:7">
      <c r="A1474" s="948">
        <v>44783</v>
      </c>
      <c r="B1474" s="947">
        <v>2.1800000000000002</v>
      </c>
      <c r="C1474" s="947">
        <v>2.6</v>
      </c>
      <c r="D1474" s="947">
        <v>2.2000000000000002</v>
      </c>
      <c r="E1474" s="60"/>
      <c r="F1474" s="60"/>
      <c r="G1474" s="60"/>
    </row>
    <row r="1475" spans="1:7">
      <c r="A1475" s="948">
        <v>44784</v>
      </c>
      <c r="B1475" s="947">
        <v>2.1800000000000002</v>
      </c>
      <c r="C1475" s="947">
        <v>2.6</v>
      </c>
      <c r="D1475" s="947">
        <v>2.2000000000000002</v>
      </c>
      <c r="E1475" s="60"/>
      <c r="F1475" s="60"/>
      <c r="G1475" s="60"/>
    </row>
    <row r="1476" spans="1:7">
      <c r="A1476" s="948">
        <v>44785</v>
      </c>
      <c r="B1476" s="947">
        <v>2.1800000000000002</v>
      </c>
      <c r="C1476" s="947">
        <v>2.6</v>
      </c>
      <c r="D1476" s="947">
        <v>2.2000000000000002</v>
      </c>
      <c r="E1476" s="60"/>
      <c r="F1476" s="60"/>
      <c r="G1476" s="60"/>
    </row>
    <row r="1477" spans="1:7">
      <c r="A1477" s="948">
        <v>44788</v>
      </c>
      <c r="B1477" s="947">
        <v>2.1800000000000002</v>
      </c>
      <c r="C1477" s="947">
        <v>2.6</v>
      </c>
      <c r="D1477" s="947">
        <v>2.2000000000000002</v>
      </c>
      <c r="E1477" s="60"/>
      <c r="F1477" s="60"/>
      <c r="G1477" s="60"/>
    </row>
    <row r="1478" spans="1:7">
      <c r="A1478" s="948">
        <v>44789</v>
      </c>
      <c r="B1478" s="947">
        <v>2.1800000000000002</v>
      </c>
      <c r="C1478" s="947">
        <v>2.6</v>
      </c>
      <c r="D1478" s="947">
        <v>2.2000000000000002</v>
      </c>
      <c r="E1478" s="60"/>
      <c r="F1478" s="60"/>
      <c r="G1478" s="60"/>
    </row>
    <row r="1479" spans="1:7">
      <c r="A1479" s="948">
        <v>44790</v>
      </c>
      <c r="B1479" s="947">
        <v>2.1800000000000002</v>
      </c>
      <c r="C1479" s="947">
        <v>2.6</v>
      </c>
      <c r="D1479" s="947">
        <v>2.2000000000000002</v>
      </c>
      <c r="E1479" s="60"/>
      <c r="F1479" s="60"/>
      <c r="G1479" s="60"/>
    </row>
    <row r="1480" spans="1:7">
      <c r="A1480" s="948">
        <v>44791</v>
      </c>
      <c r="B1480" s="947">
        <v>2.1800000000000002</v>
      </c>
      <c r="C1480" s="947">
        <v>2.6</v>
      </c>
      <c r="D1480" s="947">
        <v>2.2000000000000002</v>
      </c>
      <c r="E1480" s="60"/>
      <c r="F1480" s="60"/>
      <c r="G1480" s="60"/>
    </row>
    <row r="1481" spans="1:7">
      <c r="A1481" s="948">
        <v>44792</v>
      </c>
      <c r="B1481" s="947">
        <v>2.1800000000000002</v>
      </c>
      <c r="C1481" s="947">
        <v>2.6</v>
      </c>
      <c r="D1481" s="947">
        <v>2.2000000000000002</v>
      </c>
      <c r="E1481" s="60"/>
      <c r="F1481" s="60"/>
      <c r="G1481" s="60"/>
    </row>
    <row r="1482" spans="1:7">
      <c r="A1482" s="948">
        <v>44795</v>
      </c>
      <c r="B1482" s="947">
        <v>2.1800000000000002</v>
      </c>
      <c r="C1482" s="947">
        <v>2.6</v>
      </c>
      <c r="D1482" s="947">
        <v>2.2000000000000002</v>
      </c>
      <c r="E1482" s="60"/>
      <c r="F1482" s="60"/>
      <c r="G1482" s="60"/>
    </row>
    <row r="1483" spans="1:7">
      <c r="A1483" s="948">
        <v>44796</v>
      </c>
      <c r="B1483" s="947">
        <v>2.1800000000000002</v>
      </c>
      <c r="C1483" s="947">
        <v>2.6</v>
      </c>
      <c r="D1483" s="947">
        <v>2.2000000000000002</v>
      </c>
      <c r="E1483" s="60"/>
      <c r="F1483" s="60"/>
      <c r="G1483" s="60"/>
    </row>
    <row r="1484" spans="1:7">
      <c r="A1484" s="948">
        <v>44797</v>
      </c>
      <c r="B1484" s="947">
        <v>2.1800000000000002</v>
      </c>
      <c r="C1484" s="947">
        <v>2.6</v>
      </c>
      <c r="D1484" s="947">
        <v>2.2000000000000002</v>
      </c>
      <c r="E1484" s="60"/>
      <c r="F1484" s="60"/>
      <c r="G1484" s="60"/>
    </row>
    <row r="1485" spans="1:7">
      <c r="A1485" s="948">
        <v>44798</v>
      </c>
      <c r="B1485" s="947">
        <v>2.1800000000000002</v>
      </c>
      <c r="C1485" s="947">
        <v>2.6</v>
      </c>
      <c r="D1485" s="947">
        <v>2.2000000000000002</v>
      </c>
      <c r="E1485" s="60"/>
      <c r="F1485" s="60"/>
      <c r="G1485" s="60"/>
    </row>
    <row r="1486" spans="1:7">
      <c r="A1486" s="948">
        <v>44799</v>
      </c>
      <c r="B1486" s="947">
        <v>2.1800000000000002</v>
      </c>
      <c r="C1486" s="947">
        <v>2.6</v>
      </c>
      <c r="D1486" s="947">
        <v>2.2000000000000002</v>
      </c>
      <c r="E1486" s="60"/>
      <c r="F1486" s="60"/>
      <c r="G1486" s="60"/>
    </row>
    <row r="1487" spans="1:7">
      <c r="A1487" s="948">
        <v>44802</v>
      </c>
      <c r="B1487" s="947">
        <v>2.1800000000000002</v>
      </c>
      <c r="C1487" s="947">
        <v>2.6</v>
      </c>
      <c r="D1487" s="947">
        <v>2.2000000000000002</v>
      </c>
      <c r="E1487" s="60"/>
      <c r="F1487" s="60"/>
      <c r="G1487" s="60"/>
    </row>
    <row r="1488" spans="1:7">
      <c r="A1488" s="948">
        <v>44803</v>
      </c>
      <c r="B1488" s="947">
        <v>2.1800000000000002</v>
      </c>
      <c r="C1488" s="947">
        <v>2.6</v>
      </c>
      <c r="D1488" s="947">
        <v>2.2000000000000002</v>
      </c>
      <c r="E1488" s="60"/>
      <c r="F1488" s="60"/>
      <c r="G1488" s="60"/>
    </row>
    <row r="1489" spans="1:7">
      <c r="A1489" s="948">
        <v>44804</v>
      </c>
      <c r="B1489" s="947">
        <v>2.1800000000000002</v>
      </c>
      <c r="C1489" s="947">
        <v>2.6</v>
      </c>
      <c r="D1489" s="947">
        <v>2.2000000000000002</v>
      </c>
      <c r="E1489" s="60"/>
      <c r="F1489" s="60"/>
      <c r="G1489" s="60"/>
    </row>
    <row r="1490" spans="1:7">
      <c r="A1490" s="948">
        <v>44805</v>
      </c>
      <c r="B1490" s="947">
        <v>2.1800000000000002</v>
      </c>
      <c r="C1490" s="947">
        <v>2.6</v>
      </c>
      <c r="D1490" s="947">
        <v>2.2000000000000002</v>
      </c>
      <c r="E1490" s="60"/>
      <c r="F1490" s="60"/>
      <c r="G1490" s="60"/>
    </row>
    <row r="1491" spans="1:7">
      <c r="A1491" s="948">
        <v>44806</v>
      </c>
      <c r="B1491" s="947">
        <v>2.1800000000000002</v>
      </c>
      <c r="C1491" s="947">
        <v>2.6</v>
      </c>
      <c r="D1491" s="947">
        <v>2.2000000000000002</v>
      </c>
      <c r="E1491" s="60"/>
      <c r="F1491" s="60"/>
      <c r="G1491" s="60"/>
    </row>
    <row r="1492" spans="1:7">
      <c r="A1492" s="948">
        <v>44809</v>
      </c>
      <c r="B1492" s="947">
        <v>2.1800000000000002</v>
      </c>
      <c r="C1492" s="947">
        <v>2.6</v>
      </c>
      <c r="D1492" s="947">
        <v>2.2000000000000002</v>
      </c>
      <c r="E1492" s="60"/>
      <c r="F1492" s="60"/>
      <c r="G1492" s="60"/>
    </row>
    <row r="1493" spans="1:7">
      <c r="A1493" s="948">
        <v>44810</v>
      </c>
      <c r="B1493" s="947">
        <v>2.1800000000000002</v>
      </c>
      <c r="C1493" s="947">
        <v>2.6</v>
      </c>
      <c r="D1493" s="947">
        <v>2.2000000000000002</v>
      </c>
      <c r="E1493" s="60"/>
      <c r="F1493" s="60"/>
      <c r="G1493" s="60"/>
    </row>
    <row r="1494" spans="1:7">
      <c r="A1494" s="948">
        <v>44811</v>
      </c>
      <c r="B1494" s="947">
        <v>2.15</v>
      </c>
      <c r="C1494" s="947">
        <v>2.4500000000000002</v>
      </c>
      <c r="D1494" s="947">
        <v>2.1800000000000002</v>
      </c>
      <c r="E1494" s="60"/>
      <c r="F1494" s="60"/>
      <c r="G1494" s="60"/>
    </row>
    <row r="1495" spans="1:7">
      <c r="A1495" s="948">
        <v>44812</v>
      </c>
      <c r="B1495" s="947">
        <v>2.15</v>
      </c>
      <c r="C1495" s="947">
        <v>2.4500000000000002</v>
      </c>
      <c r="D1495" s="947">
        <v>2.1800000000000002</v>
      </c>
      <c r="E1495" s="60"/>
      <c r="F1495" s="60"/>
      <c r="G1495" s="60"/>
    </row>
    <row r="1496" spans="1:7">
      <c r="A1496" s="948">
        <v>44813</v>
      </c>
      <c r="B1496" s="947">
        <v>2.15</v>
      </c>
      <c r="C1496" s="947">
        <v>2.4500000000000002</v>
      </c>
      <c r="D1496" s="947">
        <v>2.1800000000000002</v>
      </c>
      <c r="E1496" s="60"/>
      <c r="F1496" s="60"/>
      <c r="G1496" s="60"/>
    </row>
    <row r="1497" spans="1:7">
      <c r="A1497" s="948">
        <v>44816</v>
      </c>
      <c r="B1497" s="947">
        <v>2.15</v>
      </c>
      <c r="C1497" s="947">
        <v>2.4500000000000002</v>
      </c>
      <c r="D1497" s="947">
        <v>2.1800000000000002</v>
      </c>
      <c r="E1497" s="60"/>
      <c r="F1497" s="60"/>
      <c r="G1497" s="60"/>
    </row>
    <row r="1498" spans="1:7">
      <c r="A1498" s="948">
        <v>44817</v>
      </c>
      <c r="B1498" s="947">
        <v>2.15</v>
      </c>
      <c r="C1498" s="947">
        <v>2.4500000000000002</v>
      </c>
      <c r="D1498" s="947">
        <v>2.1800000000000002</v>
      </c>
      <c r="E1498" s="60"/>
      <c r="F1498" s="60"/>
      <c r="G1498" s="60"/>
    </row>
    <row r="1499" spans="1:7">
      <c r="A1499" s="948">
        <v>44818</v>
      </c>
      <c r="B1499" s="947">
        <v>2.15</v>
      </c>
      <c r="C1499" s="947">
        <v>2.4500000000000002</v>
      </c>
      <c r="D1499" s="947">
        <v>2.1800000000000002</v>
      </c>
      <c r="E1499" s="60"/>
      <c r="F1499" s="60"/>
      <c r="G1499" s="60"/>
    </row>
    <row r="1500" spans="1:7">
      <c r="A1500" s="948">
        <v>44819</v>
      </c>
      <c r="B1500" s="947">
        <v>2.15</v>
      </c>
      <c r="C1500" s="947">
        <v>2.4500000000000002</v>
      </c>
      <c r="D1500" s="947">
        <v>2.1800000000000002</v>
      </c>
      <c r="E1500" s="60"/>
      <c r="F1500" s="60"/>
      <c r="G1500" s="60"/>
    </row>
    <row r="1501" spans="1:7">
      <c r="A1501" s="948">
        <v>44820</v>
      </c>
      <c r="B1501" s="947">
        <v>2.15</v>
      </c>
      <c r="C1501" s="947">
        <v>2.4500000000000002</v>
      </c>
      <c r="D1501" s="947">
        <v>2.1800000000000002</v>
      </c>
      <c r="E1501" s="60"/>
      <c r="F1501" s="60"/>
      <c r="G1501" s="60"/>
    </row>
    <row r="1502" spans="1:7">
      <c r="A1502" s="948">
        <v>44823</v>
      </c>
      <c r="B1502" s="947">
        <v>2.15</v>
      </c>
      <c r="C1502" s="947">
        <v>2.4500000000000002</v>
      </c>
      <c r="D1502" s="947">
        <v>2.1800000000000002</v>
      </c>
      <c r="E1502" s="60"/>
      <c r="F1502" s="60"/>
      <c r="G1502" s="60"/>
    </row>
    <row r="1503" spans="1:7">
      <c r="A1503" s="948">
        <v>44824</v>
      </c>
      <c r="B1503" s="947">
        <v>2.15</v>
      </c>
      <c r="C1503" s="947">
        <v>2.4500000000000002</v>
      </c>
      <c r="D1503" s="947">
        <v>2.1800000000000002</v>
      </c>
      <c r="E1503" s="60"/>
      <c r="F1503" s="60"/>
      <c r="G1503" s="60"/>
    </row>
    <row r="1504" spans="1:7">
      <c r="A1504" s="948">
        <v>44825</v>
      </c>
      <c r="B1504" s="947">
        <v>2.15</v>
      </c>
      <c r="C1504" s="947">
        <v>2.4500000000000002</v>
      </c>
      <c r="D1504" s="947">
        <v>2.1800000000000002</v>
      </c>
      <c r="E1504" s="60"/>
      <c r="F1504" s="60"/>
      <c r="G1504" s="60"/>
    </row>
    <row r="1505" spans="1:7">
      <c r="A1505" s="948">
        <v>44826</v>
      </c>
      <c r="B1505" s="947">
        <v>2.15</v>
      </c>
      <c r="C1505" s="947">
        <v>2.4500000000000002</v>
      </c>
      <c r="D1505" s="947">
        <v>2.1800000000000002</v>
      </c>
      <c r="E1505" s="60"/>
      <c r="F1505" s="60"/>
      <c r="G1505" s="60"/>
    </row>
    <row r="1506" spans="1:7">
      <c r="A1506" s="948">
        <v>44827</v>
      </c>
      <c r="B1506" s="947">
        <v>2.15</v>
      </c>
      <c r="C1506" s="947">
        <v>2.4500000000000002</v>
      </c>
      <c r="D1506" s="947">
        <v>2.1800000000000002</v>
      </c>
      <c r="E1506" s="60"/>
      <c r="F1506" s="60"/>
      <c r="G1506" s="60"/>
    </row>
    <row r="1507" spans="1:7">
      <c r="A1507" s="948">
        <v>44830</v>
      </c>
      <c r="B1507" s="947">
        <v>2.15</v>
      </c>
      <c r="C1507" s="947">
        <v>2.4500000000000002</v>
      </c>
      <c r="D1507" s="947">
        <v>2.1800000000000002</v>
      </c>
      <c r="E1507" s="60"/>
      <c r="F1507" s="60"/>
      <c r="G1507" s="60"/>
    </row>
    <row r="1508" spans="1:7">
      <c r="A1508" s="948">
        <v>44831</v>
      </c>
      <c r="B1508" s="947">
        <v>2.15</v>
      </c>
      <c r="C1508" s="947">
        <v>2.4500000000000002</v>
      </c>
      <c r="D1508" s="947">
        <v>2.1800000000000002</v>
      </c>
      <c r="E1508" s="60"/>
      <c r="F1508" s="60"/>
      <c r="G1508" s="60"/>
    </row>
    <row r="1509" spans="1:7">
      <c r="A1509" s="948">
        <v>44832</v>
      </c>
      <c r="B1509" s="947">
        <v>2.15</v>
      </c>
      <c r="C1509" s="947">
        <v>2.4500000000000002</v>
      </c>
      <c r="D1509" s="947">
        <v>2.1800000000000002</v>
      </c>
      <c r="E1509" s="60"/>
      <c r="F1509" s="60"/>
      <c r="G1509" s="60"/>
    </row>
    <row r="1510" spans="1:7">
      <c r="A1510" s="948">
        <v>44833</v>
      </c>
      <c r="B1510" s="947">
        <v>2.15</v>
      </c>
      <c r="C1510" s="947">
        <v>2.4500000000000002</v>
      </c>
      <c r="D1510" s="947">
        <v>2.1800000000000002</v>
      </c>
      <c r="E1510" s="60"/>
      <c r="F1510" s="60"/>
      <c r="G1510" s="60"/>
    </row>
    <row r="1511" spans="1:7">
      <c r="A1511" s="948">
        <v>44834</v>
      </c>
      <c r="B1511" s="947">
        <v>2.15</v>
      </c>
      <c r="C1511" s="947">
        <v>2.4500000000000002</v>
      </c>
      <c r="D1511" s="947">
        <v>2.1800000000000002</v>
      </c>
      <c r="E1511" s="60"/>
      <c r="F1511" s="60"/>
      <c r="G1511" s="60"/>
    </row>
    <row r="1512" spans="1:7">
      <c r="A1512" s="948">
        <v>44841</v>
      </c>
      <c r="B1512" s="947">
        <v>2.15</v>
      </c>
      <c r="C1512" s="947">
        <v>2.4500000000000002</v>
      </c>
      <c r="D1512" s="947">
        <v>2.1800000000000002</v>
      </c>
      <c r="E1512" s="60"/>
      <c r="F1512" s="60"/>
      <c r="G1512" s="60"/>
    </row>
    <row r="1513" spans="1:7">
      <c r="A1513" s="948">
        <v>44842</v>
      </c>
      <c r="B1513" s="947">
        <v>2.15</v>
      </c>
      <c r="C1513" s="947">
        <v>2.4500000000000002</v>
      </c>
      <c r="D1513" s="947">
        <v>2.1800000000000002</v>
      </c>
      <c r="E1513" s="60"/>
      <c r="F1513" s="60"/>
      <c r="G1513" s="60"/>
    </row>
    <row r="1514" spans="1:7">
      <c r="A1514" s="948">
        <v>44843</v>
      </c>
      <c r="B1514" s="947">
        <v>2.15</v>
      </c>
      <c r="C1514" s="947">
        <v>2.4500000000000002</v>
      </c>
      <c r="D1514" s="947">
        <v>2.1800000000000002</v>
      </c>
      <c r="E1514" s="60"/>
      <c r="F1514" s="60"/>
      <c r="G1514" s="60"/>
    </row>
    <row r="1515" spans="1:7">
      <c r="A1515" s="948">
        <v>44844</v>
      </c>
      <c r="B1515" s="947">
        <v>2.15</v>
      </c>
      <c r="C1515" s="947">
        <v>2.4500000000000002</v>
      </c>
      <c r="D1515" s="947">
        <v>2.1800000000000002</v>
      </c>
      <c r="E1515" s="60"/>
      <c r="F1515" s="60"/>
      <c r="G1515" s="60"/>
    </row>
    <row r="1516" spans="1:7">
      <c r="A1516" s="948">
        <v>44845</v>
      </c>
      <c r="B1516" s="947">
        <v>2.15</v>
      </c>
      <c r="C1516" s="947">
        <v>2.4500000000000002</v>
      </c>
      <c r="D1516" s="947">
        <v>2.1800000000000002</v>
      </c>
      <c r="E1516" s="60"/>
      <c r="F1516" s="60"/>
      <c r="G1516" s="60"/>
    </row>
    <row r="1517" spans="1:7">
      <c r="A1517" s="948">
        <v>44846</v>
      </c>
      <c r="B1517" s="947">
        <v>2.15</v>
      </c>
      <c r="C1517" s="947">
        <v>2.4500000000000002</v>
      </c>
      <c r="D1517" s="947">
        <v>2.1800000000000002</v>
      </c>
      <c r="E1517" s="60"/>
      <c r="F1517" s="60"/>
      <c r="G1517" s="60"/>
    </row>
    <row r="1518" spans="1:7">
      <c r="A1518" s="948">
        <v>44847</v>
      </c>
      <c r="B1518" s="947">
        <v>2.15</v>
      </c>
      <c r="C1518" s="947">
        <v>2.4500000000000002</v>
      </c>
      <c r="D1518" s="947">
        <v>2.1800000000000002</v>
      </c>
      <c r="E1518" s="60"/>
      <c r="F1518" s="60"/>
      <c r="G1518" s="60"/>
    </row>
    <row r="1519" spans="1:7">
      <c r="A1519" s="948">
        <v>44848</v>
      </c>
      <c r="B1519" s="947">
        <v>2.15</v>
      </c>
      <c r="C1519" s="947">
        <v>2.4500000000000002</v>
      </c>
      <c r="D1519" s="947">
        <v>2.1800000000000002</v>
      </c>
      <c r="E1519" s="60"/>
      <c r="F1519" s="60"/>
      <c r="G1519" s="60"/>
    </row>
    <row r="1520" spans="1:7">
      <c r="A1520" s="948">
        <v>44851</v>
      </c>
      <c r="B1520" s="947">
        <v>2.15</v>
      </c>
      <c r="C1520" s="947">
        <v>2.4500000000000002</v>
      </c>
      <c r="D1520" s="947">
        <v>2.1800000000000002</v>
      </c>
      <c r="E1520" s="60"/>
      <c r="F1520" s="60"/>
      <c r="G1520" s="60"/>
    </row>
    <row r="1521" spans="1:7">
      <c r="A1521" s="948">
        <v>44852</v>
      </c>
      <c r="B1521" s="947">
        <v>2.15</v>
      </c>
      <c r="C1521" s="947">
        <v>2.4500000000000002</v>
      </c>
      <c r="D1521" s="947">
        <v>2.1800000000000002</v>
      </c>
      <c r="E1521" s="60"/>
      <c r="F1521" s="60"/>
      <c r="G1521" s="60"/>
    </row>
    <row r="1522" spans="1:7">
      <c r="A1522" s="948">
        <v>44853</v>
      </c>
      <c r="B1522" s="947">
        <v>2.15</v>
      </c>
      <c r="C1522" s="947">
        <v>2.4500000000000002</v>
      </c>
      <c r="D1522" s="947">
        <v>2.1800000000000002</v>
      </c>
      <c r="E1522" s="60"/>
      <c r="F1522" s="60"/>
      <c r="G1522" s="60"/>
    </row>
    <row r="1523" spans="1:7">
      <c r="A1523" s="948">
        <v>44854</v>
      </c>
      <c r="B1523" s="947">
        <v>2.15</v>
      </c>
      <c r="C1523" s="947">
        <v>2.4500000000000002</v>
      </c>
      <c r="D1523" s="947">
        <v>2.1800000000000002</v>
      </c>
      <c r="E1523" s="60"/>
      <c r="F1523" s="60"/>
      <c r="G1523" s="60"/>
    </row>
    <row r="1524" spans="1:7">
      <c r="A1524" s="948">
        <v>44855</v>
      </c>
      <c r="B1524" s="947">
        <v>2.15</v>
      </c>
      <c r="C1524" s="947">
        <v>2.4500000000000002</v>
      </c>
      <c r="D1524" s="947">
        <v>2.1800000000000002</v>
      </c>
      <c r="E1524" s="60"/>
      <c r="F1524" s="60"/>
      <c r="G1524" s="60"/>
    </row>
    <row r="1525" spans="1:7">
      <c r="A1525" s="948">
        <v>44858</v>
      </c>
      <c r="B1525" s="947">
        <v>2.15</v>
      </c>
      <c r="C1525" s="947">
        <v>2.4500000000000002</v>
      </c>
      <c r="D1525" s="947">
        <v>2.1800000000000002</v>
      </c>
      <c r="E1525" s="60"/>
      <c r="F1525" s="60"/>
      <c r="G1525" s="60"/>
    </row>
    <row r="1526" spans="1:7">
      <c r="A1526" s="948">
        <v>44859</v>
      </c>
      <c r="B1526" s="947">
        <v>2.15</v>
      </c>
      <c r="C1526" s="947">
        <v>2.4500000000000002</v>
      </c>
      <c r="D1526" s="947">
        <v>2.1800000000000002</v>
      </c>
      <c r="E1526" s="60"/>
      <c r="F1526" s="60"/>
      <c r="G1526" s="60"/>
    </row>
    <row r="1527" spans="1:7">
      <c r="A1527" s="948">
        <v>44860</v>
      </c>
      <c r="B1527" s="947">
        <v>2.15</v>
      </c>
      <c r="C1527" s="947">
        <v>2.4500000000000002</v>
      </c>
      <c r="D1527" s="947">
        <v>2.1800000000000002</v>
      </c>
      <c r="E1527" s="60"/>
      <c r="F1527" s="60"/>
      <c r="G1527" s="60"/>
    </row>
    <row r="1528" spans="1:7">
      <c r="A1528" s="948">
        <v>44861</v>
      </c>
      <c r="B1528" s="947">
        <v>2.15</v>
      </c>
      <c r="C1528" s="947">
        <v>2.4500000000000002</v>
      </c>
      <c r="D1528" s="947">
        <v>2.1800000000000002</v>
      </c>
      <c r="E1528" s="60"/>
      <c r="F1528" s="60"/>
      <c r="G1528" s="60"/>
    </row>
    <row r="1529" spans="1:7">
      <c r="A1529" s="948">
        <v>44862</v>
      </c>
      <c r="B1529" s="947">
        <v>2.15</v>
      </c>
      <c r="C1529" s="947">
        <v>2.4500000000000002</v>
      </c>
      <c r="D1529" s="947">
        <v>2.1800000000000002</v>
      </c>
      <c r="E1529" s="60"/>
      <c r="F1529" s="60"/>
      <c r="G1529" s="60"/>
    </row>
    <row r="1530" spans="1:7">
      <c r="A1530" s="948">
        <v>44865</v>
      </c>
      <c r="B1530" s="947">
        <v>2.15</v>
      </c>
      <c r="C1530" s="947">
        <v>2.4500000000000002</v>
      </c>
      <c r="D1530" s="947">
        <v>2.1800000000000002</v>
      </c>
      <c r="E1530" s="60"/>
      <c r="F1530" s="60"/>
      <c r="G1530" s="60"/>
    </row>
    <row r="1531" spans="1:7">
      <c r="A1531" s="948">
        <v>44866</v>
      </c>
      <c r="B1531" s="947">
        <v>2.15</v>
      </c>
      <c r="C1531" s="947">
        <v>2.4500000000000002</v>
      </c>
      <c r="D1531" s="947">
        <v>2.1800000000000002</v>
      </c>
      <c r="E1531" s="60"/>
      <c r="F1531" s="60"/>
      <c r="G1531" s="60"/>
    </row>
    <row r="1532" spans="1:7">
      <c r="A1532" s="948">
        <v>44867</v>
      </c>
      <c r="B1532" s="947">
        <v>2.15</v>
      </c>
      <c r="C1532" s="947">
        <v>2.4500000000000002</v>
      </c>
      <c r="D1532" s="947">
        <v>2.1800000000000002</v>
      </c>
      <c r="E1532" s="60"/>
      <c r="F1532" s="60"/>
      <c r="G1532" s="60"/>
    </row>
    <row r="1533" spans="1:7">
      <c r="A1533" s="948">
        <v>44868</v>
      </c>
      <c r="B1533" s="947">
        <v>2.15</v>
      </c>
      <c r="C1533" s="947">
        <v>2.4500000000000002</v>
      </c>
      <c r="D1533" s="947">
        <v>2.1800000000000002</v>
      </c>
      <c r="E1533" s="60"/>
      <c r="F1533" s="60"/>
      <c r="G1533" s="60"/>
    </row>
    <row r="1534" spans="1:7">
      <c r="A1534" s="948">
        <v>44869</v>
      </c>
      <c r="B1534" s="947">
        <v>2.15</v>
      </c>
      <c r="C1534" s="947">
        <v>2.4500000000000002</v>
      </c>
      <c r="D1534" s="947">
        <v>2.1800000000000002</v>
      </c>
      <c r="E1534" s="60"/>
      <c r="F1534" s="60"/>
      <c r="G1534" s="60"/>
    </row>
    <row r="1535" spans="1:7">
      <c r="A1535" s="948">
        <v>44872</v>
      </c>
      <c r="B1535" s="947">
        <v>2.15</v>
      </c>
      <c r="C1535" s="947">
        <v>2.4500000000000002</v>
      </c>
      <c r="D1535" s="947">
        <v>2.1800000000000002</v>
      </c>
      <c r="E1535" s="60"/>
      <c r="F1535" s="60"/>
      <c r="G1535" s="60"/>
    </row>
    <row r="1536" spans="1:7">
      <c r="A1536" s="948">
        <v>44873</v>
      </c>
      <c r="B1536" s="947">
        <v>2.15</v>
      </c>
      <c r="C1536" s="947">
        <v>2.4500000000000002</v>
      </c>
      <c r="D1536" s="947">
        <v>2.1800000000000002</v>
      </c>
      <c r="E1536" s="60"/>
      <c r="F1536" s="60"/>
      <c r="G1536" s="60"/>
    </row>
    <row r="1537" spans="1:7">
      <c r="A1537" s="948">
        <v>44874</v>
      </c>
      <c r="B1537" s="947">
        <v>2.15</v>
      </c>
      <c r="C1537" s="947">
        <v>2.4500000000000002</v>
      </c>
      <c r="D1537" s="947">
        <v>2.1800000000000002</v>
      </c>
      <c r="E1537" s="60"/>
      <c r="F1537" s="60"/>
      <c r="G1537" s="60"/>
    </row>
    <row r="1538" spans="1:7">
      <c r="A1538" s="948">
        <v>44875</v>
      </c>
      <c r="B1538" s="947">
        <v>2.15</v>
      </c>
      <c r="C1538" s="947">
        <v>2.4500000000000002</v>
      </c>
      <c r="D1538" s="947">
        <v>2.1800000000000002</v>
      </c>
      <c r="E1538" s="60"/>
      <c r="F1538" s="60"/>
      <c r="G1538" s="60"/>
    </row>
    <row r="1539" spans="1:7">
      <c r="A1539" s="948">
        <v>44876</v>
      </c>
      <c r="B1539" s="947">
        <v>2.15</v>
      </c>
      <c r="C1539" s="947">
        <v>2.4500000000000002</v>
      </c>
      <c r="D1539" s="947">
        <v>2.1800000000000002</v>
      </c>
      <c r="E1539" s="60"/>
      <c r="F1539" s="60"/>
      <c r="G1539" s="60"/>
    </row>
    <row r="1540" spans="1:7">
      <c r="A1540" s="948">
        <v>44879</v>
      </c>
      <c r="B1540" s="947">
        <v>2.15</v>
      </c>
      <c r="C1540" s="947">
        <v>2.4500000000000002</v>
      </c>
      <c r="D1540" s="947">
        <v>2.1800000000000002</v>
      </c>
      <c r="E1540" s="60"/>
      <c r="F1540" s="60"/>
      <c r="G1540" s="60"/>
    </row>
    <row r="1541" spans="1:7">
      <c r="A1541" s="948">
        <v>44880</v>
      </c>
      <c r="B1541" s="947">
        <v>2.15</v>
      </c>
      <c r="C1541" s="947">
        <v>2.4500000000000002</v>
      </c>
      <c r="D1541" s="947">
        <v>2.1800000000000002</v>
      </c>
      <c r="E1541" s="60"/>
      <c r="F1541" s="60"/>
      <c r="G1541" s="60"/>
    </row>
    <row r="1542" spans="1:7">
      <c r="A1542" s="948">
        <v>44881</v>
      </c>
      <c r="B1542" s="947">
        <v>2.15</v>
      </c>
      <c r="C1542" s="947">
        <v>2.4500000000000002</v>
      </c>
      <c r="D1542" s="947">
        <v>2.1800000000000002</v>
      </c>
      <c r="E1542" s="60"/>
      <c r="F1542" s="60"/>
      <c r="G1542" s="60"/>
    </row>
    <row r="1543" spans="1:7">
      <c r="A1543" s="948">
        <v>44882</v>
      </c>
      <c r="B1543" s="947">
        <v>2.15</v>
      </c>
      <c r="C1543" s="947">
        <v>2.4500000000000002</v>
      </c>
      <c r="D1543" s="947">
        <v>2.1800000000000002</v>
      </c>
      <c r="E1543" s="60"/>
      <c r="F1543" s="60"/>
      <c r="G1543" s="60"/>
    </row>
    <row r="1544" spans="1:7">
      <c r="A1544" s="948">
        <v>44883</v>
      </c>
      <c r="B1544" s="947">
        <v>2.15</v>
      </c>
      <c r="C1544" s="947">
        <v>2.4500000000000002</v>
      </c>
      <c r="D1544" s="947">
        <v>2.1800000000000002</v>
      </c>
      <c r="E1544" s="60"/>
      <c r="F1544" s="60"/>
      <c r="G1544" s="60"/>
    </row>
    <row r="1545" spans="1:7">
      <c r="A1545" s="948">
        <v>44886</v>
      </c>
      <c r="B1545" s="947">
        <v>2.15</v>
      </c>
      <c r="C1545" s="947">
        <v>2.4500000000000002</v>
      </c>
      <c r="D1545" s="947">
        <v>2.1800000000000002</v>
      </c>
      <c r="E1545" s="60"/>
      <c r="F1545" s="60"/>
      <c r="G1545" s="60"/>
    </row>
    <row r="1546" spans="1:7">
      <c r="A1546" s="948">
        <v>44887</v>
      </c>
      <c r="B1546" s="947">
        <v>2.15</v>
      </c>
      <c r="C1546" s="947">
        <v>2.4500000000000002</v>
      </c>
      <c r="D1546" s="947">
        <v>2.1800000000000002</v>
      </c>
      <c r="E1546" s="60"/>
      <c r="F1546" s="60"/>
      <c r="G1546" s="60"/>
    </row>
    <row r="1547" spans="1:7">
      <c r="A1547" s="948">
        <v>44888</v>
      </c>
      <c r="B1547" s="947">
        <v>2.15</v>
      </c>
      <c r="C1547" s="947">
        <v>2.4500000000000002</v>
      </c>
      <c r="D1547" s="947">
        <v>2.1800000000000002</v>
      </c>
      <c r="E1547" s="60"/>
      <c r="F1547" s="60"/>
      <c r="G1547" s="60"/>
    </row>
    <row r="1548" spans="1:7">
      <c r="A1548" s="948">
        <v>44889</v>
      </c>
      <c r="B1548" s="947">
        <v>2.15</v>
      </c>
      <c r="C1548" s="947">
        <v>2.4500000000000002</v>
      </c>
      <c r="D1548" s="947">
        <v>2.1800000000000002</v>
      </c>
      <c r="E1548" s="60"/>
      <c r="F1548" s="60"/>
      <c r="G1548" s="60"/>
    </row>
    <row r="1549" spans="1:7">
      <c r="A1549" s="948">
        <v>44890</v>
      </c>
      <c r="B1549" s="947">
        <v>2.15</v>
      </c>
      <c r="C1549" s="947">
        <v>2.4500000000000002</v>
      </c>
      <c r="D1549" s="947">
        <v>2.1800000000000002</v>
      </c>
      <c r="E1549" s="60"/>
      <c r="F1549" s="60"/>
      <c r="G1549" s="60"/>
    </row>
    <row r="1550" spans="1:7">
      <c r="A1550" s="948">
        <v>44893</v>
      </c>
      <c r="B1550" s="947">
        <v>2.15</v>
      </c>
      <c r="C1550" s="947">
        <v>2.4500000000000002</v>
      </c>
      <c r="D1550" s="947">
        <v>2.1800000000000002</v>
      </c>
      <c r="E1550" s="60"/>
      <c r="F1550" s="60"/>
      <c r="G1550" s="60"/>
    </row>
    <row r="1551" spans="1:7">
      <c r="A1551" s="948">
        <v>44894</v>
      </c>
      <c r="B1551" s="947">
        <v>2.15</v>
      </c>
      <c r="C1551" s="947">
        <v>2.4500000000000002</v>
      </c>
      <c r="D1551" s="947">
        <v>2.1800000000000002</v>
      </c>
      <c r="E1551" s="60"/>
      <c r="F1551" s="60"/>
      <c r="G1551" s="60"/>
    </row>
    <row r="1552" spans="1:7">
      <c r="A1552" s="948">
        <v>44895</v>
      </c>
      <c r="B1552" s="947">
        <v>2.15</v>
      </c>
      <c r="C1552" s="947">
        <v>2.4500000000000002</v>
      </c>
      <c r="D1552" s="947">
        <v>2.1800000000000002</v>
      </c>
      <c r="E1552" s="60"/>
      <c r="F1552" s="60"/>
      <c r="G1552" s="60"/>
    </row>
    <row r="1553" spans="1:7">
      <c r="A1553" s="948">
        <v>44896</v>
      </c>
      <c r="B1553" s="947">
        <v>2.15</v>
      </c>
      <c r="C1553" s="947">
        <v>2.4500000000000002</v>
      </c>
      <c r="D1553" s="947">
        <v>2.1800000000000002</v>
      </c>
      <c r="E1553" s="60"/>
      <c r="F1553" s="60"/>
      <c r="G1553" s="60"/>
    </row>
    <row r="1554" spans="1:7">
      <c r="A1554" s="948">
        <v>44897</v>
      </c>
      <c r="B1554" s="947">
        <v>2.15</v>
      </c>
      <c r="C1554" s="947">
        <v>2.4500000000000002</v>
      </c>
      <c r="D1554" s="947">
        <v>2.1800000000000002</v>
      </c>
      <c r="E1554" s="60"/>
      <c r="F1554" s="60"/>
      <c r="G1554" s="60"/>
    </row>
    <row r="1555" spans="1:7">
      <c r="A1555" s="948">
        <v>44900</v>
      </c>
      <c r="B1555" s="947">
        <v>2.15</v>
      </c>
      <c r="C1555" s="947">
        <v>2.4500000000000002</v>
      </c>
      <c r="D1555" s="947">
        <v>2.1800000000000002</v>
      </c>
      <c r="E1555" s="60"/>
      <c r="F1555" s="60"/>
      <c r="G1555" s="60"/>
    </row>
    <row r="1556" spans="1:7">
      <c r="A1556" s="948">
        <v>44901</v>
      </c>
      <c r="B1556" s="947">
        <v>2.15</v>
      </c>
      <c r="C1556" s="947">
        <v>2.4500000000000002</v>
      </c>
      <c r="D1556" s="947">
        <v>2.1800000000000002</v>
      </c>
      <c r="E1556" s="60"/>
      <c r="F1556" s="60"/>
      <c r="G1556" s="60"/>
    </row>
    <row r="1557" spans="1:7">
      <c r="A1557" s="948">
        <v>44902</v>
      </c>
      <c r="B1557" s="947">
        <v>2.15</v>
      </c>
      <c r="C1557" s="947">
        <v>2.4500000000000002</v>
      </c>
      <c r="D1557" s="947">
        <v>2.1800000000000002</v>
      </c>
      <c r="E1557" s="60"/>
      <c r="F1557" s="60"/>
      <c r="G1557" s="60"/>
    </row>
    <row r="1558" spans="1:7">
      <c r="A1558" s="948">
        <v>44903</v>
      </c>
      <c r="B1558" s="947">
        <v>2.15</v>
      </c>
      <c r="C1558" s="947">
        <v>2.4500000000000002</v>
      </c>
      <c r="D1558" s="947">
        <v>2.1800000000000002</v>
      </c>
      <c r="E1558" s="60"/>
      <c r="F1558" s="60"/>
      <c r="G1558" s="60"/>
    </row>
    <row r="1559" spans="1:7">
      <c r="A1559" s="948">
        <v>44904</v>
      </c>
      <c r="B1559" s="947">
        <v>2.15</v>
      </c>
      <c r="C1559" s="947">
        <v>2.4500000000000002</v>
      </c>
      <c r="D1559" s="947">
        <v>2.1800000000000002</v>
      </c>
      <c r="E1559" s="60"/>
      <c r="F1559" s="60"/>
      <c r="G1559" s="60"/>
    </row>
    <row r="1560" spans="1:7">
      <c r="A1560" s="948">
        <v>44907</v>
      </c>
      <c r="B1560" s="947">
        <v>2.15</v>
      </c>
      <c r="C1560" s="947">
        <v>2.4500000000000002</v>
      </c>
      <c r="D1560" s="947">
        <v>2.1800000000000002</v>
      </c>
      <c r="E1560" s="60"/>
      <c r="F1560" s="60"/>
      <c r="G1560" s="60"/>
    </row>
    <row r="1561" spans="1:7">
      <c r="A1561" s="948">
        <v>44908</v>
      </c>
      <c r="B1561" s="947">
        <v>2.15</v>
      </c>
      <c r="C1561" s="947">
        <v>2.4500000000000002</v>
      </c>
      <c r="D1561" s="947">
        <v>2.1800000000000002</v>
      </c>
      <c r="E1561" s="60"/>
      <c r="F1561" s="60"/>
      <c r="G1561" s="60"/>
    </row>
    <row r="1562" spans="1:7">
      <c r="A1562" s="948">
        <v>44909</v>
      </c>
      <c r="B1562" s="947">
        <v>2.15</v>
      </c>
      <c r="C1562" s="947">
        <v>2.4500000000000002</v>
      </c>
      <c r="D1562" s="947">
        <v>2.1800000000000002</v>
      </c>
      <c r="E1562" s="60"/>
      <c r="F1562" s="60"/>
      <c r="G1562" s="60"/>
    </row>
    <row r="1563" spans="1:7">
      <c r="A1563" s="948">
        <v>44910</v>
      </c>
      <c r="B1563" s="947">
        <v>2.15</v>
      </c>
      <c r="C1563" s="947">
        <v>2.4500000000000002</v>
      </c>
      <c r="D1563" s="947">
        <v>2.1800000000000002</v>
      </c>
      <c r="E1563" s="60"/>
      <c r="F1563" s="60"/>
      <c r="G1563" s="60"/>
    </row>
    <row r="1564" spans="1:7">
      <c r="A1564" s="948">
        <v>44911</v>
      </c>
      <c r="B1564" s="947">
        <v>2.15</v>
      </c>
      <c r="C1564" s="947">
        <v>2.4500000000000002</v>
      </c>
      <c r="D1564" s="947">
        <v>2.1800000000000002</v>
      </c>
      <c r="E1564" s="60"/>
      <c r="F1564" s="60"/>
      <c r="G1564" s="60"/>
    </row>
    <row r="1565" spans="1:7">
      <c r="A1565" s="948">
        <v>44914</v>
      </c>
      <c r="B1565" s="947">
        <v>2.15</v>
      </c>
      <c r="C1565" s="947">
        <v>2.4500000000000002</v>
      </c>
      <c r="D1565" s="947">
        <v>2.1800000000000002</v>
      </c>
      <c r="E1565" s="60"/>
      <c r="F1565" s="60"/>
      <c r="G1565" s="60"/>
    </row>
    <row r="1566" spans="1:7">
      <c r="A1566" s="948">
        <v>44915</v>
      </c>
      <c r="B1566" s="947">
        <v>2.15</v>
      </c>
      <c r="C1566" s="947">
        <v>2.4500000000000002</v>
      </c>
      <c r="D1566" s="947">
        <v>2.1800000000000002</v>
      </c>
      <c r="E1566" s="60"/>
      <c r="F1566" s="60"/>
      <c r="G1566" s="60"/>
    </row>
    <row r="1567" spans="1:7">
      <c r="A1567" s="948">
        <v>44916</v>
      </c>
      <c r="B1567" s="947">
        <v>2.15</v>
      </c>
      <c r="C1567" s="947">
        <v>2.4500000000000002</v>
      </c>
      <c r="D1567" s="947">
        <v>2.1800000000000002</v>
      </c>
      <c r="E1567" s="60"/>
      <c r="F1567" s="60"/>
      <c r="G1567" s="60"/>
    </row>
    <row r="1568" spans="1:7">
      <c r="A1568" s="948">
        <v>44917</v>
      </c>
      <c r="B1568" s="947">
        <v>2.15</v>
      </c>
      <c r="C1568" s="947">
        <v>2.4500000000000002</v>
      </c>
      <c r="D1568" s="947">
        <v>2.1800000000000002</v>
      </c>
      <c r="E1568" s="60"/>
      <c r="F1568" s="60"/>
      <c r="G1568" s="60"/>
    </row>
    <row r="1569" spans="1:7">
      <c r="A1569" s="948">
        <v>44918</v>
      </c>
      <c r="B1569" s="947">
        <v>2.15</v>
      </c>
      <c r="C1569" s="947">
        <v>2.4500000000000002</v>
      </c>
      <c r="D1569" s="947">
        <v>2.1800000000000002</v>
      </c>
      <c r="E1569" s="60"/>
      <c r="F1569" s="60"/>
      <c r="G1569" s="60"/>
    </row>
    <row r="1570" spans="1:7">
      <c r="A1570" s="948">
        <v>44921</v>
      </c>
      <c r="B1570" s="947">
        <v>2.15</v>
      </c>
      <c r="C1570" s="947">
        <v>2.4500000000000002</v>
      </c>
      <c r="D1570" s="947">
        <v>2.1800000000000002</v>
      </c>
      <c r="E1570" s="60"/>
      <c r="F1570" s="60"/>
      <c r="G1570" s="60"/>
    </row>
    <row r="1571" spans="1:7">
      <c r="A1571" s="948">
        <v>44922</v>
      </c>
      <c r="B1571" s="947">
        <v>2.15</v>
      </c>
      <c r="C1571" s="947">
        <v>2.4500000000000002</v>
      </c>
      <c r="D1571" s="947">
        <v>2.1800000000000002</v>
      </c>
      <c r="E1571" s="60"/>
      <c r="F1571" s="60"/>
      <c r="G1571" s="60"/>
    </row>
    <row r="1572" spans="1:7">
      <c r="A1572" s="948">
        <v>44923</v>
      </c>
      <c r="B1572" s="947">
        <v>2.15</v>
      </c>
      <c r="C1572" s="947">
        <v>2.4500000000000002</v>
      </c>
      <c r="D1572" s="947">
        <v>2.1800000000000002</v>
      </c>
      <c r="E1572" s="60"/>
      <c r="F1572" s="60"/>
      <c r="G1572" s="60"/>
    </row>
    <row r="1573" spans="1:7">
      <c r="A1573" s="948">
        <v>44924</v>
      </c>
      <c r="B1573" s="947">
        <v>2.15</v>
      </c>
      <c r="C1573" s="947">
        <v>2.4500000000000002</v>
      </c>
      <c r="D1573" s="947">
        <v>2.1800000000000002</v>
      </c>
      <c r="E1573" s="60"/>
      <c r="F1573" s="60"/>
      <c r="G1573" s="60"/>
    </row>
    <row r="1574" spans="1:7">
      <c r="A1574" s="948">
        <v>44925</v>
      </c>
      <c r="B1574" s="947">
        <v>2.15</v>
      </c>
      <c r="C1574" s="947">
        <v>2.4500000000000002</v>
      </c>
      <c r="D1574" s="947">
        <v>2.1800000000000002</v>
      </c>
      <c r="E1574" s="60">
        <f>(B1574-$B$1638)/B1574</f>
        <v>9.3023255813953473E-2</v>
      </c>
      <c r="F1574" s="60">
        <f>(C1574-$C$1638)/C1574</f>
        <v>8.1632653061224553E-2</v>
      </c>
      <c r="G1574" s="60">
        <f>(D1574-$D$1638)/D1574</f>
        <v>9.174311926605512E-2</v>
      </c>
    </row>
    <row r="1575" spans="1:7">
      <c r="A1575" s="948">
        <v>44928</v>
      </c>
      <c r="B1575" s="947">
        <v>2.15</v>
      </c>
      <c r="C1575" s="947">
        <v>2.4500000000000002</v>
      </c>
      <c r="D1575" s="947">
        <v>2.1800000000000002</v>
      </c>
    </row>
    <row r="1576" spans="1:7">
      <c r="A1576" s="948">
        <v>44929</v>
      </c>
      <c r="B1576" s="947">
        <v>2.15</v>
      </c>
      <c r="C1576" s="947">
        <v>2.4500000000000002</v>
      </c>
      <c r="D1576" s="947">
        <v>2.1800000000000002</v>
      </c>
    </row>
    <row r="1577" spans="1:7">
      <c r="A1577" s="948">
        <v>44930</v>
      </c>
      <c r="B1577" s="947">
        <v>2.15</v>
      </c>
      <c r="C1577" s="947">
        <v>2.4500000000000002</v>
      </c>
      <c r="D1577" s="947">
        <v>2.1800000000000002</v>
      </c>
    </row>
    <row r="1578" spans="1:7">
      <c r="A1578" s="948">
        <v>44931</v>
      </c>
      <c r="B1578" s="947">
        <v>2.15</v>
      </c>
      <c r="C1578" s="947">
        <v>2.4500000000000002</v>
      </c>
      <c r="D1578" s="947">
        <v>2.1800000000000002</v>
      </c>
    </row>
    <row r="1579" spans="1:7">
      <c r="A1579" s="948">
        <v>44932</v>
      </c>
      <c r="B1579" s="947">
        <v>2.15</v>
      </c>
      <c r="C1579" s="947">
        <v>2.4500000000000002</v>
      </c>
      <c r="D1579" s="947">
        <v>2.1800000000000002</v>
      </c>
    </row>
    <row r="1580" spans="1:7">
      <c r="A1580" s="948">
        <v>44935</v>
      </c>
      <c r="B1580" s="947">
        <v>2.15</v>
      </c>
      <c r="C1580" s="947">
        <v>2.4500000000000002</v>
      </c>
      <c r="D1580" s="947">
        <v>2.1800000000000002</v>
      </c>
    </row>
    <row r="1581" spans="1:7">
      <c r="A1581" s="948">
        <v>44936</v>
      </c>
      <c r="B1581" s="947">
        <v>2.15</v>
      </c>
      <c r="C1581" s="947">
        <v>2.4500000000000002</v>
      </c>
      <c r="D1581" s="947">
        <v>2.1800000000000002</v>
      </c>
    </row>
    <row r="1582" spans="1:7">
      <c r="A1582" s="948">
        <v>44937</v>
      </c>
      <c r="B1582" s="947">
        <v>2.15</v>
      </c>
      <c r="C1582" s="947">
        <v>2.4500000000000002</v>
      </c>
      <c r="D1582" s="947">
        <v>2.1800000000000002</v>
      </c>
    </row>
    <row r="1583" spans="1:7">
      <c r="A1583" s="948">
        <v>44938</v>
      </c>
      <c r="B1583" s="947">
        <v>2.15</v>
      </c>
      <c r="C1583" s="947">
        <v>2.4500000000000002</v>
      </c>
      <c r="D1583" s="947">
        <v>2.1800000000000002</v>
      </c>
    </row>
    <row r="1584" spans="1:7">
      <c r="A1584" s="948">
        <v>44939</v>
      </c>
      <c r="B1584" s="947">
        <v>2.15</v>
      </c>
      <c r="C1584" s="947">
        <v>2.4500000000000002</v>
      </c>
      <c r="D1584" s="947">
        <v>2.1800000000000002</v>
      </c>
    </row>
    <row r="1585" spans="1:4">
      <c r="A1585" s="948">
        <v>44942</v>
      </c>
      <c r="B1585" s="947">
        <v>2.15</v>
      </c>
      <c r="C1585" s="947">
        <v>2.4500000000000002</v>
      </c>
      <c r="D1585" s="947">
        <v>2.1800000000000002</v>
      </c>
    </row>
    <row r="1586" spans="1:4">
      <c r="A1586" s="948">
        <v>44943</v>
      </c>
      <c r="B1586" s="947">
        <v>2.15</v>
      </c>
      <c r="C1586" s="947">
        <v>2.4500000000000002</v>
      </c>
      <c r="D1586" s="947">
        <v>2.1800000000000002</v>
      </c>
    </row>
    <row r="1587" spans="1:4">
      <c r="A1587" s="948">
        <v>44944</v>
      </c>
      <c r="B1587" s="947">
        <v>2.15</v>
      </c>
      <c r="C1587" s="947">
        <v>2.4500000000000002</v>
      </c>
      <c r="D1587" s="947">
        <v>2.1800000000000002</v>
      </c>
    </row>
    <row r="1588" spans="1:4">
      <c r="A1588" s="948">
        <v>44945</v>
      </c>
      <c r="B1588" s="947">
        <v>2.15</v>
      </c>
      <c r="C1588" s="947">
        <v>2.4500000000000002</v>
      </c>
      <c r="D1588" s="947">
        <v>2.1800000000000002</v>
      </c>
    </row>
    <row r="1589" spans="1:4">
      <c r="A1589" s="948">
        <v>44946</v>
      </c>
      <c r="B1589" s="947">
        <v>2.15</v>
      </c>
      <c r="C1589" s="947">
        <v>2.4500000000000002</v>
      </c>
      <c r="D1589" s="947">
        <v>2.1800000000000002</v>
      </c>
    </row>
    <row r="1590" spans="1:4">
      <c r="A1590" s="948">
        <v>44949</v>
      </c>
      <c r="B1590" s="947">
        <v>2.15</v>
      </c>
      <c r="C1590" s="947">
        <v>2.4500000000000002</v>
      </c>
      <c r="D1590" s="947">
        <v>2.1800000000000002</v>
      </c>
    </row>
    <row r="1591" spans="1:4">
      <c r="A1591" s="948">
        <v>44950</v>
      </c>
      <c r="B1591" s="947">
        <v>2.15</v>
      </c>
      <c r="C1591" s="947">
        <v>2.4500000000000002</v>
      </c>
      <c r="D1591" s="947">
        <v>2.1800000000000002</v>
      </c>
    </row>
    <row r="1592" spans="1:4">
      <c r="A1592" s="948">
        <v>44951</v>
      </c>
      <c r="B1592" s="947">
        <v>2.15</v>
      </c>
      <c r="C1592" s="947">
        <v>2.4500000000000002</v>
      </c>
      <c r="D1592" s="947">
        <v>2.1800000000000002</v>
      </c>
    </row>
    <row r="1593" spans="1:4">
      <c r="A1593" s="948">
        <v>44952</v>
      </c>
      <c r="B1593" s="947">
        <v>2.15</v>
      </c>
      <c r="C1593" s="947">
        <v>2.4500000000000002</v>
      </c>
      <c r="D1593" s="947">
        <v>2.1800000000000002</v>
      </c>
    </row>
    <row r="1594" spans="1:4">
      <c r="A1594" s="948">
        <v>44953</v>
      </c>
      <c r="B1594" s="947">
        <v>2.15</v>
      </c>
      <c r="C1594" s="947">
        <v>2.4500000000000002</v>
      </c>
      <c r="D1594" s="947">
        <v>2.1800000000000002</v>
      </c>
    </row>
    <row r="1595" spans="1:4">
      <c r="A1595" s="948">
        <v>44954</v>
      </c>
      <c r="B1595" s="947">
        <v>2.15</v>
      </c>
      <c r="C1595" s="947">
        <v>2.4500000000000002</v>
      </c>
      <c r="D1595" s="947">
        <v>2.1800000000000002</v>
      </c>
    </row>
    <row r="1596" spans="1:4">
      <c r="A1596" s="948">
        <v>44955</v>
      </c>
      <c r="B1596" s="947">
        <v>2.15</v>
      </c>
      <c r="C1596" s="947">
        <v>2.4500000000000002</v>
      </c>
      <c r="D1596" s="947">
        <v>2.1800000000000002</v>
      </c>
    </row>
    <row r="1597" spans="1:4">
      <c r="A1597" s="948">
        <v>44956</v>
      </c>
      <c r="B1597" s="947">
        <v>2.15</v>
      </c>
      <c r="C1597" s="947">
        <v>2.4500000000000002</v>
      </c>
      <c r="D1597" s="947">
        <v>2.1800000000000002</v>
      </c>
    </row>
    <row r="1598" spans="1:4">
      <c r="A1598" s="948">
        <v>44957</v>
      </c>
      <c r="B1598" s="947">
        <v>2.15</v>
      </c>
      <c r="C1598" s="947">
        <v>2.4500000000000002</v>
      </c>
      <c r="D1598" s="947">
        <v>2.1800000000000002</v>
      </c>
    </row>
    <row r="1599" spans="1:4">
      <c r="A1599" s="948">
        <v>44958</v>
      </c>
      <c r="B1599" s="947">
        <v>2.15</v>
      </c>
      <c r="C1599" s="947">
        <v>2.4500000000000002</v>
      </c>
      <c r="D1599" s="947">
        <v>2.1800000000000002</v>
      </c>
    </row>
    <row r="1600" spans="1:4">
      <c r="A1600" s="948">
        <v>44959</v>
      </c>
      <c r="B1600" s="947">
        <v>2.15</v>
      </c>
      <c r="C1600" s="947">
        <v>2.4500000000000002</v>
      </c>
      <c r="D1600" s="947">
        <v>2.1800000000000002</v>
      </c>
    </row>
    <row r="1601" spans="1:4">
      <c r="A1601" s="948">
        <v>44960</v>
      </c>
      <c r="B1601" s="947">
        <v>2.15</v>
      </c>
      <c r="C1601" s="947">
        <v>2.4500000000000002</v>
      </c>
      <c r="D1601" s="947">
        <v>2.1800000000000002</v>
      </c>
    </row>
    <row r="1602" spans="1:4">
      <c r="A1602" s="948">
        <v>44963</v>
      </c>
      <c r="B1602" s="947">
        <v>2.15</v>
      </c>
      <c r="C1602" s="947">
        <v>2.4500000000000002</v>
      </c>
      <c r="D1602" s="947">
        <v>2.1800000000000002</v>
      </c>
    </row>
    <row r="1603" spans="1:4">
      <c r="A1603" s="948">
        <v>44964</v>
      </c>
      <c r="B1603" s="947">
        <v>2.15</v>
      </c>
      <c r="C1603" s="947">
        <v>2.4500000000000002</v>
      </c>
      <c r="D1603" s="947">
        <v>2.1800000000000002</v>
      </c>
    </row>
    <row r="1604" spans="1:4">
      <c r="A1604" s="948">
        <v>44965</v>
      </c>
      <c r="B1604" s="947">
        <v>2.15</v>
      </c>
      <c r="C1604" s="947">
        <v>2.4500000000000002</v>
      </c>
      <c r="D1604" s="947">
        <v>2.1800000000000002</v>
      </c>
    </row>
    <row r="1605" spans="1:4">
      <c r="A1605" s="948">
        <v>44966</v>
      </c>
      <c r="B1605" s="947">
        <v>2.15</v>
      </c>
      <c r="C1605" s="947">
        <v>2.4500000000000002</v>
      </c>
      <c r="D1605" s="947">
        <v>2.1800000000000002</v>
      </c>
    </row>
    <row r="1606" spans="1:4">
      <c r="A1606" s="948">
        <v>44967</v>
      </c>
      <c r="B1606" s="947">
        <v>2.15</v>
      </c>
      <c r="C1606" s="947">
        <v>2.4500000000000002</v>
      </c>
      <c r="D1606" s="947">
        <v>2.1800000000000002</v>
      </c>
    </row>
    <row r="1607" spans="1:4">
      <c r="A1607" s="948">
        <v>44970</v>
      </c>
      <c r="B1607" s="947">
        <v>2.15</v>
      </c>
      <c r="C1607" s="947">
        <v>2.4500000000000002</v>
      </c>
      <c r="D1607" s="947">
        <v>2.1800000000000002</v>
      </c>
    </row>
    <row r="1608" spans="1:4">
      <c r="A1608" s="948">
        <v>44971</v>
      </c>
      <c r="B1608" s="947">
        <v>2.15</v>
      </c>
      <c r="C1608" s="947">
        <v>2.4500000000000002</v>
      </c>
      <c r="D1608" s="947">
        <v>2.1800000000000002</v>
      </c>
    </row>
    <row r="1609" spans="1:4">
      <c r="A1609" s="948">
        <v>44972</v>
      </c>
      <c r="B1609" s="947">
        <v>2.15</v>
      </c>
      <c r="C1609" s="947">
        <v>2.4500000000000002</v>
      </c>
      <c r="D1609" s="947">
        <v>2.1800000000000002</v>
      </c>
    </row>
    <row r="1610" spans="1:4">
      <c r="A1610" s="948">
        <v>44973</v>
      </c>
      <c r="B1610" s="947">
        <v>2.15</v>
      </c>
      <c r="C1610" s="947">
        <v>2.4500000000000002</v>
      </c>
      <c r="D1610" s="947">
        <v>2.1800000000000002</v>
      </c>
    </row>
    <row r="1611" spans="1:4">
      <c r="A1611" s="948">
        <v>44974</v>
      </c>
      <c r="B1611" s="947">
        <v>2.15</v>
      </c>
      <c r="C1611" s="947">
        <v>2.4500000000000002</v>
      </c>
      <c r="D1611" s="947">
        <v>2.1800000000000002</v>
      </c>
    </row>
    <row r="1612" spans="1:4">
      <c r="A1612" s="948">
        <v>44977</v>
      </c>
      <c r="B1612" s="947">
        <v>2.15</v>
      </c>
      <c r="C1612" s="947">
        <v>2.4500000000000002</v>
      </c>
      <c r="D1612" s="947">
        <v>2.1800000000000002</v>
      </c>
    </row>
    <row r="1613" spans="1:4">
      <c r="A1613" s="948">
        <v>44978</v>
      </c>
      <c r="B1613" s="947">
        <v>2.15</v>
      </c>
      <c r="C1613" s="947">
        <v>2.4500000000000002</v>
      </c>
      <c r="D1613" s="947">
        <v>2.1800000000000002</v>
      </c>
    </row>
    <row r="1614" spans="1:4">
      <c r="A1614" s="948">
        <v>44979</v>
      </c>
      <c r="B1614" s="947">
        <v>2.15</v>
      </c>
      <c r="C1614" s="947">
        <v>2.4500000000000002</v>
      </c>
      <c r="D1614" s="947">
        <v>2.1800000000000002</v>
      </c>
    </row>
    <row r="1615" spans="1:4">
      <c r="A1615" s="948">
        <v>44980</v>
      </c>
      <c r="B1615" s="947">
        <v>2.0499999999999998</v>
      </c>
      <c r="C1615" s="947">
        <v>2.35</v>
      </c>
      <c r="D1615" s="947">
        <v>2.0699999999999998</v>
      </c>
    </row>
    <row r="1616" spans="1:4">
      <c r="A1616" s="948">
        <v>44981</v>
      </c>
      <c r="B1616" s="947">
        <v>2.0499999999999998</v>
      </c>
      <c r="C1616" s="947">
        <v>2.35</v>
      </c>
      <c r="D1616" s="947">
        <v>2.0699999999999998</v>
      </c>
    </row>
    <row r="1617" spans="1:4">
      <c r="A1617" s="948">
        <v>44984</v>
      </c>
      <c r="B1617" s="947">
        <v>2.0499999999999998</v>
      </c>
      <c r="C1617" s="947">
        <v>2.35</v>
      </c>
      <c r="D1617" s="947">
        <v>2.0699999999999998</v>
      </c>
    </row>
    <row r="1618" spans="1:4">
      <c r="A1618" s="948">
        <v>44985</v>
      </c>
      <c r="B1618" s="947">
        <v>2.0499999999999998</v>
      </c>
      <c r="C1618" s="947">
        <v>2.35</v>
      </c>
      <c r="D1618" s="947">
        <v>2.0699999999999998</v>
      </c>
    </row>
    <row r="1619" spans="1:4">
      <c r="A1619" s="948">
        <v>44986</v>
      </c>
      <c r="B1619" s="947">
        <v>2.0499999999999998</v>
      </c>
      <c r="C1619" s="947">
        <v>2.35</v>
      </c>
      <c r="D1619" s="947">
        <v>2.0699999999999998</v>
      </c>
    </row>
    <row r="1620" spans="1:4">
      <c r="A1620" s="948">
        <v>44987</v>
      </c>
      <c r="B1620" s="947">
        <v>2.0499999999999998</v>
      </c>
      <c r="C1620" s="947">
        <v>2.35</v>
      </c>
      <c r="D1620" s="947">
        <v>2.0699999999999998</v>
      </c>
    </row>
    <row r="1621" spans="1:4">
      <c r="A1621" s="948">
        <v>44988</v>
      </c>
      <c r="B1621" s="947">
        <v>2.0499999999999998</v>
      </c>
      <c r="C1621" s="947">
        <v>2.35</v>
      </c>
      <c r="D1621" s="947">
        <v>2.0699999999999998</v>
      </c>
    </row>
    <row r="1622" spans="1:4">
      <c r="A1622" s="948">
        <v>44991</v>
      </c>
      <c r="B1622" s="947">
        <v>2.0499999999999998</v>
      </c>
      <c r="C1622" s="947">
        <v>2.35</v>
      </c>
      <c r="D1622" s="947">
        <v>2.0699999999999998</v>
      </c>
    </row>
    <row r="1623" spans="1:4">
      <c r="A1623" s="948">
        <v>44992</v>
      </c>
      <c r="B1623" s="947">
        <v>2.0499999999999998</v>
      </c>
      <c r="C1623" s="947">
        <v>2.35</v>
      </c>
      <c r="D1623" s="947">
        <v>2.0699999999999998</v>
      </c>
    </row>
    <row r="1624" spans="1:4">
      <c r="A1624" s="948">
        <v>44993</v>
      </c>
      <c r="B1624" s="947">
        <v>2.0499999999999998</v>
      </c>
      <c r="C1624" s="947">
        <v>2.35</v>
      </c>
      <c r="D1624" s="947">
        <v>2.0699999999999998</v>
      </c>
    </row>
    <row r="1625" spans="1:4">
      <c r="A1625" s="948">
        <v>44994</v>
      </c>
      <c r="B1625" s="947">
        <v>2.0499999999999998</v>
      </c>
      <c r="C1625" s="947">
        <v>2.35</v>
      </c>
      <c r="D1625" s="947">
        <v>2.0699999999999998</v>
      </c>
    </row>
    <row r="1626" spans="1:4">
      <c r="A1626" s="948">
        <v>44995</v>
      </c>
      <c r="B1626" s="947">
        <v>2.0499999999999998</v>
      </c>
      <c r="C1626" s="947">
        <v>2.35</v>
      </c>
      <c r="D1626" s="947">
        <v>2.0699999999999998</v>
      </c>
    </row>
    <row r="1627" spans="1:4">
      <c r="A1627" s="948">
        <v>44998</v>
      </c>
      <c r="B1627" s="947">
        <v>2.0499999999999998</v>
      </c>
      <c r="C1627" s="947">
        <v>2.35</v>
      </c>
      <c r="D1627" s="947">
        <v>2.0699999999999998</v>
      </c>
    </row>
    <row r="1628" spans="1:4">
      <c r="A1628" s="948">
        <v>44999</v>
      </c>
      <c r="B1628" s="947">
        <v>2.0499999999999998</v>
      </c>
      <c r="C1628" s="947">
        <v>2.35</v>
      </c>
      <c r="D1628" s="947">
        <v>2.0699999999999998</v>
      </c>
    </row>
    <row r="1629" spans="1:4">
      <c r="A1629" s="948">
        <v>45000</v>
      </c>
      <c r="B1629" s="947">
        <v>2.0499999999999998</v>
      </c>
      <c r="C1629" s="947">
        <v>2.35</v>
      </c>
      <c r="D1629" s="947">
        <v>2.0699999999999998</v>
      </c>
    </row>
    <row r="1630" spans="1:4">
      <c r="A1630" s="948">
        <v>45001</v>
      </c>
      <c r="B1630" s="947">
        <v>2.0499999999999998</v>
      </c>
      <c r="C1630" s="947">
        <v>2.35</v>
      </c>
      <c r="D1630" s="947">
        <v>2.0699999999999998</v>
      </c>
    </row>
    <row r="1631" spans="1:4">
      <c r="A1631" s="948">
        <v>45002</v>
      </c>
      <c r="B1631" s="947">
        <v>2.0499999999999998</v>
      </c>
      <c r="C1631" s="947">
        <v>2.35</v>
      </c>
      <c r="D1631" s="947">
        <v>2.0699999999999998</v>
      </c>
    </row>
    <row r="1632" spans="1:4">
      <c r="A1632" s="948">
        <v>45005</v>
      </c>
      <c r="B1632" s="947">
        <v>1.95</v>
      </c>
      <c r="C1632" s="947">
        <v>2.25</v>
      </c>
      <c r="D1632" s="947">
        <v>1.98</v>
      </c>
    </row>
    <row r="1633" spans="1:5">
      <c r="A1633" s="948">
        <v>45006</v>
      </c>
      <c r="B1633" s="947">
        <v>1.95</v>
      </c>
      <c r="C1633" s="947">
        <v>2.25</v>
      </c>
      <c r="D1633" s="947">
        <v>1.98</v>
      </c>
    </row>
    <row r="1634" spans="1:5">
      <c r="A1634" s="948">
        <v>45007</v>
      </c>
      <c r="B1634" s="947">
        <v>1.95</v>
      </c>
      <c r="C1634" s="947">
        <v>2.25</v>
      </c>
      <c r="D1634" s="947">
        <v>1.98</v>
      </c>
    </row>
    <row r="1635" spans="1:5">
      <c r="A1635" s="948">
        <v>45008</v>
      </c>
      <c r="B1635" s="947">
        <v>1.95</v>
      </c>
      <c r="C1635" s="947">
        <v>2.25</v>
      </c>
      <c r="D1635" s="947">
        <v>1.98</v>
      </c>
    </row>
    <row r="1636" spans="1:5">
      <c r="A1636" s="948">
        <v>45009</v>
      </c>
      <c r="B1636" s="947">
        <v>1.95</v>
      </c>
      <c r="C1636" s="947">
        <v>2.25</v>
      </c>
      <c r="D1636" s="947">
        <v>1.98</v>
      </c>
    </row>
    <row r="1637" spans="1:5">
      <c r="A1637" s="948">
        <v>45012</v>
      </c>
      <c r="B1637" s="947">
        <v>1.95</v>
      </c>
      <c r="C1637" s="947">
        <v>2.25</v>
      </c>
      <c r="D1637" s="947">
        <v>1.98</v>
      </c>
    </row>
    <row r="1638" spans="1:5">
      <c r="A1638" s="948">
        <v>45013</v>
      </c>
      <c r="B1638" s="947">
        <v>1.95</v>
      </c>
      <c r="C1638" s="947">
        <v>2.25</v>
      </c>
      <c r="D1638" s="947">
        <v>1.98</v>
      </c>
    </row>
    <row r="1639" spans="1:5">
      <c r="A1639" s="947"/>
      <c r="B1639" s="947"/>
      <c r="C1639" s="947"/>
      <c r="D1639" s="947"/>
    </row>
    <row r="1640" spans="1:5" ht="14.5">
      <c r="A1640" s="949" t="s">
        <v>2110</v>
      </c>
      <c r="B1640" s="947"/>
      <c r="C1640" s="947"/>
      <c r="D1640" s="947"/>
    </row>
    <row r="1643" spans="1:5" ht="65">
      <c r="A1643" s="969" t="s">
        <v>2097</v>
      </c>
      <c r="B1643" s="973" t="s">
        <v>2114</v>
      </c>
      <c r="C1643" s="974" t="s">
        <v>2115</v>
      </c>
      <c r="D1643" s="973" t="s">
        <v>2116</v>
      </c>
      <c r="E1643" s="973" t="s">
        <v>2117</v>
      </c>
    </row>
    <row r="1644" spans="1:5">
      <c r="A1644" s="971">
        <v>44995</v>
      </c>
      <c r="B1644" s="972">
        <v>65000</v>
      </c>
      <c r="C1644" s="972">
        <v>65000</v>
      </c>
      <c r="D1644" s="972">
        <v>72000</v>
      </c>
      <c r="E1644" s="972">
        <v>71500</v>
      </c>
    </row>
    <row r="1645" spans="1:5">
      <c r="A1645" s="971">
        <v>44981</v>
      </c>
      <c r="B1645" s="972">
        <v>65000</v>
      </c>
      <c r="C1645" s="972">
        <v>65000</v>
      </c>
      <c r="D1645" s="972">
        <v>72000</v>
      </c>
      <c r="E1645" s="972">
        <v>71500</v>
      </c>
    </row>
    <row r="1646" spans="1:5">
      <c r="A1646" s="971">
        <v>44953</v>
      </c>
      <c r="B1646" s="972">
        <v>65000</v>
      </c>
      <c r="C1646" s="972">
        <v>65000</v>
      </c>
      <c r="D1646" s="972">
        <v>72000</v>
      </c>
      <c r="E1646" s="972">
        <v>71500</v>
      </c>
    </row>
    <row r="1647" spans="1:5">
      <c r="A1647" s="971">
        <v>44925</v>
      </c>
      <c r="B1647" s="972">
        <v>59500</v>
      </c>
      <c r="C1647" s="972">
        <v>59500</v>
      </c>
      <c r="D1647" s="972">
        <v>60500</v>
      </c>
      <c r="E1647" s="972">
        <v>61500</v>
      </c>
    </row>
    <row r="1648" spans="1:5">
      <c r="A1648" s="971">
        <v>44897</v>
      </c>
      <c r="B1648" s="972">
        <v>58500</v>
      </c>
      <c r="C1648" s="972">
        <v>58000</v>
      </c>
      <c r="D1648" s="972">
        <v>60500</v>
      </c>
      <c r="E1648" s="972">
        <v>60250</v>
      </c>
    </row>
    <row r="1649" spans="1:11">
      <c r="A1649" s="971">
        <v>44869</v>
      </c>
      <c r="B1649" s="972">
        <v>58000</v>
      </c>
      <c r="C1649" s="972">
        <v>59500</v>
      </c>
      <c r="D1649" s="972">
        <v>60500</v>
      </c>
      <c r="E1649" s="972">
        <v>60250</v>
      </c>
    </row>
    <row r="1650" spans="1:11">
      <c r="A1650" s="971">
        <v>44834</v>
      </c>
      <c r="B1650" s="972">
        <v>49000</v>
      </c>
      <c r="C1650" s="972">
        <v>47500</v>
      </c>
      <c r="D1650" s="972">
        <v>55500</v>
      </c>
      <c r="E1650" s="972">
        <v>54000</v>
      </c>
    </row>
    <row r="1651" spans="1:11">
      <c r="A1651" s="971">
        <v>44806</v>
      </c>
      <c r="B1651" s="972">
        <v>48000</v>
      </c>
      <c r="C1651" s="972">
        <v>47500</v>
      </c>
      <c r="D1651" s="972">
        <v>55000</v>
      </c>
      <c r="E1651" s="972">
        <v>54000</v>
      </c>
    </row>
    <row r="1652" spans="1:11">
      <c r="A1652" s="971">
        <v>44778</v>
      </c>
      <c r="B1652" s="972">
        <v>48000</v>
      </c>
      <c r="C1652" s="972">
        <v>47500</v>
      </c>
      <c r="D1652" s="972">
        <v>54500</v>
      </c>
      <c r="E1652" s="972">
        <v>54500</v>
      </c>
    </row>
    <row r="1653" spans="1:11">
      <c r="A1653" s="971">
        <v>44743</v>
      </c>
      <c r="B1653" s="972">
        <v>45500</v>
      </c>
      <c r="C1653" s="972">
        <v>45500</v>
      </c>
      <c r="D1653" s="972">
        <v>52000</v>
      </c>
      <c r="E1653" s="972">
        <v>50500</v>
      </c>
    </row>
    <row r="1654" spans="1:11">
      <c r="A1654" s="971">
        <v>44715</v>
      </c>
      <c r="B1654" s="972">
        <v>48000</v>
      </c>
      <c r="C1654" s="972">
        <v>48000</v>
      </c>
      <c r="D1654" s="972">
        <v>51000</v>
      </c>
      <c r="E1654" s="972">
        <v>47500</v>
      </c>
    </row>
    <row r="1655" spans="1:11">
      <c r="A1655" s="971">
        <v>44680</v>
      </c>
      <c r="B1655" s="972">
        <v>51000</v>
      </c>
      <c r="C1655" s="972">
        <v>51000</v>
      </c>
      <c r="D1655" s="972">
        <v>51000</v>
      </c>
      <c r="E1655" s="972">
        <v>47500</v>
      </c>
    </row>
    <row r="1656" spans="1:11" ht="14.25" customHeight="1">
      <c r="A1656" s="971">
        <v>44652</v>
      </c>
      <c r="B1656" s="972">
        <v>45000</v>
      </c>
      <c r="C1656" s="972">
        <v>45000</v>
      </c>
      <c r="D1656" s="972">
        <v>45000</v>
      </c>
      <c r="E1656" s="972">
        <v>44875</v>
      </c>
    </row>
    <row r="1657" spans="1:11" s="82" customFormat="1">
      <c r="A1657"/>
      <c r="B1657"/>
      <c r="C1657"/>
      <c r="D1657"/>
      <c r="E1657"/>
      <c r="F1657"/>
      <c r="G1657"/>
      <c r="H1657"/>
      <c r="I1657"/>
      <c r="J1657"/>
      <c r="K1657"/>
    </row>
    <row r="1658" spans="1:11">
      <c r="A1658" s="514"/>
      <c r="B1658" s="38">
        <v>2016</v>
      </c>
      <c r="C1658" s="38">
        <v>2017</v>
      </c>
      <c r="D1658" s="38">
        <v>2018</v>
      </c>
      <c r="E1658" s="38">
        <v>2019</v>
      </c>
      <c r="F1658" s="38">
        <v>2020</v>
      </c>
      <c r="G1658" s="62">
        <v>2021</v>
      </c>
      <c r="H1658" s="62">
        <v>2022</v>
      </c>
      <c r="I1658" s="515" t="s">
        <v>219</v>
      </c>
      <c r="J1658" s="515" t="s">
        <v>12</v>
      </c>
      <c r="K1658" s="515" t="s">
        <v>13</v>
      </c>
    </row>
    <row r="1659" spans="1:11">
      <c r="A1659" s="320" t="s">
        <v>2118</v>
      </c>
      <c r="B1659" s="31">
        <v>0.252</v>
      </c>
      <c r="C1659" s="31">
        <v>0.23</v>
      </c>
      <c r="D1659" s="31">
        <v>0.23</v>
      </c>
      <c r="E1659" s="31">
        <v>0.21</v>
      </c>
      <c r="F1659" s="31">
        <v>0.26</v>
      </c>
      <c r="G1659" s="82">
        <v>0.29300050813008133</v>
      </c>
      <c r="H1659" s="82">
        <v>0.28481910625346624</v>
      </c>
      <c r="I1659" s="82">
        <v>0.2687054697185281</v>
      </c>
      <c r="J1659" s="82">
        <v>0.30003930759955172</v>
      </c>
      <c r="K1659" s="82">
        <v>0.32654556886937031</v>
      </c>
    </row>
    <row r="1660" spans="1:11">
      <c r="A1660" s="266" t="s">
        <v>2119</v>
      </c>
      <c r="B1660" s="82">
        <v>0.2673750580039741</v>
      </c>
      <c r="C1660" s="82">
        <v>0.2232677299643169</v>
      </c>
      <c r="D1660" s="82">
        <v>0.18950202117208179</v>
      </c>
      <c r="E1660" s="82">
        <v>0.19476579919014489</v>
      </c>
      <c r="F1660" s="82">
        <v>0.23363259055147215</v>
      </c>
      <c r="G1660" s="82">
        <v>0.15407228654093841</v>
      </c>
      <c r="H1660" s="82">
        <v>0.218255167742368</v>
      </c>
      <c r="I1660" s="82">
        <v>0.2083369867081489</v>
      </c>
      <c r="J1660" s="82">
        <v>0.22802820476562766</v>
      </c>
      <c r="K1660" s="82">
        <v>0.23989003995123392</v>
      </c>
    </row>
    <row r="1661" spans="1:11">
      <c r="A1661" t="s">
        <v>2120</v>
      </c>
      <c r="E1661" s="82">
        <v>5.0255012154452302E-3</v>
      </c>
      <c r="F1661" s="82">
        <v>0.16364576136929082</v>
      </c>
      <c r="G1661" s="82">
        <v>0.20563359452863464</v>
      </c>
      <c r="H1661" s="82">
        <v>0.19085857179022905</v>
      </c>
      <c r="I1661" s="82">
        <v>0.22459336237139005</v>
      </c>
      <c r="J1661" s="82">
        <v>0.27318361999493396</v>
      </c>
      <c r="K1661" s="82">
        <v>0.3147002733965179</v>
      </c>
    </row>
    <row r="1662" spans="1:11">
      <c r="A1662" s="82" t="s">
        <v>2121</v>
      </c>
      <c r="B1662" s="82"/>
      <c r="C1662" s="82"/>
      <c r="D1662" s="82">
        <v>-0.97929207801589213</v>
      </c>
      <c r="E1662" s="82">
        <v>-0.25897751091431542</v>
      </c>
      <c r="F1662" s="82">
        <v>3.5385560636004412E-2</v>
      </c>
      <c r="G1662" s="82">
        <v>0.11520428022116605</v>
      </c>
      <c r="H1662" s="82">
        <v>9.4466557623205202E-2</v>
      </c>
      <c r="I1662" s="82">
        <v>0.15902789416617505</v>
      </c>
      <c r="J1662" s="82">
        <v>0.11405897085725301</v>
      </c>
      <c r="K1662" s="82">
        <v>8.3839456039879079E-2</v>
      </c>
    </row>
    <row r="1664" spans="1:11">
      <c r="A1664" s="514"/>
      <c r="B1664" s="320" t="s">
        <v>2118</v>
      </c>
      <c r="C1664" s="266" t="s">
        <v>2119</v>
      </c>
      <c r="D1664" t="s">
        <v>2120</v>
      </c>
      <c r="E1664" s="82" t="s">
        <v>2121</v>
      </c>
      <c r="F1664" t="s">
        <v>2122</v>
      </c>
      <c r="H1664" s="514"/>
      <c r="I1664" t="s">
        <v>2122</v>
      </c>
    </row>
    <row r="1665" spans="1:11">
      <c r="A1665" s="38">
        <v>2019</v>
      </c>
      <c r="B1665" s="31">
        <v>0.21</v>
      </c>
      <c r="C1665" s="82">
        <v>0.19476579919014489</v>
      </c>
      <c r="D1665" s="82">
        <v>5.0255012154452302E-3</v>
      </c>
      <c r="E1665" s="82">
        <v>-0.25897751091431542</v>
      </c>
      <c r="F1665" s="31">
        <f>AVERAGE(B1665:E1665)</f>
        <v>3.7703447372818666E-2</v>
      </c>
      <c r="H1665" s="38">
        <v>2019</v>
      </c>
      <c r="I1665" s="31">
        <v>3.7703447372818666E-2</v>
      </c>
    </row>
    <row r="1666" spans="1:11">
      <c r="A1666" s="38">
        <v>2020</v>
      </c>
      <c r="B1666" s="31">
        <v>0.26</v>
      </c>
      <c r="C1666" s="82">
        <v>0.23363259055147215</v>
      </c>
      <c r="D1666" s="82">
        <v>0.16364576136929082</v>
      </c>
      <c r="E1666" s="82">
        <v>3.5385560636004412E-2</v>
      </c>
      <c r="F1666" s="31">
        <f t="shared" ref="F1666:F1671" si="21">AVERAGE(B1666:E1666)</f>
        <v>0.17316597813919185</v>
      </c>
      <c r="H1666" s="38">
        <v>2020</v>
      </c>
      <c r="I1666" s="31">
        <v>0.17316597813919185</v>
      </c>
    </row>
    <row r="1667" spans="1:11">
      <c r="A1667" s="62">
        <v>2021</v>
      </c>
      <c r="B1667" s="82">
        <v>0.29300050813008133</v>
      </c>
      <c r="C1667" s="82">
        <v>0.15407228654093841</v>
      </c>
      <c r="D1667" s="82">
        <v>0.20563359452863464</v>
      </c>
      <c r="E1667" s="82">
        <v>0.11520428022116605</v>
      </c>
      <c r="F1667" s="31">
        <f t="shared" si="21"/>
        <v>0.19197766735520511</v>
      </c>
      <c r="H1667" s="62">
        <v>2021</v>
      </c>
      <c r="I1667" s="31">
        <v>0.19197766735520511</v>
      </c>
    </row>
    <row r="1668" spans="1:11">
      <c r="A1668" s="62">
        <v>2022</v>
      </c>
      <c r="B1668" s="82">
        <v>0.28481910625346624</v>
      </c>
      <c r="C1668" s="82">
        <v>0.218255167742368</v>
      </c>
      <c r="D1668" s="82">
        <v>0.19085857179022905</v>
      </c>
      <c r="E1668" s="82">
        <v>9.4466557623205202E-2</v>
      </c>
      <c r="F1668" s="31">
        <f t="shared" si="21"/>
        <v>0.19709985085231713</v>
      </c>
      <c r="H1668" s="62">
        <v>2022</v>
      </c>
      <c r="I1668" s="31">
        <v>0.19709985085231713</v>
      </c>
    </row>
    <row r="1669" spans="1:11">
      <c r="A1669" s="515" t="s">
        <v>219</v>
      </c>
      <c r="B1669" s="82">
        <v>0.2687054697185281</v>
      </c>
      <c r="C1669" s="82">
        <v>0.2083369867081489</v>
      </c>
      <c r="D1669" s="82">
        <v>0.22459336237139005</v>
      </c>
      <c r="E1669" s="82">
        <v>0.15902789416617505</v>
      </c>
      <c r="F1669" s="31">
        <f t="shared" si="21"/>
        <v>0.21516592824106051</v>
      </c>
      <c r="H1669" s="515" t="s">
        <v>219</v>
      </c>
      <c r="I1669" s="31">
        <v>0.21516592824106051</v>
      </c>
    </row>
    <row r="1670" spans="1:11">
      <c r="A1670" s="515" t="s">
        <v>12</v>
      </c>
      <c r="B1670" s="82">
        <v>0.30003930759955172</v>
      </c>
      <c r="C1670" s="82">
        <v>0.22802820476562766</v>
      </c>
      <c r="D1670" s="82">
        <v>0.27318361999493396</v>
      </c>
      <c r="E1670" s="82">
        <v>0.11405897085725301</v>
      </c>
      <c r="F1670" s="31">
        <f t="shared" si="21"/>
        <v>0.22882752580434157</v>
      </c>
      <c r="H1670" s="515" t="s">
        <v>12</v>
      </c>
      <c r="I1670" s="31">
        <v>0.22882752580434157</v>
      </c>
    </row>
    <row r="1671" spans="1:11">
      <c r="A1671" s="515" t="s">
        <v>13</v>
      </c>
      <c r="B1671" s="82">
        <v>0.32654556886937031</v>
      </c>
      <c r="C1671" s="82">
        <v>0.23989003995123392</v>
      </c>
      <c r="D1671" s="82">
        <v>0.3147002733965179</v>
      </c>
      <c r="E1671" s="82">
        <v>8.3839456039879079E-2</v>
      </c>
      <c r="F1671" s="31">
        <f t="shared" si="21"/>
        <v>0.24124383456425028</v>
      </c>
      <c r="H1671" s="515" t="s">
        <v>13</v>
      </c>
      <c r="I1671" s="31">
        <v>0.24124383456425028</v>
      </c>
    </row>
    <row r="1676" spans="1:11">
      <c r="B1676" s="75"/>
      <c r="C1676" s="75"/>
      <c r="D1676" s="75"/>
      <c r="E1676" s="75"/>
    </row>
    <row r="1677" spans="1:11">
      <c r="B1677" s="952">
        <v>2016</v>
      </c>
      <c r="C1677" s="952">
        <v>2017</v>
      </c>
      <c r="D1677" s="952">
        <v>2018</v>
      </c>
      <c r="E1677" s="952">
        <v>2019</v>
      </c>
      <c r="F1677" s="918">
        <v>2020</v>
      </c>
      <c r="G1677" s="918">
        <v>2021</v>
      </c>
      <c r="H1677" s="918">
        <v>2022</v>
      </c>
      <c r="I1677" s="918" t="s">
        <v>11</v>
      </c>
      <c r="J1677" s="918" t="s">
        <v>12</v>
      </c>
      <c r="K1677" s="918" t="s">
        <v>13</v>
      </c>
    </row>
    <row r="1678" spans="1:11">
      <c r="A1678" s="39" t="s">
        <v>16</v>
      </c>
      <c r="B1678" s="75">
        <v>76285</v>
      </c>
      <c r="C1678" s="75">
        <v>103181</v>
      </c>
      <c r="D1678" s="75">
        <v>245240</v>
      </c>
      <c r="E1678" s="75">
        <v>367656</v>
      </c>
      <c r="F1678">
        <v>356554</v>
      </c>
      <c r="G1678">
        <v>452042</v>
      </c>
      <c r="H1678">
        <v>503568.37575569644</v>
      </c>
      <c r="I1678">
        <v>528104.08426768088</v>
      </c>
      <c r="J1678">
        <v>609838.03399842978</v>
      </c>
    </row>
    <row r="1679" spans="1:11">
      <c r="A1679" s="39" t="s">
        <v>18</v>
      </c>
      <c r="B1679" s="75">
        <v>0</v>
      </c>
      <c r="C1679" s="75">
        <v>0</v>
      </c>
      <c r="D1679" s="75">
        <v>0</v>
      </c>
      <c r="E1679" s="75">
        <v>0</v>
      </c>
      <c r="F1679">
        <v>146138</v>
      </c>
      <c r="G1679">
        <v>484130</v>
      </c>
      <c r="H1679">
        <v>653670.4877597983</v>
      </c>
      <c r="I1679">
        <v>722193.61951135856</v>
      </c>
      <c r="J1679">
        <v>797480.50599794672</v>
      </c>
    </row>
    <row r="1680" spans="1:11">
      <c r="A1680" s="39" t="s">
        <v>20</v>
      </c>
      <c r="B1680">
        <v>0</v>
      </c>
      <c r="C1680">
        <v>0</v>
      </c>
      <c r="D1680">
        <v>0</v>
      </c>
      <c r="E1680">
        <v>0</v>
      </c>
      <c r="F1680">
        <v>0</v>
      </c>
      <c r="G1680">
        <v>0</v>
      </c>
      <c r="H1680">
        <v>67788.050582497599</v>
      </c>
      <c r="I1680">
        <v>168511.84455265035</v>
      </c>
      <c r="J1680">
        <v>316177.5653191859</v>
      </c>
    </row>
    <row r="1681" spans="1:10">
      <c r="A1681" s="39" t="s">
        <v>22</v>
      </c>
      <c r="B1681">
        <v>0</v>
      </c>
      <c r="C1681">
        <v>0</v>
      </c>
      <c r="D1681">
        <v>0</v>
      </c>
      <c r="E1681">
        <v>0</v>
      </c>
      <c r="F1681">
        <v>0</v>
      </c>
      <c r="G1681">
        <v>0</v>
      </c>
      <c r="H1681">
        <v>67788.050582497599</v>
      </c>
      <c r="I1681">
        <v>202816.04147943985</v>
      </c>
      <c r="J1681">
        <v>223607.2791327576</v>
      </c>
    </row>
    <row r="1704" spans="1:3">
      <c r="A1704" s="947"/>
      <c r="B1704" s="947" t="s">
        <v>2123</v>
      </c>
      <c r="C1704" s="947" t="s">
        <v>2124</v>
      </c>
    </row>
    <row r="1705" spans="1:3">
      <c r="A1705" s="948">
        <v>44440</v>
      </c>
      <c r="B1705" s="947">
        <v>90000</v>
      </c>
      <c r="C1705" s="947">
        <v>52625</v>
      </c>
    </row>
    <row r="1706" spans="1:3">
      <c r="A1706" s="948">
        <v>44441</v>
      </c>
      <c r="B1706" s="947">
        <v>90750</v>
      </c>
      <c r="C1706" s="947">
        <v>52625</v>
      </c>
    </row>
    <row r="1707" spans="1:3">
      <c r="A1707" s="948">
        <v>44442</v>
      </c>
      <c r="B1707" s="947">
        <v>90750</v>
      </c>
      <c r="C1707" s="947">
        <v>52625</v>
      </c>
    </row>
    <row r="1708" spans="1:3">
      <c r="A1708" s="948">
        <v>44445</v>
      </c>
      <c r="B1708" s="947">
        <v>91750</v>
      </c>
      <c r="C1708" s="947">
        <v>52625</v>
      </c>
    </row>
    <row r="1709" spans="1:3">
      <c r="A1709" s="948">
        <v>44446</v>
      </c>
      <c r="B1709" s="947">
        <v>92750</v>
      </c>
      <c r="C1709" s="947">
        <v>52625</v>
      </c>
    </row>
    <row r="1710" spans="1:3">
      <c r="A1710" s="948">
        <v>44447</v>
      </c>
      <c r="B1710" s="947">
        <v>93750</v>
      </c>
      <c r="C1710" s="947">
        <v>52625</v>
      </c>
    </row>
    <row r="1711" spans="1:3">
      <c r="A1711" s="948">
        <v>44448</v>
      </c>
      <c r="B1711" s="947">
        <v>93750</v>
      </c>
      <c r="C1711" s="947">
        <v>52625</v>
      </c>
    </row>
    <row r="1712" spans="1:3">
      <c r="A1712" s="948">
        <v>44449</v>
      </c>
      <c r="B1712" s="947">
        <v>93750</v>
      </c>
      <c r="C1712" s="947">
        <v>52625</v>
      </c>
    </row>
    <row r="1713" spans="1:3">
      <c r="A1713" s="948">
        <v>44452</v>
      </c>
      <c r="B1713" s="947">
        <v>94750</v>
      </c>
      <c r="C1713" s="947">
        <v>52625</v>
      </c>
    </row>
    <row r="1714" spans="1:3">
      <c r="A1714" s="948">
        <v>44453</v>
      </c>
      <c r="B1714" s="947">
        <v>96750</v>
      </c>
      <c r="C1714" s="947">
        <v>52625</v>
      </c>
    </row>
    <row r="1715" spans="1:3">
      <c r="A1715" s="948">
        <v>44454</v>
      </c>
      <c r="B1715" s="947">
        <v>98750</v>
      </c>
      <c r="C1715" s="947">
        <v>52625</v>
      </c>
    </row>
    <row r="1716" spans="1:3">
      <c r="A1716" s="948">
        <v>44455</v>
      </c>
      <c r="B1716" s="947">
        <v>100750</v>
      </c>
      <c r="C1716" s="947">
        <v>52625</v>
      </c>
    </row>
    <row r="1717" spans="1:3">
      <c r="A1717" s="948">
        <v>44456</v>
      </c>
      <c r="B1717" s="947">
        <v>100750</v>
      </c>
      <c r="C1717" s="947">
        <v>52625</v>
      </c>
    </row>
    <row r="1718" spans="1:3">
      <c r="A1718" s="948">
        <v>44461</v>
      </c>
      <c r="B1718" s="947">
        <v>101750</v>
      </c>
      <c r="C1718" s="947">
        <v>52625</v>
      </c>
    </row>
    <row r="1719" spans="1:3">
      <c r="A1719" s="948">
        <v>44462</v>
      </c>
      <c r="B1719" s="947">
        <v>102500</v>
      </c>
      <c r="C1719" s="947">
        <v>52625</v>
      </c>
    </row>
    <row r="1720" spans="1:3">
      <c r="A1720" s="948">
        <v>44463</v>
      </c>
      <c r="B1720" s="947">
        <v>102500</v>
      </c>
      <c r="C1720" s="947">
        <v>52625</v>
      </c>
    </row>
    <row r="1721" spans="1:3">
      <c r="A1721" s="948">
        <v>44466</v>
      </c>
      <c r="B1721" s="947">
        <v>102500</v>
      </c>
      <c r="C1721" s="947">
        <v>52625</v>
      </c>
    </row>
    <row r="1722" spans="1:3">
      <c r="A1722" s="948">
        <v>44467</v>
      </c>
      <c r="B1722" s="947">
        <v>102500</v>
      </c>
      <c r="C1722" s="947">
        <v>52625</v>
      </c>
    </row>
    <row r="1723" spans="1:3">
      <c r="A1723" s="948">
        <v>44468</v>
      </c>
      <c r="B1723" s="947">
        <v>102500</v>
      </c>
      <c r="C1723" s="947">
        <v>52625</v>
      </c>
    </row>
    <row r="1724" spans="1:3">
      <c r="A1724" s="948">
        <v>44469</v>
      </c>
      <c r="B1724" s="947">
        <v>102500</v>
      </c>
      <c r="C1724" s="947">
        <v>52625</v>
      </c>
    </row>
    <row r="1725" spans="1:3">
      <c r="A1725" s="948">
        <v>44477</v>
      </c>
      <c r="B1725" s="947">
        <v>102500</v>
      </c>
      <c r="C1725" s="947">
        <v>53625</v>
      </c>
    </row>
    <row r="1726" spans="1:3">
      <c r="A1726" s="948">
        <v>44480</v>
      </c>
      <c r="B1726" s="947">
        <v>103500</v>
      </c>
      <c r="C1726" s="947">
        <v>53625</v>
      </c>
    </row>
    <row r="1727" spans="1:3">
      <c r="A1727" s="948">
        <v>44481</v>
      </c>
      <c r="B1727" s="947">
        <v>104500</v>
      </c>
      <c r="C1727" s="947">
        <v>53625</v>
      </c>
    </row>
    <row r="1728" spans="1:3">
      <c r="A1728" s="948">
        <v>44482</v>
      </c>
      <c r="B1728" s="947">
        <v>105500</v>
      </c>
      <c r="C1728" s="947">
        <v>53625</v>
      </c>
    </row>
    <row r="1729" spans="1:3">
      <c r="A1729" s="948">
        <v>44483</v>
      </c>
      <c r="B1729" s="947">
        <v>105500</v>
      </c>
      <c r="C1729" s="947">
        <v>53625</v>
      </c>
    </row>
    <row r="1730" spans="1:3">
      <c r="A1730" s="948">
        <v>44484</v>
      </c>
      <c r="B1730" s="947">
        <v>105500</v>
      </c>
      <c r="C1730" s="947">
        <v>53625</v>
      </c>
    </row>
    <row r="1731" spans="1:3">
      <c r="A1731" s="948">
        <v>44487</v>
      </c>
      <c r="B1731" s="947">
        <v>105500</v>
      </c>
      <c r="C1731" s="947">
        <v>52500</v>
      </c>
    </row>
    <row r="1732" spans="1:3">
      <c r="A1732" s="948">
        <v>44488</v>
      </c>
      <c r="B1732" s="947">
        <v>105500</v>
      </c>
      <c r="C1732" s="947">
        <v>52500</v>
      </c>
    </row>
    <row r="1733" spans="1:3">
      <c r="A1733" s="948">
        <v>44489</v>
      </c>
      <c r="B1733" s="947">
        <v>105500</v>
      </c>
      <c r="C1733" s="947">
        <v>52500</v>
      </c>
    </row>
    <row r="1734" spans="1:3">
      <c r="A1734" s="948">
        <v>44490</v>
      </c>
      <c r="B1734" s="947">
        <v>105500</v>
      </c>
      <c r="C1734" s="947">
        <v>52500</v>
      </c>
    </row>
    <row r="1735" spans="1:3">
      <c r="A1735" s="948">
        <v>44491</v>
      </c>
      <c r="B1735" s="947">
        <v>106500</v>
      </c>
      <c r="C1735" s="947">
        <v>52500</v>
      </c>
    </row>
    <row r="1736" spans="1:3">
      <c r="A1736" s="948">
        <v>44494</v>
      </c>
      <c r="B1736" s="947">
        <v>107750</v>
      </c>
      <c r="C1736" s="947">
        <v>52500</v>
      </c>
    </row>
    <row r="1737" spans="1:3">
      <c r="A1737" s="948">
        <v>44495</v>
      </c>
      <c r="B1737" s="947">
        <v>109250</v>
      </c>
      <c r="C1737" s="947">
        <v>52500</v>
      </c>
    </row>
    <row r="1738" spans="1:3">
      <c r="A1738" s="948">
        <v>44496</v>
      </c>
      <c r="B1738" s="947">
        <v>109250</v>
      </c>
      <c r="C1738" s="947">
        <v>52500</v>
      </c>
    </row>
    <row r="1739" spans="1:3">
      <c r="A1739" s="948">
        <v>44497</v>
      </c>
      <c r="B1739" s="947">
        <v>109250</v>
      </c>
      <c r="C1739" s="947">
        <v>52500</v>
      </c>
    </row>
    <row r="1740" spans="1:3">
      <c r="A1740" s="948">
        <v>44498</v>
      </c>
      <c r="B1740" s="947">
        <v>109250</v>
      </c>
      <c r="C1740" s="947">
        <v>52500</v>
      </c>
    </row>
    <row r="1741" spans="1:3">
      <c r="A1741" s="948">
        <v>44501</v>
      </c>
      <c r="B1741" s="947">
        <v>109250</v>
      </c>
      <c r="C1741" s="947">
        <v>52500</v>
      </c>
    </row>
    <row r="1742" spans="1:3">
      <c r="A1742" s="948">
        <v>44502</v>
      </c>
      <c r="B1742" s="947">
        <v>109250</v>
      </c>
      <c r="C1742" s="947">
        <v>52500</v>
      </c>
    </row>
    <row r="1743" spans="1:3">
      <c r="A1743" s="948">
        <v>44503</v>
      </c>
      <c r="B1743" s="947">
        <v>110750</v>
      </c>
      <c r="C1743" s="947">
        <v>52500</v>
      </c>
    </row>
    <row r="1744" spans="1:3">
      <c r="A1744" s="948">
        <v>44504</v>
      </c>
      <c r="B1744" s="947">
        <v>111750</v>
      </c>
      <c r="C1744" s="947">
        <v>52500</v>
      </c>
    </row>
    <row r="1745" spans="1:3">
      <c r="A1745" s="948">
        <v>44505</v>
      </c>
      <c r="B1745" s="947">
        <v>112750</v>
      </c>
      <c r="C1745" s="947">
        <v>52500</v>
      </c>
    </row>
    <row r="1746" spans="1:3">
      <c r="A1746" s="948">
        <v>44508</v>
      </c>
      <c r="B1746" s="947">
        <v>112750</v>
      </c>
      <c r="C1746" s="947">
        <v>52500</v>
      </c>
    </row>
    <row r="1747" spans="1:3">
      <c r="A1747" s="948">
        <v>44509</v>
      </c>
      <c r="B1747" s="947">
        <v>114750</v>
      </c>
      <c r="C1747" s="947">
        <v>52500</v>
      </c>
    </row>
    <row r="1748" spans="1:3">
      <c r="A1748" s="948">
        <v>44510</v>
      </c>
      <c r="B1748" s="947">
        <v>114750</v>
      </c>
      <c r="C1748" s="947">
        <v>52500</v>
      </c>
    </row>
    <row r="1749" spans="1:3">
      <c r="A1749" s="948">
        <v>44511</v>
      </c>
      <c r="B1749" s="947">
        <v>114750</v>
      </c>
      <c r="C1749" s="947">
        <v>52500</v>
      </c>
    </row>
    <row r="1750" spans="1:3">
      <c r="A1750" s="948">
        <v>44512</v>
      </c>
      <c r="B1750" s="947">
        <v>116750</v>
      </c>
      <c r="C1750" s="947">
        <v>52500</v>
      </c>
    </row>
    <row r="1751" spans="1:3">
      <c r="A1751" s="948">
        <v>44515</v>
      </c>
      <c r="B1751" s="947">
        <v>116750</v>
      </c>
      <c r="C1751" s="947">
        <v>52500</v>
      </c>
    </row>
    <row r="1752" spans="1:3">
      <c r="A1752" s="948">
        <v>44516</v>
      </c>
      <c r="B1752" s="947">
        <v>116750</v>
      </c>
      <c r="C1752" s="947">
        <v>52500</v>
      </c>
    </row>
    <row r="1753" spans="1:3">
      <c r="A1753" s="948">
        <v>44517</v>
      </c>
      <c r="B1753" s="947">
        <v>116750</v>
      </c>
      <c r="C1753" s="947">
        <v>52500</v>
      </c>
    </row>
    <row r="1754" spans="1:3">
      <c r="A1754" s="948">
        <v>44518</v>
      </c>
      <c r="B1754" s="947">
        <v>116750</v>
      </c>
      <c r="C1754" s="947">
        <v>52500</v>
      </c>
    </row>
    <row r="1755" spans="1:3">
      <c r="A1755" s="948">
        <v>44519</v>
      </c>
      <c r="B1755" s="947">
        <v>116750</v>
      </c>
      <c r="C1755" s="947">
        <v>52500</v>
      </c>
    </row>
    <row r="1756" spans="1:3">
      <c r="A1756" s="948">
        <v>44522</v>
      </c>
      <c r="B1756" s="947">
        <v>116750</v>
      </c>
      <c r="C1756" s="947">
        <v>52500</v>
      </c>
    </row>
    <row r="1757" spans="1:3">
      <c r="A1757" s="948">
        <v>44523</v>
      </c>
      <c r="B1757" s="947">
        <v>116750</v>
      </c>
      <c r="C1757" s="947">
        <v>52500</v>
      </c>
    </row>
    <row r="1758" spans="1:3">
      <c r="A1758" s="948">
        <v>44524</v>
      </c>
      <c r="B1758" s="947">
        <v>116750</v>
      </c>
      <c r="C1758" s="947">
        <v>52500</v>
      </c>
    </row>
    <row r="1759" spans="1:3">
      <c r="A1759" s="948">
        <v>44525</v>
      </c>
      <c r="B1759" s="947">
        <v>116750</v>
      </c>
      <c r="C1759" s="947">
        <v>52500</v>
      </c>
    </row>
    <row r="1760" spans="1:3">
      <c r="A1760" s="948">
        <v>44526</v>
      </c>
      <c r="B1760" s="947">
        <v>116750</v>
      </c>
      <c r="C1760" s="947">
        <v>52500</v>
      </c>
    </row>
    <row r="1761" spans="1:3">
      <c r="A1761" s="948">
        <v>44529</v>
      </c>
      <c r="B1761" s="947">
        <v>116750</v>
      </c>
      <c r="C1761" s="947">
        <v>52625</v>
      </c>
    </row>
    <row r="1762" spans="1:3">
      <c r="A1762" s="948">
        <v>44530</v>
      </c>
      <c r="B1762" s="947">
        <v>116750</v>
      </c>
      <c r="C1762" s="947">
        <v>52750</v>
      </c>
    </row>
    <row r="1763" spans="1:3">
      <c r="A1763" s="948">
        <v>44531</v>
      </c>
      <c r="B1763" s="947">
        <v>118250</v>
      </c>
      <c r="C1763" s="947">
        <v>53000</v>
      </c>
    </row>
    <row r="1764" spans="1:3">
      <c r="A1764" s="948">
        <v>44532</v>
      </c>
      <c r="B1764" s="947">
        <v>118250</v>
      </c>
      <c r="C1764" s="947">
        <v>53125</v>
      </c>
    </row>
    <row r="1765" spans="1:3">
      <c r="A1765" s="948">
        <v>44533</v>
      </c>
      <c r="B1765" s="947">
        <v>118250</v>
      </c>
      <c r="C1765" s="947">
        <v>53125</v>
      </c>
    </row>
    <row r="1766" spans="1:3">
      <c r="A1766" s="948">
        <v>44536</v>
      </c>
      <c r="B1766" s="947">
        <v>118250</v>
      </c>
      <c r="C1766" s="947">
        <v>53125</v>
      </c>
    </row>
    <row r="1767" spans="1:3">
      <c r="A1767" s="948">
        <v>44537</v>
      </c>
      <c r="B1767" s="947">
        <v>118250</v>
      </c>
      <c r="C1767" s="947">
        <v>53375</v>
      </c>
    </row>
    <row r="1768" spans="1:3">
      <c r="A1768" s="948">
        <v>44538</v>
      </c>
      <c r="B1768" s="947">
        <v>118250</v>
      </c>
      <c r="C1768" s="947">
        <v>53375</v>
      </c>
    </row>
    <row r="1769" spans="1:3">
      <c r="A1769" s="948">
        <v>44539</v>
      </c>
      <c r="B1769" s="947">
        <v>119000</v>
      </c>
      <c r="C1769" s="947">
        <v>53625</v>
      </c>
    </row>
    <row r="1770" spans="1:3">
      <c r="A1770" s="948">
        <v>44540</v>
      </c>
      <c r="B1770" s="947">
        <v>119000</v>
      </c>
      <c r="C1770" s="947">
        <v>53625</v>
      </c>
    </row>
    <row r="1771" spans="1:3">
      <c r="A1771" s="948">
        <v>44543</v>
      </c>
      <c r="B1771" s="947">
        <v>119000</v>
      </c>
      <c r="C1771" s="947">
        <v>53625</v>
      </c>
    </row>
    <row r="1772" spans="1:3">
      <c r="A1772" s="948">
        <v>44544</v>
      </c>
      <c r="B1772" s="947">
        <v>120000</v>
      </c>
      <c r="C1772" s="947">
        <v>54313</v>
      </c>
    </row>
    <row r="1773" spans="1:3">
      <c r="A1773" s="948">
        <v>44545</v>
      </c>
      <c r="B1773" s="947">
        <v>120750</v>
      </c>
      <c r="C1773" s="947">
        <v>54313</v>
      </c>
    </row>
    <row r="1774" spans="1:3">
      <c r="A1774" s="948">
        <v>44546</v>
      </c>
      <c r="B1774" s="947">
        <v>121375</v>
      </c>
      <c r="C1774" s="947">
        <v>54313</v>
      </c>
    </row>
    <row r="1775" spans="1:3">
      <c r="A1775" s="948">
        <v>44547</v>
      </c>
      <c r="B1775" s="947">
        <v>121375</v>
      </c>
      <c r="C1775" s="947">
        <v>54313</v>
      </c>
    </row>
    <row r="1776" spans="1:3">
      <c r="A1776" s="948">
        <v>44550</v>
      </c>
      <c r="B1776" s="947">
        <v>121625</v>
      </c>
      <c r="C1776" s="947">
        <v>54313</v>
      </c>
    </row>
    <row r="1777" spans="1:3">
      <c r="A1777" s="948">
        <v>44551</v>
      </c>
      <c r="B1777" s="947">
        <v>121625</v>
      </c>
      <c r="C1777" s="947">
        <v>54313</v>
      </c>
    </row>
    <row r="1778" spans="1:3">
      <c r="A1778" s="948">
        <v>44552</v>
      </c>
      <c r="B1778" s="947">
        <v>121625</v>
      </c>
      <c r="C1778" s="947">
        <v>54313</v>
      </c>
    </row>
    <row r="1779" spans="1:3">
      <c r="A1779" s="948">
        <v>44553</v>
      </c>
      <c r="B1779" s="947">
        <v>121625</v>
      </c>
      <c r="C1779" s="947">
        <v>54313</v>
      </c>
    </row>
    <row r="1780" spans="1:3">
      <c r="A1780" s="948">
        <v>44554</v>
      </c>
      <c r="B1780" s="947">
        <v>121625</v>
      </c>
      <c r="C1780" s="947">
        <v>54313</v>
      </c>
    </row>
    <row r="1781" spans="1:3">
      <c r="A1781" s="948">
        <v>44557</v>
      </c>
      <c r="B1781" s="947">
        <v>121625</v>
      </c>
      <c r="C1781" s="947">
        <v>54313</v>
      </c>
    </row>
    <row r="1782" spans="1:3">
      <c r="A1782" s="948">
        <v>44558</v>
      </c>
      <c r="B1782" s="947">
        <v>121625</v>
      </c>
      <c r="C1782" s="947">
        <v>54313</v>
      </c>
    </row>
    <row r="1783" spans="1:3">
      <c r="A1783" s="948">
        <v>44559</v>
      </c>
      <c r="B1783" s="947">
        <v>121625</v>
      </c>
      <c r="C1783" s="947">
        <v>54750</v>
      </c>
    </row>
    <row r="1784" spans="1:3">
      <c r="A1784" s="948">
        <v>44560</v>
      </c>
      <c r="B1784" s="947">
        <v>121625</v>
      </c>
      <c r="C1784" s="947">
        <v>54750</v>
      </c>
    </row>
    <row r="1785" spans="1:3">
      <c r="A1785" s="948">
        <v>44561</v>
      </c>
      <c r="B1785" s="947">
        <v>121625</v>
      </c>
      <c r="C1785" s="947">
        <v>54750</v>
      </c>
    </row>
    <row r="1786" spans="1:3">
      <c r="A1786" s="948">
        <v>44565</v>
      </c>
      <c r="B1786" s="947">
        <v>121625</v>
      </c>
      <c r="C1786" s="947">
        <v>54750</v>
      </c>
    </row>
    <row r="1787" spans="1:3">
      <c r="A1787" s="948">
        <v>44566</v>
      </c>
      <c r="B1787" s="947">
        <v>121625</v>
      </c>
      <c r="C1787" s="947">
        <v>54750</v>
      </c>
    </row>
    <row r="1788" spans="1:3">
      <c r="A1788" s="948">
        <v>44567</v>
      </c>
      <c r="B1788" s="947">
        <v>121625</v>
      </c>
      <c r="C1788" s="947">
        <v>54750</v>
      </c>
    </row>
    <row r="1789" spans="1:3">
      <c r="A1789" s="948">
        <v>44568</v>
      </c>
      <c r="B1789" s="947">
        <v>121625</v>
      </c>
      <c r="C1789" s="947">
        <v>54750</v>
      </c>
    </row>
    <row r="1790" spans="1:3">
      <c r="A1790" s="948">
        <v>44571</v>
      </c>
      <c r="B1790" s="947">
        <v>121625</v>
      </c>
      <c r="C1790" s="947">
        <v>54750</v>
      </c>
    </row>
    <row r="1791" spans="1:3">
      <c r="A1791" s="948">
        <v>44572</v>
      </c>
      <c r="B1791" s="947">
        <v>121625</v>
      </c>
      <c r="C1791" s="947">
        <v>54750</v>
      </c>
    </row>
    <row r="1792" spans="1:3">
      <c r="A1792" s="948">
        <v>44573</v>
      </c>
      <c r="B1792" s="947">
        <v>121625</v>
      </c>
      <c r="C1792" s="947">
        <v>54750</v>
      </c>
    </row>
    <row r="1793" spans="1:3">
      <c r="A1793" s="948">
        <v>44574</v>
      </c>
      <c r="B1793" s="947">
        <v>121625</v>
      </c>
      <c r="C1793" s="947">
        <v>55500</v>
      </c>
    </row>
    <row r="1794" spans="1:3">
      <c r="A1794" s="948">
        <v>44575</v>
      </c>
      <c r="B1794" s="947">
        <v>121625</v>
      </c>
      <c r="C1794" s="947">
        <v>55500</v>
      </c>
    </row>
    <row r="1795" spans="1:3">
      <c r="A1795" s="948">
        <v>44578</v>
      </c>
      <c r="B1795" s="947">
        <v>121625</v>
      </c>
      <c r="C1795" s="947">
        <v>55500</v>
      </c>
    </row>
    <row r="1796" spans="1:3">
      <c r="A1796" s="948">
        <v>44579</v>
      </c>
      <c r="B1796" s="947">
        <v>121625</v>
      </c>
      <c r="C1796" s="947">
        <v>55500</v>
      </c>
    </row>
    <row r="1797" spans="1:3">
      <c r="A1797" s="948">
        <v>44580</v>
      </c>
      <c r="B1797" s="947">
        <v>121625</v>
      </c>
      <c r="C1797" s="947">
        <v>55500</v>
      </c>
    </row>
    <row r="1798" spans="1:3">
      <c r="A1798" s="948">
        <v>44581</v>
      </c>
      <c r="B1798" s="947">
        <v>121625</v>
      </c>
      <c r="C1798" s="947">
        <v>55500</v>
      </c>
    </row>
    <row r="1799" spans="1:3">
      <c r="A1799" s="948">
        <v>44582</v>
      </c>
      <c r="B1799" s="947">
        <v>121625</v>
      </c>
      <c r="C1799" s="947">
        <v>56000</v>
      </c>
    </row>
    <row r="1800" spans="1:3">
      <c r="A1800" s="948">
        <v>44585</v>
      </c>
      <c r="B1800" s="947">
        <v>121625</v>
      </c>
      <c r="C1800" s="947">
        <v>56000</v>
      </c>
    </row>
    <row r="1801" spans="1:3">
      <c r="A1801" s="948">
        <v>44586</v>
      </c>
      <c r="B1801" s="947">
        <v>121625</v>
      </c>
      <c r="C1801" s="947">
        <v>56000</v>
      </c>
    </row>
    <row r="1802" spans="1:3">
      <c r="A1802" s="948">
        <v>44587</v>
      </c>
      <c r="B1802" s="947">
        <v>121625</v>
      </c>
      <c r="C1802" s="947">
        <v>56000</v>
      </c>
    </row>
    <row r="1803" spans="1:3">
      <c r="A1803" s="948">
        <v>44588</v>
      </c>
      <c r="B1803" s="947">
        <v>121625</v>
      </c>
      <c r="C1803" s="947">
        <v>56000</v>
      </c>
    </row>
    <row r="1804" spans="1:3">
      <c r="A1804" s="948">
        <v>44589</v>
      </c>
      <c r="B1804" s="947">
        <v>121625</v>
      </c>
      <c r="C1804" s="947">
        <v>56000</v>
      </c>
    </row>
    <row r="1805" spans="1:3">
      <c r="A1805" s="948">
        <v>44599</v>
      </c>
      <c r="B1805" s="947">
        <v>121625</v>
      </c>
      <c r="C1805" s="947">
        <v>56000</v>
      </c>
    </row>
    <row r="1806" spans="1:3">
      <c r="A1806" s="948">
        <v>44600</v>
      </c>
      <c r="B1806" s="947">
        <v>121625</v>
      </c>
      <c r="C1806" s="947">
        <v>56000</v>
      </c>
    </row>
    <row r="1807" spans="1:3">
      <c r="A1807" s="948">
        <v>44601</v>
      </c>
      <c r="B1807" s="947">
        <v>121625</v>
      </c>
      <c r="C1807" s="947">
        <v>56000</v>
      </c>
    </row>
    <row r="1808" spans="1:3">
      <c r="A1808" s="948">
        <v>44602</v>
      </c>
      <c r="B1808" s="947">
        <v>121625</v>
      </c>
      <c r="C1808" s="947">
        <v>56000</v>
      </c>
    </row>
    <row r="1809" spans="1:3">
      <c r="A1809" s="948">
        <v>44603</v>
      </c>
      <c r="B1809" s="947">
        <v>121625</v>
      </c>
      <c r="C1809" s="947">
        <v>56000</v>
      </c>
    </row>
    <row r="1810" spans="1:3">
      <c r="A1810" s="948">
        <v>44606</v>
      </c>
      <c r="B1810" s="947">
        <v>121625</v>
      </c>
      <c r="C1810" s="947">
        <v>56000</v>
      </c>
    </row>
    <row r="1811" spans="1:3">
      <c r="A1811" s="948">
        <v>44607</v>
      </c>
      <c r="B1811" s="947">
        <v>121625</v>
      </c>
      <c r="C1811" s="947">
        <v>56000</v>
      </c>
    </row>
    <row r="1812" spans="1:3">
      <c r="A1812" s="948">
        <v>44608</v>
      </c>
      <c r="B1812" s="947">
        <v>121625</v>
      </c>
      <c r="C1812" s="947">
        <v>56000</v>
      </c>
    </row>
    <row r="1813" spans="1:3">
      <c r="A1813" s="948">
        <v>44609</v>
      </c>
      <c r="B1813" s="947">
        <v>121625</v>
      </c>
      <c r="C1813" s="947">
        <v>56000</v>
      </c>
    </row>
    <row r="1814" spans="1:3">
      <c r="A1814" s="948">
        <v>44610</v>
      </c>
      <c r="B1814" s="947">
        <v>121875</v>
      </c>
      <c r="C1814" s="947">
        <v>56000</v>
      </c>
    </row>
    <row r="1815" spans="1:3">
      <c r="A1815" s="948">
        <v>44613</v>
      </c>
      <c r="B1815" s="947">
        <v>121875</v>
      </c>
      <c r="C1815" s="947">
        <v>56000</v>
      </c>
    </row>
    <row r="1816" spans="1:3">
      <c r="A1816" s="948">
        <v>44614</v>
      </c>
      <c r="B1816" s="947">
        <v>121875</v>
      </c>
      <c r="C1816" s="947">
        <v>56000</v>
      </c>
    </row>
    <row r="1817" spans="1:3">
      <c r="A1817" s="948">
        <v>44615</v>
      </c>
      <c r="B1817" s="947">
        <v>121875</v>
      </c>
      <c r="C1817" s="947">
        <v>56000</v>
      </c>
    </row>
    <row r="1818" spans="1:3">
      <c r="A1818" s="948">
        <v>44616</v>
      </c>
      <c r="B1818" s="947">
        <v>121875</v>
      </c>
      <c r="C1818" s="947">
        <v>56000</v>
      </c>
    </row>
    <row r="1819" spans="1:3">
      <c r="A1819" s="948">
        <v>44617</v>
      </c>
      <c r="B1819" s="947">
        <v>121875</v>
      </c>
      <c r="C1819" s="947">
        <v>57250</v>
      </c>
    </row>
    <row r="1820" spans="1:3">
      <c r="A1820" s="948">
        <v>44620</v>
      </c>
      <c r="B1820" s="947">
        <v>121875</v>
      </c>
      <c r="C1820" s="947">
        <v>57250</v>
      </c>
    </row>
    <row r="1821" spans="1:3">
      <c r="A1821" s="948">
        <v>44621</v>
      </c>
      <c r="B1821" s="947">
        <v>121875</v>
      </c>
      <c r="C1821" s="947">
        <v>57250</v>
      </c>
    </row>
    <row r="1822" spans="1:3">
      <c r="A1822" s="948">
        <v>44622</v>
      </c>
      <c r="B1822" s="947">
        <v>121875</v>
      </c>
      <c r="C1822" s="947">
        <v>57250</v>
      </c>
    </row>
    <row r="1823" spans="1:3">
      <c r="A1823" s="948">
        <v>44623</v>
      </c>
      <c r="B1823" s="947">
        <v>122625</v>
      </c>
      <c r="C1823" s="947">
        <v>57250</v>
      </c>
    </row>
    <row r="1824" spans="1:3">
      <c r="A1824" s="948">
        <v>44624</v>
      </c>
      <c r="B1824" s="947">
        <v>122625</v>
      </c>
      <c r="C1824" s="947">
        <v>57250</v>
      </c>
    </row>
    <row r="1825" spans="1:3">
      <c r="A1825" s="948">
        <v>44627</v>
      </c>
      <c r="B1825" s="947">
        <v>122625</v>
      </c>
      <c r="C1825" s="947">
        <v>57250</v>
      </c>
    </row>
    <row r="1826" spans="1:3">
      <c r="A1826" s="948">
        <v>44628</v>
      </c>
      <c r="B1826" s="947">
        <v>122625</v>
      </c>
      <c r="C1826" s="947">
        <v>57250</v>
      </c>
    </row>
    <row r="1827" spans="1:3">
      <c r="A1827" s="948">
        <v>44629</v>
      </c>
      <c r="B1827" s="947">
        <v>122625</v>
      </c>
      <c r="C1827" s="947">
        <v>57250</v>
      </c>
    </row>
    <row r="1828" spans="1:3">
      <c r="A1828" s="948">
        <v>44630</v>
      </c>
      <c r="B1828" s="947">
        <v>122625</v>
      </c>
      <c r="C1828" s="947">
        <v>57250</v>
      </c>
    </row>
    <row r="1829" spans="1:3">
      <c r="A1829" s="948">
        <v>44631</v>
      </c>
      <c r="B1829" s="947">
        <v>122625</v>
      </c>
      <c r="C1829" s="947">
        <v>57250</v>
      </c>
    </row>
    <row r="1830" spans="1:3">
      <c r="A1830" s="948">
        <v>44634</v>
      </c>
      <c r="B1830" s="947">
        <v>122625</v>
      </c>
      <c r="C1830" s="947">
        <v>57250</v>
      </c>
    </row>
    <row r="1831" spans="1:3">
      <c r="A1831" s="948">
        <v>44635</v>
      </c>
      <c r="B1831" s="947">
        <v>122625</v>
      </c>
      <c r="C1831" s="947">
        <v>57250</v>
      </c>
    </row>
    <row r="1832" spans="1:3">
      <c r="A1832" s="948">
        <v>44636</v>
      </c>
      <c r="B1832" s="947">
        <v>122625</v>
      </c>
      <c r="C1832" s="947">
        <v>57250</v>
      </c>
    </row>
    <row r="1833" spans="1:3">
      <c r="A1833" s="948">
        <v>44637</v>
      </c>
      <c r="B1833" s="947">
        <v>122625</v>
      </c>
      <c r="C1833" s="947">
        <v>57250</v>
      </c>
    </row>
    <row r="1834" spans="1:3">
      <c r="A1834" s="948">
        <v>44638</v>
      </c>
      <c r="B1834" s="947">
        <v>122625</v>
      </c>
      <c r="C1834" s="947">
        <v>57250</v>
      </c>
    </row>
    <row r="1835" spans="1:3">
      <c r="A1835" s="948">
        <v>44641</v>
      </c>
      <c r="B1835" s="947">
        <v>122625</v>
      </c>
      <c r="C1835" s="947">
        <v>57250</v>
      </c>
    </row>
    <row r="1836" spans="1:3">
      <c r="A1836" s="948">
        <v>44642</v>
      </c>
      <c r="B1836" s="947">
        <v>122625</v>
      </c>
      <c r="C1836" s="947">
        <v>57250</v>
      </c>
    </row>
    <row r="1837" spans="1:3">
      <c r="A1837" s="948">
        <v>44643</v>
      </c>
      <c r="B1837" s="947">
        <v>122625</v>
      </c>
      <c r="C1837" s="947">
        <v>57250</v>
      </c>
    </row>
    <row r="1838" spans="1:3">
      <c r="A1838" s="948">
        <v>44644</v>
      </c>
      <c r="B1838" s="947">
        <v>122625</v>
      </c>
      <c r="C1838" s="947">
        <v>57250</v>
      </c>
    </row>
    <row r="1839" spans="1:3">
      <c r="A1839" s="948">
        <v>44645</v>
      </c>
      <c r="B1839" s="947">
        <v>122625</v>
      </c>
      <c r="C1839" s="947">
        <v>57250</v>
      </c>
    </row>
    <row r="1840" spans="1:3">
      <c r="A1840" s="948">
        <v>44648</v>
      </c>
      <c r="B1840" s="947">
        <v>122625</v>
      </c>
      <c r="C1840" s="947">
        <v>57250</v>
      </c>
    </row>
    <row r="1841" spans="1:3">
      <c r="A1841" s="948">
        <v>44649</v>
      </c>
      <c r="B1841" s="947">
        <v>122625</v>
      </c>
      <c r="C1841" s="947">
        <v>57250</v>
      </c>
    </row>
    <row r="1842" spans="1:3">
      <c r="A1842" s="948">
        <v>44650</v>
      </c>
      <c r="B1842" s="947">
        <v>122625</v>
      </c>
      <c r="C1842" s="947">
        <v>58000</v>
      </c>
    </row>
    <row r="1843" spans="1:3">
      <c r="A1843" s="948">
        <v>44651</v>
      </c>
      <c r="B1843" s="947">
        <v>122625</v>
      </c>
      <c r="C1843" s="947">
        <v>58000</v>
      </c>
    </row>
    <row r="1844" spans="1:3">
      <c r="A1844" s="948">
        <v>44652</v>
      </c>
      <c r="B1844" s="947">
        <v>122625</v>
      </c>
      <c r="C1844" s="947">
        <v>58813</v>
      </c>
    </row>
    <row r="1845" spans="1:3">
      <c r="A1845" s="948">
        <v>44657</v>
      </c>
      <c r="B1845" s="947">
        <v>121250</v>
      </c>
      <c r="C1845" s="947">
        <v>58813</v>
      </c>
    </row>
    <row r="1846" spans="1:3">
      <c r="A1846" s="948">
        <v>44658</v>
      </c>
      <c r="B1846" s="947">
        <v>119375</v>
      </c>
      <c r="C1846" s="947">
        <v>58813</v>
      </c>
    </row>
    <row r="1847" spans="1:3">
      <c r="A1847" s="948">
        <v>44659</v>
      </c>
      <c r="B1847" s="947">
        <v>117125</v>
      </c>
      <c r="C1847" s="947">
        <v>58813</v>
      </c>
    </row>
    <row r="1848" spans="1:3">
      <c r="A1848" s="948">
        <v>44662</v>
      </c>
      <c r="B1848" s="947">
        <v>116375</v>
      </c>
      <c r="C1848" s="947">
        <v>59875</v>
      </c>
    </row>
    <row r="1849" spans="1:3">
      <c r="A1849" s="948">
        <v>44663</v>
      </c>
      <c r="B1849" s="947">
        <v>114750</v>
      </c>
      <c r="C1849" s="947">
        <v>59875</v>
      </c>
    </row>
    <row r="1850" spans="1:3">
      <c r="A1850" s="948">
        <v>44664</v>
      </c>
      <c r="B1850" s="947">
        <v>112625</v>
      </c>
      <c r="C1850" s="947">
        <v>59875</v>
      </c>
    </row>
    <row r="1851" spans="1:3">
      <c r="A1851" s="948">
        <v>44665</v>
      </c>
      <c r="B1851" s="947">
        <v>111500</v>
      </c>
      <c r="C1851" s="947">
        <v>59875</v>
      </c>
    </row>
    <row r="1852" spans="1:3">
      <c r="A1852" s="948">
        <v>44666</v>
      </c>
      <c r="B1852" s="947">
        <v>110250</v>
      </c>
      <c r="C1852" s="947">
        <v>59875</v>
      </c>
    </row>
    <row r="1853" spans="1:3">
      <c r="A1853" s="948">
        <v>44669</v>
      </c>
      <c r="B1853" s="947">
        <v>110250</v>
      </c>
      <c r="C1853" s="947">
        <v>59875</v>
      </c>
    </row>
    <row r="1854" spans="1:3">
      <c r="A1854" s="948">
        <v>44670</v>
      </c>
      <c r="B1854" s="947">
        <v>110250</v>
      </c>
      <c r="C1854" s="947">
        <v>59875</v>
      </c>
    </row>
    <row r="1855" spans="1:3">
      <c r="A1855" s="948">
        <v>44671</v>
      </c>
      <c r="B1855" s="947">
        <v>110250</v>
      </c>
      <c r="C1855" s="947">
        <v>59875</v>
      </c>
    </row>
    <row r="1856" spans="1:3">
      <c r="A1856" s="948">
        <v>44672</v>
      </c>
      <c r="B1856" s="947">
        <v>108125</v>
      </c>
      <c r="C1856" s="947">
        <v>59875</v>
      </c>
    </row>
    <row r="1857" spans="1:3">
      <c r="A1857" s="948">
        <v>44673</v>
      </c>
      <c r="B1857" s="947">
        <v>105500</v>
      </c>
      <c r="C1857" s="947">
        <v>59875</v>
      </c>
    </row>
    <row r="1858" spans="1:3">
      <c r="A1858" s="948">
        <v>44676</v>
      </c>
      <c r="B1858" s="947">
        <v>102875</v>
      </c>
      <c r="C1858" s="947">
        <v>59875</v>
      </c>
    </row>
    <row r="1859" spans="1:3">
      <c r="A1859" s="948">
        <v>44677</v>
      </c>
      <c r="B1859" s="947">
        <v>102875</v>
      </c>
      <c r="C1859" s="947">
        <v>59875</v>
      </c>
    </row>
    <row r="1860" spans="1:3">
      <c r="A1860" s="948">
        <v>44678</v>
      </c>
      <c r="B1860" s="947">
        <v>102875</v>
      </c>
      <c r="C1860" s="947">
        <v>59875</v>
      </c>
    </row>
    <row r="1861" spans="1:3">
      <c r="A1861" s="948">
        <v>44679</v>
      </c>
      <c r="B1861" s="947">
        <v>102875</v>
      </c>
      <c r="C1861" s="947">
        <v>59875</v>
      </c>
    </row>
    <row r="1862" spans="1:3">
      <c r="A1862" s="948">
        <v>44680</v>
      </c>
      <c r="B1862" s="947">
        <v>102875</v>
      </c>
      <c r="C1862" s="947">
        <v>60375</v>
      </c>
    </row>
    <row r="1863" spans="1:3">
      <c r="A1863" s="948">
        <v>44686</v>
      </c>
      <c r="B1863" s="947">
        <v>102875</v>
      </c>
      <c r="C1863" s="947">
        <v>60375</v>
      </c>
    </row>
    <row r="1864" spans="1:3">
      <c r="A1864" s="948">
        <v>44687</v>
      </c>
      <c r="B1864" s="947">
        <v>102875</v>
      </c>
      <c r="C1864" s="947">
        <v>60375</v>
      </c>
    </row>
    <row r="1865" spans="1:3">
      <c r="A1865" s="948">
        <v>44690</v>
      </c>
      <c r="B1865" s="947">
        <v>102875</v>
      </c>
      <c r="C1865" s="947">
        <v>60375</v>
      </c>
    </row>
    <row r="1866" spans="1:3">
      <c r="A1866" s="948">
        <v>44691</v>
      </c>
      <c r="B1866" s="947">
        <v>100750</v>
      </c>
      <c r="C1866" s="947">
        <v>60375</v>
      </c>
    </row>
    <row r="1867" spans="1:3">
      <c r="A1867" s="948">
        <v>44692</v>
      </c>
      <c r="B1867" s="947">
        <v>100750</v>
      </c>
      <c r="C1867" s="947">
        <v>60375</v>
      </c>
    </row>
    <row r="1868" spans="1:3">
      <c r="A1868" s="948">
        <v>44693</v>
      </c>
      <c r="B1868" s="947">
        <v>100750</v>
      </c>
      <c r="C1868" s="947">
        <v>60375</v>
      </c>
    </row>
    <row r="1869" spans="1:3">
      <c r="A1869" s="948">
        <v>44694</v>
      </c>
      <c r="B1869" s="947">
        <v>100750</v>
      </c>
      <c r="C1869" s="947">
        <v>60375</v>
      </c>
    </row>
    <row r="1870" spans="1:3">
      <c r="A1870" s="948">
        <v>44697</v>
      </c>
      <c r="B1870" s="947">
        <v>100750</v>
      </c>
      <c r="C1870" s="947">
        <v>60375</v>
      </c>
    </row>
    <row r="1871" spans="1:3">
      <c r="A1871" s="948">
        <v>44698</v>
      </c>
      <c r="B1871" s="947">
        <v>100750</v>
      </c>
      <c r="C1871" s="947">
        <v>60375</v>
      </c>
    </row>
    <row r="1872" spans="1:3">
      <c r="A1872" s="948">
        <v>44699</v>
      </c>
      <c r="B1872" s="947">
        <v>100750</v>
      </c>
      <c r="C1872" s="947">
        <v>60375</v>
      </c>
    </row>
    <row r="1873" spans="1:3">
      <c r="A1873" s="948">
        <v>44700</v>
      </c>
      <c r="B1873" s="947">
        <v>100750</v>
      </c>
      <c r="C1873" s="947">
        <v>60375</v>
      </c>
    </row>
    <row r="1874" spans="1:3">
      <c r="A1874" s="948">
        <v>44701</v>
      </c>
      <c r="B1874" s="947">
        <v>100750</v>
      </c>
      <c r="C1874" s="947">
        <v>60375</v>
      </c>
    </row>
    <row r="1875" spans="1:3">
      <c r="A1875" s="948">
        <v>44704</v>
      </c>
      <c r="B1875" s="947">
        <v>100750</v>
      </c>
      <c r="C1875" s="947">
        <v>60375</v>
      </c>
    </row>
    <row r="1876" spans="1:3">
      <c r="A1876" s="948">
        <v>44705</v>
      </c>
      <c r="B1876" s="947">
        <v>100750</v>
      </c>
      <c r="C1876" s="947">
        <v>60375</v>
      </c>
    </row>
    <row r="1877" spans="1:3">
      <c r="A1877" s="948">
        <v>44706</v>
      </c>
      <c r="B1877" s="947">
        <v>100750</v>
      </c>
      <c r="C1877" s="947">
        <v>60375</v>
      </c>
    </row>
    <row r="1878" spans="1:3">
      <c r="A1878" s="948">
        <v>44707</v>
      </c>
      <c r="B1878" s="947">
        <v>100750</v>
      </c>
      <c r="C1878" s="947">
        <v>60375</v>
      </c>
    </row>
    <row r="1879" spans="1:3">
      <c r="A1879" s="948">
        <v>44708</v>
      </c>
      <c r="B1879" s="947">
        <v>100750</v>
      </c>
      <c r="C1879" s="947">
        <v>60375</v>
      </c>
    </row>
    <row r="1880" spans="1:3">
      <c r="A1880" s="948">
        <v>44711</v>
      </c>
      <c r="B1880" s="947">
        <v>98250</v>
      </c>
      <c r="C1880" s="947">
        <v>60375</v>
      </c>
    </row>
    <row r="1881" spans="1:3">
      <c r="A1881" s="948">
        <v>44712</v>
      </c>
      <c r="B1881" s="947">
        <v>96000</v>
      </c>
      <c r="C1881" s="947">
        <v>60375</v>
      </c>
    </row>
    <row r="1882" spans="1:3">
      <c r="A1882" s="948">
        <v>44713</v>
      </c>
      <c r="B1882" s="947">
        <v>95000</v>
      </c>
      <c r="C1882" s="947">
        <v>60375</v>
      </c>
    </row>
    <row r="1883" spans="1:3">
      <c r="A1883" s="948">
        <v>44714</v>
      </c>
      <c r="B1883" s="947">
        <v>95000</v>
      </c>
      <c r="C1883" s="947">
        <v>60375</v>
      </c>
    </row>
    <row r="1884" spans="1:3">
      <c r="A1884" s="948">
        <v>44718</v>
      </c>
      <c r="B1884" s="947">
        <v>92500</v>
      </c>
      <c r="C1884" s="947">
        <v>60375</v>
      </c>
    </row>
    <row r="1885" spans="1:3">
      <c r="A1885" s="948">
        <v>44719</v>
      </c>
      <c r="B1885" s="947">
        <v>92500</v>
      </c>
      <c r="C1885" s="947">
        <v>60375</v>
      </c>
    </row>
    <row r="1886" spans="1:3">
      <c r="A1886" s="948">
        <v>44720</v>
      </c>
      <c r="B1886" s="947">
        <v>90000</v>
      </c>
      <c r="C1886" s="947">
        <v>60375</v>
      </c>
    </row>
    <row r="1887" spans="1:3">
      <c r="A1887" s="948">
        <v>44721</v>
      </c>
      <c r="B1887" s="947">
        <v>88000</v>
      </c>
      <c r="C1887" s="947">
        <v>60375</v>
      </c>
    </row>
    <row r="1888" spans="1:3">
      <c r="A1888" s="948">
        <v>44722</v>
      </c>
      <c r="B1888" s="947">
        <v>86750</v>
      </c>
      <c r="C1888" s="947">
        <v>60375</v>
      </c>
    </row>
    <row r="1889" spans="1:3">
      <c r="A1889" s="948">
        <v>44725</v>
      </c>
      <c r="B1889" s="947">
        <v>86750</v>
      </c>
      <c r="C1889" s="947">
        <v>60375</v>
      </c>
    </row>
    <row r="1890" spans="1:3">
      <c r="A1890" s="948">
        <v>44726</v>
      </c>
      <c r="B1890" s="947">
        <v>86750</v>
      </c>
      <c r="C1890" s="947">
        <v>60375</v>
      </c>
    </row>
    <row r="1891" spans="1:3">
      <c r="A1891" s="948">
        <v>44727</v>
      </c>
      <c r="B1891" s="947">
        <v>86750</v>
      </c>
      <c r="C1891" s="947">
        <v>60375</v>
      </c>
    </row>
    <row r="1892" spans="1:3">
      <c r="A1892" s="948">
        <v>44728</v>
      </c>
      <c r="B1892" s="947">
        <v>85750</v>
      </c>
      <c r="C1892" s="947">
        <v>60375</v>
      </c>
    </row>
    <row r="1893" spans="1:3">
      <c r="A1893" s="948">
        <v>44729</v>
      </c>
      <c r="B1893" s="947">
        <v>85750</v>
      </c>
      <c r="C1893" s="947">
        <v>60375</v>
      </c>
    </row>
    <row r="1894" spans="1:3">
      <c r="A1894" s="948">
        <v>44732</v>
      </c>
      <c r="B1894" s="947">
        <v>85750</v>
      </c>
      <c r="C1894" s="947">
        <v>60375</v>
      </c>
    </row>
    <row r="1895" spans="1:3">
      <c r="A1895" s="948">
        <v>44733</v>
      </c>
      <c r="B1895" s="947">
        <v>85750</v>
      </c>
      <c r="C1895" s="947">
        <v>60375</v>
      </c>
    </row>
    <row r="1896" spans="1:3">
      <c r="A1896" s="948">
        <v>44734</v>
      </c>
      <c r="B1896" s="947">
        <v>85750</v>
      </c>
      <c r="C1896" s="947">
        <v>60375</v>
      </c>
    </row>
    <row r="1897" spans="1:3">
      <c r="A1897" s="948">
        <v>44735</v>
      </c>
      <c r="B1897" s="947">
        <v>85750</v>
      </c>
      <c r="C1897" s="947">
        <v>60375</v>
      </c>
    </row>
    <row r="1898" spans="1:3">
      <c r="A1898" s="948">
        <v>44736</v>
      </c>
      <c r="B1898" s="947">
        <v>85750</v>
      </c>
      <c r="C1898" s="947">
        <v>60375</v>
      </c>
    </row>
    <row r="1899" spans="1:3">
      <c r="A1899" s="948">
        <v>44739</v>
      </c>
      <c r="B1899" s="947">
        <v>85750</v>
      </c>
      <c r="C1899" s="947">
        <v>60375</v>
      </c>
    </row>
    <row r="1900" spans="1:3">
      <c r="A1900" s="948">
        <v>44740</v>
      </c>
      <c r="B1900" s="947">
        <v>85750</v>
      </c>
      <c r="C1900" s="947">
        <v>60375</v>
      </c>
    </row>
    <row r="1901" spans="1:3">
      <c r="A1901" s="948">
        <v>44741</v>
      </c>
      <c r="B1901" s="947">
        <v>85750</v>
      </c>
      <c r="C1901" s="947">
        <v>60375</v>
      </c>
    </row>
    <row r="1902" spans="1:3">
      <c r="A1902" s="948">
        <v>44742</v>
      </c>
      <c r="B1902" s="947">
        <v>85750</v>
      </c>
      <c r="C1902" s="947">
        <v>60375</v>
      </c>
    </row>
    <row r="1903" spans="1:3">
      <c r="A1903" s="948">
        <v>44743</v>
      </c>
      <c r="B1903" s="947">
        <v>85750</v>
      </c>
      <c r="C1903" s="947">
        <v>60375</v>
      </c>
    </row>
    <row r="1904" spans="1:3">
      <c r="A1904" s="948">
        <v>44746</v>
      </c>
      <c r="B1904" s="947">
        <v>85750</v>
      </c>
      <c r="C1904" s="947">
        <v>60375</v>
      </c>
    </row>
    <row r="1905" spans="1:3">
      <c r="A1905" s="948">
        <v>44747</v>
      </c>
      <c r="B1905" s="947">
        <v>85750</v>
      </c>
      <c r="C1905" s="947">
        <v>60375</v>
      </c>
    </row>
    <row r="1906" spans="1:3">
      <c r="A1906" s="948">
        <v>44748</v>
      </c>
      <c r="B1906" s="947">
        <v>85750</v>
      </c>
      <c r="C1906" s="947">
        <v>60375</v>
      </c>
    </row>
    <row r="1907" spans="1:3">
      <c r="A1907" s="948">
        <v>44749</v>
      </c>
      <c r="B1907" s="947">
        <v>85750</v>
      </c>
      <c r="C1907" s="947">
        <v>60375</v>
      </c>
    </row>
    <row r="1908" spans="1:3">
      <c r="A1908" s="948">
        <v>44750</v>
      </c>
      <c r="B1908" s="947">
        <v>85750</v>
      </c>
      <c r="C1908" s="947">
        <v>60375</v>
      </c>
    </row>
    <row r="1909" spans="1:3">
      <c r="A1909" s="948">
        <v>44753</v>
      </c>
      <c r="B1909" s="947">
        <v>85750</v>
      </c>
      <c r="C1909" s="947">
        <v>60375</v>
      </c>
    </row>
    <row r="1910" spans="1:3">
      <c r="A1910" s="948">
        <v>44754</v>
      </c>
      <c r="B1910" s="947">
        <v>85750</v>
      </c>
      <c r="C1910" s="947">
        <v>60375</v>
      </c>
    </row>
    <row r="1911" spans="1:3">
      <c r="A1911" s="948">
        <v>44755</v>
      </c>
      <c r="B1911" s="947">
        <v>85750</v>
      </c>
      <c r="C1911" s="947">
        <v>60375</v>
      </c>
    </row>
    <row r="1912" spans="1:3">
      <c r="A1912" s="948">
        <v>44756</v>
      </c>
      <c r="B1912" s="947">
        <v>85750</v>
      </c>
      <c r="C1912" s="947">
        <v>60375</v>
      </c>
    </row>
    <row r="1913" spans="1:3">
      <c r="A1913" s="948">
        <v>44757</v>
      </c>
      <c r="B1913" s="947">
        <v>85750</v>
      </c>
      <c r="C1913" s="947">
        <v>60375</v>
      </c>
    </row>
    <row r="1914" spans="1:3">
      <c r="A1914" s="948">
        <v>44760</v>
      </c>
      <c r="B1914" s="947">
        <v>85750</v>
      </c>
      <c r="C1914" s="947">
        <v>60375</v>
      </c>
    </row>
    <row r="1915" spans="1:3">
      <c r="A1915" s="948">
        <v>44761</v>
      </c>
      <c r="B1915" s="947">
        <v>85750</v>
      </c>
      <c r="C1915" s="947">
        <v>60375</v>
      </c>
    </row>
    <row r="1916" spans="1:3">
      <c r="A1916" s="948">
        <v>44762</v>
      </c>
      <c r="B1916" s="947">
        <v>85750</v>
      </c>
      <c r="C1916" s="947">
        <v>60375</v>
      </c>
    </row>
    <row r="1917" spans="1:3">
      <c r="A1917" s="948">
        <v>44763</v>
      </c>
      <c r="B1917" s="947">
        <v>84000</v>
      </c>
      <c r="C1917" s="947">
        <v>60375</v>
      </c>
    </row>
    <row r="1918" spans="1:3">
      <c r="A1918" s="948">
        <v>44764</v>
      </c>
      <c r="B1918" s="947">
        <v>84000</v>
      </c>
      <c r="C1918" s="947">
        <v>60375</v>
      </c>
    </row>
    <row r="1919" spans="1:3">
      <c r="A1919" s="948">
        <v>44767</v>
      </c>
      <c r="B1919" s="947">
        <v>84000</v>
      </c>
      <c r="C1919" s="947">
        <v>60375</v>
      </c>
    </row>
    <row r="1920" spans="1:3">
      <c r="A1920" s="948">
        <v>44768</v>
      </c>
      <c r="B1920" s="947">
        <v>84000</v>
      </c>
      <c r="C1920" s="947">
        <v>60375</v>
      </c>
    </row>
    <row r="1921" spans="1:3">
      <c r="A1921" s="948">
        <v>44769</v>
      </c>
      <c r="B1921" s="947">
        <v>84000</v>
      </c>
      <c r="C1921" s="947">
        <v>60375</v>
      </c>
    </row>
    <row r="1922" spans="1:3">
      <c r="A1922" s="948">
        <v>44770</v>
      </c>
      <c r="B1922" s="947">
        <v>84000</v>
      </c>
      <c r="C1922" s="947">
        <v>60375</v>
      </c>
    </row>
    <row r="1923" spans="1:3">
      <c r="A1923" s="948">
        <v>44771</v>
      </c>
      <c r="B1923" s="947">
        <v>84000</v>
      </c>
      <c r="C1923" s="947">
        <v>60375</v>
      </c>
    </row>
    <row r="1924" spans="1:3">
      <c r="A1924" s="948">
        <v>44774</v>
      </c>
      <c r="B1924" s="947">
        <v>84000</v>
      </c>
      <c r="C1924" s="947">
        <v>60375</v>
      </c>
    </row>
    <row r="1925" spans="1:3">
      <c r="A1925" s="948">
        <v>44775</v>
      </c>
      <c r="B1925" s="947">
        <v>84000</v>
      </c>
      <c r="C1925" s="947">
        <v>60375</v>
      </c>
    </row>
    <row r="1926" spans="1:3">
      <c r="A1926" s="948">
        <v>44776</v>
      </c>
      <c r="B1926" s="947">
        <v>84000</v>
      </c>
      <c r="C1926" s="947">
        <v>60375</v>
      </c>
    </row>
    <row r="1927" spans="1:3">
      <c r="A1927" s="948">
        <v>44777</v>
      </c>
      <c r="B1927" s="947">
        <v>84000</v>
      </c>
      <c r="C1927" s="947">
        <v>60375</v>
      </c>
    </row>
    <row r="1928" spans="1:3">
      <c r="A1928" s="948">
        <v>44778</v>
      </c>
      <c r="B1928" s="947">
        <v>84000</v>
      </c>
      <c r="C1928" s="947">
        <v>60375</v>
      </c>
    </row>
    <row r="1929" spans="1:3">
      <c r="A1929" s="948">
        <v>44781</v>
      </c>
      <c r="B1929" s="947">
        <v>84000</v>
      </c>
      <c r="C1929" s="947">
        <v>60375</v>
      </c>
    </row>
    <row r="1930" spans="1:3">
      <c r="A1930" s="948">
        <v>44782</v>
      </c>
      <c r="B1930" s="947">
        <v>84000</v>
      </c>
      <c r="C1930" s="947">
        <v>60375</v>
      </c>
    </row>
    <row r="1931" spans="1:3">
      <c r="A1931" s="948">
        <v>44783</v>
      </c>
      <c r="B1931" s="947">
        <v>84000</v>
      </c>
      <c r="C1931" s="947">
        <v>60375</v>
      </c>
    </row>
    <row r="1932" spans="1:3">
      <c r="A1932" s="948">
        <v>44784</v>
      </c>
      <c r="B1932" s="947">
        <v>84000</v>
      </c>
      <c r="C1932" s="947">
        <v>60375</v>
      </c>
    </row>
    <row r="1933" spans="1:3">
      <c r="A1933" s="948">
        <v>44785</v>
      </c>
      <c r="B1933" s="947">
        <v>81750</v>
      </c>
      <c r="C1933" s="947">
        <v>60375</v>
      </c>
    </row>
    <row r="1934" spans="1:3">
      <c r="A1934" s="948">
        <v>44788</v>
      </c>
      <c r="B1934" s="947">
        <v>81750</v>
      </c>
      <c r="C1934" s="947">
        <v>60375</v>
      </c>
    </row>
    <row r="1935" spans="1:3">
      <c r="A1935" s="948">
        <v>44789</v>
      </c>
      <c r="B1935" s="947">
        <v>81750</v>
      </c>
      <c r="C1935" s="947">
        <v>60375</v>
      </c>
    </row>
    <row r="1936" spans="1:3">
      <c r="A1936" s="948">
        <v>44790</v>
      </c>
      <c r="B1936" s="947">
        <v>81750</v>
      </c>
      <c r="C1936" s="947">
        <v>60375</v>
      </c>
    </row>
    <row r="1937" spans="1:3">
      <c r="A1937" s="948">
        <v>44791</v>
      </c>
      <c r="B1937" s="947">
        <v>81750</v>
      </c>
      <c r="C1937" s="947">
        <v>60375</v>
      </c>
    </row>
    <row r="1938" spans="1:3">
      <c r="A1938" s="948">
        <v>44792</v>
      </c>
      <c r="B1938" s="947">
        <v>81750</v>
      </c>
      <c r="C1938" s="947">
        <v>60375</v>
      </c>
    </row>
    <row r="1939" spans="1:3">
      <c r="A1939" s="948">
        <v>44795</v>
      </c>
      <c r="B1939" s="947">
        <v>81750</v>
      </c>
      <c r="C1939" s="947">
        <v>60375</v>
      </c>
    </row>
    <row r="1940" spans="1:3">
      <c r="A1940" s="948">
        <v>44796</v>
      </c>
      <c r="B1940" s="947">
        <v>81750</v>
      </c>
      <c r="C1940" s="947">
        <v>60375</v>
      </c>
    </row>
    <row r="1941" spans="1:3">
      <c r="A1941" s="948">
        <v>44797</v>
      </c>
      <c r="B1941" s="947">
        <v>81750</v>
      </c>
      <c r="C1941" s="947">
        <v>60375</v>
      </c>
    </row>
    <row r="1942" spans="1:3">
      <c r="A1942" s="948">
        <v>44798</v>
      </c>
      <c r="B1942" s="947">
        <v>81750</v>
      </c>
      <c r="C1942" s="947">
        <v>60375</v>
      </c>
    </row>
    <row r="1943" spans="1:3">
      <c r="A1943" s="948">
        <v>44799</v>
      </c>
      <c r="B1943" s="947">
        <v>81750</v>
      </c>
      <c r="C1943" s="947">
        <v>60375</v>
      </c>
    </row>
    <row r="1944" spans="1:3">
      <c r="A1944" s="948">
        <v>44802</v>
      </c>
      <c r="B1944" s="947">
        <v>81750</v>
      </c>
      <c r="C1944" s="947">
        <v>60375</v>
      </c>
    </row>
    <row r="1945" spans="1:3">
      <c r="A1945" s="948">
        <v>44803</v>
      </c>
      <c r="B1945" s="947">
        <v>81750</v>
      </c>
      <c r="C1945" s="947">
        <v>60375</v>
      </c>
    </row>
    <row r="1946" spans="1:3">
      <c r="A1946" s="948">
        <v>44804</v>
      </c>
      <c r="B1946" s="947">
        <v>81750</v>
      </c>
      <c r="C1946" s="947">
        <v>60375</v>
      </c>
    </row>
    <row r="1947" spans="1:3">
      <c r="A1947" s="948">
        <v>44805</v>
      </c>
      <c r="B1947" s="947">
        <v>81750</v>
      </c>
      <c r="C1947" s="947">
        <v>60375</v>
      </c>
    </row>
    <row r="1948" spans="1:3">
      <c r="A1948" s="948">
        <v>44806</v>
      </c>
      <c r="B1948" s="947">
        <v>81750</v>
      </c>
      <c r="C1948" s="947">
        <v>60375</v>
      </c>
    </row>
    <row r="1949" spans="1:3">
      <c r="A1949" s="948">
        <v>44809</v>
      </c>
      <c r="B1949" s="947">
        <v>81750</v>
      </c>
      <c r="C1949" s="947">
        <v>60375</v>
      </c>
    </row>
    <row r="1950" spans="1:3">
      <c r="A1950" s="948">
        <v>44810</v>
      </c>
      <c r="B1950" s="947">
        <v>81750</v>
      </c>
      <c r="C1950" s="947">
        <v>60375</v>
      </c>
    </row>
    <row r="1951" spans="1:3">
      <c r="A1951" s="948">
        <v>44811</v>
      </c>
      <c r="B1951" s="947">
        <v>81750</v>
      </c>
      <c r="C1951" s="947">
        <v>60375</v>
      </c>
    </row>
    <row r="1952" spans="1:3">
      <c r="A1952" s="948">
        <v>44812</v>
      </c>
      <c r="B1952" s="947">
        <v>81750</v>
      </c>
      <c r="C1952" s="947">
        <v>60375</v>
      </c>
    </row>
    <row r="1953" spans="1:3">
      <c r="A1953" s="948">
        <v>44813</v>
      </c>
      <c r="B1953" s="947">
        <v>81000</v>
      </c>
      <c r="C1953" s="947">
        <v>60375</v>
      </c>
    </row>
    <row r="1954" spans="1:3">
      <c r="A1954" s="948">
        <v>44817</v>
      </c>
      <c r="B1954" s="947">
        <v>81000</v>
      </c>
      <c r="C1954" s="947">
        <v>60375</v>
      </c>
    </row>
    <row r="1955" spans="1:3">
      <c r="A1955" s="948">
        <v>44818</v>
      </c>
      <c r="B1955" s="947">
        <v>81000</v>
      </c>
      <c r="C1955" s="947">
        <v>60375</v>
      </c>
    </row>
    <row r="1956" spans="1:3">
      <c r="A1956" s="948">
        <v>44819</v>
      </c>
      <c r="B1956" s="947">
        <v>81000</v>
      </c>
      <c r="C1956" s="947">
        <v>60375</v>
      </c>
    </row>
    <row r="1957" spans="1:3">
      <c r="A1957" s="948">
        <v>44820</v>
      </c>
      <c r="B1957" s="947">
        <v>81000</v>
      </c>
      <c r="C1957" s="947">
        <v>60375</v>
      </c>
    </row>
    <row r="1958" spans="1:3">
      <c r="A1958" s="948">
        <v>44823</v>
      </c>
      <c r="B1958" s="947">
        <v>81000</v>
      </c>
      <c r="C1958" s="947">
        <v>60375</v>
      </c>
    </row>
    <row r="1959" spans="1:3">
      <c r="A1959" s="948">
        <v>44824</v>
      </c>
      <c r="B1959" s="947">
        <v>81000</v>
      </c>
      <c r="C1959" s="947">
        <v>60375</v>
      </c>
    </row>
    <row r="1960" spans="1:3">
      <c r="A1960" s="948">
        <v>44825</v>
      </c>
      <c r="B1960" s="947">
        <v>81000</v>
      </c>
      <c r="C1960" s="947">
        <v>60375</v>
      </c>
    </row>
    <row r="1961" spans="1:3">
      <c r="A1961" s="948">
        <v>44826</v>
      </c>
      <c r="B1961" s="947">
        <v>81000</v>
      </c>
      <c r="C1961" s="947">
        <v>60375</v>
      </c>
    </row>
    <row r="1962" spans="1:3">
      <c r="A1962" s="948">
        <v>44827</v>
      </c>
      <c r="B1962" s="947">
        <v>81000</v>
      </c>
      <c r="C1962" s="947">
        <v>60375</v>
      </c>
    </row>
    <row r="1963" spans="1:3">
      <c r="A1963" s="948">
        <v>44830</v>
      </c>
      <c r="B1963" s="947">
        <v>81000</v>
      </c>
      <c r="C1963" s="947">
        <v>60375</v>
      </c>
    </row>
    <row r="1964" spans="1:3">
      <c r="A1964" s="948">
        <v>44831</v>
      </c>
      <c r="B1964" s="947">
        <v>81500</v>
      </c>
      <c r="C1964" s="947">
        <v>60375</v>
      </c>
    </row>
    <row r="1965" spans="1:3">
      <c r="A1965" s="948">
        <v>44832</v>
      </c>
      <c r="B1965" s="947">
        <v>81500</v>
      </c>
      <c r="C1965" s="947">
        <v>60375</v>
      </c>
    </row>
    <row r="1966" spans="1:3">
      <c r="A1966" s="948">
        <v>44833</v>
      </c>
      <c r="B1966" s="947">
        <v>81500</v>
      </c>
      <c r="C1966" s="947">
        <v>60375</v>
      </c>
    </row>
    <row r="1967" spans="1:3">
      <c r="A1967" s="948">
        <v>44834</v>
      </c>
      <c r="B1967" s="947">
        <v>81500</v>
      </c>
      <c r="C1967" s="947">
        <v>60375</v>
      </c>
    </row>
    <row r="1968" spans="1:3">
      <c r="A1968" s="948">
        <v>44844</v>
      </c>
      <c r="B1968" s="947">
        <v>81500</v>
      </c>
      <c r="C1968" s="947">
        <v>60375</v>
      </c>
    </row>
    <row r="1969" spans="1:3">
      <c r="A1969" s="948">
        <v>44845</v>
      </c>
      <c r="B1969" s="947">
        <v>81500</v>
      </c>
      <c r="C1969" s="947">
        <v>60375</v>
      </c>
    </row>
    <row r="1970" spans="1:3">
      <c r="A1970" s="948">
        <v>44846</v>
      </c>
      <c r="B1970" s="947">
        <v>82250</v>
      </c>
      <c r="C1970" s="947">
        <v>60375</v>
      </c>
    </row>
    <row r="1971" spans="1:3">
      <c r="A1971" s="948">
        <v>44847</v>
      </c>
      <c r="B1971" s="947">
        <v>82250</v>
      </c>
      <c r="C1971" s="947">
        <v>60375</v>
      </c>
    </row>
    <row r="1972" spans="1:3">
      <c r="A1972" s="948">
        <v>44848</v>
      </c>
      <c r="B1972" s="947">
        <v>82250</v>
      </c>
      <c r="C1972" s="947">
        <v>60375</v>
      </c>
    </row>
    <row r="1973" spans="1:3">
      <c r="A1973" s="948">
        <v>44851</v>
      </c>
      <c r="B1973" s="947">
        <v>82250</v>
      </c>
      <c r="C1973" s="947">
        <v>60375</v>
      </c>
    </row>
    <row r="1974" spans="1:3">
      <c r="A1974" s="948">
        <v>44852</v>
      </c>
      <c r="B1974" s="947">
        <v>82250</v>
      </c>
      <c r="C1974" s="947">
        <v>60375</v>
      </c>
    </row>
    <row r="1975" spans="1:3">
      <c r="A1975" s="948">
        <v>44853</v>
      </c>
      <c r="B1975" s="947">
        <v>82250</v>
      </c>
      <c r="C1975" s="947">
        <v>60375</v>
      </c>
    </row>
    <row r="1976" spans="1:3">
      <c r="A1976" s="948">
        <v>44854</v>
      </c>
      <c r="B1976" s="947">
        <v>82250</v>
      </c>
      <c r="C1976" s="947">
        <v>60375</v>
      </c>
    </row>
    <row r="1977" spans="1:3">
      <c r="A1977" s="948">
        <v>44855</v>
      </c>
      <c r="B1977" s="947">
        <v>82250</v>
      </c>
      <c r="C1977" s="947">
        <v>60375</v>
      </c>
    </row>
    <row r="1978" spans="1:3">
      <c r="A1978" s="948">
        <v>44858</v>
      </c>
      <c r="B1978" s="947">
        <v>82250</v>
      </c>
      <c r="C1978" s="947">
        <v>60375</v>
      </c>
    </row>
    <row r="1979" spans="1:3">
      <c r="A1979" s="948">
        <v>44859</v>
      </c>
      <c r="B1979" s="947">
        <v>82250</v>
      </c>
      <c r="C1979" s="947">
        <v>60375</v>
      </c>
    </row>
    <row r="1980" spans="1:3">
      <c r="A1980" s="948">
        <v>44860</v>
      </c>
      <c r="B1980" s="947">
        <v>82250</v>
      </c>
      <c r="C1980" s="947">
        <v>60375</v>
      </c>
    </row>
    <row r="1981" spans="1:3">
      <c r="A1981" s="948">
        <v>44861</v>
      </c>
      <c r="B1981" s="947">
        <v>82250</v>
      </c>
      <c r="C1981" s="947">
        <v>60375</v>
      </c>
    </row>
    <row r="1982" spans="1:3">
      <c r="A1982" s="948">
        <v>44862</v>
      </c>
      <c r="B1982" s="947">
        <v>82250</v>
      </c>
      <c r="C1982" s="947">
        <v>60375</v>
      </c>
    </row>
    <row r="1983" spans="1:3">
      <c r="A1983" s="948">
        <v>44865</v>
      </c>
      <c r="B1983" s="947">
        <v>82250</v>
      </c>
      <c r="C1983" s="947">
        <v>60375</v>
      </c>
    </row>
    <row r="1984" spans="1:3">
      <c r="A1984" s="948">
        <v>44866</v>
      </c>
      <c r="B1984" s="947">
        <v>82250</v>
      </c>
      <c r="C1984" s="947">
        <v>60375</v>
      </c>
    </row>
    <row r="1985" spans="1:3">
      <c r="A1985" s="948">
        <v>44867</v>
      </c>
      <c r="B1985" s="947">
        <v>82250</v>
      </c>
      <c r="C1985" s="947">
        <v>60375</v>
      </c>
    </row>
    <row r="1986" spans="1:3">
      <c r="A1986" s="948">
        <v>44868</v>
      </c>
      <c r="B1986" s="947">
        <v>82250</v>
      </c>
      <c r="C1986" s="947">
        <v>60375</v>
      </c>
    </row>
    <row r="1987" spans="1:3">
      <c r="A1987" s="948">
        <v>44869</v>
      </c>
      <c r="B1987" s="947">
        <v>82250</v>
      </c>
      <c r="C1987" s="947">
        <v>60375</v>
      </c>
    </row>
    <row r="1988" spans="1:3">
      <c r="A1988" s="948">
        <v>44872</v>
      </c>
      <c r="B1988" s="947">
        <v>82250</v>
      </c>
      <c r="C1988" s="947">
        <v>60375</v>
      </c>
    </row>
    <row r="1989" spans="1:3">
      <c r="A1989" s="948">
        <v>44873</v>
      </c>
      <c r="B1989" s="947">
        <v>82250</v>
      </c>
      <c r="C1989" s="947">
        <v>60375</v>
      </c>
    </row>
    <row r="1990" spans="1:3">
      <c r="A1990" s="948">
        <v>44874</v>
      </c>
      <c r="B1990" s="947">
        <v>82250</v>
      </c>
      <c r="C1990" s="947">
        <v>60375</v>
      </c>
    </row>
    <row r="1991" spans="1:3">
      <c r="A1991" s="948">
        <v>44875</v>
      </c>
      <c r="B1991" s="947">
        <v>82250</v>
      </c>
      <c r="C1991" s="947">
        <v>60375</v>
      </c>
    </row>
    <row r="1992" spans="1:3">
      <c r="A1992" s="948">
        <v>44876</v>
      </c>
      <c r="B1992" s="947">
        <v>82250</v>
      </c>
      <c r="C1992" s="947">
        <v>60375</v>
      </c>
    </row>
    <row r="1993" spans="1:3">
      <c r="A1993" s="948">
        <v>44879</v>
      </c>
      <c r="B1993" s="947">
        <v>82250</v>
      </c>
      <c r="C1993" s="947">
        <v>60375</v>
      </c>
    </row>
    <row r="1994" spans="1:3">
      <c r="A1994" s="948">
        <v>44880</v>
      </c>
      <c r="B1994" s="947">
        <v>82250</v>
      </c>
      <c r="C1994" s="947">
        <v>60375</v>
      </c>
    </row>
    <row r="1995" spans="1:3">
      <c r="A1995" s="948">
        <v>44881</v>
      </c>
      <c r="B1995" s="947">
        <v>82250</v>
      </c>
      <c r="C1995" s="947">
        <v>60375</v>
      </c>
    </row>
    <row r="1996" spans="1:3">
      <c r="A1996" s="948">
        <v>44882</v>
      </c>
      <c r="B1996" s="947">
        <v>82250</v>
      </c>
      <c r="C1996" s="947">
        <v>60375</v>
      </c>
    </row>
    <row r="1997" spans="1:3">
      <c r="A1997" s="948">
        <v>44883</v>
      </c>
      <c r="B1997" s="947">
        <v>82250</v>
      </c>
      <c r="C1997" s="947">
        <v>60375</v>
      </c>
    </row>
    <row r="1998" spans="1:3">
      <c r="A1998" s="948">
        <v>44886</v>
      </c>
      <c r="B1998" s="947">
        <v>82250</v>
      </c>
      <c r="C1998" s="947">
        <v>60375</v>
      </c>
    </row>
    <row r="1999" spans="1:3">
      <c r="A1999" s="948">
        <v>44887</v>
      </c>
      <c r="B1999" s="947">
        <v>82250</v>
      </c>
      <c r="C1999" s="947">
        <v>60375</v>
      </c>
    </row>
    <row r="2000" spans="1:3">
      <c r="A2000" s="948">
        <v>44888</v>
      </c>
      <c r="B2000" s="947">
        <v>82250</v>
      </c>
      <c r="C2000" s="947">
        <v>60375</v>
      </c>
    </row>
    <row r="2001" spans="1:3">
      <c r="A2001" s="948">
        <v>44889</v>
      </c>
      <c r="B2001" s="947">
        <v>82250</v>
      </c>
      <c r="C2001" s="947">
        <v>60375</v>
      </c>
    </row>
    <row r="2002" spans="1:3">
      <c r="A2002" s="948">
        <v>44890</v>
      </c>
      <c r="B2002" s="947">
        <v>82250</v>
      </c>
      <c r="C2002" s="947">
        <v>60375</v>
      </c>
    </row>
    <row r="2003" spans="1:3">
      <c r="A2003" s="948">
        <v>44893</v>
      </c>
      <c r="B2003" s="947">
        <v>82250</v>
      </c>
      <c r="C2003" s="947">
        <v>60375</v>
      </c>
    </row>
    <row r="2004" spans="1:3">
      <c r="A2004" s="948">
        <v>44894</v>
      </c>
      <c r="B2004" s="947">
        <v>82250</v>
      </c>
      <c r="C2004" s="947">
        <v>60375</v>
      </c>
    </row>
    <row r="2005" spans="1:3">
      <c r="A2005" s="948">
        <v>44895</v>
      </c>
      <c r="B2005" s="947">
        <v>82250</v>
      </c>
      <c r="C2005" s="947">
        <v>60375</v>
      </c>
    </row>
    <row r="2006" spans="1:3">
      <c r="A2006" s="948">
        <v>44896</v>
      </c>
      <c r="B2006" s="947">
        <v>82250</v>
      </c>
      <c r="C2006" s="947">
        <v>60375</v>
      </c>
    </row>
    <row r="2007" spans="1:3">
      <c r="A2007" s="948">
        <v>44897</v>
      </c>
      <c r="B2007" s="947">
        <v>82250</v>
      </c>
      <c r="C2007" s="947">
        <v>60375</v>
      </c>
    </row>
    <row r="2008" spans="1:3">
      <c r="A2008" s="948">
        <v>44900</v>
      </c>
      <c r="B2008" s="947">
        <v>82250</v>
      </c>
      <c r="C2008" s="947">
        <v>60375</v>
      </c>
    </row>
    <row r="2009" spans="1:3">
      <c r="A2009" s="948">
        <v>44901</v>
      </c>
      <c r="B2009" s="947">
        <v>82250</v>
      </c>
      <c r="C2009" s="947">
        <v>60375</v>
      </c>
    </row>
    <row r="2010" spans="1:3">
      <c r="A2010" s="948">
        <v>44902</v>
      </c>
      <c r="B2010" s="947">
        <v>82250</v>
      </c>
      <c r="C2010" s="947">
        <v>60375</v>
      </c>
    </row>
    <row r="2011" spans="1:3">
      <c r="A2011" s="948">
        <v>44903</v>
      </c>
      <c r="B2011" s="947">
        <v>82250</v>
      </c>
      <c r="C2011" s="947">
        <v>60375</v>
      </c>
    </row>
    <row r="2012" spans="1:3">
      <c r="A2012" s="948">
        <v>44904</v>
      </c>
      <c r="B2012" s="947">
        <v>82250</v>
      </c>
      <c r="C2012" s="947">
        <v>60375</v>
      </c>
    </row>
    <row r="2013" spans="1:3">
      <c r="A2013" s="948">
        <v>44907</v>
      </c>
      <c r="B2013" s="947">
        <v>82250</v>
      </c>
      <c r="C2013" s="947">
        <v>60375</v>
      </c>
    </row>
    <row r="2014" spans="1:3">
      <c r="A2014" s="948">
        <v>44908</v>
      </c>
      <c r="B2014" s="947">
        <v>82250</v>
      </c>
      <c r="C2014" s="947">
        <v>60375</v>
      </c>
    </row>
    <row r="2015" spans="1:3">
      <c r="A2015" s="948">
        <v>44909</v>
      </c>
      <c r="B2015" s="947">
        <v>82250</v>
      </c>
      <c r="C2015" s="947">
        <v>60375</v>
      </c>
    </row>
    <row r="2016" spans="1:3">
      <c r="A2016" s="948">
        <v>44910</v>
      </c>
      <c r="B2016" s="947">
        <v>82250</v>
      </c>
      <c r="C2016" s="947">
        <v>60375</v>
      </c>
    </row>
    <row r="2017" spans="1:3">
      <c r="A2017" s="948">
        <v>44911</v>
      </c>
      <c r="B2017" s="947">
        <v>80250</v>
      </c>
      <c r="C2017" s="947">
        <v>60375</v>
      </c>
    </row>
    <row r="2018" spans="1:3">
      <c r="A2018" s="948">
        <v>44914</v>
      </c>
      <c r="B2018" s="947">
        <v>78500</v>
      </c>
      <c r="C2018" s="947">
        <v>60375</v>
      </c>
    </row>
    <row r="2019" spans="1:3">
      <c r="A2019" s="948">
        <v>44915</v>
      </c>
      <c r="B2019" s="947">
        <v>78500</v>
      </c>
      <c r="C2019" s="947">
        <v>60375</v>
      </c>
    </row>
    <row r="2020" spans="1:3">
      <c r="A2020" s="948">
        <v>44916</v>
      </c>
      <c r="B2020" s="947">
        <v>73500</v>
      </c>
      <c r="C2020" s="947">
        <v>60375</v>
      </c>
    </row>
    <row r="2021" spans="1:3">
      <c r="A2021" s="948">
        <v>44917</v>
      </c>
      <c r="B2021" s="947">
        <v>71000</v>
      </c>
      <c r="C2021" s="947">
        <v>60375</v>
      </c>
    </row>
    <row r="2022" spans="1:3">
      <c r="A2022" s="948">
        <v>44918</v>
      </c>
      <c r="B2022" s="947">
        <v>71000</v>
      </c>
      <c r="C2022" s="947">
        <v>60375</v>
      </c>
    </row>
    <row r="2023" spans="1:3">
      <c r="A2023" s="948">
        <v>44921</v>
      </c>
      <c r="B2023" s="947">
        <v>71000</v>
      </c>
      <c r="C2023" s="947">
        <v>60375</v>
      </c>
    </row>
    <row r="2024" spans="1:3">
      <c r="A2024" s="948">
        <v>44922</v>
      </c>
      <c r="B2024" s="947">
        <v>68500</v>
      </c>
      <c r="C2024" s="947">
        <v>59375</v>
      </c>
    </row>
    <row r="2025" spans="1:3">
      <c r="A2025" s="948">
        <v>44923</v>
      </c>
      <c r="B2025" s="947">
        <v>63813</v>
      </c>
      <c r="C2025" s="947">
        <v>58375</v>
      </c>
    </row>
    <row r="2026" spans="1:3">
      <c r="A2026" s="948">
        <v>44924</v>
      </c>
      <c r="B2026" s="947">
        <v>62626</v>
      </c>
      <c r="C2026" s="947">
        <v>58375</v>
      </c>
    </row>
    <row r="2027" spans="1:3">
      <c r="A2027" s="948">
        <v>44925</v>
      </c>
      <c r="B2027" s="947">
        <v>60626</v>
      </c>
      <c r="C2027" s="947">
        <v>58375</v>
      </c>
    </row>
    <row r="2028" spans="1:3">
      <c r="A2028" s="948">
        <v>44929</v>
      </c>
      <c r="B2028" s="947">
        <v>60500</v>
      </c>
      <c r="C2028" s="947">
        <v>58375</v>
      </c>
    </row>
    <row r="2029" spans="1:3">
      <c r="A2029" s="948">
        <v>44930</v>
      </c>
      <c r="B2029" s="947">
        <v>60500</v>
      </c>
      <c r="C2029" s="947">
        <v>58375</v>
      </c>
    </row>
    <row r="2030" spans="1:3">
      <c r="A2030" s="948">
        <v>44931</v>
      </c>
      <c r="B2030" s="947">
        <v>60500</v>
      </c>
      <c r="C2030" s="947">
        <v>58375</v>
      </c>
    </row>
    <row r="2031" spans="1:3">
      <c r="A2031" s="948">
        <v>44932</v>
      </c>
      <c r="B2031" s="947">
        <v>60500</v>
      </c>
      <c r="C2031" s="947">
        <v>58375</v>
      </c>
    </row>
    <row r="2032" spans="1:3">
      <c r="A2032" s="948">
        <v>44935</v>
      </c>
      <c r="B2032" s="947">
        <v>60500</v>
      </c>
      <c r="C2032" s="947">
        <v>58375</v>
      </c>
    </row>
    <row r="2033" spans="1:3">
      <c r="A2033" s="948">
        <v>44936</v>
      </c>
      <c r="B2033" s="947">
        <v>60500</v>
      </c>
      <c r="C2033" s="947">
        <v>53833</v>
      </c>
    </row>
    <row r="2034" spans="1:3">
      <c r="A2034" s="948">
        <v>44937</v>
      </c>
      <c r="B2034" s="947">
        <v>60500</v>
      </c>
      <c r="C2034" s="947">
        <v>53750</v>
      </c>
    </row>
    <row r="2035" spans="1:3">
      <c r="A2035" s="948">
        <v>44938</v>
      </c>
      <c r="B2035" s="947">
        <v>60500</v>
      </c>
      <c r="C2035" s="947">
        <v>53666</v>
      </c>
    </row>
    <row r="2036" spans="1:3">
      <c r="A2036" s="948">
        <v>44939</v>
      </c>
      <c r="B2036" s="947">
        <v>60500</v>
      </c>
      <c r="C2036" s="947">
        <v>53583</v>
      </c>
    </row>
    <row r="2037" spans="1:3">
      <c r="A2037" s="948">
        <v>44942</v>
      </c>
      <c r="B2037" s="947">
        <v>60500</v>
      </c>
      <c r="C2037" s="947">
        <v>53500</v>
      </c>
    </row>
    <row r="2038" spans="1:3">
      <c r="A2038" s="948">
        <v>44943</v>
      </c>
      <c r="B2038" s="947">
        <v>60500</v>
      </c>
      <c r="C2038" s="947">
        <v>53500</v>
      </c>
    </row>
    <row r="2039" spans="1:3">
      <c r="A2039" s="948">
        <v>44944</v>
      </c>
      <c r="B2039" s="947">
        <v>60500</v>
      </c>
      <c r="C2039" s="947">
        <v>53417</v>
      </c>
    </row>
    <row r="2040" spans="1:3">
      <c r="A2040" s="948">
        <v>44945</v>
      </c>
      <c r="B2040" s="947">
        <v>60500</v>
      </c>
      <c r="C2040" s="947">
        <v>53417</v>
      </c>
    </row>
    <row r="2041" spans="1:3">
      <c r="A2041" s="948">
        <v>44946</v>
      </c>
      <c r="B2041" s="947">
        <v>60500</v>
      </c>
      <c r="C2041" s="947">
        <v>53333</v>
      </c>
    </row>
    <row r="2042" spans="1:3">
      <c r="A2042" s="948">
        <v>44954</v>
      </c>
      <c r="B2042" s="947">
        <v>60500</v>
      </c>
      <c r="C2042" s="947">
        <v>53333</v>
      </c>
    </row>
    <row r="2043" spans="1:3">
      <c r="A2043" s="948">
        <v>44955</v>
      </c>
      <c r="B2043" s="947">
        <v>60500</v>
      </c>
      <c r="C2043" s="947">
        <v>53333</v>
      </c>
    </row>
    <row r="2044" spans="1:3">
      <c r="A2044" s="948">
        <v>44956</v>
      </c>
      <c r="B2044" s="947">
        <v>60500</v>
      </c>
      <c r="C2044" s="947">
        <v>53250</v>
      </c>
    </row>
    <row r="2045" spans="1:3">
      <c r="A2045" s="948">
        <v>44957</v>
      </c>
      <c r="B2045" s="947">
        <v>60500</v>
      </c>
      <c r="C2045" s="947">
        <v>53125</v>
      </c>
    </row>
    <row r="2046" spans="1:3">
      <c r="A2046" s="948">
        <v>44958</v>
      </c>
      <c r="B2046" s="947">
        <v>60500</v>
      </c>
      <c r="C2046" s="947">
        <v>53041</v>
      </c>
    </row>
    <row r="2047" spans="1:3">
      <c r="A2047" s="948">
        <v>44959</v>
      </c>
      <c r="B2047" s="947">
        <v>60500</v>
      </c>
      <c r="C2047" s="947">
        <v>52916</v>
      </c>
    </row>
    <row r="2048" spans="1:3">
      <c r="A2048" s="948">
        <v>44960</v>
      </c>
      <c r="B2048" s="947">
        <v>60500</v>
      </c>
      <c r="C2048" s="947">
        <v>52916</v>
      </c>
    </row>
    <row r="2049" spans="1:3">
      <c r="A2049" s="948">
        <v>44963</v>
      </c>
      <c r="B2049" s="947">
        <v>59500</v>
      </c>
      <c r="C2049" s="947">
        <v>52041</v>
      </c>
    </row>
    <row r="2050" spans="1:3">
      <c r="A2050" s="948">
        <v>44964</v>
      </c>
      <c r="B2050" s="947">
        <v>58750</v>
      </c>
      <c r="C2050" s="947">
        <v>50916</v>
      </c>
    </row>
    <row r="2051" spans="1:3">
      <c r="A2051" s="948">
        <v>44965</v>
      </c>
      <c r="B2051" s="947">
        <v>58750</v>
      </c>
      <c r="C2051" s="947">
        <v>50875</v>
      </c>
    </row>
    <row r="2052" spans="1:3">
      <c r="A2052" s="948">
        <v>44966</v>
      </c>
      <c r="B2052" s="947">
        <v>58750</v>
      </c>
      <c r="C2052" s="947">
        <v>50875</v>
      </c>
    </row>
    <row r="2053" spans="1:3">
      <c r="A2053" s="948">
        <v>44967</v>
      </c>
      <c r="B2053" s="947">
        <v>58750</v>
      </c>
      <c r="C2053" s="947">
        <v>50875</v>
      </c>
    </row>
    <row r="2054" spans="1:3">
      <c r="A2054" s="948">
        <v>44970</v>
      </c>
      <c r="B2054" s="947">
        <v>58750</v>
      </c>
      <c r="C2054" s="947">
        <v>50875</v>
      </c>
    </row>
    <row r="2055" spans="1:3">
      <c r="A2055" s="948">
        <v>44971</v>
      </c>
      <c r="B2055" s="947">
        <v>58750</v>
      </c>
      <c r="C2055" s="947">
        <v>50875</v>
      </c>
    </row>
    <row r="2056" spans="1:3">
      <c r="A2056" s="948">
        <v>44972</v>
      </c>
      <c r="B2056" s="947">
        <v>58750</v>
      </c>
      <c r="C2056" s="947">
        <v>50791</v>
      </c>
    </row>
    <row r="2057" spans="1:3">
      <c r="A2057" s="948">
        <v>44973</v>
      </c>
      <c r="B2057" s="947">
        <v>58500</v>
      </c>
      <c r="C2057" s="947">
        <v>50750</v>
      </c>
    </row>
    <row r="2058" spans="1:3">
      <c r="A2058" s="948">
        <v>44974</v>
      </c>
      <c r="B2058" s="947">
        <v>58500</v>
      </c>
      <c r="C2058" s="947">
        <v>50708</v>
      </c>
    </row>
    <row r="2059" spans="1:3">
      <c r="A2059" s="948">
        <v>44977</v>
      </c>
      <c r="B2059" s="947">
        <v>58500</v>
      </c>
      <c r="C2059" s="947">
        <v>50667</v>
      </c>
    </row>
    <row r="2060" spans="1:3">
      <c r="A2060" s="948">
        <v>44978</v>
      </c>
      <c r="B2060" s="947">
        <v>58500</v>
      </c>
      <c r="C2060" s="947">
        <v>50667</v>
      </c>
    </row>
    <row r="2061" spans="1:3">
      <c r="A2061" s="948">
        <v>44979</v>
      </c>
      <c r="B2061" s="947">
        <v>58500</v>
      </c>
      <c r="C2061" s="947">
        <v>50667</v>
      </c>
    </row>
    <row r="2062" spans="1:3">
      <c r="A2062" s="948">
        <v>44980</v>
      </c>
      <c r="B2062" s="947">
        <v>58500</v>
      </c>
      <c r="C2062" s="947">
        <v>50667</v>
      </c>
    </row>
    <row r="2063" spans="1:3">
      <c r="A2063" s="948">
        <v>44981</v>
      </c>
      <c r="B2063" s="947">
        <v>57875</v>
      </c>
      <c r="C2063" s="947">
        <v>50583</v>
      </c>
    </row>
    <row r="2064" spans="1:3">
      <c r="A2064" s="948">
        <v>44984</v>
      </c>
      <c r="B2064" s="947">
        <v>57875</v>
      </c>
      <c r="C2064" s="947">
        <v>50500</v>
      </c>
    </row>
    <row r="2065" spans="1:3">
      <c r="A2065" s="948">
        <v>44985</v>
      </c>
      <c r="B2065" s="947">
        <v>57875</v>
      </c>
      <c r="C2065" s="947">
        <v>50416</v>
      </c>
    </row>
    <row r="2066" spans="1:3">
      <c r="A2066" s="948">
        <v>44986</v>
      </c>
      <c r="B2066" s="947">
        <v>57875</v>
      </c>
      <c r="C2066" s="947">
        <v>50375</v>
      </c>
    </row>
    <row r="2067" spans="1:3">
      <c r="A2067" s="948">
        <v>44987</v>
      </c>
      <c r="B2067" s="947">
        <v>55250</v>
      </c>
      <c r="C2067" s="947">
        <v>48925</v>
      </c>
    </row>
    <row r="2068" spans="1:3">
      <c r="A2068" s="948">
        <v>44988</v>
      </c>
      <c r="B2068" s="947">
        <v>52750</v>
      </c>
      <c r="C2068" s="947">
        <v>48313</v>
      </c>
    </row>
    <row r="2069" spans="1:3">
      <c r="A2069" s="948">
        <v>44991</v>
      </c>
      <c r="B2069" s="947">
        <v>51375</v>
      </c>
      <c r="C2069" s="947">
        <v>47688</v>
      </c>
    </row>
    <row r="2070" spans="1:3">
      <c r="A2070" s="948">
        <v>44992</v>
      </c>
      <c r="B2070" s="947">
        <v>50125</v>
      </c>
      <c r="C2070" s="947">
        <v>47688</v>
      </c>
    </row>
    <row r="2071" spans="1:3">
      <c r="A2071" s="948">
        <v>44993</v>
      </c>
      <c r="B2071" s="947">
        <v>50125</v>
      </c>
      <c r="C2071" s="947">
        <v>50500</v>
      </c>
    </row>
    <row r="2072" spans="1:3">
      <c r="A2072" s="948">
        <v>44994</v>
      </c>
      <c r="B2072" s="947">
        <v>50125</v>
      </c>
      <c r="C2072" s="947">
        <v>50000</v>
      </c>
    </row>
    <row r="2073" spans="1:3">
      <c r="A2073" s="948">
        <v>44995</v>
      </c>
      <c r="B2073" s="947">
        <v>49937</v>
      </c>
      <c r="C2073" s="947">
        <v>50000</v>
      </c>
    </row>
    <row r="2074" spans="1:3">
      <c r="A2074" s="948">
        <v>44998</v>
      </c>
      <c r="B2074" s="947">
        <v>49812</v>
      </c>
      <c r="C2074" s="947">
        <v>50125</v>
      </c>
    </row>
    <row r="2075" spans="1:3">
      <c r="A2075" s="948">
        <v>44999</v>
      </c>
      <c r="B2075" s="947">
        <v>49812</v>
      </c>
      <c r="C2075" s="947">
        <v>50125</v>
      </c>
    </row>
    <row r="2076" spans="1:3">
      <c r="A2076" s="948">
        <v>45000</v>
      </c>
      <c r="B2076" s="947">
        <v>49812</v>
      </c>
      <c r="C2076" s="947">
        <v>50125</v>
      </c>
    </row>
    <row r="2077" spans="1:3">
      <c r="A2077" s="948">
        <v>45001</v>
      </c>
      <c r="B2077" s="947">
        <v>49437</v>
      </c>
      <c r="C2077" s="947">
        <v>50125</v>
      </c>
    </row>
    <row r="2078" spans="1:3">
      <c r="A2078" s="948">
        <v>45002</v>
      </c>
      <c r="B2078" s="947">
        <v>49187</v>
      </c>
      <c r="C2078" s="947">
        <v>50125</v>
      </c>
    </row>
    <row r="2079" spans="1:3">
      <c r="A2079" s="948">
        <v>45005</v>
      </c>
      <c r="B2079" s="947">
        <v>49050</v>
      </c>
      <c r="C2079" s="947">
        <v>50125</v>
      </c>
    </row>
    <row r="2080" spans="1:3">
      <c r="A2080" s="948">
        <v>45006</v>
      </c>
      <c r="B2080" s="947">
        <v>49050</v>
      </c>
      <c r="C2080" s="947">
        <v>50125</v>
      </c>
    </row>
    <row r="2081" spans="1:813">
      <c r="A2081" s="948">
        <v>45007</v>
      </c>
      <c r="B2081" s="947">
        <v>48850</v>
      </c>
      <c r="C2081" s="947">
        <v>49875</v>
      </c>
    </row>
    <row r="2082" spans="1:813">
      <c r="A2082" s="948">
        <v>45008</v>
      </c>
      <c r="B2082" s="947">
        <v>48850</v>
      </c>
      <c r="C2082" s="947">
        <v>49875</v>
      </c>
    </row>
    <row r="2083" spans="1:813">
      <c r="A2083" s="948">
        <v>45009</v>
      </c>
      <c r="B2083" s="947">
        <v>48850</v>
      </c>
      <c r="C2083" s="947">
        <v>49875</v>
      </c>
    </row>
    <row r="2084" spans="1:813">
      <c r="A2084" s="948">
        <v>45012</v>
      </c>
      <c r="B2084" s="947">
        <v>48350</v>
      </c>
      <c r="C2084" s="947">
        <v>49375</v>
      </c>
    </row>
    <row r="2085" spans="1:813">
      <c r="A2085" s="948">
        <v>45013</v>
      </c>
      <c r="B2085" s="947">
        <v>48350</v>
      </c>
      <c r="C2085" s="947">
        <v>49375</v>
      </c>
    </row>
    <row r="2086" spans="1:813">
      <c r="A2086" s="947"/>
      <c r="B2086" s="947"/>
      <c r="C2086" s="947"/>
    </row>
    <row r="2087" spans="1:813" ht="14.5">
      <c r="A2087" s="949" t="s">
        <v>2110</v>
      </c>
      <c r="B2087" s="947"/>
      <c r="C2087" s="947"/>
    </row>
    <row r="2088" spans="1:813">
      <c r="A2088" s="947"/>
      <c r="B2088" s="947"/>
      <c r="C2088" s="947"/>
    </row>
    <row r="2089" spans="1:813" ht="15.5">
      <c r="A2089" s="260"/>
      <c r="B2089" t="s">
        <v>2100</v>
      </c>
      <c r="C2089" s="60" t="s">
        <v>2101</v>
      </c>
      <c r="D2089" s="60" t="s">
        <v>2102</v>
      </c>
      <c r="E2089" t="s">
        <v>2103</v>
      </c>
      <c r="F2089" t="s">
        <v>2104</v>
      </c>
      <c r="AEA2089" s="636">
        <v>44508</v>
      </c>
      <c r="AEB2089" s="635">
        <v>336.77</v>
      </c>
      <c r="AEC2089" s="635">
        <v>24.93</v>
      </c>
    </row>
    <row r="2090" spans="1:813" ht="15.5">
      <c r="A2090" s="38">
        <v>2020</v>
      </c>
      <c r="B2090" s="364">
        <v>0.33142760342177235</v>
      </c>
      <c r="C2090" s="60">
        <v>0.12376401745386809</v>
      </c>
      <c r="D2090" s="60">
        <v>0.15480546291275979</v>
      </c>
      <c r="E2090" s="296">
        <v>0.29118768306386961</v>
      </c>
      <c r="F2090" s="60">
        <f>AVERAGE(B2090:E2090)</f>
        <v>0.22529619171306747</v>
      </c>
      <c r="Q2090" s="260"/>
      <c r="R2090" s="60" t="s">
        <v>2105</v>
      </c>
      <c r="AEA2090" s="636">
        <v>44509</v>
      </c>
      <c r="AEB2090" s="635">
        <v>296.39</v>
      </c>
      <c r="AEC2090" s="635">
        <v>21.94</v>
      </c>
    </row>
    <row r="2091" spans="1:813" ht="15.5">
      <c r="A2091" s="62">
        <v>2021</v>
      </c>
      <c r="B2091" s="364">
        <v>0.33813892876794194</v>
      </c>
      <c r="C2091" s="60">
        <v>0.18000567729415132</v>
      </c>
      <c r="D2091" s="60">
        <v>0.138417543396849</v>
      </c>
      <c r="E2091" s="296">
        <v>0.29929909178229913</v>
      </c>
      <c r="F2091" s="60">
        <f t="shared" ref="F2091:F2095" si="22">AVERAGE(B2091:E2091)</f>
        <v>0.23896531031031032</v>
      </c>
      <c r="Q2091" s="38">
        <v>2020</v>
      </c>
      <c r="R2091" s="60">
        <v>0.22529619171306747</v>
      </c>
      <c r="AEA2091" s="636">
        <v>44510</v>
      </c>
      <c r="AEB2091" s="635">
        <v>309.26</v>
      </c>
      <c r="AEC2091" s="635">
        <v>22.893000000000001</v>
      </c>
    </row>
    <row r="2092" spans="1:813" ht="15.5">
      <c r="A2092" s="362" t="s">
        <v>2079</v>
      </c>
      <c r="B2092" s="364">
        <v>0.3375075298617029</v>
      </c>
      <c r="C2092" s="60">
        <v>0.21028449639690944</v>
      </c>
      <c r="D2092" s="60">
        <v>0.1341795323977627</v>
      </c>
      <c r="E2092" s="296">
        <v>0.31280644206977781</v>
      </c>
      <c r="F2092" s="60">
        <f t="shared" si="22"/>
        <v>0.24869450018153821</v>
      </c>
      <c r="Q2092" s="62">
        <v>2021</v>
      </c>
      <c r="R2092" s="60">
        <v>0.23896531031031032</v>
      </c>
      <c r="AEA2092" s="636">
        <v>44511</v>
      </c>
      <c r="AEB2092" s="635">
        <v>307.97000000000003</v>
      </c>
      <c r="AEC2092" s="635">
        <v>22.797999999999998</v>
      </c>
    </row>
    <row r="2093" spans="1:813" ht="15.5">
      <c r="A2093" s="362" t="s">
        <v>219</v>
      </c>
      <c r="B2093" s="364">
        <v>0.32437532370993621</v>
      </c>
      <c r="C2093" s="60">
        <v>0.20951114875690316</v>
      </c>
      <c r="D2093" s="60">
        <v>0.12800180391942195</v>
      </c>
      <c r="E2093" s="296">
        <v>0.3189875493548</v>
      </c>
      <c r="F2093" s="60">
        <f t="shared" si="22"/>
        <v>0.24521895643526534</v>
      </c>
      <c r="Q2093" s="362" t="s">
        <v>2079</v>
      </c>
      <c r="R2093" s="60">
        <v>0.24869450018153821</v>
      </c>
      <c r="AEE2093" s="636">
        <v>44512</v>
      </c>
      <c r="AEF2093" s="635">
        <v>299.26</v>
      </c>
      <c r="AEG2093" s="635">
        <v>22.152999999999999</v>
      </c>
    </row>
    <row r="2094" spans="1:813" ht="15.5">
      <c r="A2094" s="362" t="s">
        <v>12</v>
      </c>
      <c r="B2094" s="364">
        <v>0.32083669035266688</v>
      </c>
      <c r="C2094" s="60">
        <v>0.20849621072969343</v>
      </c>
      <c r="D2094" s="60">
        <v>0.12193700284185005</v>
      </c>
      <c r="E2094" s="296">
        <v>0.27511904911654872</v>
      </c>
      <c r="F2094" s="60">
        <f t="shared" si="22"/>
        <v>0.23159723826018977</v>
      </c>
      <c r="Q2094" s="362" t="s">
        <v>219</v>
      </c>
      <c r="R2094" s="60">
        <v>0.24521895643526534</v>
      </c>
      <c r="AEE2094" s="636">
        <v>44515</v>
      </c>
      <c r="AEF2094" s="635">
        <v>293.45999999999998</v>
      </c>
      <c r="AEG2094" s="635">
        <v>21.724</v>
      </c>
    </row>
    <row r="2095" spans="1:813" ht="15.5">
      <c r="A2095" s="362" t="s">
        <v>13</v>
      </c>
      <c r="B2095" s="364">
        <v>0.30586323235850538</v>
      </c>
      <c r="C2095" s="60">
        <v>0.20619398508782452</v>
      </c>
      <c r="D2095" s="60">
        <v>0.11567196437716501</v>
      </c>
      <c r="E2095" s="296">
        <v>0.24105314049471052</v>
      </c>
      <c r="F2095" s="60">
        <f t="shared" si="22"/>
        <v>0.21719558057955135</v>
      </c>
      <c r="Q2095" s="362" t="s">
        <v>12</v>
      </c>
      <c r="R2095" s="60">
        <v>0.23159723826018977</v>
      </c>
      <c r="AEE2095" s="636">
        <v>44516</v>
      </c>
      <c r="AEF2095" s="635">
        <v>305.43</v>
      </c>
      <c r="AEG2095" s="635">
        <v>22.61</v>
      </c>
    </row>
    <row r="2096" spans="1:813">
      <c r="A2096" s="947"/>
      <c r="B2096" s="947"/>
      <c r="C2096" s="947"/>
    </row>
    <row r="2097" spans="1:3">
      <c r="A2097" s="947"/>
      <c r="B2097" s="947"/>
      <c r="C2097" s="947"/>
    </row>
    <row r="2098" spans="1:3">
      <c r="A2098" s="947"/>
      <c r="B2098" s="968"/>
      <c r="C2098" s="947"/>
    </row>
    <row r="2099" spans="1:3">
      <c r="A2099" s="947"/>
      <c r="B2099" s="947"/>
      <c r="C2099" s="947"/>
    </row>
    <row r="2100" spans="1:3">
      <c r="A2100" s="947"/>
      <c r="B2100" s="947"/>
      <c r="C2100" s="947"/>
    </row>
    <row r="2101" spans="1:3">
      <c r="A2101" s="947"/>
      <c r="B2101" s="947"/>
      <c r="C2101" s="947"/>
    </row>
    <row r="2102" spans="1:3">
      <c r="A2102" s="947"/>
      <c r="B2102" s="947"/>
      <c r="C2102" s="947"/>
    </row>
    <row r="2103" spans="1:3">
      <c r="A2103" s="948"/>
      <c r="B2103" s="947"/>
      <c r="C2103" s="947"/>
    </row>
    <row r="2104" spans="1:3">
      <c r="A2104" s="948"/>
      <c r="B2104" s="947"/>
      <c r="C2104" s="947"/>
    </row>
    <row r="2105" spans="1:3">
      <c r="A2105" s="947"/>
      <c r="B2105" s="947"/>
      <c r="C2105" s="947"/>
    </row>
    <row r="2106" spans="1:3" ht="14.5">
      <c r="A2106" s="949"/>
      <c r="B2106" s="947"/>
      <c r="C2106" s="947"/>
    </row>
  </sheetData>
  <sortState xmlns:xlrd2="http://schemas.microsoft.com/office/spreadsheetml/2017/richdata2" ref="A733:C745">
    <sortCondition ref="A733:A745"/>
  </sortState>
  <mergeCells count="13">
    <mergeCell ref="AO211:AW211"/>
    <mergeCell ref="AX211:BE211"/>
    <mergeCell ref="BG211:BK211"/>
    <mergeCell ref="BL211:BS211"/>
    <mergeCell ref="A213:A217"/>
    <mergeCell ref="N211:U211"/>
    <mergeCell ref="W211:AD211"/>
    <mergeCell ref="AF211:AM211"/>
    <mergeCell ref="C218:C219"/>
    <mergeCell ref="D218:K218"/>
    <mergeCell ref="A211:A212"/>
    <mergeCell ref="C211:C212"/>
    <mergeCell ref="E211:L211"/>
  </mergeCells>
  <phoneticPr fontId="4" type="noConversion"/>
  <conditionalFormatting sqref="D197">
    <cfRule type="dataBar" priority="3">
      <dataBar>
        <cfvo type="min"/>
        <cfvo type="max"/>
        <color rgb="FF638EC6"/>
      </dataBar>
      <extLst>
        <ext xmlns:x14="http://schemas.microsoft.com/office/spreadsheetml/2009/9/main" uri="{B025F937-C7B1-47D3-B67F-A62EFF666E3E}">
          <x14:id>{B04B902B-331A-4D60-A5C2-B5C393416EB5}</x14:id>
        </ext>
      </extLst>
    </cfRule>
  </conditionalFormatting>
  <conditionalFormatting sqref="D198">
    <cfRule type="dataBar" priority="2">
      <dataBar>
        <cfvo type="min"/>
        <cfvo type="max"/>
        <color rgb="FF638EC6"/>
      </dataBar>
      <extLst>
        <ext xmlns:x14="http://schemas.microsoft.com/office/spreadsheetml/2009/9/main" uri="{B025F937-C7B1-47D3-B67F-A62EFF666E3E}">
          <x14:id>{92BA3FAD-B8CA-4E93-8DA2-D2B16732CD6F}</x14:id>
        </ext>
      </extLst>
    </cfRule>
  </conditionalFormatting>
  <conditionalFormatting sqref="D199">
    <cfRule type="dataBar" priority="1">
      <dataBar>
        <cfvo type="min"/>
        <cfvo type="max"/>
        <color rgb="FF638EC6"/>
      </dataBar>
      <extLst>
        <ext xmlns:x14="http://schemas.microsoft.com/office/spreadsheetml/2009/9/main" uri="{B025F937-C7B1-47D3-B67F-A62EFF666E3E}">
          <x14:id>{213DC647-278B-40E2-A992-F03123DC3FAE}</x14:id>
        </ext>
      </extLst>
    </cfRule>
  </conditionalFormatting>
  <conditionalFormatting sqref="N175:N192">
    <cfRule type="dataBar" priority="4">
      <dataBar>
        <cfvo type="min"/>
        <cfvo type="max"/>
        <color rgb="FF638EC6"/>
      </dataBar>
      <extLst>
        <ext xmlns:x14="http://schemas.microsoft.com/office/spreadsheetml/2009/9/main" uri="{B025F937-C7B1-47D3-B67F-A62EFF666E3E}">
          <x14:id>{56BC40DB-92F8-4BF5-82CD-3D3F0C3BF260}</x14:id>
        </ext>
      </extLst>
    </cfRule>
  </conditionalFormatting>
  <conditionalFormatting sqref="O175:Q184">
    <cfRule type="dataBar" priority="5">
      <dataBar>
        <cfvo type="min"/>
        <cfvo type="max"/>
        <color rgb="FF638EC6"/>
      </dataBar>
      <extLst>
        <ext xmlns:x14="http://schemas.microsoft.com/office/spreadsheetml/2009/9/main" uri="{B025F937-C7B1-47D3-B67F-A62EFF666E3E}">
          <x14:id>{04551562-C3E5-424A-B6D6-AE96ED24A786}</x14:id>
        </ext>
      </extLst>
    </cfRule>
  </conditionalFormatting>
  <conditionalFormatting sqref="O185:Q192">
    <cfRule type="dataBar" priority="6">
      <dataBar>
        <cfvo type="min"/>
        <cfvo type="max"/>
        <color rgb="FF638EC6"/>
      </dataBar>
      <extLst>
        <ext xmlns:x14="http://schemas.microsoft.com/office/spreadsheetml/2009/9/main" uri="{B025F937-C7B1-47D3-B67F-A62EFF666E3E}">
          <x14:id>{2F7B8376-B7D2-4CD2-BB22-E2DB9E10728C}</x14:id>
        </ext>
      </extLst>
    </cfRule>
  </conditionalFormatting>
  <pageMargins left="0.7" right="0.7" top="0.75" bottom="0.75" header="0.3" footer="0.3"/>
  <pageSetup paperSize="9" orientation="portrait" horizontalDpi="1200" verticalDpi="1200" r:id="rId1"/>
  <drawing r:id="rId2"/>
  <legacyDrawing r:id="rId3"/>
  <extLst>
    <ext xmlns:x14="http://schemas.microsoft.com/office/spreadsheetml/2009/9/main" uri="{78C0D931-6437-407d-A8EE-F0AAD7539E65}">
      <x14:conditionalFormattings>
        <x14:conditionalFormatting xmlns:xm="http://schemas.microsoft.com/office/excel/2006/main">
          <x14:cfRule type="dataBar" id="{B04B902B-331A-4D60-A5C2-B5C393416EB5}">
            <x14:dataBar minLength="0" maxLength="100" border="1" negativeBarBorderColorSameAsPositive="0">
              <x14:cfvo type="autoMin"/>
              <x14:cfvo type="autoMax"/>
              <x14:borderColor rgb="FF638EC6"/>
              <x14:negativeFillColor rgb="FFFF0000"/>
              <x14:negativeBorderColor rgb="FFFF0000"/>
              <x14:axisColor rgb="FF000000"/>
            </x14:dataBar>
          </x14:cfRule>
          <xm:sqref>D197</xm:sqref>
        </x14:conditionalFormatting>
        <x14:conditionalFormatting xmlns:xm="http://schemas.microsoft.com/office/excel/2006/main">
          <x14:cfRule type="dataBar" id="{92BA3FAD-B8CA-4E93-8DA2-D2B16732CD6F}">
            <x14:dataBar minLength="0" maxLength="100" border="1" negativeBarBorderColorSameAsPositive="0">
              <x14:cfvo type="autoMin"/>
              <x14:cfvo type="autoMax"/>
              <x14:borderColor rgb="FF638EC6"/>
              <x14:negativeFillColor rgb="FFFF0000"/>
              <x14:negativeBorderColor rgb="FFFF0000"/>
              <x14:axisColor rgb="FF000000"/>
            </x14:dataBar>
          </x14:cfRule>
          <xm:sqref>D198</xm:sqref>
        </x14:conditionalFormatting>
        <x14:conditionalFormatting xmlns:xm="http://schemas.microsoft.com/office/excel/2006/main">
          <x14:cfRule type="dataBar" id="{213DC647-278B-40E2-A992-F03123DC3FAE}">
            <x14:dataBar minLength="0" maxLength="100" border="1" negativeBarBorderColorSameAsPositive="0">
              <x14:cfvo type="autoMin"/>
              <x14:cfvo type="autoMax"/>
              <x14:borderColor rgb="FF638EC6"/>
              <x14:negativeFillColor rgb="FFFF0000"/>
              <x14:negativeBorderColor rgb="FFFF0000"/>
              <x14:axisColor rgb="FF000000"/>
            </x14:dataBar>
          </x14:cfRule>
          <xm:sqref>D199</xm:sqref>
        </x14:conditionalFormatting>
        <x14:conditionalFormatting xmlns:xm="http://schemas.microsoft.com/office/excel/2006/main">
          <x14:cfRule type="dataBar" id="{56BC40DB-92F8-4BF5-82CD-3D3F0C3BF260}">
            <x14:dataBar minLength="0" maxLength="100" border="1" negativeBarBorderColorSameAsPositive="0">
              <x14:cfvo type="autoMin"/>
              <x14:cfvo type="autoMax"/>
              <x14:borderColor rgb="FF638EC6"/>
              <x14:negativeFillColor rgb="FFFF0000"/>
              <x14:negativeBorderColor rgb="FFFF0000"/>
              <x14:axisColor rgb="FF000000"/>
            </x14:dataBar>
          </x14:cfRule>
          <xm:sqref>N175:N192</xm:sqref>
        </x14:conditionalFormatting>
        <x14:conditionalFormatting xmlns:xm="http://schemas.microsoft.com/office/excel/2006/main">
          <x14:cfRule type="dataBar" id="{04551562-C3E5-424A-B6D6-AE96ED24A786}">
            <x14:dataBar minLength="0" maxLength="100" border="1" negativeBarBorderColorSameAsPositive="0">
              <x14:cfvo type="autoMin"/>
              <x14:cfvo type="autoMax"/>
              <x14:borderColor rgb="FF638EC6"/>
              <x14:negativeFillColor rgb="FFFF0000"/>
              <x14:negativeBorderColor rgb="FFFF0000"/>
              <x14:axisColor rgb="FF000000"/>
            </x14:dataBar>
          </x14:cfRule>
          <xm:sqref>O175:Q184</xm:sqref>
        </x14:conditionalFormatting>
        <x14:conditionalFormatting xmlns:xm="http://schemas.microsoft.com/office/excel/2006/main">
          <x14:cfRule type="dataBar" id="{2F7B8376-B7D2-4CD2-BB22-E2DB9E10728C}">
            <x14:dataBar minLength="0" maxLength="100" border="1" negativeBarBorderColorSameAsPositive="0">
              <x14:cfvo type="autoMin"/>
              <x14:cfvo type="autoMax"/>
              <x14:borderColor rgb="FF638EC6"/>
              <x14:negativeFillColor rgb="FFFF0000"/>
              <x14:negativeBorderColor rgb="FFFF0000"/>
              <x14:axisColor rgb="FF000000"/>
            </x14:dataBar>
          </x14:cfRule>
          <xm:sqref>O185:Q192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A3355-82B0-4EB7-95B2-FA376B0490F4}">
  <dimension ref="A1:X135"/>
  <sheetViews>
    <sheetView zoomScale="120" zoomScaleNormal="120" workbookViewId="0">
      <pane xSplit="2" ySplit="4" topLeftCell="C21" activePane="bottomRight" state="frozen"/>
      <selection pane="topRight"/>
      <selection pane="bottomLeft"/>
      <selection pane="bottomRight" activeCell="J30" sqref="J30"/>
    </sheetView>
  </sheetViews>
  <sheetFormatPr defaultColWidth="8.83203125" defaultRowHeight="14" outlineLevelCol="1"/>
  <cols>
    <col min="1" max="1" width="27.4140625" style="49" customWidth="1"/>
    <col min="2" max="2" width="11.1640625" hidden="1" customWidth="1"/>
    <col min="3" max="3" width="11" customWidth="1" outlineLevel="1"/>
    <col min="4" max="4" width="12" customWidth="1" outlineLevel="1"/>
    <col min="5" max="7" width="12" bestFit="1" customWidth="1"/>
    <col min="8" max="8" width="13.4140625" style="49" bestFit="1" customWidth="1"/>
    <col min="9" max="10" width="13.83203125" bestFit="1" customWidth="1"/>
    <col min="11" max="12" width="14.1640625" bestFit="1" customWidth="1"/>
    <col min="18" max="18" width="9.83203125" customWidth="1"/>
    <col min="19" max="19" width="10.75" customWidth="1"/>
    <col min="20" max="20" width="10.25" customWidth="1"/>
  </cols>
  <sheetData>
    <row r="1" spans="1:24">
      <c r="B1" s="103"/>
      <c r="C1" s="104"/>
      <c r="D1" s="104"/>
      <c r="E1" s="105"/>
      <c r="F1" s="106"/>
      <c r="G1" s="106"/>
      <c r="H1" s="564"/>
      <c r="I1" s="107"/>
      <c r="J1" s="107"/>
      <c r="K1" s="107"/>
      <c r="L1" s="107"/>
      <c r="M1" s="103"/>
      <c r="N1" s="103"/>
      <c r="O1" s="103"/>
      <c r="P1" s="103"/>
      <c r="Q1" s="103"/>
      <c r="R1" s="103"/>
      <c r="S1" s="103"/>
      <c r="T1" s="103"/>
      <c r="U1" s="103"/>
      <c r="V1" s="103"/>
      <c r="W1" s="103"/>
      <c r="X1" s="103"/>
    </row>
    <row r="2" spans="1:24" ht="17.5">
      <c r="A2" s="365" t="s">
        <v>1805</v>
      </c>
      <c r="B2" s="108"/>
      <c r="C2" s="109"/>
      <c r="D2" s="109"/>
      <c r="E2" s="110"/>
      <c r="F2" s="111"/>
      <c r="G2" s="111"/>
      <c r="H2" s="565"/>
      <c r="I2" s="112"/>
      <c r="J2" s="112"/>
      <c r="K2" s="112"/>
      <c r="L2" s="113"/>
      <c r="M2" s="108"/>
      <c r="N2" s="108"/>
      <c r="O2" s="108"/>
      <c r="P2" s="108"/>
      <c r="Q2" s="108"/>
      <c r="R2" s="108"/>
      <c r="S2" s="108"/>
      <c r="T2" s="108"/>
      <c r="U2" s="108"/>
      <c r="V2" s="108"/>
      <c r="W2" s="108"/>
      <c r="X2" s="108"/>
    </row>
    <row r="3" spans="1:24">
      <c r="A3" s="366" t="s">
        <v>1806</v>
      </c>
      <c r="B3" s="104">
        <v>2015</v>
      </c>
      <c r="C3" s="104">
        <v>2016</v>
      </c>
      <c r="D3" s="104">
        <v>2017</v>
      </c>
      <c r="E3" s="114">
        <v>2018</v>
      </c>
      <c r="F3" s="114">
        <v>2019</v>
      </c>
      <c r="G3" s="114">
        <v>2020</v>
      </c>
      <c r="H3" s="114">
        <v>2021</v>
      </c>
      <c r="I3" s="114">
        <v>2022</v>
      </c>
      <c r="J3" s="115">
        <v>2023</v>
      </c>
      <c r="K3" s="115">
        <v>2024</v>
      </c>
      <c r="L3" s="115">
        <v>2025</v>
      </c>
      <c r="M3" s="103"/>
      <c r="N3" s="116"/>
      <c r="O3" s="114">
        <f t="shared" ref="O3:V4" si="0">E3</f>
        <v>2018</v>
      </c>
      <c r="P3" s="114">
        <f t="shared" si="0"/>
        <v>2019</v>
      </c>
      <c r="Q3" s="114">
        <f t="shared" si="0"/>
        <v>2020</v>
      </c>
      <c r="R3" s="117">
        <f t="shared" si="0"/>
        <v>2021</v>
      </c>
      <c r="S3" s="117">
        <f t="shared" si="0"/>
        <v>2022</v>
      </c>
      <c r="T3" s="117">
        <f t="shared" si="0"/>
        <v>2023</v>
      </c>
      <c r="U3" s="117">
        <f t="shared" si="0"/>
        <v>2024</v>
      </c>
      <c r="V3" s="117">
        <f t="shared" si="0"/>
        <v>2025</v>
      </c>
      <c r="W3" s="103"/>
      <c r="X3" s="103"/>
    </row>
    <row r="4" spans="1:24">
      <c r="A4" s="367" t="s">
        <v>1807</v>
      </c>
      <c r="B4" s="104" t="s">
        <v>1575</v>
      </c>
      <c r="C4" s="104" t="s">
        <v>1575</v>
      </c>
      <c r="D4" s="104" t="s">
        <v>1575</v>
      </c>
      <c r="E4" s="114" t="s">
        <v>1575</v>
      </c>
      <c r="F4" s="114" t="s">
        <v>1575</v>
      </c>
      <c r="G4" s="114" t="s">
        <v>1575</v>
      </c>
      <c r="H4" s="114" t="s">
        <v>1575</v>
      </c>
      <c r="I4" s="114" t="s">
        <v>1575</v>
      </c>
      <c r="J4" s="115" t="s">
        <v>1576</v>
      </c>
      <c r="K4" s="115" t="s">
        <v>1576</v>
      </c>
      <c r="L4" s="115" t="s">
        <v>1576</v>
      </c>
      <c r="M4" s="103"/>
      <c r="N4" s="118"/>
      <c r="O4" s="114" t="str">
        <f t="shared" si="0"/>
        <v>Actual</v>
      </c>
      <c r="P4" s="114" t="str">
        <f t="shared" si="0"/>
        <v>Actual</v>
      </c>
      <c r="Q4" s="114" t="str">
        <f t="shared" si="0"/>
        <v>Actual</v>
      </c>
      <c r="R4" s="117" t="str">
        <f t="shared" si="0"/>
        <v>Actual</v>
      </c>
      <c r="S4" s="117" t="str">
        <f t="shared" si="0"/>
        <v>Actual</v>
      </c>
      <c r="T4" s="117" t="str">
        <f t="shared" si="0"/>
        <v>Forecast</v>
      </c>
      <c r="U4" s="117" t="str">
        <f t="shared" si="0"/>
        <v>Forecast</v>
      </c>
      <c r="V4" s="117" t="str">
        <f t="shared" si="0"/>
        <v>Forecast</v>
      </c>
      <c r="W4" s="119"/>
      <c r="X4" s="103"/>
    </row>
    <row r="5" spans="1:24">
      <c r="A5" s="121"/>
      <c r="B5" s="120"/>
      <c r="C5" s="121"/>
      <c r="D5" s="121"/>
      <c r="E5" s="120"/>
      <c r="F5" s="120"/>
      <c r="G5" s="120"/>
      <c r="H5" s="566"/>
      <c r="I5" s="122"/>
      <c r="J5" s="122"/>
      <c r="K5" s="122"/>
      <c r="L5" s="122"/>
      <c r="M5" s="120"/>
      <c r="N5" s="103"/>
      <c r="O5" s="103"/>
      <c r="P5" s="103"/>
      <c r="Q5" s="103"/>
      <c r="R5" s="103"/>
      <c r="S5" s="103"/>
      <c r="T5" s="103"/>
      <c r="U5" s="103"/>
      <c r="V5" s="103"/>
      <c r="W5" s="103"/>
      <c r="X5" s="103"/>
    </row>
    <row r="6" spans="1:24" ht="20">
      <c r="A6" s="368" t="s">
        <v>1577</v>
      </c>
      <c r="B6" s="123"/>
      <c r="C6" s="124"/>
      <c r="D6" s="124"/>
      <c r="E6" s="125"/>
      <c r="F6" s="125"/>
      <c r="G6" s="126"/>
      <c r="H6" s="567"/>
      <c r="I6" s="127"/>
      <c r="J6" s="128"/>
      <c r="K6" s="128"/>
      <c r="L6" s="128"/>
      <c r="M6" s="129"/>
      <c r="N6" s="118" t="s">
        <v>1613</v>
      </c>
      <c r="O6" s="129"/>
      <c r="P6" s="129"/>
      <c r="Q6" s="129"/>
      <c r="R6" s="129"/>
      <c r="S6" s="129"/>
      <c r="T6" s="129"/>
      <c r="U6" s="129"/>
      <c r="V6" s="129"/>
      <c r="W6" s="129"/>
      <c r="X6" s="129"/>
    </row>
    <row r="7" spans="1:24">
      <c r="A7" s="65" t="s">
        <v>508</v>
      </c>
      <c r="B7" s="119"/>
      <c r="C7" s="130">
        <f>SUM(C8,C9:C12)</f>
        <v>7000129</v>
      </c>
      <c r="D7" s="130">
        <f t="shared" ref="D7:G7" si="1">SUM(D8,D9:D12)</f>
        <v>11759210</v>
      </c>
      <c r="E7" s="130">
        <f>SUM(E8,E9:E12)</f>
        <v>21460800</v>
      </c>
      <c r="F7" s="130">
        <f t="shared" si="1"/>
        <v>24578000</v>
      </c>
      <c r="G7" s="130">
        <f t="shared" si="1"/>
        <v>31536000</v>
      </c>
      <c r="H7" s="130">
        <f>SUM(H8,H9:H12)</f>
        <v>53823000</v>
      </c>
      <c r="I7" s="130">
        <f t="shared" ref="I7:K7" si="2">SUM(I8,I9:I12)</f>
        <v>81462000.00000003</v>
      </c>
      <c r="J7" s="130">
        <f t="shared" si="2"/>
        <v>96394360.853666633</v>
      </c>
      <c r="K7" s="130">
        <f t="shared" si="2"/>
        <v>110902766.74495579</v>
      </c>
      <c r="L7" s="131">
        <f>SUM(L8,L9:L12)</f>
        <v>122299653.94885466</v>
      </c>
      <c r="M7" s="103"/>
      <c r="N7" s="119" t="s">
        <v>1631</v>
      </c>
      <c r="O7" s="132">
        <f>IFERROR(E7/D7-1,"")</f>
        <v>0.82502055835383503</v>
      </c>
      <c r="P7" s="132">
        <f t="shared" ref="P7:T11" si="3">IFERROR(F7/E7-1,"")</f>
        <v>0.14525087601580555</v>
      </c>
      <c r="Q7" s="132">
        <f t="shared" si="3"/>
        <v>0.28309870615998056</v>
      </c>
      <c r="R7" s="132">
        <f>IFERROR(H7/G7-1,"")</f>
        <v>0.70671613394216126</v>
      </c>
      <c r="S7" s="132">
        <f>IFERROR(I7/H7-1,"")</f>
        <v>0.51351652639206335</v>
      </c>
      <c r="T7" s="132">
        <f>IFERROR(J7/I7-1,"")</f>
        <v>0.18330461876293969</v>
      </c>
      <c r="U7" s="133"/>
      <c r="V7" s="133"/>
      <c r="W7" s="134"/>
      <c r="X7" s="103"/>
    </row>
    <row r="8" spans="1:24">
      <c r="A8" s="369" t="s">
        <v>1808</v>
      </c>
      <c r="B8" s="135"/>
      <c r="C8" s="136">
        <f>'Earning Forecast'!B5</f>
        <v>6350769</v>
      </c>
      <c r="D8" s="136">
        <f>'Earning Forecast'!C5</f>
        <v>9641750</v>
      </c>
      <c r="E8" s="136">
        <f>'Earning Forecast'!D5</f>
        <v>18514520</v>
      </c>
      <c r="F8" s="136">
        <f>'Earning Forecast'!E5</f>
        <v>20821000</v>
      </c>
      <c r="G8" s="136">
        <f>'Earning Forecast'!F5</f>
        <v>27236000</v>
      </c>
      <c r="H8" s="136">
        <f>'Earning Forecast'!G5</f>
        <v>47232000</v>
      </c>
      <c r="I8" s="136">
        <f>'Earning Forecast'!H5</f>
        <v>71462000.00000003</v>
      </c>
      <c r="J8" s="136">
        <f>'Earning Forecast'!I5</f>
        <v>83926771.802430227</v>
      </c>
      <c r="K8" s="136">
        <f>'Earning Forecast'!J5</f>
        <v>95277251.58928746</v>
      </c>
      <c r="L8" s="136">
        <f>'Earning Forecast'!K5</f>
        <v>102835026.77270603</v>
      </c>
      <c r="M8" s="120"/>
      <c r="N8" s="120" t="str">
        <f t="shared" ref="N8:N12" si="4">A8</f>
        <v>Automotive Sales&amp;Leasing</v>
      </c>
      <c r="O8" s="138">
        <f>IFERROR(E8/D8-1,"")</f>
        <v>0.92024476884383022</v>
      </c>
      <c r="P8" s="138">
        <f>IFERROR(F8/E8-1,"")</f>
        <v>0.1245768186266778</v>
      </c>
      <c r="Q8" s="138">
        <f t="shared" si="3"/>
        <v>0.30810239661879835</v>
      </c>
      <c r="R8" s="138">
        <f t="shared" si="3"/>
        <v>0.73417535614627694</v>
      </c>
      <c r="S8" s="138">
        <f t="shared" si="3"/>
        <v>0.512999661246613</v>
      </c>
      <c r="T8" s="138">
        <f>IFERROR(J8/I8-1,"")</f>
        <v>0.1744251742524725</v>
      </c>
      <c r="U8" s="139"/>
      <c r="V8" s="139"/>
      <c r="W8" s="140"/>
      <c r="X8" s="120"/>
    </row>
    <row r="9" spans="1:24">
      <c r="A9" s="369" t="s">
        <v>515</v>
      </c>
      <c r="B9" s="135"/>
      <c r="C9" s="136">
        <f>'Earning Forecast'!B12</f>
        <v>467970</v>
      </c>
      <c r="D9" s="136">
        <f>'Earning Forecast'!C12</f>
        <v>1001190</v>
      </c>
      <c r="E9" s="136">
        <f>'Earning Forecast'!D12</f>
        <v>1391040</v>
      </c>
      <c r="F9" s="136">
        <f>'Earning Forecast'!E12</f>
        <v>2226000</v>
      </c>
      <c r="G9" s="136">
        <f>'Earning Forecast'!F12</f>
        <v>2306000</v>
      </c>
      <c r="H9" s="136">
        <f>'Earning Forecast'!G12</f>
        <v>3802000</v>
      </c>
      <c r="I9" s="136">
        <f>'Earning Forecast'!H12</f>
        <v>6091000</v>
      </c>
      <c r="J9" s="136">
        <f>'Earning Forecast'!I12</f>
        <v>7005024.5548287649</v>
      </c>
      <c r="K9" s="136">
        <f>'Earning Forecast'!J12</f>
        <v>7914246.0697092656</v>
      </c>
      <c r="L9" s="136">
        <f>'Earning Forecast'!K12</f>
        <v>8630102.4202933218</v>
      </c>
      <c r="M9" s="141"/>
      <c r="N9" s="120" t="str">
        <f t="shared" si="4"/>
        <v>Services &amp; Other</v>
      </c>
      <c r="O9" s="138">
        <f>IFERROR(E9/D9-1,"")</f>
        <v>0.38938662991040651</v>
      </c>
      <c r="P9" s="138">
        <f t="shared" si="3"/>
        <v>0.60024154589371981</v>
      </c>
      <c r="Q9" s="138">
        <f t="shared" si="3"/>
        <v>3.5938903863432126E-2</v>
      </c>
      <c r="R9" s="138">
        <f t="shared" si="3"/>
        <v>0.64874241110147435</v>
      </c>
      <c r="S9" s="138">
        <f t="shared" si="3"/>
        <v>0.60205155181483438</v>
      </c>
      <c r="T9" s="138">
        <f t="shared" si="3"/>
        <v>0.15006149315855599</v>
      </c>
      <c r="U9" s="139"/>
      <c r="V9" s="139"/>
      <c r="W9" s="120"/>
      <c r="X9" s="120"/>
    </row>
    <row r="10" spans="1:24">
      <c r="A10" s="369" t="s">
        <v>520</v>
      </c>
      <c r="B10" s="135"/>
      <c r="C10" s="136">
        <f>'Earning Forecast'!B20</f>
        <v>181390</v>
      </c>
      <c r="D10" s="136">
        <f>'Earning Forecast'!C20</f>
        <v>1116270</v>
      </c>
      <c r="E10" s="136">
        <f>'Earning Forecast'!D20</f>
        <v>1555240</v>
      </c>
      <c r="F10" s="136">
        <f>'Earning Forecast'!E20</f>
        <v>1531000</v>
      </c>
      <c r="G10" s="136">
        <f>'Earning Forecast'!F20</f>
        <v>1994000</v>
      </c>
      <c r="H10" s="136">
        <f>'Earning Forecast'!G20</f>
        <v>2789000</v>
      </c>
      <c r="I10" s="136">
        <f>'Earning Forecast'!H20</f>
        <v>3909000</v>
      </c>
      <c r="J10" s="136">
        <f>'Earning Forecast'!I20</f>
        <v>5462564.4964076504</v>
      </c>
      <c r="K10" s="136">
        <f>'Earning Forecast'!J20</f>
        <v>7711269.0859590573</v>
      </c>
      <c r="L10" s="136">
        <f>'Earning Forecast'!K20</f>
        <v>10834524.7558553</v>
      </c>
      <c r="M10" s="120"/>
      <c r="N10" s="120" t="str">
        <f t="shared" si="4"/>
        <v>Energy Generation &amp; Storage</v>
      </c>
      <c r="O10" s="138">
        <f>IFERROR(E10/D10-1,"")</f>
        <v>0.39324715346645522</v>
      </c>
      <c r="P10" s="138">
        <f t="shared" si="3"/>
        <v>-1.5586018878115282E-2</v>
      </c>
      <c r="Q10" s="138">
        <f t="shared" si="3"/>
        <v>0.30241672109732209</v>
      </c>
      <c r="R10" s="138">
        <f t="shared" si="3"/>
        <v>0.3986960882647943</v>
      </c>
      <c r="S10" s="138">
        <f t="shared" si="3"/>
        <v>0.40157762638938688</v>
      </c>
      <c r="T10" s="138">
        <f t="shared" si="3"/>
        <v>0.39743271844657202</v>
      </c>
      <c r="U10" s="139"/>
      <c r="V10" s="139"/>
      <c r="W10" s="120"/>
      <c r="X10" s="120"/>
    </row>
    <row r="11" spans="1:24">
      <c r="A11" s="369" t="s">
        <v>1809</v>
      </c>
      <c r="B11" s="135"/>
      <c r="C11" s="142">
        <v>0</v>
      </c>
      <c r="D11" s="142">
        <v>0</v>
      </c>
      <c r="E11" s="142">
        <v>0</v>
      </c>
      <c r="F11" s="142">
        <v>0</v>
      </c>
      <c r="G11" s="142">
        <v>0</v>
      </c>
      <c r="H11" s="142">
        <v>0</v>
      </c>
      <c r="I11" s="142">
        <v>0</v>
      </c>
      <c r="J11" s="142">
        <v>0</v>
      </c>
      <c r="K11" s="137">
        <f t="shared" ref="K11:L11" si="5">J11*(1+U11)</f>
        <v>0</v>
      </c>
      <c r="L11" s="137">
        <f t="shared" si="5"/>
        <v>0</v>
      </c>
      <c r="M11" s="141"/>
      <c r="N11" s="120" t="str">
        <f t="shared" si="4"/>
        <v>Other Revenue</v>
      </c>
      <c r="O11" s="143" t="str">
        <f>IFERROR(E11/D11-1,"")</f>
        <v/>
      </c>
      <c r="P11" s="143" t="str">
        <f t="shared" si="3"/>
        <v/>
      </c>
      <c r="Q11" s="143" t="str">
        <f t="shared" si="3"/>
        <v/>
      </c>
      <c r="R11" s="143" t="str">
        <f t="shared" si="3"/>
        <v/>
      </c>
      <c r="S11" s="143" t="str">
        <f t="shared" si="3"/>
        <v/>
      </c>
      <c r="T11" s="143" t="str">
        <f t="shared" si="3"/>
        <v/>
      </c>
      <c r="U11" s="139"/>
      <c r="V11" s="139"/>
      <c r="W11" s="120"/>
      <c r="X11" s="120"/>
    </row>
    <row r="12" spans="1:24">
      <c r="A12" s="369" t="s">
        <v>1629</v>
      </c>
      <c r="B12" s="135"/>
      <c r="C12" s="144">
        <v>0</v>
      </c>
      <c r="D12" s="144">
        <v>0</v>
      </c>
      <c r="E12" s="144">
        <v>0</v>
      </c>
      <c r="F12" s="144">
        <v>0</v>
      </c>
      <c r="G12" s="144">
        <v>0</v>
      </c>
      <c r="H12" s="144">
        <v>0</v>
      </c>
      <c r="I12" s="144">
        <v>0</v>
      </c>
      <c r="J12" s="144">
        <v>0</v>
      </c>
      <c r="K12" s="142">
        <v>0</v>
      </c>
      <c r="L12" s="142">
        <v>0</v>
      </c>
      <c r="M12" s="120"/>
      <c r="N12" s="120" t="str">
        <f t="shared" si="4"/>
        <v>Other/Manual Adjustments</v>
      </c>
      <c r="O12" s="143"/>
      <c r="P12" s="143"/>
      <c r="Q12" s="146" t="s">
        <v>1810</v>
      </c>
      <c r="R12" s="146" t="s">
        <v>1810</v>
      </c>
      <c r="S12" s="146" t="s">
        <v>1810</v>
      </c>
      <c r="T12" s="146" t="s">
        <v>1810</v>
      </c>
      <c r="U12" s="147" t="str">
        <f>T12</f>
        <v>($)</v>
      </c>
      <c r="V12" s="147" t="str">
        <f>U12</f>
        <v>($)</v>
      </c>
      <c r="W12" s="120"/>
      <c r="X12" s="120"/>
    </row>
    <row r="13" spans="1:24" ht="14.5">
      <c r="A13" s="370" t="s">
        <v>1581</v>
      </c>
      <c r="B13" s="148"/>
      <c r="C13" s="104"/>
      <c r="D13" s="104"/>
      <c r="E13" s="104"/>
      <c r="F13" s="149"/>
      <c r="G13" s="150"/>
      <c r="H13" s="568"/>
      <c r="I13" s="151"/>
      <c r="J13" s="131"/>
      <c r="K13" s="152"/>
      <c r="L13" s="152"/>
      <c r="M13" s="103"/>
      <c r="N13" s="153"/>
      <c r="O13" s="103"/>
      <c r="P13" s="103"/>
      <c r="Q13" s="103"/>
      <c r="R13" s="103"/>
      <c r="S13" s="103"/>
      <c r="T13" s="103"/>
      <c r="U13" s="103"/>
      <c r="V13" s="103"/>
      <c r="W13" s="103"/>
      <c r="X13" s="103"/>
    </row>
    <row r="14" spans="1:24">
      <c r="A14" s="65" t="s">
        <v>287</v>
      </c>
      <c r="B14" s="119"/>
      <c r="C14" s="130">
        <f>SUM(C15,C16:C19)</f>
        <v>5400872</v>
      </c>
      <c r="D14" s="130">
        <f t="shared" ref="D14:G14" si="6">SUM(D15,D16:D19)</f>
        <v>9536047</v>
      </c>
      <c r="E14" s="130">
        <f t="shared" si="6"/>
        <v>17367113</v>
      </c>
      <c r="F14" s="130">
        <f t="shared" si="6"/>
        <v>20509000</v>
      </c>
      <c r="G14" s="130">
        <f t="shared" si="6"/>
        <v>24906000</v>
      </c>
      <c r="H14" s="130">
        <f>SUM(H15,H16:H19)</f>
        <v>40216294</v>
      </c>
      <c r="I14" s="130">
        <f t="shared" ref="I14:K14" si="7">SUM(I15,I16:I19)</f>
        <v>60557450.446945287</v>
      </c>
      <c r="J14" s="130">
        <f t="shared" si="7"/>
        <v>79924762.575856596</v>
      </c>
      <c r="K14" s="130">
        <f t="shared" si="7"/>
        <v>92058697.052028477</v>
      </c>
      <c r="L14" s="130">
        <f>SUM(L15,L16:L19)</f>
        <v>99780871.7492771</v>
      </c>
      <c r="M14" s="103"/>
      <c r="N14" s="119" t="s">
        <v>1632</v>
      </c>
      <c r="O14" s="154">
        <f>IFERROR(E14/E$7,"")</f>
        <v>0.80924816409453515</v>
      </c>
      <c r="P14" s="154">
        <f t="shared" ref="P14:Q14" si="8">IFERROR(F14/F$7,"")</f>
        <v>0.83444543901049717</v>
      </c>
      <c r="Q14" s="154">
        <f t="shared" si="8"/>
        <v>0.7897640791476408</v>
      </c>
      <c r="R14" s="154">
        <f>IFERROR(H14/H7,"")</f>
        <v>0.74719532541850142</v>
      </c>
      <c r="S14" s="154">
        <f t="shared" ref="S14:T14" si="9">IFERROR(I14/I7,"")</f>
        <v>0.74338280973883852</v>
      </c>
      <c r="T14" s="154">
        <f t="shared" si="9"/>
        <v>0.82914355018327224</v>
      </c>
      <c r="U14" s="154"/>
      <c r="V14" s="154"/>
      <c r="W14" s="103"/>
      <c r="X14" s="103"/>
    </row>
    <row r="15" spans="1:24">
      <c r="A15" s="369" t="s">
        <v>1808</v>
      </c>
      <c r="B15" s="135"/>
      <c r="C15" s="214">
        <f>'Earning Forecast'!B8</f>
        <v>4750084</v>
      </c>
      <c r="D15" s="214">
        <f>'Earning Forecast'!C8</f>
        <v>7432750</v>
      </c>
      <c r="E15" s="214">
        <f>'Earning Forecast'!D8</f>
        <v>14173520</v>
      </c>
      <c r="F15" s="214">
        <f>'Earning Forecast'!E8</f>
        <v>16398000</v>
      </c>
      <c r="G15" s="214">
        <f>'Earning Forecast'!F8</f>
        <v>20259000</v>
      </c>
      <c r="H15" s="214">
        <f>'Earning Forecast'!G8</f>
        <v>33393000</v>
      </c>
      <c r="I15" s="214">
        <f>'Earning Forecast'!H8</f>
        <v>51056450.446945287</v>
      </c>
      <c r="J15" s="214">
        <f>'Earning Forecast'!I8</f>
        <v>68269689.795095026</v>
      </c>
      <c r="K15" s="214">
        <f>'Earning Forecast'!J8</f>
        <v>77647023.874300972</v>
      </c>
      <c r="L15" s="214">
        <f>'Earning Forecast'!K8</f>
        <v>82145649.020641237</v>
      </c>
      <c r="M15" s="103"/>
      <c r="N15" s="155" t="str">
        <f t="shared" ref="N15:N19" si="10">A15</f>
        <v>Automotive Sales&amp;Leasing</v>
      </c>
      <c r="O15" s="138">
        <f>IFERROR(E15/E$7,"")</f>
        <v>0.66043763513009768</v>
      </c>
      <c r="P15" s="138">
        <f t="shared" ref="P15:T18" si="11">IFERROR(F15/F$7,"")</f>
        <v>0.66718203271218157</v>
      </c>
      <c r="Q15" s="138">
        <f t="shared" si="11"/>
        <v>0.64240867579908678</v>
      </c>
      <c r="R15" s="138">
        <f t="shared" si="11"/>
        <v>0.62042249595897669</v>
      </c>
      <c r="S15" s="138">
        <f t="shared" si="11"/>
        <v>0.62675174249276067</v>
      </c>
      <c r="T15" s="138">
        <f t="shared" si="11"/>
        <v>0.70823323263414939</v>
      </c>
      <c r="U15" s="139"/>
      <c r="V15" s="139"/>
      <c r="W15" s="103"/>
      <c r="X15" s="103" t="s">
        <v>1811</v>
      </c>
    </row>
    <row r="16" spans="1:24">
      <c r="A16" s="369" t="s">
        <v>515</v>
      </c>
      <c r="B16" s="135"/>
      <c r="C16" s="214">
        <f>'Earning Forecast'!B12-'Earning Forecast'!B15</f>
        <v>472460</v>
      </c>
      <c r="D16" s="214">
        <f>'Earning Forecast'!C12-'Earning Forecast'!C15</f>
        <v>1229027</v>
      </c>
      <c r="E16" s="214">
        <f>'Earning Forecast'!D12-'Earning Forecast'!D15</f>
        <v>1880353</v>
      </c>
      <c r="F16" s="214">
        <f>'Earning Forecast'!E12-'Earning Forecast'!E15</f>
        <v>2770000</v>
      </c>
      <c r="G16" s="214">
        <f>'Earning Forecast'!F12-'Earning Forecast'!F15</f>
        <v>2671000</v>
      </c>
      <c r="H16" s="214">
        <f>'Earning Forecast'!G12-'Earning Forecast'!G15</f>
        <v>3906000</v>
      </c>
      <c r="I16" s="214">
        <f>'Earning Forecast'!H12-'Earning Forecast'!H15</f>
        <v>5880000</v>
      </c>
      <c r="J16" s="214">
        <f>'Earning Forecast'!I12-'Earning Forecast'!I15</f>
        <v>6412110.3520308714</v>
      </c>
      <c r="K16" s="214">
        <f>'Earning Forecast'!J12-'Earning Forecast'!J15</f>
        <v>6848661.8960483614</v>
      </c>
      <c r="L16" s="214">
        <f>'Earning Forecast'!K12-'Earning Forecast'!K15</f>
        <v>7036629.3145663664</v>
      </c>
      <c r="M16" s="103"/>
      <c r="N16" s="120" t="str">
        <f t="shared" si="10"/>
        <v>Services &amp; Other</v>
      </c>
      <c r="O16" s="138">
        <f t="shared" ref="O16:O17" si="12">IFERROR(E16/E$7,"")</f>
        <v>8.7618029150823826E-2</v>
      </c>
      <c r="P16" s="138">
        <f t="shared" si="11"/>
        <v>0.11270241679550817</v>
      </c>
      <c r="Q16" s="138">
        <f t="shared" si="11"/>
        <v>8.4696854388635209E-2</v>
      </c>
      <c r="R16" s="138">
        <f t="shared" si="11"/>
        <v>7.2571205618415915E-2</v>
      </c>
      <c r="S16" s="138">
        <f t="shared" si="11"/>
        <v>7.2180894159239867E-2</v>
      </c>
      <c r="T16" s="138">
        <f t="shared" si="11"/>
        <v>6.6519558771336251E-2</v>
      </c>
      <c r="U16" s="139"/>
      <c r="V16" s="139"/>
      <c r="W16" s="103"/>
      <c r="X16" s="103" t="s">
        <v>1812</v>
      </c>
    </row>
    <row r="17" spans="1:24">
      <c r="A17" s="369" t="s">
        <v>520</v>
      </c>
      <c r="B17" s="135"/>
      <c r="C17" s="214">
        <f>'Earning Forecast'!B20-'Earning Forecast'!B22</f>
        <v>178328</v>
      </c>
      <c r="D17" s="214">
        <f>'Earning Forecast'!C20-'Earning Forecast'!C22</f>
        <v>874270</v>
      </c>
      <c r="E17" s="214">
        <f>'Earning Forecast'!D20-'Earning Forecast'!D22</f>
        <v>1313240</v>
      </c>
      <c r="F17" s="214">
        <f>'Earning Forecast'!E20-'Earning Forecast'!E22</f>
        <v>1341000</v>
      </c>
      <c r="G17" s="214">
        <f>'Earning Forecast'!F20-'Earning Forecast'!F22</f>
        <v>1976000</v>
      </c>
      <c r="H17" s="214">
        <f>'Earning Forecast'!G20-'Earning Forecast'!G22</f>
        <v>2917294</v>
      </c>
      <c r="I17" s="214">
        <f>'Earning Forecast'!H20-'Earning Forecast'!H22</f>
        <v>3621000</v>
      </c>
      <c r="J17" s="214">
        <f>'Earning Forecast'!I20-'Earning Forecast'!I22</f>
        <v>5242962.4287306909</v>
      </c>
      <c r="K17" s="214">
        <f>'Earning Forecast'!J20-'Earning Forecast'!J22</f>
        <v>7563011.2816791339</v>
      </c>
      <c r="L17" s="214">
        <f>'Earning Forecast'!K20-'Earning Forecast'!K22</f>
        <v>10598593.414069491</v>
      </c>
      <c r="M17" s="103"/>
      <c r="N17" s="120" t="str">
        <f t="shared" si="10"/>
        <v>Energy Generation &amp; Storage</v>
      </c>
      <c r="O17" s="138">
        <f t="shared" si="12"/>
        <v>6.119249981361366E-2</v>
      </c>
      <c r="P17" s="138">
        <f t="shared" si="11"/>
        <v>5.456098950280739E-2</v>
      </c>
      <c r="Q17" s="138">
        <f t="shared" si="11"/>
        <v>6.2658548959918819E-2</v>
      </c>
      <c r="R17" s="138">
        <f t="shared" si="11"/>
        <v>5.4201623841108819E-2</v>
      </c>
      <c r="S17" s="138">
        <f t="shared" si="11"/>
        <v>4.4450173086838018E-2</v>
      </c>
      <c r="T17" s="138">
        <f t="shared" si="11"/>
        <v>5.4390758777786534E-2</v>
      </c>
      <c r="U17" s="139"/>
      <c r="V17" s="139"/>
      <c r="W17" s="103"/>
      <c r="X17" s="103" t="s">
        <v>1811</v>
      </c>
    </row>
    <row r="18" spans="1:24">
      <c r="A18" s="369" t="s">
        <v>1673</v>
      </c>
      <c r="B18" s="135"/>
      <c r="C18" s="144">
        <v>0</v>
      </c>
      <c r="D18" s="144">
        <v>0</v>
      </c>
      <c r="E18" s="144">
        <v>0</v>
      </c>
      <c r="F18" s="144">
        <v>0</v>
      </c>
      <c r="G18" s="144">
        <v>0</v>
      </c>
      <c r="H18" s="144">
        <v>0</v>
      </c>
      <c r="I18" s="144">
        <v>0</v>
      </c>
      <c r="J18" s="144">
        <v>0</v>
      </c>
      <c r="K18" s="144">
        <v>0</v>
      </c>
      <c r="L18" s="137">
        <f t="shared" ref="L18" si="13">L$7*(V18)</f>
        <v>0</v>
      </c>
      <c r="M18" s="103"/>
      <c r="N18" s="120" t="str">
        <f t="shared" si="10"/>
        <v>Implementation</v>
      </c>
      <c r="O18" s="138">
        <f>IFERROR(E18/E$7,"")</f>
        <v>0</v>
      </c>
      <c r="P18" s="138">
        <f t="shared" si="11"/>
        <v>0</v>
      </c>
      <c r="Q18" s="138">
        <f t="shared" si="11"/>
        <v>0</v>
      </c>
      <c r="R18" s="138">
        <f t="shared" si="11"/>
        <v>0</v>
      </c>
      <c r="S18" s="138">
        <f t="shared" si="11"/>
        <v>0</v>
      </c>
      <c r="T18" s="138">
        <f t="shared" si="11"/>
        <v>0</v>
      </c>
      <c r="U18" s="139"/>
      <c r="V18" s="139"/>
      <c r="W18" s="120"/>
      <c r="X18" s="103"/>
    </row>
    <row r="19" spans="1:24">
      <c r="A19" s="369" t="s">
        <v>1674</v>
      </c>
      <c r="B19" s="135"/>
      <c r="C19" s="144">
        <v>0</v>
      </c>
      <c r="D19" s="144">
        <v>0</v>
      </c>
      <c r="E19" s="144">
        <v>0</v>
      </c>
      <c r="F19" s="144">
        <v>0</v>
      </c>
      <c r="G19" s="144">
        <v>0</v>
      </c>
      <c r="H19" s="144">
        <v>0</v>
      </c>
      <c r="I19" s="144">
        <v>0</v>
      </c>
      <c r="J19" s="144">
        <v>0</v>
      </c>
      <c r="K19" s="144">
        <v>0</v>
      </c>
      <c r="L19" s="145">
        <f t="shared" ref="L19" si="14">V19</f>
        <v>0</v>
      </c>
      <c r="M19" s="103"/>
      <c r="N19" s="120" t="str">
        <f t="shared" si="10"/>
        <v>Fixed</v>
      </c>
      <c r="O19" s="143"/>
      <c r="P19" s="143"/>
      <c r="Q19" s="146" t="s">
        <v>1810</v>
      </c>
      <c r="R19" s="147">
        <v>0</v>
      </c>
      <c r="S19" s="147">
        <v>0</v>
      </c>
      <c r="T19" s="147">
        <v>0</v>
      </c>
      <c r="U19" s="147"/>
      <c r="V19" s="147"/>
      <c r="W19" s="103"/>
      <c r="X19" s="103"/>
    </row>
    <row r="20" spans="1:24" ht="14.5">
      <c r="A20" s="371" t="s">
        <v>1581</v>
      </c>
      <c r="B20" s="156"/>
      <c r="C20" s="157"/>
      <c r="D20" s="157"/>
      <c r="E20" s="157"/>
      <c r="F20" s="158"/>
      <c r="G20" s="158"/>
      <c r="H20" s="570"/>
      <c r="I20" s="159"/>
      <c r="J20" s="159"/>
      <c r="K20" s="159"/>
      <c r="L20" s="159"/>
      <c r="M20" s="103"/>
      <c r="N20" s="103"/>
      <c r="O20" s="160"/>
      <c r="P20" s="160"/>
      <c r="Q20" s="160"/>
      <c r="R20" s="103"/>
      <c r="S20" s="103"/>
      <c r="T20" s="103"/>
      <c r="U20" s="103"/>
      <c r="V20" s="161"/>
      <c r="W20" s="103"/>
      <c r="X20" s="103"/>
    </row>
    <row r="21" spans="1:24">
      <c r="A21" s="65" t="s">
        <v>511</v>
      </c>
      <c r="B21" s="119"/>
      <c r="C21" s="130">
        <f>C7-C14</f>
        <v>1599257</v>
      </c>
      <c r="D21" s="130">
        <f>D7-D14</f>
        <v>2223163</v>
      </c>
      <c r="E21" s="130">
        <f>E7-E14</f>
        <v>4093687</v>
      </c>
      <c r="F21" s="130">
        <f t="shared" ref="F21:L21" si="15">F7-F14</f>
        <v>4069000</v>
      </c>
      <c r="G21" s="130">
        <f t="shared" si="15"/>
        <v>6630000</v>
      </c>
      <c r="H21" s="130">
        <f>H7-H14</f>
        <v>13606706</v>
      </c>
      <c r="I21" s="131">
        <f t="shared" si="15"/>
        <v>20904549.553054743</v>
      </c>
      <c r="J21" s="131">
        <f>J7-J14</f>
        <v>16469598.277810037</v>
      </c>
      <c r="K21" s="131">
        <f t="shared" si="15"/>
        <v>18844069.692927316</v>
      </c>
      <c r="L21" s="131">
        <f t="shared" si="15"/>
        <v>22518782.199577555</v>
      </c>
      <c r="M21" s="103"/>
      <c r="N21" s="119" t="s">
        <v>1633</v>
      </c>
      <c r="O21" s="133">
        <f>IFERROR(E21/E7,"")</f>
        <v>0.19075183590546485</v>
      </c>
      <c r="P21" s="133">
        <f>IFERROR(F21/F7,"")</f>
        <v>0.1655545609895028</v>
      </c>
      <c r="Q21" s="133">
        <f>IFERROR(G21/G7,"")</f>
        <v>0.2102359208523592</v>
      </c>
      <c r="R21" s="133">
        <f t="shared" ref="R21:T21" si="16">IFERROR(H21/H7,"")</f>
        <v>0.25280467458149863</v>
      </c>
      <c r="S21" s="133">
        <f t="shared" si="16"/>
        <v>0.25661719026116148</v>
      </c>
      <c r="T21" s="133">
        <f t="shared" si="16"/>
        <v>0.17085644981672773</v>
      </c>
      <c r="U21" s="133"/>
      <c r="V21" s="133"/>
      <c r="W21" s="103"/>
      <c r="X21" s="103"/>
    </row>
    <row r="22" spans="1:24" ht="14.5">
      <c r="A22" s="371" t="s">
        <v>1581</v>
      </c>
      <c r="B22" s="156"/>
      <c r="C22" s="158"/>
      <c r="D22" s="158"/>
      <c r="E22" s="158"/>
      <c r="F22" s="158"/>
      <c r="G22" s="158"/>
      <c r="H22" s="570"/>
      <c r="I22" s="159"/>
      <c r="J22" s="159"/>
      <c r="K22" s="159"/>
      <c r="L22" s="159"/>
      <c r="M22" s="103"/>
      <c r="N22" s="103"/>
      <c r="O22" s="103"/>
      <c r="P22" s="103"/>
      <c r="Q22" s="103"/>
      <c r="R22" s="103"/>
      <c r="S22" s="161"/>
      <c r="T22" s="103"/>
      <c r="U22" s="103"/>
      <c r="V22" s="103"/>
      <c r="W22" s="103"/>
      <c r="X22" s="103"/>
    </row>
    <row r="23" spans="1:24">
      <c r="A23" s="65" t="s">
        <v>1582</v>
      </c>
      <c r="B23" s="119"/>
      <c r="C23" s="130">
        <f>SUM(,C24:C27)</f>
        <v>2266597</v>
      </c>
      <c r="D23" s="130">
        <f t="shared" ref="D23:H23" si="17">SUM(,D24:D27)</f>
        <v>3855249</v>
      </c>
      <c r="E23" s="130">
        <f t="shared" si="17"/>
        <v>4481760</v>
      </c>
      <c r="F23" s="130">
        <f t="shared" si="17"/>
        <v>4138000</v>
      </c>
      <c r="G23" s="130">
        <f t="shared" si="17"/>
        <v>4636000</v>
      </c>
      <c r="H23" s="130">
        <f t="shared" si="17"/>
        <v>7110000</v>
      </c>
      <c r="I23" s="130">
        <f>SUM(,I24:I27)</f>
        <v>7021000</v>
      </c>
      <c r="J23" s="130">
        <f>SUM(,J24:J27)</f>
        <v>7639194.5756951794</v>
      </c>
      <c r="K23" s="130">
        <f>SUM(,K24:K27)</f>
        <v>7998198.6538938275</v>
      </c>
      <c r="L23" s="130">
        <f>SUM(,L24:L27)</f>
        <v>7981781.1364099933</v>
      </c>
      <c r="M23" s="103"/>
      <c r="N23" s="119" t="s">
        <v>1634</v>
      </c>
      <c r="O23" s="154">
        <f>IFERROR(E23/E$7,"")</f>
        <v>0.20883471259226125</v>
      </c>
      <c r="P23" s="154">
        <f t="shared" ref="P23:Q23" si="18">IFERROR(F23/F$7,"")</f>
        <v>0.16836194971112378</v>
      </c>
      <c r="Q23" s="154">
        <f t="shared" si="18"/>
        <v>0.14700659563673263</v>
      </c>
      <c r="R23" s="154">
        <f t="shared" ref="R23:T23" si="19">IFERROR(H23/H7,"")</f>
        <v>0.13209965999665571</v>
      </c>
      <c r="S23" s="154">
        <f t="shared" si="19"/>
        <v>8.6187424811568547E-2</v>
      </c>
      <c r="T23" s="154">
        <f t="shared" si="19"/>
        <v>7.9249392890233583E-2</v>
      </c>
      <c r="U23" s="154"/>
      <c r="V23" s="154"/>
      <c r="W23" s="103"/>
      <c r="X23" s="103"/>
    </row>
    <row r="24" spans="1:24">
      <c r="A24" s="369" t="s">
        <v>1583</v>
      </c>
      <c r="B24" s="135"/>
      <c r="C24" s="136">
        <f>'Earning Forecast'!B43</f>
        <v>1432189</v>
      </c>
      <c r="D24" s="136">
        <f>'Earning Forecast'!C43</f>
        <v>2476500</v>
      </c>
      <c r="E24" s="136">
        <f>'Earning Forecast'!D43</f>
        <v>2834491</v>
      </c>
      <c r="F24" s="136">
        <f>'Earning Forecast'!E43</f>
        <v>2795000</v>
      </c>
      <c r="G24" s="136">
        <f>'Earning Forecast'!F43</f>
        <v>3145000</v>
      </c>
      <c r="H24" s="136">
        <f>'Earning Forecast'!G43</f>
        <v>4517000</v>
      </c>
      <c r="I24" s="136">
        <f>'Earning Forecast'!H43</f>
        <v>3946000</v>
      </c>
      <c r="J24" s="136">
        <f>'Earning Forecast'!I43</f>
        <v>4293442.7853145106</v>
      </c>
      <c r="K24" s="136">
        <f>'Earning Forecast'!J43</f>
        <v>4495213.2015759926</v>
      </c>
      <c r="L24" s="136">
        <f>'Earning Forecast'!K43</f>
        <v>4485986.0937578455</v>
      </c>
      <c r="M24" s="103"/>
      <c r="N24" s="155" t="str">
        <f t="shared" ref="N24:N27" si="20">A24</f>
        <v>Selling General &amp; Admin Exp.</v>
      </c>
      <c r="O24" s="138">
        <f>IFERROR(E24/E$7,"")</f>
        <v>0.13207760195332885</v>
      </c>
      <c r="P24" s="138">
        <f t="shared" ref="P24:T26" si="21">IFERROR(F24/F$7,"")</f>
        <v>0.11371958662218244</v>
      </c>
      <c r="Q24" s="138">
        <f t="shared" si="21"/>
        <v>9.9727295788939629E-2</v>
      </c>
      <c r="R24" s="138">
        <f t="shared" si="21"/>
        <v>8.3923229845976624E-2</v>
      </c>
      <c r="S24" s="138">
        <f t="shared" si="21"/>
        <v>4.843976332523138E-2</v>
      </c>
      <c r="T24" s="138">
        <f t="shared" si="21"/>
        <v>4.4540393725233121E-2</v>
      </c>
      <c r="U24" s="139"/>
      <c r="V24" s="139"/>
      <c r="W24" s="103"/>
      <c r="X24" s="103"/>
    </row>
    <row r="25" spans="1:24">
      <c r="A25" s="369" t="s">
        <v>770</v>
      </c>
      <c r="B25" s="135"/>
      <c r="C25" s="142">
        <v>0</v>
      </c>
      <c r="D25" s="142">
        <v>0</v>
      </c>
      <c r="E25" s="142">
        <v>0</v>
      </c>
      <c r="F25" s="142">
        <v>0</v>
      </c>
      <c r="G25" s="142">
        <v>0</v>
      </c>
      <c r="H25" s="142">
        <v>0</v>
      </c>
      <c r="I25" s="142">
        <v>0</v>
      </c>
      <c r="J25" s="142">
        <v>0</v>
      </c>
      <c r="K25" s="142">
        <v>0</v>
      </c>
      <c r="L25" s="142">
        <v>0</v>
      </c>
      <c r="M25" s="103"/>
      <c r="N25" s="120" t="str">
        <f t="shared" si="20"/>
        <v>Depreciation &amp; Amort.</v>
      </c>
      <c r="O25" s="138">
        <f t="shared" ref="O25:O26" si="22">IFERROR(E25/E$7,"")</f>
        <v>0</v>
      </c>
      <c r="P25" s="138">
        <f t="shared" si="21"/>
        <v>0</v>
      </c>
      <c r="Q25" s="138">
        <f t="shared" si="21"/>
        <v>0</v>
      </c>
      <c r="R25" s="138">
        <f t="shared" si="21"/>
        <v>0</v>
      </c>
      <c r="S25" s="138">
        <f t="shared" si="21"/>
        <v>0</v>
      </c>
      <c r="T25" s="138">
        <f t="shared" si="21"/>
        <v>0</v>
      </c>
      <c r="U25" s="139"/>
      <c r="V25" s="139"/>
      <c r="W25" s="103"/>
      <c r="X25" s="103"/>
    </row>
    <row r="26" spans="1:24">
      <c r="A26" s="369" t="s">
        <v>1675</v>
      </c>
      <c r="B26" s="135"/>
      <c r="C26" s="136">
        <f>'Earning Forecast'!B45</f>
        <v>834408</v>
      </c>
      <c r="D26" s="136">
        <f>'Earning Forecast'!C45</f>
        <v>1378073</v>
      </c>
      <c r="E26" s="136">
        <f>'Earning Forecast'!D45</f>
        <v>1460370</v>
      </c>
      <c r="F26" s="136">
        <f>'Earning Forecast'!E45</f>
        <v>1343000</v>
      </c>
      <c r="G26" s="136">
        <f>'Earning Forecast'!F45</f>
        <v>1491000</v>
      </c>
      <c r="H26" s="136">
        <f>'Earning Forecast'!G45</f>
        <v>2593000</v>
      </c>
      <c r="I26" s="136">
        <f>'Earning Forecast'!H45</f>
        <v>3075000</v>
      </c>
      <c r="J26" s="136">
        <f>'Earning Forecast'!I45</f>
        <v>3345751.7903806688</v>
      </c>
      <c r="K26" s="136">
        <f>'Earning Forecast'!J45</f>
        <v>3502985.4523178348</v>
      </c>
      <c r="L26" s="136">
        <f>'Earning Forecast'!K45</f>
        <v>3495795.0426521478</v>
      </c>
      <c r="M26" s="103"/>
      <c r="N26" s="120" t="str">
        <f t="shared" si="20"/>
        <v>R&amp;D</v>
      </c>
      <c r="O26" s="138">
        <f t="shared" si="22"/>
        <v>6.8048255423842546E-2</v>
      </c>
      <c r="P26" s="138">
        <f t="shared" si="21"/>
        <v>5.4642363088941333E-2</v>
      </c>
      <c r="Q26" s="138">
        <f t="shared" si="21"/>
        <v>4.7279299847792999E-2</v>
      </c>
      <c r="R26" s="138">
        <f t="shared" si="21"/>
        <v>4.817643015067908E-2</v>
      </c>
      <c r="S26" s="138">
        <f t="shared" si="21"/>
        <v>3.7747661486337174E-2</v>
      </c>
      <c r="T26" s="138">
        <f t="shared" si="21"/>
        <v>3.4708999165000469E-2</v>
      </c>
      <c r="U26" s="139"/>
      <c r="V26" s="139"/>
      <c r="W26" s="103"/>
      <c r="X26" s="103"/>
    </row>
    <row r="27" spans="1:24">
      <c r="A27" s="369" t="s">
        <v>1584</v>
      </c>
      <c r="B27" s="135"/>
      <c r="C27" s="144">
        <v>0</v>
      </c>
      <c r="D27" s="144">
        <v>676</v>
      </c>
      <c r="E27" s="144">
        <v>186899</v>
      </c>
      <c r="F27" s="144">
        <v>0</v>
      </c>
      <c r="G27" s="144">
        <v>0</v>
      </c>
      <c r="H27" s="569">
        <f>R27</f>
        <v>0</v>
      </c>
      <c r="I27" s="145">
        <f t="shared" ref="I27:L27" si="23">S27</f>
        <v>0</v>
      </c>
      <c r="J27" s="145">
        <f t="shared" si="23"/>
        <v>0</v>
      </c>
      <c r="K27" s="145">
        <f t="shared" si="23"/>
        <v>0</v>
      </c>
      <c r="L27" s="145">
        <f t="shared" si="23"/>
        <v>0</v>
      </c>
      <c r="M27" s="103"/>
      <c r="N27" s="120" t="str">
        <f t="shared" si="20"/>
        <v>Manual Adjustments</v>
      </c>
      <c r="O27" s="143"/>
      <c r="P27" s="143"/>
      <c r="Q27" s="146" t="s">
        <v>1810</v>
      </c>
      <c r="R27" s="147">
        <v>0</v>
      </c>
      <c r="S27" s="147">
        <v>0</v>
      </c>
      <c r="T27" s="147">
        <v>0</v>
      </c>
      <c r="U27" s="147">
        <v>0</v>
      </c>
      <c r="V27" s="147">
        <v>0</v>
      </c>
      <c r="W27" s="103"/>
      <c r="X27" s="103"/>
    </row>
    <row r="28" spans="1:24" ht="14.5">
      <c r="A28" s="371" t="s">
        <v>1581</v>
      </c>
      <c r="B28" s="156"/>
      <c r="C28" s="157"/>
      <c r="D28" s="157"/>
      <c r="E28" s="49"/>
      <c r="F28" s="49"/>
      <c r="G28" s="49"/>
      <c r="H28" s="570"/>
      <c r="I28" s="159"/>
      <c r="J28" s="159"/>
      <c r="K28" s="159"/>
      <c r="L28" s="159"/>
      <c r="M28" s="103"/>
      <c r="N28" s="103"/>
      <c r="O28" s="103"/>
      <c r="P28" s="103"/>
      <c r="Q28" s="103"/>
      <c r="R28" s="161"/>
      <c r="S28" s="161"/>
      <c r="T28" s="161"/>
      <c r="U28" s="161"/>
      <c r="V28" s="161"/>
      <c r="W28" s="103"/>
      <c r="X28" s="103"/>
    </row>
    <row r="29" spans="1:24">
      <c r="A29" s="65" t="s">
        <v>532</v>
      </c>
      <c r="B29" s="119"/>
      <c r="C29" s="130">
        <f>C21-C23</f>
        <v>-667340</v>
      </c>
      <c r="D29" s="130">
        <f>D21-D23</f>
        <v>-1632086</v>
      </c>
      <c r="E29" s="130">
        <f t="shared" ref="E29:L29" si="24">E21-E23</f>
        <v>-388073</v>
      </c>
      <c r="F29" s="130">
        <f t="shared" si="24"/>
        <v>-69000</v>
      </c>
      <c r="G29" s="130">
        <f t="shared" si="24"/>
        <v>1994000</v>
      </c>
      <c r="H29" s="130">
        <f t="shared" si="24"/>
        <v>6496706</v>
      </c>
      <c r="I29" s="131">
        <f t="shared" si="24"/>
        <v>13883549.553054743</v>
      </c>
      <c r="J29" s="131">
        <f t="shared" si="24"/>
        <v>8830403.7021148577</v>
      </c>
      <c r="K29" s="131">
        <f t="shared" si="24"/>
        <v>10845871.039033487</v>
      </c>
      <c r="L29" s="131">
        <f t="shared" si="24"/>
        <v>14537001.063167561</v>
      </c>
      <c r="M29" s="163"/>
      <c r="N29" s="119" t="s">
        <v>1635</v>
      </c>
      <c r="O29" s="154">
        <f t="shared" ref="O29:T29" si="25">IFERROR(E29/E7,"")</f>
        <v>-1.8082876686796392E-2</v>
      </c>
      <c r="P29" s="154">
        <f t="shared" si="25"/>
        <v>-2.8073887216209618E-3</v>
      </c>
      <c r="Q29" s="154">
        <f t="shared" si="25"/>
        <v>6.3229325215626589E-2</v>
      </c>
      <c r="R29" s="154">
        <f t="shared" si="25"/>
        <v>0.12070501458484291</v>
      </c>
      <c r="S29" s="154">
        <f t="shared" si="25"/>
        <v>0.1704297654495929</v>
      </c>
      <c r="T29" s="154">
        <f t="shared" si="25"/>
        <v>9.1607056926494138E-2</v>
      </c>
      <c r="U29" s="154"/>
      <c r="V29" s="154"/>
      <c r="W29" s="103"/>
      <c r="X29" s="103"/>
    </row>
    <row r="30" spans="1:24">
      <c r="A30" s="65" t="s">
        <v>1676</v>
      </c>
      <c r="B30" s="119"/>
      <c r="C30" s="136">
        <f>'Earning Forecast'!B49</f>
        <v>190280</v>
      </c>
      <c r="D30" s="136">
        <f>'Earning Forecast'!C49</f>
        <v>451573</v>
      </c>
      <c r="E30" s="136">
        <f>'Earning Forecast'!D49</f>
        <v>638538</v>
      </c>
      <c r="F30" s="136">
        <f>'Earning Forecast'!E49</f>
        <v>641000</v>
      </c>
      <c r="G30" s="136">
        <f>'Earning Forecast'!F49</f>
        <v>718000</v>
      </c>
      <c r="H30" s="136">
        <f>'Earning Forecast'!G49</f>
        <v>371000</v>
      </c>
      <c r="I30" s="136">
        <f>'Earning Forecast'!H49</f>
        <v>191000</v>
      </c>
      <c r="J30" s="136">
        <f>'Earning Forecast'!I49</f>
        <v>171900</v>
      </c>
      <c r="K30" s="136">
        <f>'Earning Forecast'!J49</f>
        <v>154710</v>
      </c>
      <c r="L30" s="136">
        <f>'Earning Forecast'!K49</f>
        <v>139239</v>
      </c>
      <c r="M30" s="103"/>
      <c r="N30" s="120" t="str">
        <f>A30</f>
        <v>Financial Cost</v>
      </c>
      <c r="O30" s="138">
        <f t="shared" ref="O30:T30" si="26">IFERROR(E30/E$7,"")</f>
        <v>2.9753690449563858E-2</v>
      </c>
      <c r="P30" s="138">
        <f t="shared" si="26"/>
        <v>2.6080234355928066E-2</v>
      </c>
      <c r="Q30" s="138">
        <f t="shared" si="26"/>
        <v>2.2767630644342972E-2</v>
      </c>
      <c r="R30" s="138">
        <f t="shared" si="26"/>
        <v>6.8929639745090388E-3</v>
      </c>
      <c r="S30" s="138">
        <f t="shared" si="26"/>
        <v>2.3446514939480978E-3</v>
      </c>
      <c r="T30" s="138">
        <f t="shared" si="26"/>
        <v>1.7832993390656555E-3</v>
      </c>
      <c r="U30" s="139"/>
      <c r="V30" s="139"/>
      <c r="W30" s="103"/>
      <c r="X30" s="103"/>
    </row>
    <row r="31" spans="1:24" ht="14.5">
      <c r="A31" s="371" t="s">
        <v>1581</v>
      </c>
      <c r="B31" s="156"/>
      <c r="C31" s="158"/>
      <c r="D31" s="158"/>
      <c r="E31" s="158"/>
      <c r="F31" s="158"/>
      <c r="G31" s="158"/>
      <c r="H31" s="570"/>
      <c r="I31" s="159"/>
      <c r="J31" s="159"/>
      <c r="K31" s="159"/>
      <c r="L31" s="159"/>
      <c r="M31" s="103"/>
      <c r="N31" s="103"/>
      <c r="O31" s="103"/>
      <c r="P31" s="103"/>
      <c r="Q31" s="103"/>
      <c r="R31" s="103"/>
      <c r="S31" s="103"/>
      <c r="T31" s="103"/>
      <c r="U31" s="103"/>
      <c r="V31" s="103"/>
      <c r="W31" s="103"/>
      <c r="X31" s="103"/>
    </row>
    <row r="32" spans="1:24" ht="14.5">
      <c r="A32" s="49" t="s">
        <v>1678</v>
      </c>
      <c r="B32" s="103"/>
      <c r="C32" s="136">
        <f>'Earning Forecast'!B55</f>
        <v>-111272</v>
      </c>
      <c r="D32" s="136">
        <f>'Earning Forecast'!C55</f>
        <v>125373</v>
      </c>
      <c r="E32" s="136">
        <f>'Earning Forecast'!D55</f>
        <v>-21866</v>
      </c>
      <c r="F32" s="136">
        <f>'Earning Forecast'!E55</f>
        <v>-45000</v>
      </c>
      <c r="G32" s="136">
        <f>'Earning Forecast'!F55</f>
        <v>122000</v>
      </c>
      <c r="H32" s="136">
        <f>'Earning Forecast'!G55</f>
        <v>-217000</v>
      </c>
      <c r="I32" s="136">
        <f>'Earning Forecast'!H55</f>
        <v>-76991</v>
      </c>
      <c r="J32" s="136">
        <f>'Earning Forecast'!I55</f>
        <v>-125625</v>
      </c>
      <c r="K32" s="136">
        <f>'Earning Forecast'!J55</f>
        <v>-125624</v>
      </c>
      <c r="L32" s="136">
        <f>'Earning Forecast'!K55</f>
        <v>-125623</v>
      </c>
      <c r="M32" s="103"/>
      <c r="N32" s="120" t="str">
        <f t="shared" ref="N32" si="27">A32</f>
        <v>Other income/(expense), net</v>
      </c>
      <c r="O32" s="164"/>
      <c r="P32" s="164"/>
      <c r="Q32" s="164"/>
      <c r="R32" s="147"/>
      <c r="S32" s="147"/>
      <c r="T32" s="147"/>
      <c r="U32" s="147"/>
      <c r="V32" s="147"/>
      <c r="W32" s="103"/>
      <c r="X32" s="156"/>
    </row>
    <row r="33" spans="1:24" ht="14.5">
      <c r="A33" s="371" t="s">
        <v>1581</v>
      </c>
      <c r="B33" s="156"/>
      <c r="C33" s="157"/>
      <c r="D33" s="157"/>
      <c r="E33" s="157"/>
      <c r="F33" s="157"/>
      <c r="G33" s="165"/>
      <c r="H33" s="571"/>
      <c r="I33" s="166"/>
      <c r="J33" s="166"/>
      <c r="K33" s="166"/>
      <c r="L33" s="166"/>
      <c r="M33" s="103"/>
      <c r="N33" s="120"/>
      <c r="O33" s="164"/>
      <c r="P33" s="164"/>
      <c r="Q33" s="164"/>
      <c r="R33" s="164"/>
      <c r="S33" s="164"/>
      <c r="T33" s="164"/>
      <c r="U33" s="164"/>
      <c r="V33" s="164"/>
      <c r="W33" s="103"/>
      <c r="X33" s="103"/>
    </row>
    <row r="34" spans="1:24">
      <c r="A34" s="121" t="s">
        <v>1679</v>
      </c>
      <c r="B34" s="120"/>
      <c r="C34" s="388">
        <f>C29-C30-C32</f>
        <v>-746348</v>
      </c>
      <c r="D34" s="388">
        <f>D29-D30-D32</f>
        <v>-2209032</v>
      </c>
      <c r="E34" s="388">
        <f>E29-E30-E32</f>
        <v>-1004745</v>
      </c>
      <c r="F34" s="388">
        <f>F29-F30-F32</f>
        <v>-665000</v>
      </c>
      <c r="G34" s="388">
        <f t="shared" ref="G34:J34" si="28">G29-G30-G32</f>
        <v>1154000</v>
      </c>
      <c r="H34" s="388">
        <f t="shared" si="28"/>
        <v>6342706</v>
      </c>
      <c r="I34" s="388">
        <f t="shared" si="28"/>
        <v>13769540.553054743</v>
      </c>
      <c r="J34" s="388">
        <f t="shared" si="28"/>
        <v>8784128.7021148577</v>
      </c>
      <c r="K34" s="388">
        <f>K29-K30-K32</f>
        <v>10816785.039033487</v>
      </c>
      <c r="L34" s="388">
        <f>L29-L30-L32</f>
        <v>14523385.063167561</v>
      </c>
      <c r="M34" s="103"/>
      <c r="N34" s="120" t="s">
        <v>1636</v>
      </c>
      <c r="O34" s="138" t="s">
        <v>1428</v>
      </c>
      <c r="P34" s="138" t="s">
        <v>1428</v>
      </c>
      <c r="Q34" s="138" t="s">
        <v>1428</v>
      </c>
      <c r="R34" s="138" t="s">
        <v>1428</v>
      </c>
      <c r="S34" s="138" t="s">
        <v>1428</v>
      </c>
      <c r="T34" s="138" t="s">
        <v>1428</v>
      </c>
      <c r="U34" s="143"/>
      <c r="V34" s="143"/>
      <c r="W34" s="103"/>
      <c r="X34" s="103"/>
    </row>
    <row r="35" spans="1:24" ht="14.5">
      <c r="A35" s="372" t="s">
        <v>1680</v>
      </c>
      <c r="B35" s="155"/>
      <c r="C35" s="136">
        <f>'Earning Forecast'!B57</f>
        <v>26698</v>
      </c>
      <c r="D35" s="136">
        <f>'Earning Forecast'!C57</f>
        <v>31546</v>
      </c>
      <c r="E35" s="136">
        <f>'Earning Forecast'!D57</f>
        <v>57837</v>
      </c>
      <c r="F35" s="136">
        <f>'Earning Forecast'!E57</f>
        <v>110000</v>
      </c>
      <c r="G35" s="136">
        <f>'Earning Forecast'!F57</f>
        <v>292000</v>
      </c>
      <c r="H35" s="136">
        <f>'Earning Forecast'!G57</f>
        <v>699000</v>
      </c>
      <c r="I35" s="136">
        <f>'Earning Forecast'!H57</f>
        <v>1132000</v>
      </c>
      <c r="J35" s="136">
        <f>'Earning Forecast'!I57</f>
        <v>978546.8249941672</v>
      </c>
      <c r="K35" s="136">
        <f>'Earning Forecast'!J57</f>
        <v>1303380.0174413584</v>
      </c>
      <c r="L35" s="136">
        <f>'Earning Forecast'!K57</f>
        <v>1733417.1719444641</v>
      </c>
      <c r="M35" s="103"/>
      <c r="N35" s="120" t="s">
        <v>1637</v>
      </c>
      <c r="O35" s="138">
        <f t="shared" ref="O35:T35" si="29">IFERROR(E35/E34,"")</f>
        <v>-5.7563859486735439E-2</v>
      </c>
      <c r="P35" s="138">
        <f t="shared" si="29"/>
        <v>-0.16541353383458646</v>
      </c>
      <c r="Q35" s="138">
        <f t="shared" si="29"/>
        <v>0.2530329289428076</v>
      </c>
      <c r="R35" s="138">
        <f t="shared" si="29"/>
        <v>0.11020532876661791</v>
      </c>
      <c r="S35" s="138">
        <f t="shared" si="29"/>
        <v>8.2210440910380864E-2</v>
      </c>
      <c r="T35" s="138">
        <f t="shared" si="29"/>
        <v>0.11139941799333761</v>
      </c>
      <c r="U35" s="139"/>
      <c r="V35" s="139"/>
      <c r="W35" s="103"/>
      <c r="X35" s="156"/>
    </row>
    <row r="36" spans="1:24" ht="14.5">
      <c r="A36" s="371" t="s">
        <v>1581</v>
      </c>
      <c r="B36" s="156"/>
      <c r="C36" s="157"/>
      <c r="D36" s="157"/>
      <c r="E36" s="157"/>
      <c r="F36" s="157"/>
      <c r="G36" s="167"/>
      <c r="H36" s="214"/>
      <c r="I36" s="137"/>
      <c r="J36" s="137"/>
      <c r="K36" s="137"/>
      <c r="L36" s="137"/>
      <c r="M36" s="103"/>
      <c r="N36" s="103"/>
      <c r="O36" s="103"/>
      <c r="P36" s="103"/>
      <c r="Q36" s="103"/>
      <c r="R36" s="103"/>
      <c r="S36" s="103"/>
      <c r="T36" s="103"/>
      <c r="U36" s="103"/>
      <c r="V36" s="103"/>
      <c r="W36" s="103"/>
      <c r="X36" s="103"/>
    </row>
    <row r="37" spans="1:24">
      <c r="A37" s="121" t="s">
        <v>1681</v>
      </c>
      <c r="B37" s="120"/>
      <c r="C37" s="136">
        <f>-'Earning Forecast'!B60</f>
        <v>98132</v>
      </c>
      <c r="D37" s="136">
        <f>-'Earning Forecast'!C60</f>
        <v>279178</v>
      </c>
      <c r="E37" s="136">
        <f>-'Earning Forecast'!D60</f>
        <v>86491</v>
      </c>
      <c r="F37" s="136">
        <f>-'Earning Forecast'!E60</f>
        <v>-87000</v>
      </c>
      <c r="G37" s="136">
        <f>-'Earning Forecast'!F60</f>
        <v>-141000</v>
      </c>
      <c r="H37" s="136">
        <f>-'Earning Forecast'!G60</f>
        <v>-125000</v>
      </c>
      <c r="I37" s="136">
        <f>-'Earning Forecast'!H60</f>
        <v>-31000</v>
      </c>
      <c r="J37" s="136">
        <f>-'Earning Forecast'!I60</f>
        <v>-32944.471504307461</v>
      </c>
      <c r="K37" s="136">
        <f>-'Earning Forecast'!J60</f>
        <v>-33903.446229320514</v>
      </c>
      <c r="L37" s="136">
        <f>-'Earning Forecast'!K60</f>
        <v>-34968.994445023498</v>
      </c>
      <c r="M37" s="103"/>
      <c r="N37" s="120" t="str">
        <f>A37</f>
        <v>Minority interest+Prefered share dividend</v>
      </c>
      <c r="O37" s="164"/>
      <c r="P37" s="164"/>
      <c r="Q37" s="164"/>
      <c r="R37" s="147"/>
      <c r="S37" s="147"/>
      <c r="T37" s="147"/>
      <c r="U37" s="147">
        <v>0</v>
      </c>
      <c r="V37" s="147">
        <v>0</v>
      </c>
      <c r="W37" s="103"/>
      <c r="X37" s="103"/>
    </row>
    <row r="38" spans="1:24" ht="14.5">
      <c r="A38" s="371" t="s">
        <v>1581</v>
      </c>
      <c r="B38" s="156"/>
      <c r="C38" s="157"/>
      <c r="D38" s="157"/>
      <c r="E38" s="157"/>
      <c r="F38" s="157"/>
      <c r="G38" s="157"/>
      <c r="H38" s="214"/>
      <c r="I38" s="137"/>
      <c r="J38" s="137"/>
      <c r="K38" s="137"/>
      <c r="L38" s="137"/>
      <c r="M38" s="103"/>
      <c r="N38" s="103"/>
      <c r="O38" s="103"/>
      <c r="P38" s="103"/>
      <c r="Q38" s="103"/>
      <c r="R38" s="103"/>
      <c r="S38" s="103"/>
      <c r="T38" s="103"/>
      <c r="U38" s="103"/>
      <c r="V38" s="103"/>
      <c r="W38" s="103"/>
      <c r="X38" s="103"/>
    </row>
    <row r="39" spans="1:24">
      <c r="A39" s="373" t="s">
        <v>1588</v>
      </c>
      <c r="B39" s="153"/>
      <c r="C39" s="168">
        <f>C34-C35+C37</f>
        <v>-674914</v>
      </c>
      <c r="D39" s="168">
        <f t="shared" ref="D39:K39" si="30">D34-D35+D37</f>
        <v>-1961400</v>
      </c>
      <c r="E39" s="168">
        <f>E34-E35+E37</f>
        <v>-976091</v>
      </c>
      <c r="F39" s="168">
        <f t="shared" si="30"/>
        <v>-862000</v>
      </c>
      <c r="G39" s="168">
        <f>G34-G35+G37</f>
        <v>721000</v>
      </c>
      <c r="H39" s="168">
        <f t="shared" si="30"/>
        <v>5518706</v>
      </c>
      <c r="I39" s="169">
        <f>I34-I35+I37</f>
        <v>12606540.553054743</v>
      </c>
      <c r="J39" s="169">
        <f t="shared" si="30"/>
        <v>7772637.4056163831</v>
      </c>
      <c r="K39" s="169">
        <f t="shared" si="30"/>
        <v>9479501.575362809</v>
      </c>
      <c r="L39" s="169">
        <f>L34-L35+L37</f>
        <v>12754998.896778073</v>
      </c>
      <c r="M39" s="119"/>
      <c r="N39" s="120" t="s">
        <v>1638</v>
      </c>
      <c r="O39" s="138">
        <f t="shared" ref="O39:T39" si="31">E39/E$7</f>
        <v>-4.5482507641840003E-2</v>
      </c>
      <c r="P39" s="138">
        <f t="shared" si="31"/>
        <v>-3.5072015623728539E-2</v>
      </c>
      <c r="Q39" s="138">
        <f t="shared" si="31"/>
        <v>2.2862760020294266E-2</v>
      </c>
      <c r="R39" s="138">
        <f t="shared" si="31"/>
        <v>0.10253434405365736</v>
      </c>
      <c r="S39" s="138">
        <f t="shared" si="31"/>
        <v>0.15475363424731456</v>
      </c>
      <c r="T39" s="138">
        <f t="shared" si="31"/>
        <v>8.0633735591813194E-2</v>
      </c>
      <c r="U39" s="143"/>
      <c r="V39" s="143"/>
      <c r="W39" s="119"/>
      <c r="X39" s="119"/>
    </row>
    <row r="40" spans="1:24" ht="14.5">
      <c r="A40" s="371" t="s">
        <v>1581</v>
      </c>
      <c r="B40" s="156"/>
      <c r="C40" s="157"/>
      <c r="D40" s="157"/>
      <c r="E40" s="157"/>
      <c r="F40" s="170"/>
      <c r="G40" s="170"/>
      <c r="H40" s="570"/>
      <c r="I40" s="159"/>
      <c r="J40" s="159"/>
      <c r="K40" s="159"/>
      <c r="L40" s="159"/>
      <c r="M40" s="103"/>
      <c r="N40" s="103"/>
      <c r="O40" s="103"/>
      <c r="P40" s="103"/>
      <c r="Q40" s="103"/>
      <c r="R40" s="103"/>
      <c r="S40" s="103"/>
      <c r="T40" s="103"/>
      <c r="U40" s="103"/>
      <c r="V40" s="103"/>
      <c r="W40" s="103"/>
      <c r="X40" s="103"/>
    </row>
    <row r="41" spans="1:24" ht="20">
      <c r="A41" s="368" t="s">
        <v>1590</v>
      </c>
      <c r="B41" s="123"/>
      <c r="C41" s="124"/>
      <c r="D41" s="124"/>
      <c r="E41" s="124"/>
      <c r="F41" s="124"/>
      <c r="G41" s="124"/>
      <c r="H41" s="572"/>
      <c r="I41" s="128"/>
      <c r="J41" s="128"/>
      <c r="K41" s="128"/>
      <c r="L41" s="128"/>
      <c r="M41" s="129"/>
      <c r="N41" s="118" t="s">
        <v>1613</v>
      </c>
      <c r="O41" s="129"/>
      <c r="P41" s="129"/>
      <c r="Q41" s="129"/>
      <c r="R41" s="129"/>
      <c r="S41" s="129"/>
      <c r="T41" s="129"/>
      <c r="U41" s="129"/>
      <c r="V41" s="129"/>
      <c r="W41" s="129"/>
      <c r="X41" s="129"/>
    </row>
    <row r="42" spans="1:24">
      <c r="A42" s="121" t="s">
        <v>877</v>
      </c>
      <c r="B42" s="218">
        <f>1196908</f>
        <v>1196908</v>
      </c>
      <c r="C42" s="136">
        <f>'Fin Sta as rep'!C44</f>
        <v>3393216</v>
      </c>
      <c r="D42" s="136">
        <f>'Fin Sta as rep'!D44</f>
        <v>3367914</v>
      </c>
      <c r="E42" s="136">
        <f>'Fin Sta as rep'!E44</f>
        <v>3686000</v>
      </c>
      <c r="F42" s="136">
        <f>'Fin Sta as rep'!F44</f>
        <v>6268000</v>
      </c>
      <c r="G42" s="136">
        <f>'Fin Sta as rep'!G44</f>
        <v>19384000</v>
      </c>
      <c r="H42" s="570">
        <f>H106</f>
        <v>18598655.643456586</v>
      </c>
      <c r="I42" s="159">
        <f>I106</f>
        <v>16975922.297589108</v>
      </c>
      <c r="J42" s="159">
        <f>J106</f>
        <v>10993823.171215933</v>
      </c>
      <c r="K42" s="159">
        <f>K106</f>
        <v>5169334.9200512683</v>
      </c>
      <c r="L42" s="159">
        <f>L106</f>
        <v>612911.98295168672</v>
      </c>
      <c r="M42" s="103"/>
      <c r="N42" s="171" t="s">
        <v>1591</v>
      </c>
      <c r="O42" s="103"/>
      <c r="P42" s="103"/>
      <c r="Q42" s="103"/>
      <c r="R42" s="103"/>
      <c r="S42" s="103"/>
      <c r="T42" s="103"/>
      <c r="U42" s="103"/>
      <c r="V42" s="103"/>
      <c r="W42" s="103"/>
      <c r="X42" s="103"/>
    </row>
    <row r="43" spans="1:24">
      <c r="A43" s="121" t="s">
        <v>788</v>
      </c>
      <c r="B43" s="120"/>
      <c r="C43" s="136">
        <f>'Fin Sta as rep'!C45</f>
        <v>499142</v>
      </c>
      <c r="D43" s="136">
        <f>'Fin Sta as rep'!D45</f>
        <v>515381</v>
      </c>
      <c r="E43" s="136">
        <f>'Fin Sta as rep'!E45</f>
        <v>949000</v>
      </c>
      <c r="F43" s="136">
        <f>'Fin Sta as rep'!F45</f>
        <v>1324000</v>
      </c>
      <c r="G43" s="136">
        <f>'Fin Sta as rep'!G45</f>
        <v>1886000</v>
      </c>
      <c r="H43" s="570">
        <f>G43*(H7/G7)*0.7</f>
        <v>2253206.6400304409</v>
      </c>
      <c r="I43" s="159">
        <f>H43*(I7/H7)*0.7</f>
        <v>2387185.8409436834</v>
      </c>
      <c r="J43" s="159">
        <f>I43*(J7/I7)*0.7</f>
        <v>1977337.6220039069</v>
      </c>
      <c r="K43" s="159">
        <f>J43*(K7/J7)</f>
        <v>2274948.5667737941</v>
      </c>
      <c r="L43" s="159">
        <f>K43*(L7/K7)</f>
        <v>2508732.9255519449</v>
      </c>
      <c r="M43" s="103"/>
      <c r="N43" s="171" t="s">
        <v>2125</v>
      </c>
      <c r="O43" s="172" t="s">
        <v>2126</v>
      </c>
      <c r="P43" s="103"/>
      <c r="Q43" s="103"/>
      <c r="R43" s="103"/>
      <c r="S43" s="103"/>
      <c r="T43" s="103"/>
      <c r="U43" s="103"/>
      <c r="V43" s="103"/>
      <c r="W43" s="103"/>
      <c r="X43" s="103"/>
    </row>
    <row r="44" spans="1:24">
      <c r="A44" s="121" t="s">
        <v>696</v>
      </c>
      <c r="B44" s="120"/>
      <c r="C44" s="136">
        <f>'Fin Sta as rep'!C46</f>
        <v>2067454</v>
      </c>
      <c r="D44" s="136">
        <f>'Fin Sta as rep'!D46</f>
        <v>2263537</v>
      </c>
      <c r="E44" s="136">
        <f>'Fin Sta as rep'!E46</f>
        <v>3113000</v>
      </c>
      <c r="F44" s="136">
        <f>'Fin Sta as rep'!F46</f>
        <v>3552000</v>
      </c>
      <c r="G44" s="136">
        <f>'Fin Sta as rep'!G46</f>
        <v>4101000</v>
      </c>
      <c r="H44" s="570">
        <f>G44*(H14/G14)</f>
        <v>6621979.5107203089</v>
      </c>
      <c r="I44" s="159">
        <f>H44*(I14/H14)</f>
        <v>9971336.3961664923</v>
      </c>
      <c r="J44" s="159">
        <f>I44*(J14/I14)</f>
        <v>13160340.934858587</v>
      </c>
      <c r="K44" s="159">
        <f>J44*(K14/J14)</f>
        <v>15158303.887029987</v>
      </c>
      <c r="L44" s="159">
        <f>K44*(L14/K14)</f>
        <v>16429830.363919755</v>
      </c>
      <c r="M44" s="103"/>
      <c r="N44" s="171" t="s">
        <v>2127</v>
      </c>
      <c r="O44" s="103"/>
      <c r="P44" s="103"/>
      <c r="Q44" s="103"/>
      <c r="R44" s="103"/>
      <c r="S44" s="103"/>
      <c r="T44" s="103"/>
      <c r="U44" s="103"/>
      <c r="V44" s="103"/>
      <c r="W44" s="103"/>
      <c r="X44" s="103"/>
    </row>
    <row r="45" spans="1:24">
      <c r="A45" s="121" t="s">
        <v>1069</v>
      </c>
      <c r="B45" s="120"/>
      <c r="C45" s="136">
        <f>SUM('Fin Sta as rep'!C47:C48)</f>
        <v>299984</v>
      </c>
      <c r="D45" s="136">
        <f>SUM('Fin Sta as rep'!D47:D48)</f>
        <v>423688</v>
      </c>
      <c r="E45" s="136">
        <f>SUM('Fin Sta as rep'!E47:E48)</f>
        <v>559000</v>
      </c>
      <c r="F45" s="136">
        <f>SUM('Fin Sta as rep'!F47:F48)</f>
        <v>959000</v>
      </c>
      <c r="G45" s="136">
        <f>SUM('Fin Sta as rep'!G47:G48)</f>
        <v>1346000</v>
      </c>
      <c r="H45" s="573">
        <f>G45*(H23/G23)</f>
        <v>2064292.4935289042</v>
      </c>
      <c r="I45" s="173">
        <f>H45*(I23/H23)</f>
        <v>2038452.5452976704</v>
      </c>
      <c r="J45" s="173">
        <f>I45*(J23/I23)</f>
        <v>2217936.9928571424</v>
      </c>
      <c r="K45" s="173">
        <f>J45*(K23/J23)</f>
        <v>2322168.9793229275</v>
      </c>
      <c r="L45" s="173">
        <f>K45*(L23/K23)</f>
        <v>2317402.3748075608</v>
      </c>
      <c r="M45" s="103"/>
      <c r="N45" s="171" t="s">
        <v>2128</v>
      </c>
      <c r="O45" s="103"/>
      <c r="P45" s="103"/>
      <c r="Q45" s="103"/>
      <c r="R45" s="103"/>
      <c r="S45" s="103"/>
      <c r="T45" s="103"/>
      <c r="U45" s="103"/>
      <c r="V45" s="103"/>
      <c r="W45" s="103"/>
      <c r="X45" s="103"/>
    </row>
    <row r="46" spans="1:24">
      <c r="A46" s="373" t="s">
        <v>1071</v>
      </c>
      <c r="B46" s="153"/>
      <c r="C46" s="175">
        <f>SUM(C42:C45)</f>
        <v>6259796</v>
      </c>
      <c r="D46" s="175">
        <f t="shared" ref="D46:L46" si="32">SUM(D42:D45)</f>
        <v>6570520</v>
      </c>
      <c r="E46" s="175">
        <f t="shared" si="32"/>
        <v>8307000</v>
      </c>
      <c r="F46" s="175">
        <f t="shared" si="32"/>
        <v>12103000</v>
      </c>
      <c r="G46" s="175">
        <f t="shared" si="32"/>
        <v>26717000</v>
      </c>
      <c r="H46" s="175">
        <f>SUM(H42:H45)</f>
        <v>29538134.287736237</v>
      </c>
      <c r="I46" s="176">
        <f t="shared" si="32"/>
        <v>31372897.079996955</v>
      </c>
      <c r="J46" s="176">
        <f>SUM(J42:J45)</f>
        <v>28349438.720935568</v>
      </c>
      <c r="K46" s="176">
        <f t="shared" si="32"/>
        <v>24924756.353177976</v>
      </c>
      <c r="L46" s="176">
        <f t="shared" si="32"/>
        <v>21868877.647230946</v>
      </c>
      <c r="M46" s="103"/>
      <c r="N46" s="103"/>
      <c r="O46" s="103"/>
      <c r="P46" s="103"/>
      <c r="Q46" s="103"/>
      <c r="R46" s="103"/>
      <c r="S46" s="103"/>
      <c r="T46" s="103"/>
      <c r="U46" s="103"/>
      <c r="V46" s="103"/>
      <c r="W46" s="103"/>
      <c r="X46" s="103"/>
    </row>
    <row r="47" spans="1:24" ht="14.5">
      <c r="A47" s="371" t="s">
        <v>1581</v>
      </c>
      <c r="B47" s="156"/>
      <c r="C47" s="157"/>
      <c r="D47" s="157"/>
      <c r="E47" s="157"/>
      <c r="F47" s="158"/>
      <c r="G47" s="158"/>
      <c r="H47" s="570"/>
      <c r="I47" s="159"/>
      <c r="J47" s="159"/>
      <c r="K47" s="159"/>
      <c r="L47" s="159"/>
      <c r="M47" s="103"/>
      <c r="N47" s="103"/>
      <c r="O47" s="103"/>
      <c r="P47" s="103"/>
      <c r="Q47" s="103"/>
      <c r="R47" s="103"/>
      <c r="S47" s="103"/>
      <c r="T47" s="103"/>
      <c r="U47" s="103"/>
      <c r="V47" s="103"/>
      <c r="W47" s="103"/>
      <c r="X47" s="103"/>
    </row>
    <row r="48" spans="1:24">
      <c r="A48" s="121" t="s">
        <v>1076</v>
      </c>
      <c r="B48" s="120"/>
      <c r="C48" s="136">
        <f>SUM('Fin Sta as rep'!C52,'Fin Sta as rep'!C56,'Fin Sta as rep'!C54)</f>
        <v>15036917</v>
      </c>
      <c r="D48" s="136">
        <f>SUM('Fin Sta as rep'!D52,'Fin Sta as rep'!D56,'Fin Sta as rep'!D54)</f>
        <v>20491616</v>
      </c>
      <c r="E48" s="136">
        <f>SUM('Fin Sta as rep'!E52,'Fin Sta as rep'!E56,'Fin Sta as rep'!E54)</f>
        <v>19691000</v>
      </c>
      <c r="F48" s="136">
        <f>SUM('Fin Sta as rep'!F52,'Fin Sta as rep'!F56,'Fin Sta as rep'!F54)</f>
        <v>18981000</v>
      </c>
      <c r="G48" s="136">
        <f>SUM('Fin Sta as rep'!G52,'Fin Sta as rep'!G56,'Fin Sta as rep'!G54)</f>
        <v>21817000</v>
      </c>
      <c r="H48" s="570">
        <f>G48-H76-H91</f>
        <v>26047266.60958904</v>
      </c>
      <c r="I48" s="159">
        <f>H48-I76-I91</f>
        <v>33031517.191780824</v>
      </c>
      <c r="J48" s="159">
        <f>I48-J76-J91</f>
        <v>41915478.979840584</v>
      </c>
      <c r="K48" s="159">
        <f>J48-K76-K91</f>
        <v>52778006.188313514</v>
      </c>
      <c r="L48" s="159">
        <f>K48-L76-L91</f>
        <v>65393431.192870006</v>
      </c>
      <c r="M48" s="103"/>
      <c r="N48" s="171" t="s">
        <v>2129</v>
      </c>
      <c r="O48" s="103"/>
      <c r="P48" s="103"/>
      <c r="Q48" s="103"/>
      <c r="R48" s="103"/>
      <c r="S48" s="103"/>
      <c r="T48" s="103"/>
      <c r="U48" s="103"/>
      <c r="V48" s="103"/>
      <c r="W48" s="103"/>
      <c r="X48" s="103"/>
    </row>
    <row r="49" spans="1:24" ht="14.5">
      <c r="A49" s="374" t="s">
        <v>1596</v>
      </c>
      <c r="B49" s="120"/>
      <c r="C49" s="136">
        <v>-1417000</v>
      </c>
      <c r="D49" s="136">
        <v>-2677000</v>
      </c>
      <c r="E49" s="136">
        <v>-3653000</v>
      </c>
      <c r="F49" s="136">
        <v>-4863000</v>
      </c>
      <c r="G49" s="136">
        <v>-6518000</v>
      </c>
      <c r="H49" s="570">
        <f>G49-H79</f>
        <v>-10541183.39041096</v>
      </c>
      <c r="I49" s="159">
        <f>H49-I79</f>
        <v>-15956232.808219181</v>
      </c>
      <c r="J49" s="159">
        <f>I49-J79</f>
        <v>-21711425.148209419</v>
      </c>
      <c r="K49" s="219">
        <f t="shared" ref="K49:L49" si="33">J49-K79</f>
        <v>-27664313.951479856</v>
      </c>
      <c r="L49" s="219">
        <f t="shared" si="33"/>
        <v>-33573839.039251566</v>
      </c>
      <c r="M49" s="103"/>
      <c r="N49" s="171"/>
      <c r="O49" s="103"/>
      <c r="P49" s="103"/>
      <c r="Q49" s="103"/>
      <c r="R49" s="103"/>
      <c r="S49" s="103"/>
      <c r="T49" s="103"/>
      <c r="U49" s="103"/>
      <c r="V49" s="103"/>
      <c r="W49" s="103"/>
      <c r="X49" s="103"/>
    </row>
    <row r="50" spans="1:24">
      <c r="A50" s="387" t="s">
        <v>2130</v>
      </c>
      <c r="B50" s="216"/>
      <c r="C50" s="144">
        <v>0</v>
      </c>
      <c r="D50" s="157">
        <v>0</v>
      </c>
      <c r="E50" s="158">
        <v>0</v>
      </c>
      <c r="F50" s="136">
        <f>'Fin Sta as rep'!F51</f>
        <v>1218000</v>
      </c>
      <c r="G50" s="136">
        <f>'Fin Sta as rep'!G51</f>
        <v>1558000</v>
      </c>
      <c r="H50" s="570">
        <f>G50-H78-H92</f>
        <v>1378000</v>
      </c>
      <c r="I50" s="159">
        <f>H50-I78-I92</f>
        <v>1198000</v>
      </c>
      <c r="J50" s="159">
        <f>I50-J78-J92</f>
        <v>1018000</v>
      </c>
      <c r="K50" s="159">
        <f>J50-K78-K92</f>
        <v>837999</v>
      </c>
      <c r="L50" s="159">
        <f>K50-L78-L92</f>
        <v>657997</v>
      </c>
      <c r="M50" s="103"/>
      <c r="N50" s="171" t="s">
        <v>2131</v>
      </c>
      <c r="O50" s="103"/>
      <c r="P50" s="103"/>
      <c r="Q50" s="103"/>
      <c r="R50" s="103"/>
      <c r="S50" s="103"/>
      <c r="T50" s="103"/>
      <c r="U50" s="103"/>
      <c r="V50" s="103"/>
      <c r="W50" s="103"/>
      <c r="X50" s="103"/>
    </row>
    <row r="51" spans="1:24">
      <c r="A51" s="121" t="s">
        <v>713</v>
      </c>
      <c r="B51" s="120"/>
      <c r="C51" s="144">
        <v>0</v>
      </c>
      <c r="D51" s="136">
        <f>'Fin Sta as rep'!D59</f>
        <v>60237</v>
      </c>
      <c r="E51" s="136">
        <f>'Fin Sta as rep'!E59</f>
        <v>68000</v>
      </c>
      <c r="F51" s="136">
        <f>'Fin Sta as rep'!F59</f>
        <v>198000</v>
      </c>
      <c r="G51" s="136">
        <f>'Fin Sta as rep'!G59</f>
        <v>207000</v>
      </c>
      <c r="H51" s="570">
        <f>G51</f>
        <v>207000</v>
      </c>
      <c r="I51" s="159">
        <f>H51</f>
        <v>207000</v>
      </c>
      <c r="J51" s="159">
        <f>I51</f>
        <v>207000</v>
      </c>
      <c r="K51" s="159">
        <f>J51</f>
        <v>207000</v>
      </c>
      <c r="L51" s="159">
        <f>K51</f>
        <v>207000</v>
      </c>
      <c r="M51" s="103"/>
      <c r="N51" s="171" t="s">
        <v>2132</v>
      </c>
      <c r="O51" s="103"/>
      <c r="P51" s="103"/>
      <c r="Q51" s="103"/>
      <c r="R51" s="103"/>
      <c r="S51" s="103"/>
      <c r="T51" s="103"/>
      <c r="U51" s="103"/>
      <c r="V51" s="103"/>
      <c r="W51" s="103"/>
      <c r="X51" s="103"/>
    </row>
    <row r="52" spans="1:24">
      <c r="A52" s="121" t="s">
        <v>902</v>
      </c>
      <c r="B52" s="120"/>
      <c r="C52" s="136">
        <f>'Fin Sta as rep'!C61</f>
        <v>376145</v>
      </c>
      <c r="D52" s="136">
        <f>'Fin Sta as rep'!D61</f>
        <v>361502</v>
      </c>
      <c r="E52" s="136">
        <f>'Fin Sta as rep'!E61</f>
        <v>282000</v>
      </c>
      <c r="F52" s="136">
        <f>'Fin Sta as rep'!F61</f>
        <v>339000</v>
      </c>
      <c r="G52" s="136">
        <f>'Fin Sta as rep'!G61</f>
        <v>313000</v>
      </c>
      <c r="H52" s="570">
        <f>G52-H77</f>
        <v>313000</v>
      </c>
      <c r="I52" s="159">
        <f>H52-I77</f>
        <v>313000</v>
      </c>
      <c r="J52" s="159">
        <f>I52-J77</f>
        <v>313000</v>
      </c>
      <c r="K52" s="159">
        <f>J52-K77</f>
        <v>313000</v>
      </c>
      <c r="L52" s="159">
        <f>K52-L77</f>
        <v>313000</v>
      </c>
      <c r="M52" s="103"/>
      <c r="N52" s="171" t="s">
        <v>2133</v>
      </c>
      <c r="O52" s="103"/>
      <c r="P52" s="103"/>
      <c r="Q52" s="103"/>
      <c r="R52" s="103"/>
      <c r="S52" s="103"/>
      <c r="T52" s="103"/>
      <c r="U52" s="103"/>
      <c r="V52" s="103"/>
      <c r="W52" s="103"/>
      <c r="X52" s="103"/>
    </row>
    <row r="53" spans="1:24">
      <c r="A53" s="121" t="s">
        <v>1081</v>
      </c>
      <c r="B53" s="120"/>
      <c r="C53" s="136">
        <f>SUM('Fin Sta as rep'!C64,'Fin Sta as rep'!C62)</f>
        <v>484916</v>
      </c>
      <c r="D53" s="136">
        <f>SUM('Fin Sta as rep'!D64,'Fin Sta as rep'!D62)</f>
        <v>714845</v>
      </c>
      <c r="E53" s="136">
        <f>SUM('Fin Sta as rep'!E64,'Fin Sta as rep'!E62)</f>
        <v>970000</v>
      </c>
      <c r="F53" s="136">
        <f>SUM('Fin Sta as rep'!F64,'Fin Sta as rep'!F62)</f>
        <v>1077000</v>
      </c>
      <c r="G53" s="136">
        <f>SUM('Fin Sta as rep'!G64,'Fin Sta as rep'!G62)</f>
        <v>1536000</v>
      </c>
      <c r="H53" s="570">
        <f>G53*(H7/G7)-H94</f>
        <v>2621515.9817351596</v>
      </c>
      <c r="I53" s="159">
        <f t="shared" ref="I53:J53" si="34">H53*(I7/H7)-I94</f>
        <v>3967707.7625570786</v>
      </c>
      <c r="J53" s="159">
        <f t="shared" si="34"/>
        <v>4695006.92133536</v>
      </c>
      <c r="K53" s="159">
        <f>J53*(K7/J7)</f>
        <v>5401656.827760403</v>
      </c>
      <c r="L53" s="159">
        <f>K53*(L7/K7)</f>
        <v>5956756.3567174254</v>
      </c>
      <c r="M53" s="103"/>
      <c r="N53" s="171" t="s">
        <v>2125</v>
      </c>
      <c r="O53" s="103"/>
      <c r="P53" s="103"/>
      <c r="Q53" s="103"/>
      <c r="R53" s="103"/>
      <c r="S53" s="103"/>
      <c r="T53" s="103"/>
      <c r="U53" s="103"/>
      <c r="V53" s="103"/>
      <c r="W53" s="103"/>
      <c r="X53" s="103"/>
    </row>
    <row r="54" spans="1:24">
      <c r="A54" s="372" t="s">
        <v>711</v>
      </c>
      <c r="B54" s="155"/>
      <c r="C54" s="136">
        <f>'Fin Sta as rep'!C58</f>
        <v>506302</v>
      </c>
      <c r="D54" s="136">
        <f>'Fin Sta as rep'!D58</f>
        <v>456652</v>
      </c>
      <c r="E54" s="136">
        <f>'Fin Sta as rep'!E58</f>
        <v>422000</v>
      </c>
      <c r="F54" s="136">
        <f>'Fin Sta as rep'!F58</f>
        <v>393000</v>
      </c>
      <c r="G54" s="136">
        <v>0</v>
      </c>
      <c r="H54" s="570">
        <f>G54-H93</f>
        <v>100000</v>
      </c>
      <c r="I54" s="159">
        <f>H54-I93</f>
        <v>200000</v>
      </c>
      <c r="J54" s="159">
        <f>I54-J93</f>
        <v>300000</v>
      </c>
      <c r="K54" s="159">
        <f>J54-K93</f>
        <v>400000</v>
      </c>
      <c r="L54" s="159">
        <f>K54-L93</f>
        <v>500000</v>
      </c>
      <c r="M54" s="103"/>
      <c r="N54" s="171" t="s">
        <v>2132</v>
      </c>
      <c r="O54" s="103"/>
      <c r="P54" s="103"/>
      <c r="Q54" s="103"/>
      <c r="R54" s="103"/>
      <c r="S54" s="103"/>
      <c r="T54" s="103"/>
      <c r="U54" s="103"/>
      <c r="V54" s="103"/>
      <c r="W54" s="103"/>
      <c r="X54" s="103"/>
    </row>
    <row r="55" spans="1:24">
      <c r="A55" s="375" t="s">
        <v>1085</v>
      </c>
      <c r="B55" s="177"/>
      <c r="C55" s="175">
        <f>SUM(C54,C53,C52,C51,C50,C48,C46)</f>
        <v>22664076</v>
      </c>
      <c r="D55" s="175">
        <f t="shared" ref="D55:L55" si="35">SUM(D54,D53,D52,D51,D50,D48,D46)</f>
        <v>28655372</v>
      </c>
      <c r="E55" s="175">
        <f t="shared" si="35"/>
        <v>29740000</v>
      </c>
      <c r="F55" s="175">
        <f t="shared" si="35"/>
        <v>34309000</v>
      </c>
      <c r="G55" s="175">
        <f t="shared" si="35"/>
        <v>52148000</v>
      </c>
      <c r="H55" s="175">
        <f>SUM(H54,H53,H52,H51,H50,H48,H46)</f>
        <v>60204916.879060432</v>
      </c>
      <c r="I55" s="176">
        <f t="shared" si="35"/>
        <v>70290122.034334853</v>
      </c>
      <c r="J55" s="176">
        <f t="shared" si="35"/>
        <v>76797924.622111514</v>
      </c>
      <c r="K55" s="176">
        <f t="shared" si="35"/>
        <v>84862418.369251892</v>
      </c>
      <c r="L55" s="176">
        <f t="shared" si="35"/>
        <v>94897062.196818382</v>
      </c>
      <c r="M55" s="103"/>
      <c r="N55" s="178"/>
      <c r="O55" s="103"/>
      <c r="P55" s="103"/>
      <c r="Q55" s="103"/>
      <c r="R55" s="103"/>
      <c r="S55" s="103"/>
      <c r="T55" s="103"/>
      <c r="U55" s="103"/>
      <c r="V55" s="103"/>
      <c r="W55" s="103"/>
      <c r="X55" s="103"/>
    </row>
    <row r="56" spans="1:24" ht="14.5">
      <c r="A56" s="371" t="s">
        <v>1581</v>
      </c>
      <c r="B56" s="156"/>
      <c r="C56" s="157"/>
      <c r="D56" s="157"/>
      <c r="E56" s="157"/>
      <c r="F56" s="170"/>
      <c r="G56" s="170"/>
      <c r="H56" s="570"/>
      <c r="I56" s="159"/>
      <c r="J56" s="159"/>
      <c r="K56" s="159"/>
      <c r="L56" s="159"/>
      <c r="M56" s="103"/>
      <c r="N56" s="103"/>
      <c r="O56" s="103"/>
      <c r="P56" s="103"/>
      <c r="Q56" s="103"/>
      <c r="R56" s="103"/>
      <c r="S56" s="103"/>
      <c r="T56" s="103"/>
      <c r="U56" s="103"/>
      <c r="V56" s="103"/>
      <c r="W56" s="103"/>
      <c r="X56" s="103"/>
    </row>
    <row r="57" spans="1:24">
      <c r="A57" s="121" t="s">
        <v>791</v>
      </c>
      <c r="B57" s="120"/>
      <c r="C57" s="159">
        <f>'Fin Sta as rep'!C69</f>
        <v>1860341</v>
      </c>
      <c r="D57" s="159">
        <f>'Fin Sta as rep'!D69</f>
        <v>2390250</v>
      </c>
      <c r="E57" s="159">
        <f>'Fin Sta as rep'!E69</f>
        <v>3405000</v>
      </c>
      <c r="F57" s="159">
        <f>'Fin Sta as rep'!F69</f>
        <v>3771000</v>
      </c>
      <c r="G57" s="159">
        <f>'Fin Sta as rep'!G69</f>
        <v>6051000</v>
      </c>
      <c r="H57" s="573">
        <f>G57*(H23/G23)</f>
        <v>9280114.3226919752</v>
      </c>
      <c r="I57" s="173">
        <f>H57*(I23/H23)</f>
        <v>9163949.7411561683</v>
      </c>
      <c r="J57" s="173">
        <f>I57*(J23/I23)</f>
        <v>9970829.6759127546</v>
      </c>
      <c r="K57" s="173">
        <f>J57*(K23/J23)</f>
        <v>10439408.98505426</v>
      </c>
      <c r="L57" s="173">
        <f>K57*(L23/K23)</f>
        <v>10417980.512600705</v>
      </c>
      <c r="M57" s="103"/>
      <c r="N57" s="171" t="s">
        <v>2128</v>
      </c>
      <c r="O57" s="103"/>
      <c r="P57" s="103"/>
      <c r="Q57" s="103"/>
      <c r="R57" s="103"/>
      <c r="S57" s="103"/>
      <c r="T57" s="103"/>
      <c r="U57" s="103"/>
      <c r="V57" s="103"/>
      <c r="W57" s="103"/>
      <c r="X57" s="103"/>
    </row>
    <row r="58" spans="1:24">
      <c r="A58" s="121" t="s">
        <v>729</v>
      </c>
      <c r="B58" s="120"/>
      <c r="C58" s="159">
        <f>SUM('Fin Sta as rep'!C72,'Fin Sta as rep'!C73,'Fin Sta as rep'!C74,'Fin Sta as rep'!C75)</f>
        <v>1158931</v>
      </c>
      <c r="D58" s="159">
        <f>SUM('Fin Sta as rep'!D72,'Fin Sta as rep'!D73,'Fin Sta as rep'!D74,'Fin Sta as rep'!D75)</f>
        <v>896619</v>
      </c>
      <c r="E58" s="159">
        <f>SUM('Fin Sta as rep'!E72,'Fin Sta as rep'!E73,'Fin Sta as rep'!E74,'Fin Sta as rep'!E75)</f>
        <v>2568000</v>
      </c>
      <c r="F58" s="159">
        <f>SUM('Fin Sta as rep'!F72,'Fin Sta as rep'!F73,'Fin Sta as rep'!F74,'Fin Sta as rep'!F75)</f>
        <v>1785000</v>
      </c>
      <c r="G58" s="159">
        <f>SUM('Fin Sta as rep'!G72,'Fin Sta as rep'!G73,'Fin Sta as rep'!G74,'Fin Sta as rep'!G75)</f>
        <v>2132000</v>
      </c>
      <c r="H58" s="573">
        <f>G58*(H23/G23)</f>
        <v>3269741.1561691109</v>
      </c>
      <c r="I58" s="173">
        <f t="shared" ref="I58:J58" si="36">H58*(I23/H23)</f>
        <v>3228811.9068162204</v>
      </c>
      <c r="J58" s="173">
        <f t="shared" si="36"/>
        <v>3513106.7375716395</v>
      </c>
      <c r="K58" s="173">
        <f>J58*(K23/J23)</f>
        <v>3678205.2480805949</v>
      </c>
      <c r="L58" s="173">
        <f>K58*(L23/K23)</f>
        <v>3670655.1731721535</v>
      </c>
      <c r="M58" s="103"/>
      <c r="N58" s="171" t="s">
        <v>2128</v>
      </c>
      <c r="O58" s="103"/>
      <c r="P58" s="103"/>
      <c r="Q58" s="103"/>
      <c r="R58" s="103"/>
      <c r="S58" s="103"/>
      <c r="T58" s="103"/>
      <c r="U58" s="103"/>
      <c r="V58" s="103"/>
      <c r="W58" s="103"/>
      <c r="X58" s="103"/>
    </row>
    <row r="59" spans="1:24">
      <c r="A59" s="121" t="s">
        <v>1091</v>
      </c>
      <c r="B59" s="120"/>
      <c r="C59" s="159">
        <f>SUM('Fin Sta as rep'!C70,'Fin Sta as rep'!C77,'Fin Sta as rep'!C78,'Fin Sta as rep'!C79)</f>
        <v>2816517</v>
      </c>
      <c r="D59" s="159">
        <f>SUM('Fin Sta as rep'!D70,'Fin Sta as rep'!D77,'Fin Sta as rep'!D78,'Fin Sta as rep'!D79)</f>
        <v>4387871</v>
      </c>
      <c r="E59" s="159">
        <f>SUM('Fin Sta as rep'!E70,'Fin Sta as rep'!E77,'Fin Sta as rep'!E78,'Fin Sta as rep'!E79)</f>
        <v>4020000</v>
      </c>
      <c r="F59" s="159">
        <f>SUM('Fin Sta as rep'!F70,'Fin Sta as rep'!F77,'Fin Sta as rep'!F78)</f>
        <v>5111000</v>
      </c>
      <c r="G59" s="159">
        <f>SUM('Fin Sta as rep'!G70,'Fin Sta as rep'!G77,'Fin Sta as rep'!G78)</f>
        <v>6065000</v>
      </c>
      <c r="H59" s="573">
        <f>G59*(H23/G23)</f>
        <v>9301585.4184641931</v>
      </c>
      <c r="I59" s="173">
        <f>H59*(I23/H23)</f>
        <v>9185152.0707506463</v>
      </c>
      <c r="J59" s="173">
        <f>I59*(J23/I23)</f>
        <v>9993898.8571163211</v>
      </c>
      <c r="K59" s="173">
        <f>J59*(K23/J23)</f>
        <v>10463562.302818391</v>
      </c>
      <c r="L59" s="173">
        <f>K59*(L23/K23)</f>
        <v>10442084.25201178</v>
      </c>
      <c r="M59" s="103"/>
      <c r="N59" s="171" t="s">
        <v>2128</v>
      </c>
      <c r="O59" s="103"/>
      <c r="P59" s="103"/>
      <c r="Q59" s="103"/>
      <c r="R59" s="103"/>
      <c r="S59" s="103"/>
      <c r="T59" s="103"/>
      <c r="U59" s="103"/>
      <c r="V59" s="103"/>
      <c r="W59" s="103"/>
      <c r="X59" s="103"/>
    </row>
    <row r="60" spans="1:24">
      <c r="A60" s="373" t="s">
        <v>1099</v>
      </c>
      <c r="B60" s="153"/>
      <c r="C60" s="175">
        <f t="shared" ref="C60:L60" si="37">SUM(C57:C59)</f>
        <v>5835789</v>
      </c>
      <c r="D60" s="175">
        <f t="shared" si="37"/>
        <v>7674740</v>
      </c>
      <c r="E60" s="175">
        <f t="shared" si="37"/>
        <v>9993000</v>
      </c>
      <c r="F60" s="175">
        <f t="shared" si="37"/>
        <v>10667000</v>
      </c>
      <c r="G60" s="175">
        <f t="shared" si="37"/>
        <v>14248000</v>
      </c>
      <c r="H60" s="175">
        <f t="shared" si="37"/>
        <v>21851440.897325277</v>
      </c>
      <c r="I60" s="176">
        <f t="shared" si="37"/>
        <v>21577913.718723036</v>
      </c>
      <c r="J60" s="176">
        <f t="shared" si="37"/>
        <v>23477835.270600714</v>
      </c>
      <c r="K60" s="176">
        <f t="shared" si="37"/>
        <v>24581176.535953246</v>
      </c>
      <c r="L60" s="176">
        <f t="shared" si="37"/>
        <v>24530719.937784638</v>
      </c>
      <c r="M60" s="103"/>
      <c r="N60" s="178"/>
      <c r="O60" s="103"/>
      <c r="P60" s="103"/>
      <c r="Q60" s="103"/>
      <c r="R60" s="103"/>
      <c r="S60" s="103"/>
      <c r="T60" s="103"/>
      <c r="U60" s="103"/>
      <c r="V60" s="103"/>
      <c r="W60" s="103"/>
      <c r="X60" s="103"/>
    </row>
    <row r="61" spans="1:24" ht="14.5">
      <c r="A61" s="371" t="s">
        <v>1581</v>
      </c>
      <c r="B61" s="156"/>
      <c r="C61" s="157"/>
      <c r="D61" s="157"/>
      <c r="E61" s="157"/>
      <c r="F61" s="158"/>
      <c r="G61" s="158"/>
      <c r="H61" s="570"/>
      <c r="I61" s="159"/>
      <c r="J61" s="159"/>
      <c r="K61" s="159"/>
      <c r="L61" s="159"/>
      <c r="M61" s="103"/>
      <c r="N61" s="103"/>
      <c r="O61" s="103"/>
      <c r="P61" s="103"/>
      <c r="Q61" s="103"/>
      <c r="R61" s="103"/>
      <c r="S61" s="103"/>
      <c r="T61" s="103"/>
      <c r="U61" s="103"/>
      <c r="V61" s="103"/>
      <c r="W61" s="103"/>
      <c r="X61" s="103"/>
    </row>
    <row r="62" spans="1:24">
      <c r="A62" s="121" t="s">
        <v>740</v>
      </c>
      <c r="B62" s="120"/>
      <c r="C62" s="159">
        <f>SUM('Fin Sta as rep'!C83:C87)</f>
        <v>5969500</v>
      </c>
      <c r="D62" s="159">
        <f>SUM('Fin Sta as rep'!D83:D87)</f>
        <v>9418319</v>
      </c>
      <c r="E62" s="159">
        <f>SUM('Fin Sta as rep'!E83:E87)</f>
        <v>9404000</v>
      </c>
      <c r="F62" s="159">
        <f>SUM('Fin Sta as rep'!F83:F87)</f>
        <v>11634000</v>
      </c>
      <c r="G62" s="159">
        <f>SUM('Fin Sta as rep'!G83:G87)</f>
        <v>9607000</v>
      </c>
      <c r="H62" s="570">
        <f>R62</f>
        <v>5738000</v>
      </c>
      <c r="I62" s="225">
        <f>S62</f>
        <v>5038000</v>
      </c>
      <c r="J62" s="225">
        <f>T62</f>
        <v>4338000</v>
      </c>
      <c r="K62" s="159">
        <f>U62</f>
        <v>4338000</v>
      </c>
      <c r="L62" s="159">
        <f>V62</f>
        <v>4338000</v>
      </c>
      <c r="M62" s="103"/>
      <c r="N62" s="179" t="s">
        <v>740</v>
      </c>
      <c r="O62" s="164"/>
      <c r="P62" s="180"/>
      <c r="Q62" s="180"/>
      <c r="R62" s="147">
        <f>6438000-700000</f>
        <v>5738000</v>
      </c>
      <c r="S62" s="147">
        <f>H62-700000</f>
        <v>5038000</v>
      </c>
      <c r="T62" s="147">
        <f>I62-700000</f>
        <v>4338000</v>
      </c>
      <c r="U62" s="147">
        <f t="shared" ref="U62:V62" si="38">T62</f>
        <v>4338000</v>
      </c>
      <c r="V62" s="147">
        <f t="shared" si="38"/>
        <v>4338000</v>
      </c>
      <c r="W62" s="103"/>
      <c r="X62" s="103" t="s">
        <v>2134</v>
      </c>
    </row>
    <row r="63" spans="1:24">
      <c r="A63" s="121" t="s">
        <v>745</v>
      </c>
      <c r="B63" s="120"/>
      <c r="C63" s="159">
        <f>SUM('Fin Sta as rep'!C88,'Fin Sta as rep'!C90:C91)+'Fin Sta as rep'!C96</f>
        <v>5320701</v>
      </c>
      <c r="D63" s="159">
        <f>SUM('Fin Sta as rep'!D88,'Fin Sta as rep'!D90:D91)+'Fin Sta as rep'!D96</f>
        <v>6327725</v>
      </c>
      <c r="E63" s="159">
        <f>SUM('Fin Sta as rep'!E88,'Fin Sta as rep'!E90:E91)+'Fin Sta as rep'!E96</f>
        <v>4586000</v>
      </c>
      <c r="F63" s="159">
        <f>SUM('Fin Sta as rep'!F88,'Fin Sta as rep'!F90:F91)+'Fin Sta as rep'!F96</f>
        <v>4541000</v>
      </c>
      <c r="G63" s="159">
        <f>SUM('Fin Sta as rep'!G88,'Fin Sta as rep'!G90:G91)+'Fin Sta as rep'!G96</f>
        <v>5218000</v>
      </c>
      <c r="H63" s="570">
        <f>G63+H53-G53+H94</f>
        <v>6303515.9817351596</v>
      </c>
      <c r="I63" s="159">
        <f>H63+I53-H53</f>
        <v>7649707.7625570791</v>
      </c>
      <c r="J63" s="159">
        <f>I63+J53-I53</f>
        <v>8377006.9213353619</v>
      </c>
      <c r="K63" s="159">
        <f>J63+K53-J53</f>
        <v>9083656.827760404</v>
      </c>
      <c r="L63" s="159">
        <f>K63+L53-K53</f>
        <v>9638756.3567174263</v>
      </c>
      <c r="M63" s="103"/>
      <c r="N63" s="171" t="s">
        <v>2135</v>
      </c>
      <c r="O63" s="103"/>
      <c r="P63" s="103"/>
      <c r="Q63" s="103"/>
      <c r="R63" s="103"/>
      <c r="S63" s="103"/>
      <c r="T63" s="103"/>
      <c r="U63" s="103"/>
      <c r="V63" s="103"/>
      <c r="W63" s="103"/>
      <c r="X63" s="103"/>
    </row>
    <row r="64" spans="1:24">
      <c r="A64" s="373" t="s">
        <v>1108</v>
      </c>
      <c r="B64" s="153"/>
      <c r="C64" s="175">
        <f>SUM(C63,C62,C60)</f>
        <v>17125990</v>
      </c>
      <c r="D64" s="175">
        <f t="shared" ref="D64:L64" si="39">SUM(D63,D62,D60)</f>
        <v>23420784</v>
      </c>
      <c r="E64" s="175">
        <f t="shared" si="39"/>
        <v>23983000</v>
      </c>
      <c r="F64" s="175">
        <f t="shared" si="39"/>
        <v>26842000</v>
      </c>
      <c r="G64" s="175">
        <f t="shared" si="39"/>
        <v>29073000</v>
      </c>
      <c r="H64" s="175">
        <f t="shared" si="39"/>
        <v>33892956.879060432</v>
      </c>
      <c r="I64" s="176">
        <f t="shared" si="39"/>
        <v>34265621.481280118</v>
      </c>
      <c r="J64" s="176">
        <f t="shared" si="39"/>
        <v>36192842.191936076</v>
      </c>
      <c r="K64" s="176">
        <f t="shared" si="39"/>
        <v>38002833.363713652</v>
      </c>
      <c r="L64" s="176">
        <f t="shared" si="39"/>
        <v>38507476.294502065</v>
      </c>
      <c r="M64" s="103"/>
      <c r="N64" s="178"/>
      <c r="O64" s="103"/>
      <c r="P64" s="103"/>
      <c r="Q64" s="103"/>
      <c r="R64" s="103"/>
      <c r="S64" s="103"/>
      <c r="T64" s="103"/>
      <c r="U64" s="103"/>
      <c r="V64" s="103"/>
      <c r="W64" s="103"/>
      <c r="X64" s="103"/>
    </row>
    <row r="65" spans="1:24" ht="14.5">
      <c r="A65" s="371" t="s">
        <v>1581</v>
      </c>
      <c r="B65" s="156"/>
      <c r="C65" s="157"/>
      <c r="D65" s="157"/>
      <c r="E65" s="157"/>
      <c r="F65" s="158"/>
      <c r="G65" s="158"/>
      <c r="H65" s="570"/>
      <c r="I65" s="159"/>
      <c r="J65" s="159"/>
      <c r="K65" s="159"/>
      <c r="L65" s="159"/>
      <c r="M65" s="103"/>
      <c r="N65" s="103"/>
      <c r="O65" s="103"/>
      <c r="P65" s="103"/>
      <c r="Q65" s="103"/>
      <c r="R65" s="103"/>
      <c r="S65" s="103"/>
      <c r="T65" s="103"/>
      <c r="U65" s="103"/>
      <c r="V65" s="103"/>
      <c r="W65" s="103"/>
      <c r="X65" s="103"/>
    </row>
    <row r="66" spans="1:24">
      <c r="A66" s="121" t="s">
        <v>755</v>
      </c>
      <c r="B66" s="120"/>
      <c r="C66" s="159">
        <f>SUM('Fin Sta as rep'!C98:C99)</f>
        <v>7773888</v>
      </c>
      <c r="D66" s="159">
        <f>SUM('Fin Sta as rep'!D98:D99)</f>
        <v>9178193</v>
      </c>
      <c r="E66" s="159">
        <f>SUM('Fin Sta as rep'!E98:E99)</f>
        <v>10249000</v>
      </c>
      <c r="F66" s="159">
        <f>SUM('Fin Sta as rep'!F98:F99)</f>
        <v>12737000</v>
      </c>
      <c r="G66" s="159">
        <f>SUM('Fin Sta as rep'!G98:G99)</f>
        <v>27261000</v>
      </c>
      <c r="H66" s="570">
        <f>G66+SUM(H86:H87)</f>
        <v>27378000</v>
      </c>
      <c r="I66" s="159">
        <f>H66+SUM(I86:I87)</f>
        <v>27495000</v>
      </c>
      <c r="J66" s="159">
        <f t="shared" ref="J66:L66" si="40">I66+SUM(J86:J87)</f>
        <v>27612000</v>
      </c>
      <c r="K66" s="159">
        <f t="shared" si="40"/>
        <v>27729000</v>
      </c>
      <c r="L66" s="159">
        <f t="shared" si="40"/>
        <v>27846000</v>
      </c>
      <c r="M66" s="103"/>
      <c r="N66" s="171" t="s">
        <v>2136</v>
      </c>
      <c r="O66" s="103"/>
      <c r="P66" s="103"/>
      <c r="Q66" s="103"/>
      <c r="R66" s="103"/>
      <c r="S66" s="103"/>
      <c r="T66" s="103"/>
      <c r="U66" s="103"/>
      <c r="V66" s="103"/>
      <c r="W66" s="103"/>
      <c r="X66" s="103"/>
    </row>
    <row r="67" spans="1:24" ht="14.5">
      <c r="A67" s="121" t="s">
        <v>1125</v>
      </c>
      <c r="B67" s="120"/>
      <c r="C67" s="142">
        <v>0</v>
      </c>
      <c r="D67" s="142">
        <v>0</v>
      </c>
      <c r="E67" s="142">
        <v>0</v>
      </c>
      <c r="F67" s="142">
        <v>0</v>
      </c>
      <c r="G67" s="142">
        <v>0</v>
      </c>
      <c r="H67" s="570">
        <f>G67+H100/2</f>
        <v>-200000</v>
      </c>
      <c r="I67" s="159">
        <f t="shared" ref="I67:L67" si="41">H67+I100/2</f>
        <v>-575000</v>
      </c>
      <c r="J67" s="159">
        <f t="shared" si="41"/>
        <v>-1000000</v>
      </c>
      <c r="K67" s="159">
        <f t="shared" si="41"/>
        <v>-1424999.5</v>
      </c>
      <c r="L67" s="159">
        <f t="shared" si="41"/>
        <v>-1849998.5</v>
      </c>
      <c r="M67" s="103"/>
      <c r="N67" s="171" t="s">
        <v>2137</v>
      </c>
      <c r="O67" s="103"/>
      <c r="P67" s="103"/>
      <c r="Q67" s="103"/>
      <c r="R67" s="103"/>
      <c r="S67" s="103"/>
      <c r="T67" s="103"/>
      <c r="U67" s="103"/>
      <c r="V67" s="103"/>
      <c r="W67" s="103"/>
      <c r="X67" s="103"/>
    </row>
    <row r="68" spans="1:24" ht="14.5">
      <c r="A68" s="121" t="s">
        <v>758</v>
      </c>
      <c r="B68" s="120"/>
      <c r="C68" s="136">
        <f>'Fin Sta as rep'!C100+'Fin Sta as rep'!C103</f>
        <v>-2997237</v>
      </c>
      <c r="D68" s="136">
        <f>'Fin Sta as rep'!D100+'Fin Sta as rep'!D103</f>
        <v>-4974299</v>
      </c>
      <c r="E68" s="136">
        <f>'Fin Sta as rep'!E100+'Fin Sta as rep'!E103</f>
        <v>-5318000</v>
      </c>
      <c r="F68" s="136">
        <f>'Fin Sta as rep'!F100+'Fin Sta as rep'!F103</f>
        <v>-6083000</v>
      </c>
      <c r="G68" s="136">
        <f>'Fin Sta as rep'!G100+'Fin Sta as rep'!G103</f>
        <v>-5399000</v>
      </c>
      <c r="H68" s="570">
        <f>G68+H75+H98</f>
        <v>-1755294</v>
      </c>
      <c r="I68" s="159">
        <f t="shared" ref="I68:L68" si="42">H68+I75+I98</f>
        <v>8582246.5530547425</v>
      </c>
      <c r="J68" s="159">
        <f t="shared" si="42"/>
        <v>13887828.430175433</v>
      </c>
      <c r="K68" s="159">
        <f t="shared" si="42"/>
        <v>20867330.00553824</v>
      </c>
      <c r="L68" s="159">
        <f t="shared" si="42"/>
        <v>31122328.902316317</v>
      </c>
      <c r="M68" s="103"/>
      <c r="N68" s="171" t="s">
        <v>2138</v>
      </c>
      <c r="O68" s="103"/>
      <c r="P68" s="103"/>
      <c r="Q68" s="103"/>
      <c r="R68" s="103"/>
      <c r="S68" s="103"/>
      <c r="T68" s="103"/>
      <c r="U68" s="103"/>
      <c r="V68" s="103"/>
      <c r="W68" s="103"/>
      <c r="X68" s="103"/>
    </row>
    <row r="69" spans="1:24" ht="14.5">
      <c r="A69" s="121" t="s">
        <v>765</v>
      </c>
      <c r="B69" s="120"/>
      <c r="C69" s="641">
        <f>'Fin Sta as rep'!C105</f>
        <v>785175</v>
      </c>
      <c r="D69" s="641">
        <f>'Fin Sta as rep'!D105</f>
        <v>997346</v>
      </c>
      <c r="E69" s="641">
        <f>'Fin Sta as rep'!E105</f>
        <v>834000</v>
      </c>
      <c r="F69" s="641">
        <f>'Fin Sta as rep'!F105</f>
        <v>849000</v>
      </c>
      <c r="G69" s="641">
        <f>'Fin Sta as rep'!G105</f>
        <v>850000</v>
      </c>
      <c r="H69" s="159">
        <f t="shared" ref="H69" si="43">G69+H99</f>
        <v>858000</v>
      </c>
      <c r="I69" s="159">
        <f t="shared" ref="I69" si="44">H69+I99</f>
        <v>866000</v>
      </c>
      <c r="J69" s="159">
        <f t="shared" ref="J69:L69" si="45">I69+J99</f>
        <v>874000</v>
      </c>
      <c r="K69" s="159">
        <f t="shared" si="45"/>
        <v>882000</v>
      </c>
      <c r="L69" s="159">
        <f t="shared" si="45"/>
        <v>890000</v>
      </c>
      <c r="M69" s="103"/>
      <c r="N69" s="171" t="s">
        <v>2139</v>
      </c>
      <c r="O69" s="103"/>
      <c r="P69" s="103"/>
      <c r="Q69" s="103"/>
      <c r="R69" s="103"/>
      <c r="S69" s="103"/>
      <c r="T69" s="103"/>
      <c r="U69" s="103"/>
      <c r="V69" s="103"/>
      <c r="W69" s="103"/>
      <c r="X69" s="103"/>
    </row>
    <row r="70" spans="1:24" ht="14.5">
      <c r="A70" s="121" t="s">
        <v>760</v>
      </c>
      <c r="B70" s="120"/>
      <c r="C70" s="136">
        <f>'Fin Sta as rep'!C101</f>
        <v>-23740</v>
      </c>
      <c r="D70" s="136">
        <f>'Fin Sta as rep'!D101</f>
        <v>33348</v>
      </c>
      <c r="E70" s="136">
        <f>'Fin Sta as rep'!E101</f>
        <v>-8000</v>
      </c>
      <c r="F70" s="136">
        <f>'Fin Sta as rep'!F101</f>
        <v>-36000</v>
      </c>
      <c r="G70" s="136">
        <f>'Fin Sta as rep'!G101</f>
        <v>363000</v>
      </c>
      <c r="H70" s="159">
        <f t="shared" ref="H70" si="46">G70+H100/2+H102</f>
        <v>163000</v>
      </c>
      <c r="I70" s="159">
        <f t="shared" ref="I70" si="47">H70+I100/2+I102</f>
        <v>-212000</v>
      </c>
      <c r="J70" s="159">
        <f t="shared" ref="J70" si="48">I70+J100/2+J102</f>
        <v>-637000</v>
      </c>
      <c r="K70" s="159">
        <f t="shared" ref="K70:L70" si="49">J70+K100/2</f>
        <v>-1061999.5</v>
      </c>
      <c r="L70" s="159">
        <f t="shared" si="49"/>
        <v>-1486998.5</v>
      </c>
      <c r="M70" s="103"/>
      <c r="N70" s="171" t="s">
        <v>2140</v>
      </c>
      <c r="O70" s="103"/>
      <c r="P70" s="103"/>
      <c r="Q70" s="103"/>
      <c r="R70" s="103"/>
      <c r="S70" s="103"/>
      <c r="T70" s="103"/>
      <c r="U70" s="103"/>
      <c r="V70" s="103"/>
      <c r="W70" s="103"/>
      <c r="X70" s="103"/>
    </row>
    <row r="71" spans="1:24">
      <c r="A71" s="373" t="s">
        <v>1610</v>
      </c>
      <c r="B71" s="153"/>
      <c r="C71" s="661">
        <f>SUM(C66:C70)</f>
        <v>5538086</v>
      </c>
      <c r="D71" s="661">
        <f t="shared" ref="D71:L71" si="50">SUM(D66:D70)</f>
        <v>5234588</v>
      </c>
      <c r="E71" s="175">
        <f t="shared" si="50"/>
        <v>5757000</v>
      </c>
      <c r="F71" s="175">
        <f t="shared" si="50"/>
        <v>7467000</v>
      </c>
      <c r="G71" s="175">
        <f t="shared" si="50"/>
        <v>23075000</v>
      </c>
      <c r="H71" s="175">
        <f t="shared" si="50"/>
        <v>26443706</v>
      </c>
      <c r="I71" s="176">
        <f t="shared" si="50"/>
        <v>36156246.553054743</v>
      </c>
      <c r="J71" s="176">
        <f t="shared" si="50"/>
        <v>40736828.430175431</v>
      </c>
      <c r="K71" s="176">
        <f t="shared" si="50"/>
        <v>46991331.00553824</v>
      </c>
      <c r="L71" s="176">
        <f t="shared" si="50"/>
        <v>56521331.902316317</v>
      </c>
      <c r="M71" s="103"/>
      <c r="N71" s="178"/>
      <c r="O71" s="103"/>
      <c r="P71" s="103"/>
      <c r="Q71" s="103"/>
      <c r="R71" s="103"/>
      <c r="S71" s="103"/>
      <c r="T71" s="103"/>
      <c r="U71" s="103"/>
      <c r="V71" s="103"/>
      <c r="W71" s="103"/>
      <c r="X71" s="103"/>
    </row>
    <row r="72" spans="1:24">
      <c r="A72" s="373" t="s">
        <v>1611</v>
      </c>
      <c r="B72" s="153"/>
      <c r="C72" s="662">
        <f t="shared" ref="C72:L72" si="51">SUM(C71,C64)</f>
        <v>22664076</v>
      </c>
      <c r="D72" s="662">
        <f t="shared" si="51"/>
        <v>28655372</v>
      </c>
      <c r="E72" s="130">
        <f t="shared" si="51"/>
        <v>29740000</v>
      </c>
      <c r="F72" s="130">
        <f t="shared" si="51"/>
        <v>34309000</v>
      </c>
      <c r="G72" s="130">
        <f t="shared" si="51"/>
        <v>52148000</v>
      </c>
      <c r="H72" s="130">
        <f t="shared" si="51"/>
        <v>60336662.879060432</v>
      </c>
      <c r="I72" s="131">
        <f t="shared" si="51"/>
        <v>70421868.034334868</v>
      </c>
      <c r="J72" s="131">
        <f t="shared" si="51"/>
        <v>76929670.622111499</v>
      </c>
      <c r="K72" s="131">
        <f t="shared" si="51"/>
        <v>84994164.369251892</v>
      </c>
      <c r="L72" s="131">
        <f t="shared" si="51"/>
        <v>95028808.196818382</v>
      </c>
      <c r="M72" s="103"/>
      <c r="N72" s="178"/>
      <c r="O72" s="103"/>
      <c r="P72" s="103"/>
      <c r="Q72" s="103"/>
      <c r="R72" s="103"/>
      <c r="S72" s="103"/>
      <c r="T72" s="103"/>
      <c r="U72" s="103"/>
      <c r="V72" s="103"/>
      <c r="W72" s="103"/>
      <c r="X72" s="103"/>
    </row>
    <row r="73" spans="1:24" ht="14.5">
      <c r="A73" s="371" t="s">
        <v>1581</v>
      </c>
      <c r="B73" s="156"/>
      <c r="C73" s="182">
        <f t="shared" ref="C73:K73" si="52">ROUND(C72-C55,1)</f>
        <v>0</v>
      </c>
      <c r="D73" s="182">
        <f t="shared" si="52"/>
        <v>0</v>
      </c>
      <c r="E73" s="182">
        <f t="shared" si="52"/>
        <v>0</v>
      </c>
      <c r="F73" s="182">
        <f>ROUND(F72-F55,1)</f>
        <v>0</v>
      </c>
      <c r="G73" s="182">
        <f t="shared" si="52"/>
        <v>0</v>
      </c>
      <c r="H73" s="214">
        <f>ROUND(H72-H55,1)</f>
        <v>131746</v>
      </c>
      <c r="I73" s="137">
        <f t="shared" si="52"/>
        <v>131746</v>
      </c>
      <c r="J73" s="137">
        <f t="shared" si="52"/>
        <v>131746</v>
      </c>
      <c r="K73" s="137">
        <f t="shared" si="52"/>
        <v>131746</v>
      </c>
      <c r="L73" s="137">
        <f>ROUND(L72-L55,1)</f>
        <v>131746</v>
      </c>
      <c r="M73" s="103"/>
      <c r="N73" s="103"/>
      <c r="O73" s="103"/>
      <c r="P73" s="103"/>
      <c r="Q73" s="103"/>
      <c r="R73" s="103"/>
      <c r="S73" s="103"/>
      <c r="T73" s="103"/>
      <c r="U73" s="103"/>
      <c r="V73" s="103"/>
      <c r="W73" s="103"/>
      <c r="X73" s="103"/>
    </row>
    <row r="74" spans="1:24" ht="20">
      <c r="A74" s="368" t="s">
        <v>1612</v>
      </c>
      <c r="B74" s="123"/>
      <c r="C74" s="124"/>
      <c r="D74" s="124"/>
      <c r="E74" s="124"/>
      <c r="F74" s="124"/>
      <c r="G74" s="124"/>
      <c r="H74" s="572"/>
      <c r="I74" s="128"/>
      <c r="J74" s="128"/>
      <c r="K74" s="128"/>
      <c r="L74" s="128"/>
      <c r="M74" s="129"/>
      <c r="N74" s="118" t="s">
        <v>1613</v>
      </c>
      <c r="O74" s="129"/>
      <c r="P74" s="129"/>
      <c r="Q74" s="129"/>
      <c r="R74" s="129"/>
      <c r="S74" s="129"/>
      <c r="T74" s="129"/>
      <c r="U74" s="129"/>
      <c r="V74" s="129"/>
      <c r="W74" s="129"/>
      <c r="X74" s="108"/>
    </row>
    <row r="75" spans="1:24" ht="15.5">
      <c r="A75" s="121" t="s">
        <v>543</v>
      </c>
      <c r="B75" s="120"/>
      <c r="C75" s="222">
        <f>C39-C37</f>
        <v>-773046</v>
      </c>
      <c r="D75" s="183">
        <f>D39-D37</f>
        <v>-2240578</v>
      </c>
      <c r="E75" s="184">
        <f>E39-E37</f>
        <v>-1062582</v>
      </c>
      <c r="F75" s="185">
        <f t="shared" ref="F75:G75" si="53">F39-F37</f>
        <v>-775000</v>
      </c>
      <c r="G75" s="185">
        <f t="shared" si="53"/>
        <v>862000</v>
      </c>
      <c r="H75" s="570">
        <f>H39-H37</f>
        <v>5643706</v>
      </c>
      <c r="I75" s="159">
        <f>I39-I37</f>
        <v>12637540.553054743</v>
      </c>
      <c r="J75" s="159">
        <f t="shared" ref="J75" si="54">J39-J37</f>
        <v>7805581.8771206904</v>
      </c>
      <c r="K75" s="159">
        <f t="shared" ref="K75:L75" si="55">K39</f>
        <v>9479501.575362809</v>
      </c>
      <c r="L75" s="159">
        <f t="shared" si="55"/>
        <v>12754998.896778073</v>
      </c>
      <c r="M75" s="103"/>
      <c r="N75" s="178"/>
      <c r="O75" s="103"/>
      <c r="P75" s="103"/>
      <c r="Q75" s="103"/>
      <c r="R75" s="103"/>
      <c r="S75" s="103"/>
      <c r="T75" s="103"/>
      <c r="U75" s="103"/>
      <c r="V75" s="103"/>
      <c r="W75" s="103"/>
      <c r="X75" s="103"/>
    </row>
    <row r="76" spans="1:24">
      <c r="A76" s="376" t="s">
        <v>770</v>
      </c>
      <c r="B76" s="186"/>
      <c r="C76" s="136">
        <f>'Fin Sta as rep'!C117</f>
        <v>947099</v>
      </c>
      <c r="D76" s="136">
        <f>'Fin Sta as rep'!D117</f>
        <v>1636003</v>
      </c>
      <c r="E76" s="136">
        <f>'Fin Sta as rep'!E117</f>
        <v>1901050</v>
      </c>
      <c r="F76" s="136">
        <f>'Fin Sta as rep'!F117</f>
        <v>2154000</v>
      </c>
      <c r="G76" s="136">
        <f>'Fin Sta as rep'!G117</f>
        <v>2322000</v>
      </c>
      <c r="H76" s="570">
        <f>H7*R76</f>
        <v>3843183.3904109593</v>
      </c>
      <c r="I76" s="159">
        <f>I7*S76</f>
        <v>5235049.4178082217</v>
      </c>
      <c r="J76" s="159">
        <f>J7*T76</f>
        <v>5575192.3399902368</v>
      </c>
      <c r="K76" s="159">
        <f>K7*U76</f>
        <v>5772887.8032704368</v>
      </c>
      <c r="L76" s="159">
        <f>L7*V76</f>
        <v>5729523.0877717063</v>
      </c>
      <c r="M76" s="103"/>
      <c r="N76" s="172" t="s">
        <v>1615</v>
      </c>
      <c r="O76" s="187">
        <f>E79/E7</f>
        <v>9.597871467978826E-2</v>
      </c>
      <c r="P76" s="187">
        <f>F79/F7</f>
        <v>9.5288469362844824E-2</v>
      </c>
      <c r="Q76" s="187">
        <f>G79/G7</f>
        <v>7.9337899543378998E-2</v>
      </c>
      <c r="R76" s="139">
        <f>Q76*0.9</f>
        <v>7.1404109589041101E-2</v>
      </c>
      <c r="S76" s="139">
        <f>R76*0.9</f>
        <v>6.4263698630136992E-2</v>
      </c>
      <c r="T76" s="139">
        <f t="shared" ref="T76" si="56">S76*0.9</f>
        <v>5.7837328767123296E-2</v>
      </c>
      <c r="U76" s="139">
        <f>T76*0.9</f>
        <v>5.2053595890410968E-2</v>
      </c>
      <c r="V76" s="139">
        <f>U76*0.9</f>
        <v>4.6848236301369875E-2</v>
      </c>
      <c r="W76" s="103"/>
      <c r="X76" s="103" t="s">
        <v>1815</v>
      </c>
    </row>
    <row r="77" spans="1:24">
      <c r="A77" s="369" t="s">
        <v>951</v>
      </c>
      <c r="B77" s="135"/>
      <c r="C77" s="157">
        <v>0</v>
      </c>
      <c r="D77" s="157"/>
      <c r="E77" s="157"/>
      <c r="F77" s="157"/>
      <c r="G77" s="157"/>
      <c r="H77" s="570">
        <f>R77</f>
        <v>0</v>
      </c>
      <c r="I77" s="159">
        <f t="shared" ref="I77:J77" si="57">S77</f>
        <v>0</v>
      </c>
      <c r="J77" s="159">
        <f t="shared" si="57"/>
        <v>0</v>
      </c>
      <c r="K77" s="159">
        <f>U77</f>
        <v>0</v>
      </c>
      <c r="L77" s="159">
        <f>V77</f>
        <v>0</v>
      </c>
      <c r="M77" s="103"/>
      <c r="N77" s="103" t="s">
        <v>951</v>
      </c>
      <c r="O77" s="103"/>
      <c r="P77" s="103"/>
      <c r="Q77" s="103"/>
      <c r="R77" s="147">
        <v>0</v>
      </c>
      <c r="S77" s="147">
        <v>0</v>
      </c>
      <c r="T77" s="147">
        <v>0</v>
      </c>
      <c r="U77" s="147">
        <v>0</v>
      </c>
      <c r="V77" s="147">
        <v>0</v>
      </c>
      <c r="W77" s="103"/>
      <c r="X77" s="103"/>
    </row>
    <row r="78" spans="1:24">
      <c r="A78" s="369" t="s">
        <v>771</v>
      </c>
      <c r="B78" s="135"/>
      <c r="C78" s="136">
        <f>'Fin Sta as rep'!C118</f>
        <v>94690</v>
      </c>
      <c r="D78" s="136">
        <f>'Fin Sta as rep'!D118</f>
        <v>91037</v>
      </c>
      <c r="E78" s="136">
        <f>'Fin Sta as rep'!E118</f>
        <v>158730</v>
      </c>
      <c r="F78" s="136">
        <f>'Fin Sta as rep'!F118</f>
        <v>188000</v>
      </c>
      <c r="G78" s="136">
        <f>'Fin Sta as rep'!G118</f>
        <v>180000</v>
      </c>
      <c r="H78" s="570">
        <v>180000</v>
      </c>
      <c r="I78" s="219">
        <v>180000</v>
      </c>
      <c r="J78" s="219">
        <v>180000</v>
      </c>
      <c r="K78" s="219">
        <v>180001</v>
      </c>
      <c r="L78" s="219">
        <v>180002</v>
      </c>
      <c r="M78" s="103"/>
      <c r="N78" s="103" t="s">
        <v>1683</v>
      </c>
      <c r="O78" s="103"/>
      <c r="P78" s="103"/>
      <c r="Q78" s="103"/>
      <c r="R78" s="139">
        <v>0</v>
      </c>
      <c r="S78" s="139">
        <v>0</v>
      </c>
      <c r="T78" s="139">
        <v>0</v>
      </c>
      <c r="U78" s="139">
        <v>0</v>
      </c>
      <c r="V78" s="139">
        <v>0</v>
      </c>
      <c r="W78" s="103"/>
      <c r="X78" s="103"/>
    </row>
    <row r="79" spans="1:24">
      <c r="A79" s="372" t="s">
        <v>1139</v>
      </c>
      <c r="B79" s="155"/>
      <c r="C79" s="137">
        <f>SUM(C76:C78)</f>
        <v>1041789</v>
      </c>
      <c r="D79" s="137">
        <f>SUM(D76:D78)</f>
        <v>1727040</v>
      </c>
      <c r="E79" s="137">
        <f t="shared" ref="E79:G79" si="58">SUM(E76:E78)</f>
        <v>2059780</v>
      </c>
      <c r="F79" s="137">
        <f t="shared" si="58"/>
        <v>2342000</v>
      </c>
      <c r="G79" s="137">
        <f t="shared" si="58"/>
        <v>2502000</v>
      </c>
      <c r="H79" s="214">
        <f>SUM(H76:H78)</f>
        <v>4023183.3904109593</v>
      </c>
      <c r="I79" s="137">
        <f>SUM(I76:I78)</f>
        <v>5415049.4178082217</v>
      </c>
      <c r="J79" s="137">
        <f>SUM(J76:J78)</f>
        <v>5755192.3399902368</v>
      </c>
      <c r="K79" s="137">
        <f>SUM(K76:K78)</f>
        <v>5952888.8032704368</v>
      </c>
      <c r="L79" s="137">
        <f>SUM(L76:L78)</f>
        <v>5909525.0877717063</v>
      </c>
      <c r="M79" s="103"/>
      <c r="N79" s="178"/>
      <c r="O79" s="103"/>
      <c r="P79" s="103"/>
      <c r="Q79" s="103"/>
      <c r="R79" s="103"/>
      <c r="S79" s="103"/>
      <c r="T79" s="103"/>
      <c r="U79" s="103"/>
      <c r="V79" s="103"/>
      <c r="W79" s="103"/>
      <c r="X79" s="103"/>
    </row>
    <row r="80" spans="1:24">
      <c r="A80" s="121" t="s">
        <v>788</v>
      </c>
      <c r="B80" s="120"/>
      <c r="C80" s="136">
        <f>'Fin Sta as rep'!C133</f>
        <v>-216565</v>
      </c>
      <c r="D80" s="136">
        <f>'Fin Sta as rep'!D133</f>
        <v>-24635</v>
      </c>
      <c r="E80" s="136">
        <f>'Fin Sta as rep'!E133</f>
        <v>-496732</v>
      </c>
      <c r="F80" s="136">
        <f>'Fin Sta as rep'!F133</f>
        <v>-367000</v>
      </c>
      <c r="G80" s="136">
        <f>'Fin Sta as rep'!G133</f>
        <v>-652000</v>
      </c>
      <c r="H80" s="570">
        <f>-(H43-G43)</f>
        <v>-367206.64003044087</v>
      </c>
      <c r="I80" s="159">
        <f t="shared" ref="I80:L82" si="59">-(I43-H43)</f>
        <v>-133979.20091324253</v>
      </c>
      <c r="J80" s="159">
        <f t="shared" si="59"/>
        <v>409848.21893977653</v>
      </c>
      <c r="K80" s="159">
        <f t="shared" si="59"/>
        <v>-297610.94476988725</v>
      </c>
      <c r="L80" s="159">
        <f t="shared" si="59"/>
        <v>-233784.35877815075</v>
      </c>
      <c r="M80" s="103"/>
      <c r="N80" s="171" t="s">
        <v>1617</v>
      </c>
      <c r="O80" s="103"/>
      <c r="P80" s="103"/>
      <c r="Q80" s="103"/>
      <c r="R80" s="103"/>
      <c r="S80" s="103"/>
      <c r="T80" s="103"/>
      <c r="U80" s="103"/>
      <c r="V80" s="103"/>
      <c r="W80" s="103"/>
      <c r="X80" s="103"/>
    </row>
    <row r="81" spans="1:24">
      <c r="A81" s="121" t="s">
        <v>696</v>
      </c>
      <c r="B81" s="120"/>
      <c r="C81" s="136">
        <f>'Fin Sta as rep'!C135</f>
        <v>-632867</v>
      </c>
      <c r="D81" s="136">
        <f>'Fin Sta as rep'!D135</f>
        <v>-178850</v>
      </c>
      <c r="E81" s="136">
        <f>'Fin Sta as rep'!E135</f>
        <v>-1023264</v>
      </c>
      <c r="F81" s="136">
        <f>'Fin Sta as rep'!F135</f>
        <v>-429000</v>
      </c>
      <c r="G81" s="136">
        <f>'Fin Sta as rep'!G135</f>
        <v>-422000</v>
      </c>
      <c r="H81" s="570">
        <f>-(H44-G44)</f>
        <v>-2520979.5107203089</v>
      </c>
      <c r="I81" s="159">
        <f t="shared" si="59"/>
        <v>-3349356.8854461834</v>
      </c>
      <c r="J81" s="159">
        <f>-(J44-I44)</f>
        <v>-3189004.5386920944</v>
      </c>
      <c r="K81" s="159">
        <f t="shared" si="59"/>
        <v>-1997962.9521714002</v>
      </c>
      <c r="L81" s="159">
        <f t="shared" si="59"/>
        <v>-1271526.4768897686</v>
      </c>
      <c r="M81" s="103"/>
      <c r="N81" s="171" t="s">
        <v>1617</v>
      </c>
      <c r="O81" s="103"/>
      <c r="P81" s="103"/>
      <c r="Q81" s="103"/>
      <c r="R81" s="103"/>
      <c r="S81" s="103"/>
      <c r="T81" s="103"/>
      <c r="U81" s="103"/>
      <c r="V81" s="103"/>
      <c r="W81" s="103"/>
      <c r="X81" s="103"/>
    </row>
    <row r="82" spans="1:24">
      <c r="A82" s="121" t="s">
        <v>1069</v>
      </c>
      <c r="B82" s="216"/>
      <c r="C82" s="142">
        <f>C45</f>
        <v>299984</v>
      </c>
      <c r="D82" s="142">
        <f>D45</f>
        <v>423688</v>
      </c>
      <c r="E82" s="142">
        <f>E45</f>
        <v>559000</v>
      </c>
      <c r="F82" s="142">
        <f>F45</f>
        <v>959000</v>
      </c>
      <c r="G82" s="142">
        <f>G45</f>
        <v>1346000</v>
      </c>
      <c r="H82" s="570">
        <f>-(H45-G45)</f>
        <v>-718292.49352890416</v>
      </c>
      <c r="I82" s="159">
        <f t="shared" si="59"/>
        <v>25839.94823123375</v>
      </c>
      <c r="J82" s="159">
        <f>-(J45-I45)</f>
        <v>-179484.44755947194</v>
      </c>
      <c r="K82" s="159">
        <f t="shared" si="59"/>
        <v>-104231.98646578519</v>
      </c>
      <c r="L82" s="159">
        <f t="shared" si="59"/>
        <v>4766.6045153667219</v>
      </c>
      <c r="M82" s="103"/>
      <c r="N82" s="171" t="s">
        <v>1617</v>
      </c>
      <c r="O82" s="103"/>
      <c r="P82" s="103"/>
      <c r="Q82" s="103"/>
      <c r="R82" s="103"/>
      <c r="S82" s="103"/>
      <c r="T82" s="103"/>
      <c r="U82" s="103"/>
      <c r="V82" s="103"/>
      <c r="W82" s="103"/>
      <c r="X82" s="103"/>
    </row>
    <row r="83" spans="1:24">
      <c r="A83" s="121" t="s">
        <v>791</v>
      </c>
      <c r="B83" s="120"/>
      <c r="C83" s="136">
        <f>'Fin Sta as rep'!C136</f>
        <v>750640</v>
      </c>
      <c r="D83" s="136">
        <f>'Fin Sta as rep'!D136</f>
        <v>388206</v>
      </c>
      <c r="E83" s="136">
        <f>'Fin Sta as rep'!E136</f>
        <v>1722850</v>
      </c>
      <c r="F83" s="136">
        <f>'Fin Sta as rep'!F136</f>
        <v>646000</v>
      </c>
      <c r="G83" s="136">
        <f>'Fin Sta as rep'!G136</f>
        <v>2102000</v>
      </c>
      <c r="H83" s="570">
        <f>H57-G57</f>
        <v>3229114.3226919752</v>
      </c>
      <c r="I83" s="159">
        <f>I57-H57</f>
        <v>-116164.58153580688</v>
      </c>
      <c r="J83" s="159">
        <f>J57-I57</f>
        <v>806879.93475658633</v>
      </c>
      <c r="K83" s="159">
        <f>K57-J57</f>
        <v>468579.30914150551</v>
      </c>
      <c r="L83" s="159">
        <f>L57-K57</f>
        <v>-21428.472453555092</v>
      </c>
      <c r="M83" s="103"/>
      <c r="N83" s="171" t="s">
        <v>1617</v>
      </c>
      <c r="O83" s="103"/>
      <c r="P83" s="103"/>
      <c r="Q83" s="103"/>
      <c r="R83" s="103"/>
      <c r="S83" s="103"/>
      <c r="T83" s="103"/>
      <c r="U83" s="103"/>
      <c r="V83" s="103"/>
      <c r="W83" s="103"/>
      <c r="X83" s="103"/>
    </row>
    <row r="84" spans="1:24">
      <c r="A84" s="121" t="s">
        <v>775</v>
      </c>
      <c r="B84" s="120"/>
      <c r="C84" s="136">
        <f>SUM('Fin Sta as rep'!C120)</f>
        <v>-88727</v>
      </c>
      <c r="D84" s="136">
        <f>SUM('Fin Sta as rep'!D120)</f>
        <v>57746</v>
      </c>
      <c r="E84" s="144">
        <f>SUM('Fin Sta as rep'!E120)</f>
        <v>0</v>
      </c>
      <c r="F84" s="144">
        <f>SUM('Fin Sta as rep'!F120)</f>
        <v>0</v>
      </c>
      <c r="G84" s="144">
        <f>SUM('Fin Sta as rep'!G120)</f>
        <v>0</v>
      </c>
      <c r="H84" s="570">
        <f>H59-G59</f>
        <v>3236585.4184641931</v>
      </c>
      <c r="I84" s="159">
        <f t="shared" ref="I84:L84" si="60">I59-H59</f>
        <v>-116433.34771354683</v>
      </c>
      <c r="J84" s="159">
        <f t="shared" si="60"/>
        <v>808746.78636567481</v>
      </c>
      <c r="K84" s="159">
        <f t="shared" si="60"/>
        <v>469663.44570207037</v>
      </c>
      <c r="L84" s="159">
        <f t="shared" si="60"/>
        <v>-21478.050806611776</v>
      </c>
      <c r="M84" s="103"/>
      <c r="N84" s="171" t="s">
        <v>1617</v>
      </c>
      <c r="O84" s="103"/>
      <c r="P84" s="103"/>
      <c r="Q84" s="103"/>
      <c r="R84" s="103"/>
      <c r="S84" s="103"/>
      <c r="T84" s="103"/>
      <c r="U84" s="103"/>
      <c r="V84" s="103"/>
      <c r="W84" s="103"/>
      <c r="X84" s="103"/>
    </row>
    <row r="85" spans="1:24">
      <c r="A85" s="121" t="s">
        <v>2141</v>
      </c>
      <c r="B85" s="120"/>
      <c r="C85" s="144">
        <v>0</v>
      </c>
      <c r="D85" s="142">
        <v>0</v>
      </c>
      <c r="E85" s="142">
        <v>0</v>
      </c>
      <c r="F85" s="142">
        <v>0</v>
      </c>
      <c r="G85" s="142">
        <v>0</v>
      </c>
      <c r="H85" s="570">
        <v>0</v>
      </c>
      <c r="I85" s="159">
        <v>0</v>
      </c>
      <c r="J85" s="159">
        <v>0</v>
      </c>
      <c r="K85" s="159">
        <v>0</v>
      </c>
      <c r="L85" s="159">
        <v>0</v>
      </c>
      <c r="M85" s="103"/>
      <c r="N85" s="171" t="s">
        <v>2142</v>
      </c>
      <c r="O85" s="103"/>
      <c r="P85" s="103"/>
      <c r="Q85" s="103"/>
      <c r="R85" s="103"/>
      <c r="S85" s="103"/>
      <c r="T85" s="103"/>
      <c r="U85" s="103"/>
      <c r="V85" s="103"/>
      <c r="W85" s="103"/>
      <c r="X85" s="103"/>
    </row>
    <row r="86" spans="1:24">
      <c r="A86" s="49" t="s">
        <v>778</v>
      </c>
      <c r="B86" s="103"/>
      <c r="C86" s="136">
        <f>'Fin Sta as rep'!C122</f>
        <v>334225</v>
      </c>
      <c r="D86" s="136">
        <f>'Fin Sta as rep'!D122</f>
        <v>466760</v>
      </c>
      <c r="E86" s="136">
        <f>'Fin Sta as rep'!E122</f>
        <v>749024</v>
      </c>
      <c r="F86" s="136">
        <f>'Fin Sta as rep'!F122</f>
        <v>898000</v>
      </c>
      <c r="G86" s="136">
        <f>'Fin Sta as rep'!G122</f>
        <v>1734000</v>
      </c>
      <c r="H86" s="570">
        <f>R86</f>
        <v>0</v>
      </c>
      <c r="I86" s="159">
        <f t="shared" ref="I86:L86" si="61">S86</f>
        <v>0</v>
      </c>
      <c r="J86" s="159">
        <f t="shared" si="61"/>
        <v>0</v>
      </c>
      <c r="K86" s="159">
        <f t="shared" si="61"/>
        <v>0</v>
      </c>
      <c r="L86" s="159">
        <f t="shared" si="61"/>
        <v>0</v>
      </c>
      <c r="M86" s="103"/>
      <c r="N86" s="120" t="s">
        <v>1619</v>
      </c>
      <c r="O86" s="103"/>
      <c r="P86" s="103"/>
      <c r="Q86" s="103"/>
      <c r="R86" s="147">
        <v>0</v>
      </c>
      <c r="S86" s="147">
        <v>0</v>
      </c>
      <c r="T86" s="147">
        <v>0</v>
      </c>
      <c r="U86" s="147">
        <v>0</v>
      </c>
      <c r="V86" s="147">
        <v>0</v>
      </c>
      <c r="W86" s="103"/>
      <c r="X86" s="103"/>
    </row>
    <row r="87" spans="1:24">
      <c r="A87" s="121" t="s">
        <v>773</v>
      </c>
      <c r="B87" s="120"/>
      <c r="C87" s="220">
        <f>'Fin Sta as rep'!C119</f>
        <v>34633</v>
      </c>
      <c r="D87" s="136">
        <f>'Fin Sta as rep'!D119</f>
        <v>105770</v>
      </c>
      <c r="E87" s="136">
        <f>'Fin Sta as rep'!E119</f>
        <v>161361</v>
      </c>
      <c r="F87" s="136">
        <f>'Fin Sta as rep'!F119</f>
        <v>146000</v>
      </c>
      <c r="G87" s="136">
        <f>'Fin Sta as rep'!G119</f>
        <v>117000</v>
      </c>
      <c r="H87" s="570">
        <f>G87</f>
        <v>117000</v>
      </c>
      <c r="I87" s="159">
        <f t="shared" ref="I87:L87" si="62">H87</f>
        <v>117000</v>
      </c>
      <c r="J87" s="159">
        <f t="shared" si="62"/>
        <v>117000</v>
      </c>
      <c r="K87" s="159">
        <f t="shared" si="62"/>
        <v>117000</v>
      </c>
      <c r="L87" s="159">
        <f t="shared" si="62"/>
        <v>117000</v>
      </c>
      <c r="M87" s="103"/>
      <c r="N87" s="171" t="s">
        <v>2132</v>
      </c>
      <c r="O87" s="103"/>
      <c r="P87" s="103"/>
      <c r="Q87" s="103"/>
      <c r="R87" s="103"/>
      <c r="S87" s="103"/>
      <c r="T87" s="103"/>
      <c r="U87" s="103"/>
      <c r="V87" s="103"/>
      <c r="W87" s="103"/>
      <c r="X87" s="103"/>
    </row>
    <row r="88" spans="1:24">
      <c r="A88" s="121" t="s">
        <v>780</v>
      </c>
      <c r="B88" s="120"/>
      <c r="C88" s="224">
        <f>SUM('Fin Sta as rep'!C123:C132,'Fin Sta as rep'!C137:C140)</f>
        <v>-573911</v>
      </c>
      <c r="D88" s="224">
        <f>SUM('Fin Sta as rep'!D123:D132,'Fin Sta as rep'!D137:D140)</f>
        <v>-362113</v>
      </c>
      <c r="E88" s="224">
        <f>SUM('Fin Sta as rep'!E123:E132,'Fin Sta as rep'!E137:E140)</f>
        <v>-12635</v>
      </c>
      <c r="F88" s="224">
        <f>SUM('Fin Sta as rep'!F123:F132,'Fin Sta as rep'!F137:F140)</f>
        <v>-56000</v>
      </c>
      <c r="G88" s="224">
        <f>SUM('Fin Sta as rep'!G123:G132,'Fin Sta as rep'!G137:G140)</f>
        <v>-300000</v>
      </c>
      <c r="H88" s="570">
        <f>R88</f>
        <v>-480338</v>
      </c>
      <c r="I88" s="159">
        <f t="shared" ref="I88:L88" si="63">S88</f>
        <v>0</v>
      </c>
      <c r="J88" s="159">
        <f t="shared" si="63"/>
        <v>0</v>
      </c>
      <c r="K88" s="159">
        <f t="shared" si="63"/>
        <v>0</v>
      </c>
      <c r="L88" s="159">
        <f t="shared" si="63"/>
        <v>0</v>
      </c>
      <c r="M88" s="103"/>
      <c r="N88" s="120" t="s">
        <v>807</v>
      </c>
      <c r="O88" s="103"/>
      <c r="P88" s="103"/>
      <c r="Q88" s="103"/>
      <c r="R88" s="147">
        <v>-480338</v>
      </c>
      <c r="S88" s="147">
        <v>0</v>
      </c>
      <c r="T88" s="147">
        <v>0</v>
      </c>
      <c r="U88" s="147">
        <v>0</v>
      </c>
      <c r="V88" s="147">
        <v>0</v>
      </c>
      <c r="W88" s="103"/>
      <c r="X88" s="103"/>
    </row>
    <row r="89" spans="1:24">
      <c r="A89" s="373" t="s">
        <v>1620</v>
      </c>
      <c r="B89" s="153"/>
      <c r="C89" s="130">
        <f>SUM(C79:C81,C83:C88,C75)</f>
        <v>-123829</v>
      </c>
      <c r="D89" s="130">
        <f>SUM(D79:D81,D83:D88,D75)</f>
        <v>-60654</v>
      </c>
      <c r="E89" s="130">
        <f t="shared" ref="E89:G89" si="64">SUM(E79:E81,E83:E88,E75)</f>
        <v>2097802</v>
      </c>
      <c r="F89" s="130">
        <f t="shared" si="64"/>
        <v>2405000</v>
      </c>
      <c r="G89" s="130">
        <f t="shared" si="64"/>
        <v>5943000</v>
      </c>
      <c r="H89" s="175">
        <f>SUM(H79:H88,H75)</f>
        <v>12162772.487287473</v>
      </c>
      <c r="I89" s="176">
        <f>SUM(I79:I88,I75)</f>
        <v>14479495.903485417</v>
      </c>
      <c r="J89" s="176">
        <f>SUM(J79:J88,J75)</f>
        <v>12334760.170921398</v>
      </c>
      <c r="K89" s="176">
        <f>SUM(K79:K88,K75)</f>
        <v>14087827.250069749</v>
      </c>
      <c r="L89" s="176">
        <f>SUM(L79:L88,L75)</f>
        <v>17238073.230137058</v>
      </c>
      <c r="M89" s="103"/>
      <c r="N89" s="178"/>
      <c r="O89" s="103"/>
      <c r="P89" s="103"/>
      <c r="Q89" s="103"/>
      <c r="R89" s="103"/>
      <c r="S89" s="103"/>
      <c r="T89" s="103"/>
      <c r="U89" s="103"/>
      <c r="V89" s="103"/>
      <c r="W89" s="103"/>
      <c r="X89" s="103"/>
    </row>
    <row r="90" spans="1:24" ht="14.5">
      <c r="A90" s="371" t="s">
        <v>1581</v>
      </c>
      <c r="B90" s="156"/>
      <c r="C90" s="157"/>
      <c r="D90" s="157"/>
      <c r="E90" s="157"/>
      <c r="F90" s="157"/>
      <c r="G90" s="158"/>
      <c r="H90" s="570"/>
      <c r="I90" s="159"/>
      <c r="J90" s="159"/>
      <c r="K90" s="159"/>
      <c r="L90" s="159"/>
      <c r="M90" s="103"/>
      <c r="N90" s="103"/>
      <c r="O90" s="103"/>
      <c r="P90" s="103"/>
      <c r="Q90" s="103"/>
      <c r="R90" s="103"/>
      <c r="S90" s="103"/>
      <c r="T90" s="103"/>
      <c r="U90" s="103"/>
      <c r="V90" s="103"/>
      <c r="W90" s="103"/>
      <c r="X90" s="103"/>
    </row>
    <row r="91" spans="1:24">
      <c r="A91" s="121" t="s">
        <v>797</v>
      </c>
      <c r="B91" s="120"/>
      <c r="C91" s="173">
        <f>SUM('Fin Sta as rep'!C146:C147)</f>
        <v>-1440471</v>
      </c>
      <c r="D91" s="173">
        <f>SUM('Fin Sta as rep'!D146:D147)</f>
        <v>-4081540</v>
      </c>
      <c r="E91" s="173">
        <f>SUM('Fin Sta as rep'!E146:E147)</f>
        <v>-2319000</v>
      </c>
      <c r="F91" s="173">
        <f>SUM('Fin Sta as rep'!F146:F147)</f>
        <v>-1432000</v>
      </c>
      <c r="G91" s="173">
        <f>SUM('Fin Sta as rep'!G146:G147)</f>
        <v>-3232000</v>
      </c>
      <c r="H91" s="573">
        <f>-R91*H7</f>
        <v>-8073450</v>
      </c>
      <c r="I91" s="173">
        <f>-S91*I7</f>
        <v>-12219300.000000004</v>
      </c>
      <c r="J91" s="173">
        <f>-T91*J7</f>
        <v>-14459154.128049994</v>
      </c>
      <c r="K91" s="173">
        <f>-U91*K7</f>
        <v>-16635415.011743369</v>
      </c>
      <c r="L91" s="173">
        <f>-V91*L7</f>
        <v>-18344948.092328198</v>
      </c>
      <c r="M91" s="103"/>
      <c r="N91" s="120" t="s">
        <v>1621</v>
      </c>
      <c r="O91" s="187">
        <f>-E91/E7</f>
        <v>0.10805748154775217</v>
      </c>
      <c r="P91" s="187">
        <f>-F91/F7</f>
        <v>5.8263487671901704E-2</v>
      </c>
      <c r="Q91" s="187">
        <f>-G91/G7</f>
        <v>0.10248604769152714</v>
      </c>
      <c r="R91" s="139">
        <v>0.15</v>
      </c>
      <c r="S91" s="139">
        <v>0.15</v>
      </c>
      <c r="T91" s="139">
        <v>0.15</v>
      </c>
      <c r="U91" s="139">
        <v>0.15</v>
      </c>
      <c r="V91" s="139">
        <v>0.15</v>
      </c>
      <c r="W91" s="103"/>
      <c r="X91" s="103" t="s">
        <v>2143</v>
      </c>
    </row>
    <row r="92" spans="1:24">
      <c r="A92" s="557" t="s">
        <v>1169</v>
      </c>
      <c r="B92" s="216"/>
      <c r="C92" s="144">
        <f>SUM('Fin Sta as rep'!C153)</f>
        <v>0</v>
      </c>
      <c r="D92" s="144">
        <f>SUM('Fin Sta as rep'!D153)</f>
        <v>0</v>
      </c>
      <c r="E92" s="144">
        <f>SUM('Fin Sta as rep'!E153)</f>
        <v>0</v>
      </c>
      <c r="F92" s="173">
        <f>SUM('Fin Sta as rep'!F153)</f>
        <v>-5000</v>
      </c>
      <c r="G92" s="173">
        <f>SUM('Fin Sta as rep'!G153)</f>
        <v>-10000</v>
      </c>
      <c r="H92" s="573">
        <f>-R92*H7</f>
        <v>0</v>
      </c>
      <c r="I92" s="173">
        <f>-S92*I7</f>
        <v>0</v>
      </c>
      <c r="J92" s="173">
        <f>-T92*J7</f>
        <v>0</v>
      </c>
      <c r="K92" s="173">
        <f>-U92*K7</f>
        <v>0</v>
      </c>
      <c r="L92" s="173">
        <f>-V92*L7</f>
        <v>0</v>
      </c>
      <c r="M92" s="103"/>
      <c r="N92" s="120" t="s">
        <v>2144</v>
      </c>
      <c r="O92" s="187">
        <f>-E92/E7</f>
        <v>0</v>
      </c>
      <c r="P92" s="187">
        <f>-F92/F7</f>
        <v>2.034339653348523E-4</v>
      </c>
      <c r="Q92" s="187">
        <f>-G92/G7</f>
        <v>3.1709791983764585E-4</v>
      </c>
      <c r="R92" s="139">
        <v>0</v>
      </c>
      <c r="S92" s="139">
        <v>0</v>
      </c>
      <c r="T92" s="139">
        <v>0</v>
      </c>
      <c r="U92" s="139">
        <v>0</v>
      </c>
      <c r="V92" s="139">
        <v>0</v>
      </c>
      <c r="W92" s="103"/>
      <c r="X92" s="103"/>
    </row>
    <row r="93" spans="1:24">
      <c r="A93" s="121" t="s">
        <v>804</v>
      </c>
      <c r="B93" s="120"/>
      <c r="C93" s="173">
        <f>SUM('Fin Sta as rep'!C152)</f>
        <v>213523</v>
      </c>
      <c r="D93" s="173">
        <f>SUM('Fin Sta as rep'!D152)</f>
        <v>-115000</v>
      </c>
      <c r="E93" s="173">
        <f>SUM('Fin Sta as rep'!E152)</f>
        <v>-18000</v>
      </c>
      <c r="F93" s="173">
        <f>SUM('Fin Sta as rep'!F152)</f>
        <v>-45000</v>
      </c>
      <c r="G93" s="173">
        <f>SUM('Fin Sta as rep'!G152)</f>
        <v>-13000</v>
      </c>
      <c r="H93" s="570">
        <f t="shared" ref="H93:J94" si="65">R93</f>
        <v>-100000</v>
      </c>
      <c r="I93" s="159">
        <f t="shared" si="65"/>
        <v>-100000</v>
      </c>
      <c r="J93" s="159">
        <f t="shared" si="65"/>
        <v>-100000</v>
      </c>
      <c r="K93" s="159">
        <f>U93</f>
        <v>-100000</v>
      </c>
      <c r="L93" s="159">
        <f>V93</f>
        <v>-100000</v>
      </c>
      <c r="M93" s="103"/>
      <c r="N93" s="120" t="s">
        <v>804</v>
      </c>
      <c r="O93" s="103"/>
      <c r="P93" s="103"/>
      <c r="Q93" s="103"/>
      <c r="R93" s="147">
        <v>-100000</v>
      </c>
      <c r="S93" s="147">
        <v>-100000</v>
      </c>
      <c r="T93" s="147">
        <v>-100000</v>
      </c>
      <c r="U93" s="147">
        <v>-100000</v>
      </c>
      <c r="V93" s="147">
        <v>-100000</v>
      </c>
      <c r="W93" s="103"/>
      <c r="X93" s="103" t="s">
        <v>2145</v>
      </c>
    </row>
    <row r="94" spans="1:24">
      <c r="A94" s="121" t="s">
        <v>807</v>
      </c>
      <c r="B94" s="216"/>
      <c r="C94" s="173">
        <f>SUM('Fin Sta as rep'!C156:C157)</f>
        <v>16667</v>
      </c>
      <c r="D94" s="173">
        <f>SUM('Fin Sta as rep'!D156:D157)</f>
        <v>0</v>
      </c>
      <c r="E94" s="173">
        <f>SUM('Fin Sta as rep'!E156:E157)</f>
        <v>0</v>
      </c>
      <c r="F94" s="173">
        <f>SUM('Fin Sta as rep'!F156:F157)</f>
        <v>46000</v>
      </c>
      <c r="G94" s="173">
        <f>SUM('Fin Sta as rep'!G156:G157)</f>
        <v>123000</v>
      </c>
      <c r="H94" s="570">
        <f t="shared" si="65"/>
        <v>0</v>
      </c>
      <c r="I94" s="159">
        <f t="shared" si="65"/>
        <v>0</v>
      </c>
      <c r="J94" s="159">
        <f t="shared" si="65"/>
        <v>0</v>
      </c>
      <c r="K94" s="159">
        <f>U94</f>
        <v>0</v>
      </c>
      <c r="L94" s="159">
        <f>V94</f>
        <v>0</v>
      </c>
      <c r="M94" s="103"/>
      <c r="N94" s="120" t="s">
        <v>807</v>
      </c>
      <c r="O94" s="103"/>
      <c r="P94" s="103"/>
      <c r="Q94" s="103"/>
      <c r="R94" s="147">
        <v>0</v>
      </c>
      <c r="S94" s="147">
        <v>0</v>
      </c>
      <c r="T94" s="147">
        <v>0</v>
      </c>
      <c r="U94" s="147">
        <v>0</v>
      </c>
      <c r="V94" s="147">
        <v>0</v>
      </c>
      <c r="W94" s="103"/>
      <c r="X94" s="103"/>
    </row>
    <row r="95" spans="1:24">
      <c r="A95" s="373" t="s">
        <v>1684</v>
      </c>
      <c r="B95" s="153"/>
      <c r="C95" s="175">
        <f t="shared" ref="C95:J95" si="66">SUM(C91:C94)</f>
        <v>-1210281</v>
      </c>
      <c r="D95" s="175">
        <f>SUM(D91:D94)</f>
        <v>-4196540</v>
      </c>
      <c r="E95" s="175">
        <f t="shared" si="66"/>
        <v>-2337000</v>
      </c>
      <c r="F95" s="175">
        <f t="shared" si="66"/>
        <v>-1436000</v>
      </c>
      <c r="G95" s="175">
        <f t="shared" si="66"/>
        <v>-3132000</v>
      </c>
      <c r="H95" s="175">
        <f t="shared" si="66"/>
        <v>-8173450</v>
      </c>
      <c r="I95" s="176">
        <f t="shared" si="66"/>
        <v>-12319300.000000004</v>
      </c>
      <c r="J95" s="176">
        <f t="shared" si="66"/>
        <v>-14559154.128049994</v>
      </c>
      <c r="K95" s="176">
        <f>SUM(K91:K94)</f>
        <v>-16735415.011743369</v>
      </c>
      <c r="L95" s="176">
        <f>SUM(L91:L94)</f>
        <v>-18444948.092328198</v>
      </c>
      <c r="M95" s="103"/>
      <c r="N95" s="178"/>
      <c r="O95" s="103"/>
      <c r="P95" s="103"/>
      <c r="Q95" s="103"/>
      <c r="R95" s="103"/>
      <c r="S95" s="103"/>
      <c r="T95" s="103"/>
      <c r="U95" s="103"/>
      <c r="V95" s="103"/>
      <c r="W95" s="103"/>
      <c r="X95" s="103"/>
    </row>
    <row r="96" spans="1:24" ht="14.5">
      <c r="A96" s="371" t="s">
        <v>1581</v>
      </c>
      <c r="B96" s="156"/>
      <c r="C96" s="157"/>
      <c r="D96" s="157"/>
      <c r="E96" s="157"/>
      <c r="F96" s="158"/>
      <c r="G96" s="158"/>
      <c r="H96" s="570"/>
      <c r="I96" s="159"/>
      <c r="J96" s="159"/>
      <c r="K96" s="159"/>
      <c r="L96" s="159"/>
      <c r="M96" s="103"/>
      <c r="N96" s="103"/>
      <c r="O96" s="103"/>
      <c r="P96" s="103"/>
      <c r="Q96" s="103"/>
      <c r="R96" s="103"/>
      <c r="S96" s="103"/>
      <c r="T96" s="103"/>
      <c r="U96" s="103"/>
      <c r="V96" s="103"/>
      <c r="W96" s="103"/>
      <c r="X96" s="103"/>
    </row>
    <row r="97" spans="1:24" ht="14.5">
      <c r="A97" s="121" t="s">
        <v>816</v>
      </c>
      <c r="B97" s="120"/>
      <c r="C97" s="173">
        <f>SUM('Fin Sta as rep'!C162:C169,'Fin Sta as rep'!C177)</f>
        <v>1718190</v>
      </c>
      <c r="D97" s="173">
        <f>SUM('Fin Sta as rep'!D162:D169,'Fin Sta as rep'!D177)</f>
        <v>3385588</v>
      </c>
      <c r="E97" s="173">
        <f>SUM('Fin Sta as rep'!E162:E169,'Fin Sta as rep'!E177)</f>
        <v>74000</v>
      </c>
      <c r="F97" s="173">
        <f>SUM('Fin Sta as rep'!F162:F169,'Fin Sta as rep'!F177)</f>
        <v>761000</v>
      </c>
      <c r="G97" s="173">
        <f>SUM('Fin Sta as rep'!G162:G169,'Fin Sta as rep'!G177)</f>
        <v>-2494000</v>
      </c>
      <c r="H97" s="570">
        <f>H58-G58+H62-G62</f>
        <v>-2731258.8438308891</v>
      </c>
      <c r="I97" s="159">
        <f>I58-H58+I62-H62</f>
        <v>-740929.249352891</v>
      </c>
      <c r="J97" s="159">
        <f t="shared" ref="J97" si="67">J58-I58+J62-I62</f>
        <v>-415705.1692445809</v>
      </c>
      <c r="K97" s="159">
        <f>K58-J58+K62-J62</f>
        <v>165098.51050895546</v>
      </c>
      <c r="L97" s="159">
        <f>L58-K58+L62-K62</f>
        <v>-7550.0749084409326</v>
      </c>
      <c r="M97" s="103"/>
      <c r="N97" s="171" t="s">
        <v>2146</v>
      </c>
      <c r="O97" s="103"/>
      <c r="P97" s="103"/>
      <c r="Q97" s="103"/>
      <c r="R97" s="103"/>
      <c r="S97" s="103"/>
      <c r="T97" s="103"/>
      <c r="U97" s="103"/>
      <c r="V97" s="103"/>
      <c r="W97" s="103"/>
      <c r="X97" s="103"/>
    </row>
    <row r="98" spans="1:24" ht="14.5">
      <c r="A98" s="377" t="s">
        <v>825</v>
      </c>
      <c r="B98" s="188"/>
      <c r="C98" s="173">
        <f>SUM('Fin Sta as rep'!C170:C176,'Fin Sta as rep'!C181)</f>
        <v>2025786</v>
      </c>
      <c r="D98" s="173">
        <f>SUM('Fin Sta as rep'!D170:D176,'Fin Sta as rep'!D181)</f>
        <v>1124040</v>
      </c>
      <c r="E98" s="173">
        <f>SUM('Fin Sta as rep'!E170:E176,'Fin Sta as rep'!E181)</f>
        <v>506000</v>
      </c>
      <c r="F98" s="173">
        <f>SUM('Fin Sta as rep'!F170:F176,'Fin Sta as rep'!F181)</f>
        <v>1079000</v>
      </c>
      <c r="G98" s="173">
        <f>SUM('Fin Sta as rep'!G170:G176,'Fin Sta as rep'!G181)</f>
        <v>12502000</v>
      </c>
      <c r="H98" s="570">
        <f>R98</f>
        <v>-2000000</v>
      </c>
      <c r="I98" s="159">
        <f t="shared" ref="H98:J100" si="68">S98</f>
        <v>-2300000</v>
      </c>
      <c r="J98" s="159">
        <f t="shared" si="68"/>
        <v>-2500000</v>
      </c>
      <c r="K98" s="159">
        <f t="shared" ref="K98:L100" si="69">U98</f>
        <v>-2500000</v>
      </c>
      <c r="L98" s="159">
        <f t="shared" si="69"/>
        <v>-2500000</v>
      </c>
      <c r="M98" s="103"/>
      <c r="N98" s="188" t="s">
        <v>825</v>
      </c>
      <c r="O98" s="103"/>
      <c r="P98" s="103"/>
      <c r="Q98" s="103"/>
      <c r="R98" s="147">
        <v>-2000000</v>
      </c>
      <c r="S98" s="147">
        <v>-2300000</v>
      </c>
      <c r="T98" s="147">
        <v>-2500000</v>
      </c>
      <c r="U98" s="147">
        <v>-2500000</v>
      </c>
      <c r="V98" s="147">
        <v>-2500000</v>
      </c>
      <c r="W98" s="103"/>
      <c r="X98" s="156" t="s">
        <v>2147</v>
      </c>
    </row>
    <row r="99" spans="1:24">
      <c r="A99" s="377" t="s">
        <v>834</v>
      </c>
      <c r="B99" s="188"/>
      <c r="C99" s="173">
        <f>SUM('Fin Sta as rep'!C178:C179)</f>
        <v>0</v>
      </c>
      <c r="D99" s="173">
        <f>SUM('Fin Sta as rep'!D178:D179)</f>
        <v>-177502</v>
      </c>
      <c r="E99" s="173">
        <f>SUM('Fin Sta as rep'!E178:E179)</f>
        <v>0</v>
      </c>
      <c r="F99" s="173">
        <f>SUM('Fin Sta as rep'!F178:F179)</f>
        <v>174000</v>
      </c>
      <c r="G99" s="144">
        <f>SUM('Fin Sta as rep'!G178:G179)</f>
        <v>0</v>
      </c>
      <c r="H99" s="570">
        <f>R99</f>
        <v>8000</v>
      </c>
      <c r="I99" s="159">
        <f t="shared" si="68"/>
        <v>8000</v>
      </c>
      <c r="J99" s="159">
        <f t="shared" si="68"/>
        <v>8000</v>
      </c>
      <c r="K99" s="159">
        <f t="shared" si="69"/>
        <v>8000</v>
      </c>
      <c r="L99" s="159">
        <f t="shared" si="69"/>
        <v>8000</v>
      </c>
      <c r="M99" s="103"/>
      <c r="N99" s="188" t="s">
        <v>1645</v>
      </c>
      <c r="O99" s="103"/>
      <c r="P99" s="103"/>
      <c r="Q99" s="103"/>
      <c r="R99" s="147">
        <f>(G69-E69)/2</f>
        <v>8000</v>
      </c>
      <c r="S99" s="147">
        <f>R99</f>
        <v>8000</v>
      </c>
      <c r="T99" s="147">
        <f>S99</f>
        <v>8000</v>
      </c>
      <c r="U99" s="147">
        <f>T99</f>
        <v>8000</v>
      </c>
      <c r="V99" s="147">
        <f>U99</f>
        <v>8000</v>
      </c>
      <c r="W99" s="103"/>
      <c r="X99" s="103"/>
    </row>
    <row r="100" spans="1:24">
      <c r="A100" s="121" t="s">
        <v>837</v>
      </c>
      <c r="B100" s="120"/>
      <c r="C100" s="173">
        <f>SUM('Fin Sta as rep'!C180,'Fin Sta as rep'!C182:C183)</f>
        <v>0</v>
      </c>
      <c r="D100" s="173">
        <f>SUM('Fin Sta as rep'!D180,'Fin Sta as rep'!D182:D183)</f>
        <v>82738</v>
      </c>
      <c r="E100" s="173">
        <f>SUM('Fin Sta as rep'!E180,'Fin Sta as rep'!E182:E183)</f>
        <v>-6000</v>
      </c>
      <c r="F100" s="173">
        <f>SUM('Fin Sta as rep'!F180,'Fin Sta as rep'!F182:F183)</f>
        <v>-485000</v>
      </c>
      <c r="G100" s="173">
        <f>SUM('Fin Sta as rep'!G180,'Fin Sta as rep'!G182:G183)</f>
        <v>-35000</v>
      </c>
      <c r="H100" s="570">
        <f t="shared" si="68"/>
        <v>-400000</v>
      </c>
      <c r="I100" s="159">
        <f>S100</f>
        <v>-750000</v>
      </c>
      <c r="J100" s="159">
        <f t="shared" si="68"/>
        <v>-850000</v>
      </c>
      <c r="K100" s="159">
        <f t="shared" si="69"/>
        <v>-849999</v>
      </c>
      <c r="L100" s="159">
        <f t="shared" si="69"/>
        <v>-849998</v>
      </c>
      <c r="M100" s="103"/>
      <c r="N100" s="120" t="s">
        <v>807</v>
      </c>
      <c r="O100" s="103"/>
      <c r="P100" s="103"/>
      <c r="Q100" s="103"/>
      <c r="R100" s="147">
        <v>-400000</v>
      </c>
      <c r="S100" s="147">
        <v>-750000</v>
      </c>
      <c r="T100" s="147">
        <v>-850000</v>
      </c>
      <c r="U100" s="147">
        <v>-849999</v>
      </c>
      <c r="V100" s="147">
        <v>-849998</v>
      </c>
      <c r="W100" s="103"/>
      <c r="X100" s="103" t="s">
        <v>1818</v>
      </c>
    </row>
    <row r="101" spans="1:24">
      <c r="A101" s="373" t="s">
        <v>1623</v>
      </c>
      <c r="B101" s="153"/>
      <c r="C101" s="174">
        <f>SUM(C97:C100)</f>
        <v>3743976</v>
      </c>
      <c r="D101" s="174">
        <f t="shared" ref="D101:L101" si="70">SUM(D97:D100)</f>
        <v>4414864</v>
      </c>
      <c r="E101" s="175">
        <f t="shared" si="70"/>
        <v>574000</v>
      </c>
      <c r="F101" s="175">
        <f t="shared" si="70"/>
        <v>1529000</v>
      </c>
      <c r="G101" s="175">
        <f t="shared" si="70"/>
        <v>9973000</v>
      </c>
      <c r="H101" s="175">
        <f t="shared" si="70"/>
        <v>-5123258.8438308891</v>
      </c>
      <c r="I101" s="176">
        <f>SUM(I97:I100)</f>
        <v>-3782929.249352891</v>
      </c>
      <c r="J101" s="176">
        <f t="shared" si="70"/>
        <v>-3757705.1692445809</v>
      </c>
      <c r="K101" s="176">
        <f t="shared" si="70"/>
        <v>-3176900.4894910445</v>
      </c>
      <c r="L101" s="176">
        <f t="shared" si="70"/>
        <v>-3349548.0749084409</v>
      </c>
      <c r="M101" s="103"/>
      <c r="N101" s="178"/>
      <c r="O101" s="103"/>
      <c r="P101" s="103"/>
      <c r="Q101" s="103"/>
      <c r="R101" s="103"/>
      <c r="S101" s="103"/>
      <c r="T101" s="103"/>
      <c r="U101" s="103"/>
      <c r="V101" s="103"/>
      <c r="W101" s="103"/>
      <c r="X101" s="103"/>
    </row>
    <row r="102" spans="1:24">
      <c r="A102" s="121" t="s">
        <v>1624</v>
      </c>
      <c r="B102" s="120"/>
      <c r="C102" s="173">
        <f>SUM('Fin Sta as rep'!C187)</f>
        <v>-7409</v>
      </c>
      <c r="D102" s="173">
        <f>SUM('Fin Sta as rep'!D187)</f>
        <v>39455</v>
      </c>
      <c r="E102" s="173">
        <f>SUM('Fin Sta as rep'!E187)</f>
        <v>-22700</v>
      </c>
      <c r="F102" s="173">
        <f>SUM('Fin Sta as rep'!F187)</f>
        <v>8000</v>
      </c>
      <c r="G102" s="173">
        <f>SUM('Fin Sta as rep'!G187)</f>
        <v>334000</v>
      </c>
      <c r="H102" s="570">
        <v>0</v>
      </c>
      <c r="I102" s="225">
        <v>0</v>
      </c>
      <c r="J102" s="225">
        <v>0</v>
      </c>
      <c r="K102" s="159">
        <f t="shared" ref="K102:L102" si="71">U102</f>
        <v>0</v>
      </c>
      <c r="L102" s="159">
        <f t="shared" si="71"/>
        <v>0</v>
      </c>
      <c r="M102" s="103"/>
      <c r="N102" s="120" t="s">
        <v>1624</v>
      </c>
      <c r="O102" s="103"/>
      <c r="P102" s="103"/>
      <c r="Q102" s="103"/>
      <c r="R102" s="147">
        <v>0</v>
      </c>
      <c r="S102" s="147">
        <v>0</v>
      </c>
      <c r="T102" s="147">
        <v>0</v>
      </c>
      <c r="U102" s="147">
        <v>0</v>
      </c>
      <c r="V102" s="147">
        <v>0</v>
      </c>
      <c r="W102" s="103"/>
      <c r="X102" s="103"/>
    </row>
    <row r="103" spans="1:24">
      <c r="A103" s="373" t="s">
        <v>1625</v>
      </c>
      <c r="B103" s="153"/>
      <c r="C103" s="174">
        <f>C89+C95+C101+C102</f>
        <v>2402457</v>
      </c>
      <c r="D103" s="174">
        <f>D89+D95+D101+D102</f>
        <v>197125</v>
      </c>
      <c r="E103" s="176">
        <f t="shared" ref="E103:L103" si="72">E89+E95+E101+E102</f>
        <v>312102</v>
      </c>
      <c r="F103" s="176">
        <f t="shared" si="72"/>
        <v>2506000</v>
      </c>
      <c r="G103" s="176">
        <f t="shared" si="72"/>
        <v>13118000</v>
      </c>
      <c r="H103" s="175">
        <f t="shared" si="72"/>
        <v>-1133936.3565434162</v>
      </c>
      <c r="I103" s="176">
        <f t="shared" si="72"/>
        <v>-1622733.3458674774</v>
      </c>
      <c r="J103" s="176">
        <f>J89+J95+J101+J102</f>
        <v>-5982099.1263731765</v>
      </c>
      <c r="K103" s="176">
        <f t="shared" si="72"/>
        <v>-5824488.2511646645</v>
      </c>
      <c r="L103" s="176">
        <f t="shared" si="72"/>
        <v>-4556422.9370995816</v>
      </c>
      <c r="M103" s="103"/>
      <c r="N103" s="178"/>
      <c r="O103" s="103"/>
      <c r="P103" s="103"/>
      <c r="Q103" s="103"/>
      <c r="R103" s="103"/>
      <c r="S103" s="103"/>
      <c r="T103" s="103"/>
      <c r="U103" s="103"/>
      <c r="V103" s="103"/>
      <c r="W103" s="103"/>
      <c r="X103" s="103"/>
    </row>
    <row r="104" spans="1:24" ht="14.5">
      <c r="A104" s="371" t="s">
        <v>1581</v>
      </c>
      <c r="B104" s="156"/>
      <c r="C104" s="157"/>
      <c r="D104" s="157"/>
      <c r="E104" s="164"/>
      <c r="F104" s="180"/>
      <c r="G104" s="180"/>
      <c r="H104" s="570"/>
      <c r="I104" s="159"/>
      <c r="J104" s="159"/>
      <c r="K104" s="159"/>
      <c r="L104" s="159"/>
      <c r="M104" s="103"/>
      <c r="N104" s="103"/>
      <c r="O104" s="103"/>
      <c r="P104" s="103"/>
      <c r="Q104" s="103"/>
      <c r="R104" s="103"/>
      <c r="S104" s="103"/>
      <c r="T104" s="103"/>
      <c r="U104" s="103"/>
      <c r="V104" s="103"/>
      <c r="W104" s="103"/>
      <c r="X104" s="103"/>
    </row>
    <row r="105" spans="1:24">
      <c r="A105" s="121" t="s">
        <v>1626</v>
      </c>
      <c r="B105" s="120"/>
      <c r="C105" s="157">
        <f>B42</f>
        <v>1196908</v>
      </c>
      <c r="D105" s="157">
        <f>C106</f>
        <v>3599365</v>
      </c>
      <c r="E105" s="159">
        <f t="shared" ref="E105:G105" si="73">D106</f>
        <v>3796490</v>
      </c>
      <c r="F105" s="159">
        <f t="shared" si="73"/>
        <v>4108592</v>
      </c>
      <c r="G105" s="159">
        <f t="shared" si="73"/>
        <v>6614592</v>
      </c>
      <c r="H105" s="570">
        <f>G106</f>
        <v>19732592</v>
      </c>
      <c r="I105" s="159">
        <f>H106</f>
        <v>18598655.643456586</v>
      </c>
      <c r="J105" s="159">
        <f>I106</f>
        <v>16975922.297589108</v>
      </c>
      <c r="K105" s="159">
        <f>J106</f>
        <v>10993823.171215933</v>
      </c>
      <c r="L105" s="159">
        <f>K106</f>
        <v>5169334.9200512683</v>
      </c>
      <c r="M105" s="103"/>
      <c r="N105" s="178"/>
      <c r="O105" s="103"/>
      <c r="P105" s="103"/>
      <c r="Q105" s="103"/>
      <c r="R105" s="103"/>
      <c r="S105" s="103"/>
      <c r="T105" s="103"/>
      <c r="U105" s="103"/>
      <c r="V105" s="103"/>
      <c r="W105" s="103"/>
      <c r="X105" s="103"/>
    </row>
    <row r="106" spans="1:24">
      <c r="A106" s="121" t="s">
        <v>1627</v>
      </c>
      <c r="B106" s="120"/>
      <c r="C106" s="157">
        <f>SUM(C105,C103)</f>
        <v>3599365</v>
      </c>
      <c r="D106" s="157">
        <f t="shared" ref="D106:G106" si="74">SUM(D105,D103)</f>
        <v>3796490</v>
      </c>
      <c r="E106" s="137">
        <f t="shared" si="74"/>
        <v>4108592</v>
      </c>
      <c r="F106" s="159">
        <f t="shared" si="74"/>
        <v>6614592</v>
      </c>
      <c r="G106" s="159">
        <f t="shared" si="74"/>
        <v>19732592</v>
      </c>
      <c r="H106" s="570">
        <f>SUM(H105,H103)</f>
        <v>18598655.643456586</v>
      </c>
      <c r="I106" s="159">
        <f>SUM(I105,I103)</f>
        <v>16975922.297589108</v>
      </c>
      <c r="J106" s="159">
        <f>SUM(J105,J103)</f>
        <v>10993823.171215933</v>
      </c>
      <c r="K106" s="159">
        <f>SUM(K105,K103)</f>
        <v>5169334.9200512683</v>
      </c>
      <c r="L106" s="159">
        <f>SUM(L105,L103)</f>
        <v>612911.98295168672</v>
      </c>
      <c r="M106" s="103"/>
      <c r="N106" s="178"/>
      <c r="O106" s="103"/>
      <c r="P106" s="103"/>
      <c r="Q106" s="103"/>
      <c r="R106" s="103"/>
      <c r="S106" s="103"/>
      <c r="T106" s="103"/>
      <c r="U106" s="103"/>
      <c r="V106" s="103"/>
      <c r="W106" s="103"/>
      <c r="X106" s="103"/>
    </row>
    <row r="107" spans="1:24" ht="14.5">
      <c r="A107" s="371" t="s">
        <v>1581</v>
      </c>
      <c r="B107" s="156"/>
      <c r="C107" s="157"/>
      <c r="D107" s="157"/>
      <c r="E107" s="164"/>
      <c r="F107" s="180"/>
      <c r="G107" s="180"/>
      <c r="H107" s="570"/>
      <c r="I107" s="159"/>
      <c r="J107" s="159"/>
      <c r="K107" s="159"/>
      <c r="L107" s="159"/>
      <c r="M107" s="103"/>
      <c r="N107" s="103"/>
      <c r="O107" s="103"/>
      <c r="P107" s="103"/>
      <c r="Q107" s="103"/>
      <c r="R107" s="103"/>
      <c r="S107" s="103"/>
      <c r="T107" s="103"/>
      <c r="U107" s="103"/>
      <c r="V107" s="103"/>
      <c r="W107" s="103"/>
      <c r="X107" s="103"/>
    </row>
    <row r="108" spans="1:24" ht="20">
      <c r="A108" s="368" t="s">
        <v>1819</v>
      </c>
      <c r="B108" s="123"/>
      <c r="C108" s="189"/>
      <c r="D108" s="189"/>
      <c r="E108" s="190"/>
      <c r="F108" s="190"/>
      <c r="G108" s="190"/>
      <c r="H108" s="572"/>
      <c r="I108" s="128"/>
      <c r="J108" s="128"/>
      <c r="K108" s="128"/>
      <c r="L108" s="128"/>
      <c r="M108" s="191"/>
      <c r="N108" s="191"/>
      <c r="O108" s="191"/>
      <c r="P108" s="191"/>
      <c r="Q108" s="191"/>
      <c r="R108" s="191"/>
      <c r="S108" s="191"/>
      <c r="T108" s="191"/>
      <c r="U108" s="191"/>
      <c r="V108" s="191"/>
      <c r="W108" s="191"/>
      <c r="X108" s="191"/>
    </row>
    <row r="109" spans="1:24" ht="14.5">
      <c r="A109" s="378" t="s">
        <v>1581</v>
      </c>
      <c r="B109" s="192"/>
      <c r="C109" s="193"/>
      <c r="D109" s="193"/>
      <c r="E109" s="194"/>
      <c r="F109" s="194"/>
      <c r="G109" s="194"/>
      <c r="H109" s="214"/>
      <c r="I109" s="137"/>
      <c r="J109" s="137"/>
      <c r="K109" s="137"/>
      <c r="L109" s="137"/>
      <c r="M109" s="195"/>
      <c r="N109" s="195"/>
      <c r="O109" s="195"/>
      <c r="P109" s="195"/>
      <c r="Q109" s="195"/>
      <c r="R109" s="195"/>
      <c r="S109" s="195"/>
      <c r="T109" s="195"/>
      <c r="U109" s="195"/>
      <c r="V109" s="195"/>
      <c r="W109" s="195"/>
      <c r="X109" s="195"/>
    </row>
    <row r="110" spans="1:24">
      <c r="A110" s="373" t="s">
        <v>508</v>
      </c>
      <c r="B110" s="153"/>
      <c r="C110" s="196">
        <f t="shared" ref="C110:J110" si="75">IFERROR(C7/C7,"")</f>
        <v>1</v>
      </c>
      <c r="D110" s="196">
        <f t="shared" si="75"/>
        <v>1</v>
      </c>
      <c r="E110" s="197">
        <f t="shared" si="75"/>
        <v>1</v>
      </c>
      <c r="F110" s="197">
        <f t="shared" si="75"/>
        <v>1</v>
      </c>
      <c r="G110" s="197">
        <f t="shared" si="75"/>
        <v>1</v>
      </c>
      <c r="H110" s="574">
        <f>IFERROR(H7/H7,"")</f>
        <v>1</v>
      </c>
      <c r="I110" s="197">
        <f>IFERROR(I7/I7,"")</f>
        <v>1</v>
      </c>
      <c r="J110" s="197">
        <f t="shared" si="75"/>
        <v>1</v>
      </c>
      <c r="K110" s="197"/>
      <c r="L110" s="197"/>
      <c r="M110" s="195"/>
      <c r="N110" s="195"/>
      <c r="O110" s="195"/>
      <c r="P110" s="195"/>
      <c r="Q110" s="195"/>
      <c r="R110" s="195"/>
      <c r="S110" s="195"/>
      <c r="T110" s="195"/>
      <c r="U110" s="195"/>
      <c r="V110" s="195"/>
      <c r="W110" s="195"/>
      <c r="X110" s="195"/>
    </row>
    <row r="111" spans="1:24">
      <c r="A111" s="373" t="s">
        <v>1632</v>
      </c>
      <c r="B111" s="153"/>
      <c r="C111" s="198">
        <f t="shared" ref="C111:J111" si="76">IFERROR(C14/C7,"")</f>
        <v>0.77153892449696282</v>
      </c>
      <c r="D111" s="198">
        <f t="shared" si="76"/>
        <v>0.8109428269416058</v>
      </c>
      <c r="E111" s="199">
        <f t="shared" si="76"/>
        <v>0.80924816409453515</v>
      </c>
      <c r="F111" s="199">
        <f t="shared" si="76"/>
        <v>0.83444543901049717</v>
      </c>
      <c r="G111" s="199">
        <f t="shared" si="76"/>
        <v>0.7897640791476408</v>
      </c>
      <c r="H111" s="575">
        <f t="shared" si="76"/>
        <v>0.74719532541850142</v>
      </c>
      <c r="I111" s="199">
        <f t="shared" si="76"/>
        <v>0.74338280973883852</v>
      </c>
      <c r="J111" s="199">
        <f t="shared" si="76"/>
        <v>0.82914355018327224</v>
      </c>
      <c r="K111" s="199"/>
      <c r="L111" s="199"/>
      <c r="M111" s="195"/>
      <c r="N111" s="195"/>
      <c r="O111" s="195"/>
      <c r="P111" s="195"/>
      <c r="Q111" s="195"/>
      <c r="R111" s="195"/>
      <c r="S111" s="195"/>
      <c r="T111" s="195"/>
      <c r="U111" s="195"/>
      <c r="V111" s="195"/>
      <c r="W111" s="195"/>
      <c r="X111" s="195"/>
    </row>
    <row r="112" spans="1:24">
      <c r="A112" s="373" t="s">
        <v>1820</v>
      </c>
      <c r="B112" s="153"/>
      <c r="C112" s="198">
        <f t="shared" ref="C112:J112" si="77">IFERROR(C21/C7,"")</f>
        <v>0.22846107550303715</v>
      </c>
      <c r="D112" s="198">
        <f t="shared" si="77"/>
        <v>0.18905717305839423</v>
      </c>
      <c r="E112" s="199">
        <f t="shared" si="77"/>
        <v>0.19075183590546485</v>
      </c>
      <c r="F112" s="199">
        <f t="shared" si="77"/>
        <v>0.1655545609895028</v>
      </c>
      <c r="G112" s="199">
        <f t="shared" si="77"/>
        <v>0.2102359208523592</v>
      </c>
      <c r="H112" s="575">
        <f t="shared" si="77"/>
        <v>0.25280467458149863</v>
      </c>
      <c r="I112" s="199">
        <f t="shared" si="77"/>
        <v>0.25661719026116148</v>
      </c>
      <c r="J112" s="199">
        <f t="shared" si="77"/>
        <v>0.17085644981672773</v>
      </c>
      <c r="K112" s="199"/>
      <c r="L112" s="199"/>
      <c r="M112" s="195"/>
      <c r="N112" s="195"/>
      <c r="O112" s="195"/>
      <c r="P112" s="195"/>
      <c r="Q112" s="195"/>
      <c r="R112" s="195"/>
      <c r="S112" s="195"/>
      <c r="T112" s="195"/>
      <c r="U112" s="195"/>
      <c r="V112" s="195"/>
      <c r="W112" s="195"/>
      <c r="X112" s="195"/>
    </row>
    <row r="113" spans="1:24">
      <c r="A113" s="373" t="s">
        <v>1821</v>
      </c>
      <c r="B113" s="153"/>
      <c r="C113" s="198">
        <f t="shared" ref="C113:J113" si="78">IFERROR(C23/C7,"")</f>
        <v>0.3237936043750051</v>
      </c>
      <c r="D113" s="198">
        <f t="shared" si="78"/>
        <v>0.32784931980974913</v>
      </c>
      <c r="E113" s="199">
        <f t="shared" si="78"/>
        <v>0.20883471259226125</v>
      </c>
      <c r="F113" s="199">
        <f t="shared" si="78"/>
        <v>0.16836194971112378</v>
      </c>
      <c r="G113" s="199">
        <f t="shared" si="78"/>
        <v>0.14700659563673263</v>
      </c>
      <c r="H113" s="575">
        <f t="shared" si="78"/>
        <v>0.13209965999665571</v>
      </c>
      <c r="I113" s="199">
        <f t="shared" si="78"/>
        <v>8.6187424811568547E-2</v>
      </c>
      <c r="J113" s="199">
        <f t="shared" si="78"/>
        <v>7.9249392890233583E-2</v>
      </c>
      <c r="K113" s="199"/>
      <c r="L113" s="199"/>
      <c r="M113" s="195"/>
      <c r="N113" s="195"/>
      <c r="O113" s="195"/>
      <c r="P113" s="195"/>
      <c r="Q113" s="195"/>
      <c r="R113" s="195"/>
      <c r="S113" s="195"/>
      <c r="T113" s="195"/>
      <c r="U113" s="195"/>
      <c r="V113" s="195"/>
      <c r="W113" s="195"/>
      <c r="X113" s="195"/>
    </row>
    <row r="114" spans="1:24">
      <c r="A114" s="373" t="s">
        <v>1822</v>
      </c>
      <c r="B114" s="153"/>
      <c r="C114" s="198">
        <f t="shared" ref="C114:J114" si="79">IFERROR(C29/C7,"")</f>
        <v>-9.5332528871967928E-2</v>
      </c>
      <c r="D114" s="198">
        <f t="shared" si="79"/>
        <v>-0.1387921467513549</v>
      </c>
      <c r="E114" s="199">
        <f t="shared" si="79"/>
        <v>-1.8082876686796392E-2</v>
      </c>
      <c r="F114" s="199">
        <f t="shared" si="79"/>
        <v>-2.8073887216209618E-3</v>
      </c>
      <c r="G114" s="199">
        <f t="shared" si="79"/>
        <v>6.3229325215626589E-2</v>
      </c>
      <c r="H114" s="575">
        <f t="shared" si="79"/>
        <v>0.12070501458484291</v>
      </c>
      <c r="I114" s="199">
        <f t="shared" si="79"/>
        <v>0.1704297654495929</v>
      </c>
      <c r="J114" s="199">
        <f t="shared" si="79"/>
        <v>9.1607056926494138E-2</v>
      </c>
      <c r="K114" s="199"/>
      <c r="L114" s="199"/>
      <c r="M114" s="195"/>
      <c r="N114" s="195"/>
      <c r="O114" s="195"/>
      <c r="P114" s="195"/>
      <c r="Q114" s="195"/>
      <c r="R114" s="195"/>
      <c r="S114" s="195"/>
      <c r="T114" s="195"/>
      <c r="U114" s="195"/>
      <c r="V114" s="195"/>
      <c r="W114" s="195"/>
      <c r="X114" s="195"/>
    </row>
    <row r="115" spans="1:24">
      <c r="A115" s="121" t="s">
        <v>1823</v>
      </c>
      <c r="B115" s="120"/>
      <c r="C115" s="167">
        <f t="shared" ref="C115:J115" si="80">IFERROR(C35/C34,"")</f>
        <v>-3.5771516772336767E-2</v>
      </c>
      <c r="D115" s="167">
        <f t="shared" si="80"/>
        <v>-1.4280463116876533E-2</v>
      </c>
      <c r="E115" s="200">
        <f t="shared" si="80"/>
        <v>-5.7563859486735439E-2</v>
      </c>
      <c r="F115" s="200">
        <f t="shared" si="80"/>
        <v>-0.16541353383458646</v>
      </c>
      <c r="G115" s="200">
        <f t="shared" si="80"/>
        <v>0.2530329289428076</v>
      </c>
      <c r="H115" s="576">
        <f t="shared" si="80"/>
        <v>0.11020532876661791</v>
      </c>
      <c r="I115" s="200">
        <f t="shared" si="80"/>
        <v>8.2210440910380864E-2</v>
      </c>
      <c r="J115" s="200">
        <f t="shared" si="80"/>
        <v>0.11139941799333761</v>
      </c>
      <c r="K115" s="200"/>
      <c r="L115" s="200"/>
      <c r="M115" s="195"/>
      <c r="N115" s="195"/>
      <c r="O115" s="195"/>
      <c r="P115" s="195"/>
      <c r="Q115" s="195"/>
      <c r="R115" s="195"/>
      <c r="S115" s="195"/>
      <c r="T115" s="195"/>
      <c r="U115" s="195"/>
      <c r="V115" s="195"/>
      <c r="W115" s="195"/>
      <c r="X115" s="195"/>
    </row>
    <row r="116" spans="1:24">
      <c r="A116" s="373" t="s">
        <v>1824</v>
      </c>
      <c r="B116" s="153"/>
      <c r="C116" s="201">
        <f t="shared" ref="C116:J116" si="81">C39/C7</f>
        <v>-9.6414508932621101E-2</v>
      </c>
      <c r="D116" s="201">
        <f t="shared" si="81"/>
        <v>-0.16679691918079531</v>
      </c>
      <c r="E116" s="151">
        <f t="shared" si="81"/>
        <v>-4.5482507641840003E-2</v>
      </c>
      <c r="F116" s="151">
        <f t="shared" si="81"/>
        <v>-3.5072015623728539E-2</v>
      </c>
      <c r="G116" s="202">
        <f t="shared" si="81"/>
        <v>2.2862760020294266E-2</v>
      </c>
      <c r="H116" s="568">
        <f t="shared" si="81"/>
        <v>0.10253434405365736</v>
      </c>
      <c r="I116" s="151">
        <f t="shared" si="81"/>
        <v>0.15475363424731456</v>
      </c>
      <c r="J116" s="151">
        <f t="shared" si="81"/>
        <v>8.0633735591813194E-2</v>
      </c>
      <c r="K116" s="151"/>
      <c r="L116" s="151"/>
      <c r="M116" s="195"/>
      <c r="N116" s="195"/>
      <c r="O116" s="195"/>
      <c r="P116" s="195"/>
      <c r="Q116" s="195"/>
      <c r="R116" s="195"/>
      <c r="S116" s="195"/>
      <c r="T116" s="195"/>
      <c r="U116" s="195"/>
      <c r="V116" s="195"/>
      <c r="W116" s="195"/>
      <c r="X116" s="195"/>
    </row>
    <row r="117" spans="1:24" ht="20">
      <c r="A117" s="368" t="s">
        <v>1825</v>
      </c>
      <c r="B117" s="123"/>
      <c r="C117" s="203"/>
      <c r="D117" s="203"/>
      <c r="E117" s="128"/>
      <c r="F117" s="128"/>
      <c r="G117" s="128"/>
      <c r="H117" s="572"/>
      <c r="I117" s="128"/>
      <c r="J117" s="128"/>
      <c r="K117" s="128"/>
      <c r="L117" s="128"/>
      <c r="M117" s="191"/>
      <c r="N117" s="191"/>
      <c r="O117" s="191"/>
      <c r="P117" s="191"/>
      <c r="Q117" s="191"/>
      <c r="R117" s="191"/>
      <c r="S117" s="191"/>
      <c r="T117" s="191"/>
      <c r="U117" s="191"/>
      <c r="V117" s="191"/>
      <c r="W117" s="191"/>
      <c r="X117" s="191"/>
    </row>
    <row r="118" spans="1:24">
      <c r="A118" s="373" t="s">
        <v>508</v>
      </c>
      <c r="B118" s="153"/>
      <c r="C118" s="198"/>
      <c r="D118" s="198"/>
      <c r="E118" s="199">
        <f t="shared" ref="E118:J118" si="82">IFERROR(E7/D7-1,"")</f>
        <v>0.82502055835383503</v>
      </c>
      <c r="F118" s="199">
        <f t="shared" si="82"/>
        <v>0.14525087601580555</v>
      </c>
      <c r="G118" s="202">
        <f t="shared" si="82"/>
        <v>0.28309870615998056</v>
      </c>
      <c r="H118" s="575">
        <f t="shared" si="82"/>
        <v>0.70671613394216126</v>
      </c>
      <c r="I118" s="199">
        <f t="shared" si="82"/>
        <v>0.51351652639206335</v>
      </c>
      <c r="J118" s="199">
        <f t="shared" si="82"/>
        <v>0.18330461876293969</v>
      </c>
      <c r="K118" s="199"/>
      <c r="L118" s="199"/>
      <c r="M118" s="195"/>
      <c r="N118" s="195"/>
      <c r="O118" s="195"/>
      <c r="P118" s="195"/>
      <c r="Q118" s="195"/>
      <c r="R118" s="195"/>
      <c r="S118" s="195"/>
      <c r="T118" s="195"/>
      <c r="U118" s="195"/>
      <c r="V118" s="195"/>
      <c r="W118" s="195"/>
      <c r="X118" s="195"/>
    </row>
    <row r="119" spans="1:24">
      <c r="A119" s="373" t="s">
        <v>287</v>
      </c>
      <c r="B119" s="153"/>
      <c r="C119" s="198"/>
      <c r="D119" s="198"/>
      <c r="E119" s="199">
        <f t="shared" ref="E119:J119" si="83">IFERROR(E14/D14-1,"")</f>
        <v>0.82120673272688349</v>
      </c>
      <c r="F119" s="199">
        <f t="shared" si="83"/>
        <v>0.18091014896949198</v>
      </c>
      <c r="G119" s="199">
        <f t="shared" si="83"/>
        <v>0.21439368082305332</v>
      </c>
      <c r="H119" s="575">
        <f t="shared" si="83"/>
        <v>0.61472311892716625</v>
      </c>
      <c r="I119" s="199">
        <f t="shared" si="83"/>
        <v>0.50579390649335543</v>
      </c>
      <c r="J119" s="199">
        <f t="shared" si="83"/>
        <v>0.31981716512122849</v>
      </c>
      <c r="K119" s="199"/>
      <c r="L119" s="199"/>
      <c r="M119" s="195"/>
      <c r="N119" s="195"/>
      <c r="O119" s="195"/>
      <c r="P119" s="195"/>
      <c r="Q119" s="195"/>
      <c r="R119" s="195"/>
      <c r="S119" s="195"/>
      <c r="T119" s="195"/>
      <c r="U119" s="195"/>
      <c r="V119" s="195"/>
      <c r="W119" s="195"/>
      <c r="X119" s="195"/>
    </row>
    <row r="120" spans="1:24">
      <c r="A120" s="373" t="s">
        <v>511</v>
      </c>
      <c r="B120" s="153"/>
      <c r="C120" s="201"/>
      <c r="D120" s="201"/>
      <c r="E120" s="199">
        <f t="shared" ref="E120:J120" si="84">IFERROR(E21/D21-1,"")</f>
        <v>0.84137960194551642</v>
      </c>
      <c r="F120" s="199">
        <f t="shared" si="84"/>
        <v>-6.0305050190696541E-3</v>
      </c>
      <c r="G120" s="202">
        <f t="shared" si="84"/>
        <v>0.62939297124600646</v>
      </c>
      <c r="H120" s="575">
        <f t="shared" si="84"/>
        <v>1.0522935143288086</v>
      </c>
      <c r="I120" s="199">
        <f t="shared" si="84"/>
        <v>0.53634167983454217</v>
      </c>
      <c r="J120" s="199">
        <f t="shared" si="84"/>
        <v>-0.2121524438490775</v>
      </c>
      <c r="K120" s="199"/>
      <c r="L120" s="199"/>
      <c r="M120" s="195"/>
      <c r="N120" s="195"/>
      <c r="O120" s="195"/>
      <c r="P120" s="195"/>
      <c r="Q120" s="195"/>
      <c r="R120" s="195"/>
      <c r="S120" s="195"/>
      <c r="T120" s="195"/>
      <c r="U120" s="195"/>
      <c r="V120" s="195"/>
      <c r="W120" s="195"/>
      <c r="X120" s="195"/>
    </row>
    <row r="121" spans="1:24">
      <c r="A121" s="373" t="s">
        <v>1582</v>
      </c>
      <c r="B121" s="153"/>
      <c r="C121" s="201"/>
      <c r="D121" s="201"/>
      <c r="E121" s="199">
        <f t="shared" ref="E121:J121" si="85">IFERROR(E23/D23-1,"")</f>
        <v>0.16250856948539516</v>
      </c>
      <c r="F121" s="199">
        <f t="shared" si="85"/>
        <v>-7.6702009924672465E-2</v>
      </c>
      <c r="G121" s="199">
        <f t="shared" si="85"/>
        <v>0.12034799420009668</v>
      </c>
      <c r="H121" s="575">
        <f t="shared" si="85"/>
        <v>0.53364969801553053</v>
      </c>
      <c r="I121" s="199">
        <f t="shared" si="85"/>
        <v>-1.2517580872011269E-2</v>
      </c>
      <c r="J121" s="199">
        <f t="shared" si="85"/>
        <v>8.8049362725420854E-2</v>
      </c>
      <c r="K121" s="199"/>
      <c r="L121" s="199"/>
      <c r="M121" s="195"/>
      <c r="N121" s="195"/>
      <c r="O121" s="195"/>
      <c r="P121" s="195"/>
      <c r="Q121" s="195"/>
      <c r="R121" s="195"/>
      <c r="S121" s="195"/>
      <c r="T121" s="195"/>
      <c r="U121" s="195"/>
      <c r="V121" s="195"/>
      <c r="W121" s="195"/>
      <c r="X121" s="195"/>
    </row>
    <row r="122" spans="1:24">
      <c r="A122" s="373" t="s">
        <v>532</v>
      </c>
      <c r="B122" s="153"/>
      <c r="C122" s="201"/>
      <c r="D122" s="201"/>
      <c r="E122" s="199">
        <f t="shared" ref="E122:J122" si="86">IFERROR(E29/D29-1,"")</f>
        <v>-0.76222270149979843</v>
      </c>
      <c r="F122" s="199">
        <f t="shared" si="86"/>
        <v>-0.82219840081634121</v>
      </c>
      <c r="G122" s="199">
        <f t="shared" si="86"/>
        <v>-29.89855072463768</v>
      </c>
      <c r="H122" s="575">
        <f t="shared" si="86"/>
        <v>2.2581273821464394</v>
      </c>
      <c r="I122" s="199">
        <f t="shared" si="86"/>
        <v>1.1370136732452942</v>
      </c>
      <c r="J122" s="199">
        <f t="shared" si="86"/>
        <v>-0.36396642167262339</v>
      </c>
      <c r="K122" s="199"/>
      <c r="L122" s="199"/>
      <c r="M122" s="195"/>
      <c r="N122" s="195"/>
      <c r="O122" s="195"/>
      <c r="P122" s="195"/>
      <c r="Q122" s="195"/>
      <c r="R122" s="195"/>
      <c r="S122" s="195"/>
      <c r="T122" s="195"/>
      <c r="U122" s="195"/>
      <c r="V122" s="195"/>
      <c r="W122" s="195"/>
      <c r="X122" s="195"/>
    </row>
    <row r="123" spans="1:24">
      <c r="A123" s="49" t="s">
        <v>1678</v>
      </c>
      <c r="B123" s="103"/>
      <c r="C123" s="167"/>
      <c r="D123" s="167"/>
      <c r="E123" s="204">
        <f t="shared" ref="E123:J123" si="87">IFERROR(E32/D32-1,"")</f>
        <v>-1.1744075678176322</v>
      </c>
      <c r="F123" s="204">
        <f t="shared" si="87"/>
        <v>1.057989572852831</v>
      </c>
      <c r="G123" s="204">
        <f t="shared" si="87"/>
        <v>-3.7111111111111112</v>
      </c>
      <c r="H123" s="577">
        <f t="shared" si="87"/>
        <v>-2.778688524590164</v>
      </c>
      <c r="I123" s="204">
        <f t="shared" si="87"/>
        <v>-0.6452027649769585</v>
      </c>
      <c r="J123" s="204">
        <f t="shared" si="87"/>
        <v>0.63168422283124004</v>
      </c>
      <c r="K123" s="204"/>
      <c r="L123" s="204"/>
      <c r="M123" s="195"/>
      <c r="N123" s="195"/>
      <c r="O123" s="195"/>
      <c r="P123" s="195"/>
      <c r="Q123" s="195"/>
      <c r="R123" s="195"/>
      <c r="S123" s="195"/>
      <c r="T123" s="195"/>
      <c r="U123" s="195"/>
      <c r="V123" s="195"/>
      <c r="W123" s="195"/>
      <c r="X123" s="195"/>
    </row>
    <row r="124" spans="1:24">
      <c r="A124" s="121" t="s">
        <v>1679</v>
      </c>
      <c r="B124" s="120"/>
      <c r="C124" s="205"/>
      <c r="D124" s="205"/>
      <c r="E124" s="204">
        <f t="shared" ref="E124:J125" si="88">IFERROR(E34/D34-1,"")</f>
        <v>-0.54516503156133544</v>
      </c>
      <c r="F124" s="204">
        <f t="shared" si="88"/>
        <v>-0.33814052321733379</v>
      </c>
      <c r="G124" s="204">
        <f t="shared" si="88"/>
        <v>-2.7353383458646618</v>
      </c>
      <c r="H124" s="577">
        <f t="shared" si="88"/>
        <v>4.4962790294627384</v>
      </c>
      <c r="I124" s="204">
        <f t="shared" si="88"/>
        <v>1.170925241222712</v>
      </c>
      <c r="J124" s="204">
        <f t="shared" si="88"/>
        <v>-0.36206087136537624</v>
      </c>
      <c r="K124" s="204"/>
      <c r="L124" s="204"/>
      <c r="M124" s="195"/>
      <c r="N124" s="195"/>
      <c r="O124" s="195"/>
      <c r="P124" s="195"/>
      <c r="Q124" s="195"/>
      <c r="R124" s="195"/>
      <c r="S124" s="195"/>
      <c r="T124" s="195"/>
      <c r="U124" s="195"/>
      <c r="V124" s="195"/>
      <c r="W124" s="195"/>
      <c r="X124" s="195"/>
    </row>
    <row r="125" spans="1:24">
      <c r="A125" s="372" t="s">
        <v>1680</v>
      </c>
      <c r="B125" s="155"/>
      <c r="C125" s="157"/>
      <c r="D125" s="157"/>
      <c r="E125" s="204">
        <f t="shared" si="88"/>
        <v>0.83341786597349898</v>
      </c>
      <c r="F125" s="204">
        <f t="shared" si="88"/>
        <v>0.90189670971869229</v>
      </c>
      <c r="G125" s="204">
        <f t="shared" si="88"/>
        <v>1.6545454545454548</v>
      </c>
      <c r="H125" s="577">
        <f t="shared" si="88"/>
        <v>1.3938356164383561</v>
      </c>
      <c r="I125" s="204">
        <f t="shared" si="88"/>
        <v>0.61945636623748213</v>
      </c>
      <c r="J125" s="204">
        <f t="shared" si="88"/>
        <v>-0.13555934187794416</v>
      </c>
      <c r="K125" s="204"/>
      <c r="L125" s="204"/>
      <c r="M125" s="120"/>
      <c r="N125" s="120"/>
      <c r="O125" s="120"/>
      <c r="P125" s="120"/>
      <c r="Q125" s="120"/>
      <c r="R125" s="120"/>
      <c r="S125" s="120"/>
      <c r="T125" s="120"/>
      <c r="U125" s="120"/>
      <c r="V125" s="120"/>
      <c r="W125" s="120"/>
      <c r="X125" s="120"/>
    </row>
    <row r="126" spans="1:24">
      <c r="A126" s="121" t="s">
        <v>1826</v>
      </c>
      <c r="B126" s="120"/>
      <c r="C126" s="167"/>
      <c r="D126" s="167"/>
      <c r="E126" s="204">
        <f t="shared" ref="E126:J126" si="89">IFERROR(E37/D37-1,"")</f>
        <v>-0.69019406973328845</v>
      </c>
      <c r="F126" s="204">
        <f t="shared" si="89"/>
        <v>-2.0058850053762818</v>
      </c>
      <c r="G126" s="204">
        <f t="shared" si="89"/>
        <v>0.6206896551724137</v>
      </c>
      <c r="H126" s="577">
        <f t="shared" si="89"/>
        <v>-0.11347517730496459</v>
      </c>
      <c r="I126" s="204">
        <f t="shared" si="89"/>
        <v>-0.752</v>
      </c>
      <c r="J126" s="204">
        <f t="shared" si="89"/>
        <v>6.2724887235724447E-2</v>
      </c>
      <c r="K126" s="204"/>
      <c r="L126" s="204"/>
      <c r="M126" s="120"/>
      <c r="N126" s="120"/>
      <c r="O126" s="120"/>
      <c r="P126" s="120"/>
      <c r="Q126" s="120"/>
      <c r="R126" s="120"/>
      <c r="S126" s="120"/>
      <c r="T126" s="120"/>
      <c r="U126" s="120"/>
      <c r="V126" s="120"/>
      <c r="W126" s="120"/>
      <c r="X126" s="120"/>
    </row>
    <row r="127" spans="1:24">
      <c r="A127" s="121" t="s">
        <v>543</v>
      </c>
      <c r="B127" s="120"/>
      <c r="C127" s="167"/>
      <c r="D127" s="167"/>
      <c r="E127" s="151">
        <f t="shared" ref="E127:J127" si="90">IFERROR(E39/D39-1,"")</f>
        <v>-0.50234985214642602</v>
      </c>
      <c r="F127" s="151">
        <f t="shared" si="90"/>
        <v>-0.11688561824665933</v>
      </c>
      <c r="G127" s="199">
        <f t="shared" si="90"/>
        <v>-1.8364269141531322</v>
      </c>
      <c r="H127" s="568">
        <f t="shared" si="90"/>
        <v>6.654238557558946</v>
      </c>
      <c r="I127" s="151">
        <f t="shared" si="90"/>
        <v>1.2843290715350197</v>
      </c>
      <c r="J127" s="151">
        <f t="shared" si="90"/>
        <v>-0.38344406438029799</v>
      </c>
      <c r="K127" s="151"/>
      <c r="L127" s="151"/>
      <c r="M127" s="120"/>
      <c r="N127" s="120"/>
      <c r="O127" s="120"/>
      <c r="P127" s="120"/>
      <c r="Q127" s="120"/>
      <c r="R127" s="120"/>
      <c r="S127" s="120"/>
      <c r="T127" s="120"/>
      <c r="U127" s="120"/>
      <c r="V127" s="120"/>
      <c r="W127" s="120"/>
      <c r="X127" s="120"/>
    </row>
    <row r="128" spans="1:24" s="233" customFormat="1">
      <c r="A128" s="379" t="s">
        <v>1827</v>
      </c>
      <c r="B128" s="228"/>
      <c r="C128" s="229"/>
      <c r="D128" s="229"/>
      <c r="E128" s="230"/>
      <c r="F128" s="231">
        <f>F129/E129-1</f>
        <v>0.30597164772499097</v>
      </c>
      <c r="G128" s="231">
        <f>G129/F129-1</f>
        <v>1.0541205412054122</v>
      </c>
      <c r="H128" s="578">
        <f>H129/G129-1</f>
        <v>2.8609206014596267</v>
      </c>
      <c r="I128" s="231">
        <f>I129/H129-1</f>
        <v>0.39755665380741845</v>
      </c>
      <c r="J128" s="231">
        <f>J129/I129-1</f>
        <v>-0.19801071346773724</v>
      </c>
      <c r="K128" s="232"/>
      <c r="L128" s="232"/>
      <c r="M128" s="228"/>
      <c r="N128" s="228"/>
      <c r="O128" s="228"/>
      <c r="P128" s="228"/>
      <c r="Q128" s="228"/>
      <c r="R128" s="228"/>
      <c r="S128" s="228"/>
      <c r="T128" s="228"/>
      <c r="U128" s="228"/>
      <c r="V128" s="228"/>
      <c r="W128" s="228"/>
      <c r="X128" s="228"/>
    </row>
    <row r="129" spans="1:24">
      <c r="A129" s="49" t="s">
        <v>1827</v>
      </c>
      <c r="B129" s="103"/>
      <c r="C129" s="104"/>
      <c r="D129" s="104"/>
      <c r="E129" s="137">
        <f>E39+E79+E87+E84</f>
        <v>1245050</v>
      </c>
      <c r="F129" s="137">
        <f t="shared" ref="F129:J129" si="91">F39+F79+F87+F84</f>
        <v>1626000</v>
      </c>
      <c r="G129" s="137">
        <f t="shared" si="91"/>
        <v>3340000</v>
      </c>
      <c r="H129" s="214">
        <f t="shared" si="91"/>
        <v>12895474.808875153</v>
      </c>
      <c r="I129" s="137">
        <f t="shared" si="91"/>
        <v>18022156.623149417</v>
      </c>
      <c r="J129" s="137">
        <f t="shared" si="91"/>
        <v>14453576.531972295</v>
      </c>
      <c r="K129" s="107"/>
      <c r="L129" s="107"/>
      <c r="M129" s="103"/>
      <c r="N129" s="103"/>
      <c r="O129" s="103"/>
      <c r="P129" s="103"/>
      <c r="Q129" s="103"/>
      <c r="R129" s="103"/>
      <c r="S129" s="103"/>
      <c r="T129" s="103"/>
      <c r="U129" s="103"/>
      <c r="V129" s="103"/>
      <c r="W129" s="103"/>
      <c r="X129" s="103"/>
    </row>
    <row r="130" spans="1:24" ht="21">
      <c r="A130" s="380" t="s">
        <v>1828</v>
      </c>
      <c r="B130" s="206"/>
      <c r="C130" s="128"/>
      <c r="D130" s="128"/>
      <c r="E130" s="128"/>
      <c r="F130" s="128"/>
      <c r="G130" s="128"/>
      <c r="H130" s="572"/>
      <c r="I130" s="128"/>
      <c r="J130" s="128"/>
      <c r="K130" s="128"/>
      <c r="L130" s="128"/>
      <c r="M130" s="103"/>
      <c r="N130" s="103"/>
      <c r="O130" s="103"/>
      <c r="P130" s="103"/>
      <c r="Q130" s="103"/>
      <c r="R130" s="103"/>
      <c r="S130" s="103"/>
      <c r="T130" s="103"/>
      <c r="U130" s="103"/>
      <c r="V130" s="103"/>
      <c r="W130" s="103"/>
      <c r="X130" s="103"/>
    </row>
    <row r="131" spans="1:24">
      <c r="A131" s="49" t="s">
        <v>1829</v>
      </c>
      <c r="B131" s="103"/>
      <c r="C131" s="104"/>
      <c r="D131" s="104"/>
      <c r="E131" s="207">
        <f>E7</f>
        <v>21460800</v>
      </c>
      <c r="F131" s="207">
        <f t="shared" ref="F131:J131" si="92">F7</f>
        <v>24578000</v>
      </c>
      <c r="G131" s="207">
        <f t="shared" si="92"/>
        <v>31536000</v>
      </c>
      <c r="H131" s="388">
        <f t="shared" si="92"/>
        <v>53823000</v>
      </c>
      <c r="I131" s="207">
        <f t="shared" si="92"/>
        <v>81462000.00000003</v>
      </c>
      <c r="J131" s="207">
        <f t="shared" si="92"/>
        <v>96394360.853666633</v>
      </c>
      <c r="K131" s="107"/>
      <c r="L131" s="107"/>
      <c r="M131" s="103"/>
      <c r="N131" s="103"/>
      <c r="O131" s="103"/>
      <c r="P131" s="103"/>
      <c r="Q131" s="103"/>
      <c r="R131" s="103"/>
      <c r="S131" s="103"/>
      <c r="T131" s="103"/>
      <c r="U131" s="103"/>
      <c r="V131" s="103"/>
      <c r="W131" s="103"/>
      <c r="X131" s="103"/>
    </row>
    <row r="132" spans="1:24">
      <c r="A132" s="49" t="s">
        <v>1830</v>
      </c>
      <c r="B132" s="103"/>
      <c r="C132" s="104"/>
      <c r="D132" s="104"/>
      <c r="E132" s="207">
        <f>E37</f>
        <v>86491</v>
      </c>
      <c r="F132" s="207">
        <f t="shared" ref="F132:J132" si="93">F129</f>
        <v>1626000</v>
      </c>
      <c r="G132" s="207">
        <f t="shared" si="93"/>
        <v>3340000</v>
      </c>
      <c r="H132" s="388">
        <f t="shared" si="93"/>
        <v>12895474.808875153</v>
      </c>
      <c r="I132" s="207">
        <f t="shared" si="93"/>
        <v>18022156.623149417</v>
      </c>
      <c r="J132" s="207">
        <f t="shared" si="93"/>
        <v>14453576.531972295</v>
      </c>
      <c r="K132" s="107"/>
      <c r="L132" s="107"/>
      <c r="M132" s="103"/>
      <c r="N132" s="103"/>
      <c r="O132" s="103"/>
      <c r="P132" s="103"/>
      <c r="Q132" s="103"/>
      <c r="R132" s="103"/>
      <c r="S132" s="103"/>
      <c r="T132" s="103"/>
      <c r="U132" s="103"/>
      <c r="V132" s="103"/>
      <c r="W132" s="103"/>
      <c r="X132" s="103"/>
    </row>
    <row r="133" spans="1:24">
      <c r="A133" s="49" t="s">
        <v>1832</v>
      </c>
      <c r="B133" s="103"/>
      <c r="C133" s="104"/>
      <c r="D133" s="104"/>
      <c r="E133" s="234">
        <f>'Earning Forecast'!B65</f>
        <v>-0.19926601712429878</v>
      </c>
      <c r="F133" s="234">
        <f>'Earning Forecast'!C65</f>
        <v>-0.57889695896073223</v>
      </c>
      <c r="G133" s="234">
        <f>'Earning Forecast'!D65</f>
        <v>-0.30839859320046892</v>
      </c>
      <c r="H133" s="579">
        <f>'Earning Forecast'!E65</f>
        <v>-0.32393836903419765</v>
      </c>
      <c r="I133" s="234">
        <f>'Earning Forecast'!F65</f>
        <v>0.22191443521083409</v>
      </c>
      <c r="J133" s="234">
        <f>'Earning Forecast'!G65</f>
        <v>1.6293788012990846</v>
      </c>
      <c r="K133" s="107"/>
      <c r="L133" s="107"/>
      <c r="M133" s="103"/>
      <c r="N133" s="103"/>
      <c r="O133" s="103"/>
      <c r="P133" s="103"/>
      <c r="Q133" s="103"/>
      <c r="R133" s="103"/>
      <c r="S133" s="103"/>
      <c r="T133" s="103"/>
      <c r="U133" s="103"/>
      <c r="V133" s="103"/>
      <c r="W133" s="103"/>
      <c r="X133" s="103"/>
    </row>
    <row r="134" spans="1:24">
      <c r="A134" s="49" t="s">
        <v>1834</v>
      </c>
      <c r="B134" s="103"/>
      <c r="C134" s="104"/>
      <c r="D134" s="104"/>
      <c r="E134" s="210">
        <f>E39/(E71-E69)</f>
        <v>-0.1982715823684745</v>
      </c>
      <c r="F134" s="210">
        <f t="shared" ref="F134:G134" si="94">F39/(F71-F69)</f>
        <v>-0.13025083106678756</v>
      </c>
      <c r="G134" s="210">
        <f t="shared" si="94"/>
        <v>3.2440944881889762E-2</v>
      </c>
      <c r="H134" s="580">
        <f>H39/(H71-H69)</f>
        <v>0.21569488838807105</v>
      </c>
      <c r="I134" s="210">
        <f>I39/(I71-I69)</f>
        <v>0.35722449640872556</v>
      </c>
      <c r="J134" s="210">
        <f>J39/(J71-J69)</f>
        <v>0.19498459371068208</v>
      </c>
      <c r="K134" s="107"/>
      <c r="L134" s="107"/>
      <c r="M134" s="103"/>
      <c r="N134" s="103"/>
      <c r="O134" s="103"/>
      <c r="P134" s="103"/>
      <c r="Q134" s="103"/>
      <c r="R134" s="103"/>
      <c r="S134" s="103"/>
      <c r="T134" s="103"/>
      <c r="U134" s="103"/>
      <c r="V134" s="103"/>
      <c r="W134" s="103"/>
      <c r="X134" s="103"/>
    </row>
    <row r="135" spans="1:24">
      <c r="A135" s="49" t="s">
        <v>1836</v>
      </c>
      <c r="B135" s="103"/>
      <c r="C135" s="104"/>
      <c r="D135" s="104"/>
      <c r="E135" s="208">
        <v>-32.649000000000001</v>
      </c>
      <c r="F135" s="208">
        <v>-37.180999999999997</v>
      </c>
      <c r="G135" s="209">
        <v>-31.911999999999999</v>
      </c>
      <c r="H135" s="581">
        <f>Valuation!D4</f>
        <v>112.08566102271077</v>
      </c>
      <c r="I135" s="208">
        <f>Valuation!E7</f>
        <v>36.009826609170055</v>
      </c>
      <c r="J135" s="208">
        <f>Valuation!F7</f>
        <v>49.217840566423604</v>
      </c>
      <c r="K135" s="107"/>
      <c r="L135" s="107"/>
      <c r="M135" s="103"/>
      <c r="N135" s="103"/>
      <c r="O135" s="103"/>
      <c r="P135" s="103"/>
      <c r="Q135" s="103"/>
      <c r="R135" s="103"/>
      <c r="S135" s="103"/>
      <c r="T135" s="103"/>
      <c r="U135" s="103"/>
      <c r="V135" s="103"/>
      <c r="W135" s="103"/>
      <c r="X135" s="103"/>
    </row>
  </sheetData>
  <phoneticPr fontId="4" type="noConversion"/>
  <conditionalFormatting sqref="C73:L73">
    <cfRule type="cellIs" dxfId="2" priority="1" operator="notEqual">
      <formula>0</formula>
    </cfRule>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27F1E-45B5-4360-8AF8-06BA395F35AD}">
  <dimension ref="A1:AD114"/>
  <sheetViews>
    <sheetView showGridLines="0" workbookViewId="0">
      <pane xSplit="1" ySplit="4" topLeftCell="B83" activePane="bottomRight" state="frozen"/>
      <selection pane="topRight"/>
      <selection pane="bottomLeft"/>
      <selection pane="bottomRight" activeCell="H101" sqref="H101"/>
    </sheetView>
  </sheetViews>
  <sheetFormatPr defaultColWidth="8.83203125" defaultRowHeight="14"/>
  <cols>
    <col min="1" max="1" width="38.75" customWidth="1"/>
    <col min="2" max="6" width="18.25" bestFit="1" customWidth="1"/>
    <col min="7" max="7" width="16.83203125" customWidth="1"/>
    <col min="8" max="8" width="17.1640625" customWidth="1"/>
    <col min="9" max="9" width="17.75" customWidth="1"/>
    <col min="10" max="10" width="17.4140625" customWidth="1"/>
    <col min="11" max="11" width="16.83203125" customWidth="1"/>
    <col min="13" max="13" width="26.25" customWidth="1"/>
    <col min="14" max="14" width="16.75" customWidth="1"/>
    <col min="15" max="15" width="15.4140625" customWidth="1"/>
    <col min="16" max="16" width="16.75" customWidth="1"/>
    <col min="17" max="17" width="16.4140625" customWidth="1"/>
    <col min="18" max="18" width="18.25" customWidth="1"/>
    <col min="19" max="19" width="17.1640625" customWidth="1"/>
    <col min="20" max="20" width="18.4140625" customWidth="1"/>
    <col min="21" max="21" width="21.4140625" customWidth="1"/>
  </cols>
  <sheetData>
    <row r="1" spans="1:23">
      <c r="A1" s="49"/>
      <c r="B1" s="104"/>
      <c r="C1" s="104"/>
      <c r="D1" s="105"/>
      <c r="E1" s="106"/>
      <c r="F1" s="106"/>
      <c r="G1" s="106"/>
      <c r="H1" s="107"/>
      <c r="I1" s="107"/>
      <c r="J1" s="107"/>
      <c r="K1" s="107"/>
      <c r="L1" s="103"/>
      <c r="M1" s="103"/>
      <c r="N1" s="103"/>
      <c r="O1" s="103"/>
      <c r="P1" s="103"/>
      <c r="Q1" s="103"/>
      <c r="R1" s="103"/>
      <c r="S1" s="103"/>
      <c r="T1" s="103"/>
      <c r="U1" s="103"/>
      <c r="V1" s="103"/>
      <c r="W1" s="103"/>
    </row>
    <row r="2" spans="1:23" ht="17.5">
      <c r="A2" s="365" t="s">
        <v>1669</v>
      </c>
      <c r="B2" s="109"/>
      <c r="C2" s="109"/>
      <c r="D2" s="110"/>
      <c r="E2" s="111"/>
      <c r="F2" s="111"/>
      <c r="G2" s="111"/>
      <c r="H2" s="112"/>
      <c r="I2" s="112"/>
      <c r="J2" s="112"/>
      <c r="K2" s="113"/>
      <c r="L2" s="108"/>
      <c r="M2" s="108"/>
      <c r="N2" s="108"/>
      <c r="O2" s="108"/>
      <c r="P2" s="108"/>
      <c r="Q2" s="108"/>
      <c r="R2" s="108"/>
      <c r="S2" s="108"/>
      <c r="T2" s="108"/>
      <c r="U2" s="108"/>
      <c r="V2" s="108"/>
      <c r="W2" s="108"/>
    </row>
    <row r="3" spans="1:23">
      <c r="A3" s="366" t="s">
        <v>1670</v>
      </c>
      <c r="B3" s="114">
        <v>2016</v>
      </c>
      <c r="C3" s="114">
        <v>2017</v>
      </c>
      <c r="D3" s="114">
        <v>2018</v>
      </c>
      <c r="E3" s="114">
        <v>2019</v>
      </c>
      <c r="F3" s="114">
        <v>2020</v>
      </c>
      <c r="G3" s="114">
        <v>2021</v>
      </c>
      <c r="H3" s="115">
        <v>2022</v>
      </c>
      <c r="I3" s="115">
        <v>2023</v>
      </c>
      <c r="J3" s="115">
        <v>2024</v>
      </c>
      <c r="K3" s="115">
        <v>2025</v>
      </c>
      <c r="L3" s="103"/>
      <c r="M3" s="116"/>
      <c r="N3" s="114">
        <f t="shared" ref="N3:R4" si="0">E3</f>
        <v>2019</v>
      </c>
      <c r="O3" s="114">
        <f t="shared" si="0"/>
        <v>2020</v>
      </c>
      <c r="P3" s="114">
        <f t="shared" si="0"/>
        <v>2021</v>
      </c>
      <c r="Q3" s="117">
        <f t="shared" si="0"/>
        <v>2022</v>
      </c>
      <c r="R3" s="117">
        <f t="shared" si="0"/>
        <v>2023</v>
      </c>
      <c r="S3" s="117">
        <v>2024</v>
      </c>
      <c r="T3" s="117">
        <f>K3</f>
        <v>2025</v>
      </c>
      <c r="U3" s="117" t="e">
        <f>#REF!</f>
        <v>#REF!</v>
      </c>
      <c r="V3" s="103"/>
      <c r="W3" s="103"/>
    </row>
    <row r="4" spans="1:23">
      <c r="A4" s="367" t="s">
        <v>1574</v>
      </c>
      <c r="B4" s="114" t="s">
        <v>1575</v>
      </c>
      <c r="C4" s="114" t="s">
        <v>1575</v>
      </c>
      <c r="D4" s="114" t="s">
        <v>1575</v>
      </c>
      <c r="E4" s="114" t="s">
        <v>1575</v>
      </c>
      <c r="F4" s="114" t="s">
        <v>1575</v>
      </c>
      <c r="G4" s="114" t="s">
        <v>1575</v>
      </c>
      <c r="H4" s="115" t="s">
        <v>1576</v>
      </c>
      <c r="I4" s="115" t="s">
        <v>1576</v>
      </c>
      <c r="J4" s="115" t="s">
        <v>1576</v>
      </c>
      <c r="K4" s="115" t="s">
        <v>1576</v>
      </c>
      <c r="L4" s="103"/>
      <c r="M4" s="118"/>
      <c r="N4" s="114" t="str">
        <f t="shared" si="0"/>
        <v>Actual</v>
      </c>
      <c r="O4" s="114" t="str">
        <f t="shared" si="0"/>
        <v>Actual</v>
      </c>
      <c r="P4" s="114" t="str">
        <f t="shared" si="0"/>
        <v>Actual</v>
      </c>
      <c r="Q4" s="117" t="str">
        <f t="shared" si="0"/>
        <v>Forecast</v>
      </c>
      <c r="R4" s="117" t="str">
        <f t="shared" si="0"/>
        <v>Forecast</v>
      </c>
      <c r="S4" s="117" t="str">
        <f>J4</f>
        <v>Forecast</v>
      </c>
      <c r="T4" s="117" t="str">
        <f>K4</f>
        <v>Forecast</v>
      </c>
      <c r="U4" s="117" t="e">
        <f>#REF!</f>
        <v>#REF!</v>
      </c>
      <c r="V4" s="119"/>
      <c r="W4" s="103"/>
    </row>
    <row r="5" spans="1:23" s="491" customFormat="1" ht="20">
      <c r="A5" s="490" t="s">
        <v>1577</v>
      </c>
      <c r="M5" s="490" t="s">
        <v>1613</v>
      </c>
    </row>
    <row r="6" spans="1:23">
      <c r="A6" s="65" t="s">
        <v>508</v>
      </c>
      <c r="B6" s="492">
        <f>SUM(B7:B10)</f>
        <v>100207703</v>
      </c>
      <c r="C6" s="492">
        <f t="shared" ref="C6:K6" si="1">SUM(C7:C10)</f>
        <v>102650614</v>
      </c>
      <c r="D6" s="492">
        <f t="shared" si="1"/>
        <v>121790925</v>
      </c>
      <c r="E6" s="492">
        <f t="shared" si="1"/>
        <v>121778117</v>
      </c>
      <c r="F6" s="492">
        <f t="shared" si="1"/>
        <v>153469184</v>
      </c>
      <c r="G6" s="492">
        <f>SUM(G7:G10)</f>
        <v>211299918</v>
      </c>
      <c r="H6" s="492">
        <f>SUM(H7:H10)</f>
        <v>424061535</v>
      </c>
      <c r="I6" s="492">
        <f t="shared" si="1"/>
        <v>568790312.46836209</v>
      </c>
      <c r="J6" s="492">
        <f t="shared" si="1"/>
        <v>733370005.81677365</v>
      </c>
      <c r="K6" s="492">
        <f t="shared" si="1"/>
        <v>877259995.01857424</v>
      </c>
      <c r="M6" s="119" t="s">
        <v>1631</v>
      </c>
      <c r="N6" s="138">
        <f t="shared" ref="N6:T6" si="2">IFERROR(E6/D6-1,"")</f>
        <v>-1.0516382891423426E-4</v>
      </c>
      <c r="O6" s="138">
        <f t="shared" si="2"/>
        <v>0.26023613914148469</v>
      </c>
      <c r="P6" s="138">
        <f t="shared" si="2"/>
        <v>0.37682310215450165</v>
      </c>
      <c r="Q6" s="138">
        <f t="shared" si="2"/>
        <v>1.0069176505785489</v>
      </c>
      <c r="R6" s="138">
        <f t="shared" si="2"/>
        <v>0.34129192469286829</v>
      </c>
      <c r="S6" s="138">
        <f t="shared" si="2"/>
        <v>0.28935038051929896</v>
      </c>
      <c r="T6" s="138">
        <f t="shared" si="2"/>
        <v>0.19620380989204289</v>
      </c>
      <c r="U6" s="138" t="str">
        <f>IFERROR(#REF!/K6-1,"")</f>
        <v/>
      </c>
    </row>
    <row r="7" spans="1:23">
      <c r="A7" s="96" t="s">
        <v>1671</v>
      </c>
      <c r="B7" s="136">
        <f>'Earning Forecast'!B90</f>
        <v>7103045</v>
      </c>
      <c r="C7" s="136">
        <f>'Earning Forecast'!C90</f>
        <v>8442131</v>
      </c>
      <c r="D7" s="136">
        <f>'Earning Forecast'!D90</f>
        <v>8681073</v>
      </c>
      <c r="E7" s="136">
        <f>'Earning Forecast'!E90</f>
        <v>9718500</v>
      </c>
      <c r="F7" s="136">
        <f>'Earning Forecast'!F90</f>
        <v>11704632</v>
      </c>
      <c r="G7" s="136">
        <f>'Earning Forecast'!G90</f>
        <v>15402042</v>
      </c>
      <c r="H7" s="136">
        <f>'Earning Forecast'!H90</f>
        <v>19031916.070949078</v>
      </c>
      <c r="I7" s="136">
        <f>'Earning Forecast'!I90</f>
        <v>27785669.824451655</v>
      </c>
      <c r="J7" s="136">
        <f>'Earning Forecast'!J90</f>
        <v>18958053.730820876</v>
      </c>
      <c r="K7" s="136">
        <f>'Earning Forecast'!K90</f>
        <v>26940399.855485272</v>
      </c>
      <c r="M7" s="96" t="str">
        <f>A7</f>
        <v>Rechargeable Batteries &amp; Photovoltaic Business</v>
      </c>
      <c r="N7" s="138">
        <f>IFERROR(E7/D7-1,"")</f>
        <v>0.11950446678653659</v>
      </c>
      <c r="O7" s="138">
        <f t="shared" ref="O7:S10" si="3">IFERROR(F7/E7-1,"")</f>
        <v>0.20436610588053705</v>
      </c>
      <c r="P7" s="138">
        <f t="shared" si="3"/>
        <v>0.31589288753375588</v>
      </c>
      <c r="Q7" s="138">
        <f t="shared" si="3"/>
        <v>0.23567485862907511</v>
      </c>
      <c r="R7" s="138">
        <f t="shared" si="3"/>
        <v>0.45995125876288334</v>
      </c>
      <c r="S7" s="138">
        <f t="shared" si="3"/>
        <v>-0.31770391534208731</v>
      </c>
      <c r="T7" s="139">
        <f>AVERAGE(Q7:S7)</f>
        <v>0.12597406734995706</v>
      </c>
      <c r="U7" s="139">
        <f>AVERAGE(R7:T7)</f>
        <v>8.9407136923584374E-2</v>
      </c>
      <c r="W7" t="s">
        <v>229</v>
      </c>
    </row>
    <row r="8" spans="1:23">
      <c r="A8" s="96" t="s">
        <v>566</v>
      </c>
      <c r="B8" s="136">
        <f>'Earning Forecast'!B103</f>
        <v>38082566</v>
      </c>
      <c r="C8" s="136">
        <f>'Earning Forecast'!C103</f>
        <v>39707908</v>
      </c>
      <c r="D8" s="136">
        <f>'Earning Forecast'!D103</f>
        <v>41341000</v>
      </c>
      <c r="E8" s="136">
        <f>'Earning Forecast'!E103</f>
        <v>52522290</v>
      </c>
      <c r="F8" s="136">
        <f>'Earning Forecast'!F103</f>
        <v>59354468</v>
      </c>
      <c r="G8" s="136">
        <f>'Earning Forecast'!G103</f>
        <v>85545672</v>
      </c>
      <c r="H8" s="136">
        <f>'Earning Forecast'!H103</f>
        <v>98815954</v>
      </c>
      <c r="I8" s="136">
        <f>'Earning Forecast'!I103</f>
        <v>108697549.40000001</v>
      </c>
      <c r="J8" s="136">
        <f>'Earning Forecast'!J103</f>
        <v>119567304.34000002</v>
      </c>
      <c r="K8" s="136">
        <f>'Earning Forecast'!K103</f>
        <v>131524034.77400003</v>
      </c>
      <c r="M8" s="96" t="str">
        <f t="shared" ref="M8:M11" si="4">A8</f>
        <v>Mobile Handset Components &amp; Assembly Service</v>
      </c>
      <c r="N8" s="138">
        <f>IFERROR(E8/D8-1,"")</f>
        <v>0.27046491376599491</v>
      </c>
      <c r="O8" s="138">
        <f t="shared" si="3"/>
        <v>0.13008149492339349</v>
      </c>
      <c r="P8" s="138">
        <f t="shared" si="3"/>
        <v>0.44126760600398263</v>
      </c>
      <c r="Q8" s="138">
        <f t="shared" si="3"/>
        <v>0.15512511258313566</v>
      </c>
      <c r="R8" s="138">
        <f t="shared" si="3"/>
        <v>0.10000000000000009</v>
      </c>
      <c r="S8" s="138">
        <f t="shared" si="3"/>
        <v>0.10000000000000009</v>
      </c>
      <c r="T8" s="139">
        <f>AVERAGE(Q8:S8)</f>
        <v>0.11837503752771195</v>
      </c>
      <c r="U8" s="139">
        <f>AVERAGE(R8:T8)</f>
        <v>0.10612501250923738</v>
      </c>
      <c r="W8" t="s">
        <v>229</v>
      </c>
    </row>
    <row r="9" spans="1:23">
      <c r="A9" s="96" t="s">
        <v>1672</v>
      </c>
      <c r="B9" s="136">
        <f>'Earning Forecast'!B81</f>
        <v>55022092</v>
      </c>
      <c r="C9" s="136">
        <f>'Earning Forecast'!C81</f>
        <v>54500575</v>
      </c>
      <c r="D9" s="136">
        <f>'Earning Forecast'!D81</f>
        <v>71768852</v>
      </c>
      <c r="E9" s="136">
        <f>'Earning Forecast'!E81</f>
        <v>59537327</v>
      </c>
      <c r="F9" s="136">
        <f>'Earning Forecast'!F81</f>
        <v>81957889</v>
      </c>
      <c r="G9" s="136">
        <f>'Earning Forecast'!G81</f>
        <v>109659458</v>
      </c>
      <c r="H9" s="136">
        <f>'Earning Forecast'!H81</f>
        <v>305659258.92905092</v>
      </c>
      <c r="I9" s="136">
        <f>'Earning Forecast'!I81</f>
        <v>431751295.24960929</v>
      </c>
      <c r="J9" s="136">
        <f>'Earning Forecast'!J81</f>
        <v>594287534.98316085</v>
      </c>
      <c r="K9" s="136">
        <f>'Earning Forecast'!K81</f>
        <v>718237299.28548455</v>
      </c>
      <c r="M9" s="96" t="str">
        <f t="shared" si="4"/>
        <v>Automobiles &amp; Related Products</v>
      </c>
      <c r="N9" s="138">
        <f>IFERROR(E9/D9-1,"")</f>
        <v>-0.1704294364357396</v>
      </c>
      <c r="O9" s="138">
        <f t="shared" si="3"/>
        <v>0.37657992270966423</v>
      </c>
      <c r="P9" s="138">
        <f t="shared" si="3"/>
        <v>0.33799759044550304</v>
      </c>
      <c r="Q9" s="138">
        <f t="shared" si="3"/>
        <v>1.7873497143224153</v>
      </c>
      <c r="R9" s="138">
        <f t="shared" si="3"/>
        <v>0.41252483815589769</v>
      </c>
      <c r="S9" s="138">
        <f t="shared" si="3"/>
        <v>0.37645802461248934</v>
      </c>
      <c r="T9" s="139">
        <f>AVERAGE(R9:S9)</f>
        <v>0.39449143138419351</v>
      </c>
      <c r="U9" s="139">
        <f>AVERAGE(S9:T9)</f>
        <v>0.38547472799834143</v>
      </c>
      <c r="W9" t="s">
        <v>229</v>
      </c>
    </row>
    <row r="10" spans="1:23">
      <c r="A10" s="96" t="s">
        <v>568</v>
      </c>
      <c r="B10" s="136">
        <f>'Earning Forecast'!B112</f>
        <v>0</v>
      </c>
      <c r="C10" s="136">
        <f>'Earning Forecast'!C112</f>
        <v>0</v>
      </c>
      <c r="D10" s="136">
        <f>'Earning Forecast'!D112</f>
        <v>0</v>
      </c>
      <c r="E10" s="136">
        <f>'Earning Forecast'!E112</f>
        <v>0</v>
      </c>
      <c r="F10" s="136">
        <f>'Earning Forecast'!F112</f>
        <v>452195</v>
      </c>
      <c r="G10" s="136">
        <f>'Earning Forecast'!G112</f>
        <v>692746</v>
      </c>
      <c r="H10" s="136">
        <f>'Earning Forecast'!H112</f>
        <v>554406</v>
      </c>
      <c r="I10" s="136">
        <f>'Earning Forecast'!I112</f>
        <v>555797.99430103914</v>
      </c>
      <c r="J10" s="136">
        <f>'Earning Forecast'!J112</f>
        <v>557112.76279181812</v>
      </c>
      <c r="K10" s="136">
        <f>'Earning Forecast'!K112</f>
        <v>558261.1036043145</v>
      </c>
      <c r="M10" s="96" t="str">
        <f t="shared" si="4"/>
        <v>Corporate &amp; Other</v>
      </c>
      <c r="O10" s="138" t="str">
        <f t="shared" si="3"/>
        <v/>
      </c>
      <c r="P10" s="138">
        <f t="shared" si="3"/>
        <v>0.53196298057254054</v>
      </c>
      <c r="Q10" s="138">
        <f>IFERROR(H10/G10-1,"")</f>
        <v>-0.19969801341328564</v>
      </c>
      <c r="R10" s="138">
        <f>IFERROR(I10/H10-1,"")</f>
        <v>2.5107850583130364E-3</v>
      </c>
      <c r="S10" s="138">
        <f>IFERROR(J10/I10-1,"")</f>
        <v>2.3655509812201547E-3</v>
      </c>
      <c r="T10" s="139">
        <f>S10</f>
        <v>2.3655509812201547E-3</v>
      </c>
      <c r="U10" s="139">
        <f>T10</f>
        <v>2.3655509812201547E-3</v>
      </c>
    </row>
    <row r="11" spans="1:23">
      <c r="A11" s="369" t="s">
        <v>1629</v>
      </c>
      <c r="B11" s="144">
        <v>0</v>
      </c>
      <c r="C11" s="144">
        <v>0</v>
      </c>
      <c r="D11" s="144">
        <v>0</v>
      </c>
      <c r="E11" s="144">
        <v>0</v>
      </c>
      <c r="F11" s="144">
        <v>0</v>
      </c>
      <c r="G11" s="144">
        <v>0</v>
      </c>
      <c r="H11" s="144">
        <v>0</v>
      </c>
      <c r="I11" s="144">
        <v>0</v>
      </c>
      <c r="J11" s="144">
        <v>0</v>
      </c>
      <c r="K11" s="145" t="str">
        <f>S11</f>
        <v>(￥)</v>
      </c>
      <c r="M11" s="96" t="str">
        <f t="shared" si="4"/>
        <v>Other/Manual Adjustments</v>
      </c>
      <c r="O11" s="146"/>
      <c r="P11" s="146" t="s">
        <v>1630</v>
      </c>
      <c r="Q11" s="146" t="s">
        <v>1630</v>
      </c>
      <c r="R11" s="146" t="s">
        <v>1630</v>
      </c>
      <c r="S11" s="146" t="s">
        <v>1630</v>
      </c>
      <c r="T11" s="147" t="str">
        <f>R11</f>
        <v>(￥)</v>
      </c>
      <c r="U11" s="147" t="str">
        <f>T11</f>
        <v>(￥)</v>
      </c>
    </row>
    <row r="12" spans="1:23" ht="14.5">
      <c r="A12" s="370" t="s">
        <v>1581</v>
      </c>
      <c r="M12" s="119"/>
    </row>
    <row r="13" spans="1:23">
      <c r="A13" s="65" t="s">
        <v>287</v>
      </c>
      <c r="B13" s="492">
        <f>SUM(B14:B17)</f>
        <v>81189440.000000015</v>
      </c>
      <c r="C13" s="492">
        <f t="shared" ref="C13:J13" si="5">SUM(C14:C17)</f>
        <v>84715540</v>
      </c>
      <c r="D13" s="492">
        <f t="shared" si="5"/>
        <v>103724161</v>
      </c>
      <c r="E13" s="492">
        <f t="shared" si="5"/>
        <v>103702123.99999999</v>
      </c>
      <c r="F13" s="492">
        <f t="shared" si="5"/>
        <v>126225592.99999999</v>
      </c>
      <c r="G13" s="492">
        <f t="shared" si="5"/>
        <v>187667357.00000003</v>
      </c>
      <c r="H13" s="492">
        <f>SUM(H14:H17)</f>
        <v>351788162.75349998</v>
      </c>
      <c r="I13" s="492">
        <f t="shared" si="5"/>
        <v>465042159.71132517</v>
      </c>
      <c r="J13" s="492">
        <f t="shared" si="5"/>
        <v>593769645.49723446</v>
      </c>
      <c r="K13" s="492">
        <f>SUM(K14:K17)</f>
        <v>702861126.4154408</v>
      </c>
      <c r="M13" s="119" t="s">
        <v>1632</v>
      </c>
      <c r="N13" s="138">
        <f>E13/E$6</f>
        <v>0.85156616438731747</v>
      </c>
      <c r="O13" s="138">
        <f t="shared" ref="O13:S17" si="6">F13/F$6</f>
        <v>0.82248168466185356</v>
      </c>
      <c r="P13" s="138">
        <f t="shared" si="6"/>
        <v>0.88815631722109811</v>
      </c>
      <c r="Q13" s="138">
        <f t="shared" si="6"/>
        <v>0.82956866803186946</v>
      </c>
      <c r="R13" s="138">
        <f t="shared" si="6"/>
        <v>0.81759859392329626</v>
      </c>
      <c r="S13" s="138">
        <f t="shared" si="6"/>
        <v>0.80964539153184678</v>
      </c>
      <c r="T13" s="138">
        <f t="shared" ref="T13" si="7">K13/K$6</f>
        <v>0.80120047694704133</v>
      </c>
      <c r="U13" s="138" t="e">
        <f>#REF!/#REF!</f>
        <v>#REF!</v>
      </c>
    </row>
    <row r="14" spans="1:23">
      <c r="A14" s="96" t="s">
        <v>1671</v>
      </c>
      <c r="B14" s="493">
        <f>'Earning Forecast'!B97</f>
        <v>6178516.3840000005</v>
      </c>
      <c r="C14" s="493">
        <f>'Earning Forecast'!C97</f>
        <v>7598983.9379999992</v>
      </c>
      <c r="D14" s="493">
        <f>'Earning Forecast'!D97</f>
        <v>7727449.9945</v>
      </c>
      <c r="E14" s="493">
        <f>'Earning Forecast'!E97</f>
        <v>8285799.7076000003</v>
      </c>
      <c r="F14" s="493">
        <f>'Earning Forecast'!F97</f>
        <v>9643635.3051999994</v>
      </c>
      <c r="G14" s="493">
        <f>'Earning Forecast'!G97</f>
        <v>14487919.9604</v>
      </c>
      <c r="H14" s="493">
        <f>'Earning Forecast'!H97</f>
        <v>16603098.111867299</v>
      </c>
      <c r="I14" s="493">
        <f>'Earning Forecast'!I97</f>
        <v>24423115.592399918</v>
      </c>
      <c r="J14" s="493">
        <f>'Earning Forecast'!J97</f>
        <v>17011779.327202532</v>
      </c>
      <c r="K14" s="493">
        <f>'Earning Forecast'!K97</f>
        <v>23785698.217245549</v>
      </c>
      <c r="M14" s="155" t="str">
        <f t="shared" ref="M14:M19" si="8">A14</f>
        <v>Rechargeable Batteries &amp; Photovoltaic Business</v>
      </c>
      <c r="N14" s="138">
        <f>E14/E$6</f>
        <v>6.8040136534546686E-2</v>
      </c>
      <c r="O14" s="138">
        <f t="shared" ref="O14:P17" si="9">F14/F$6</f>
        <v>6.2837600708165617E-2</v>
      </c>
      <c r="P14" s="138">
        <f t="shared" si="9"/>
        <v>6.8565667689468771E-2</v>
      </c>
      <c r="Q14" s="138">
        <f t="shared" si="6"/>
        <v>3.9152568062715942E-2</v>
      </c>
      <c r="R14" s="138">
        <f t="shared" si="6"/>
        <v>4.2938698246128108E-2</v>
      </c>
      <c r="S14" s="138">
        <f t="shared" si="6"/>
        <v>2.3196720880691135E-2</v>
      </c>
      <c r="T14" s="139">
        <f>AVERAGE(Q14:S14)</f>
        <v>3.5095995729845064E-2</v>
      </c>
      <c r="U14" s="139">
        <f>AVERAGE(R14:T14)</f>
        <v>3.3743804952221436E-2</v>
      </c>
      <c r="W14" t="s">
        <v>229</v>
      </c>
    </row>
    <row r="15" spans="1:23">
      <c r="A15" s="96" t="s">
        <v>566</v>
      </c>
      <c r="B15" s="493">
        <f>'Earning Forecast'!B106</f>
        <v>34684128.767999999</v>
      </c>
      <c r="C15" s="493">
        <f>'Earning Forecast'!C106</f>
        <v>34741842.954000004</v>
      </c>
      <c r="D15" s="493">
        <f>'Earning Forecast'!D106</f>
        <v>35214352.659500003</v>
      </c>
      <c r="E15" s="493">
        <f>'Earning Forecast'!E106</f>
        <v>46925211.109999999</v>
      </c>
      <c r="F15" s="493">
        <f>'Earning Forecast'!F106</f>
        <v>53317690.483199999</v>
      </c>
      <c r="G15" s="493">
        <f>'Earning Forecast'!G106</f>
        <v>79758626.725000009</v>
      </c>
      <c r="H15" s="493">
        <f>'Earning Forecast'!H106</f>
        <v>92879339.520000011</v>
      </c>
      <c r="I15" s="493">
        <f>'Earning Forecast'!I106</f>
        <v>100384603.33667597</v>
      </c>
      <c r="J15" s="493">
        <f>'Earning Forecast'!J106</f>
        <v>111428602.54217529</v>
      </c>
      <c r="K15" s="493">
        <f>'Earning Forecast'!K106</f>
        <v>122553077.91163027</v>
      </c>
      <c r="M15" s="120" t="str">
        <f t="shared" si="8"/>
        <v>Mobile Handset Components &amp; Assembly Service</v>
      </c>
      <c r="N15" s="138">
        <f t="shared" ref="N15:N17" si="10">E15/E$6</f>
        <v>0.38533368938526125</v>
      </c>
      <c r="O15" s="138">
        <f t="shared" si="9"/>
        <v>0.34741626360116701</v>
      </c>
      <c r="P15" s="138">
        <f t="shared" si="9"/>
        <v>0.37746643481896669</v>
      </c>
      <c r="Q15" s="138">
        <f t="shared" si="6"/>
        <v>0.21902325925410804</v>
      </c>
      <c r="R15" s="138">
        <f t="shared" si="6"/>
        <v>0.17648789217425301</v>
      </c>
      <c r="S15" s="138">
        <f t="shared" si="6"/>
        <v>0.15194049614569974</v>
      </c>
      <c r="T15" s="139">
        <f>AVERAGE(R15:S15)</f>
        <v>0.16421419415997637</v>
      </c>
      <c r="U15" s="139">
        <f>AVERAGE(S15:T15)</f>
        <v>0.15807734515283806</v>
      </c>
      <c r="W15" t="s">
        <v>285</v>
      </c>
    </row>
    <row r="16" spans="1:23">
      <c r="A16" s="96" t="s">
        <v>1672</v>
      </c>
      <c r="B16" s="493">
        <f>'Earning Forecast'!B84</f>
        <v>40310556.960000001</v>
      </c>
      <c r="C16" s="493">
        <f>'Earning Forecast'!C84</f>
        <v>42332355.338</v>
      </c>
      <c r="D16" s="493">
        <f>'Earning Forecast'!D84</f>
        <v>58168509.488799997</v>
      </c>
      <c r="E16" s="493">
        <f>'Earning Forecast'!E84</f>
        <v>47941491.925200008</v>
      </c>
      <c r="F16" s="493">
        <f>'Earning Forecast'!F84</f>
        <v>62809855.076799996</v>
      </c>
      <c r="G16" s="493">
        <f>'Earning Forecast'!G84</f>
        <v>92763974.565099999</v>
      </c>
      <c r="H16" s="493">
        <f>'Earning Forecast'!H84</f>
        <v>241883546.30563271</v>
      </c>
      <c r="I16" s="493">
        <f>'Earning Forecast'!I84</f>
        <v>339731524.54625851</v>
      </c>
      <c r="J16" s="493">
        <f>'Earning Forecast'!J84</f>
        <v>464843737.18609267</v>
      </c>
      <c r="K16" s="493">
        <f>'Earning Forecast'!K84</f>
        <v>556050088.05808425</v>
      </c>
      <c r="M16" s="120" t="str">
        <f t="shared" si="8"/>
        <v>Automobiles &amp; Related Products</v>
      </c>
      <c r="N16" s="138">
        <f t="shared" si="10"/>
        <v>0.39367903779625701</v>
      </c>
      <c r="O16" s="138">
        <f t="shared" si="9"/>
        <v>0.40926688628773839</v>
      </c>
      <c r="P16" s="138">
        <f t="shared" si="9"/>
        <v>0.43901566760238875</v>
      </c>
      <c r="Q16" s="138">
        <f>H16/H$6</f>
        <v>0.5703972804457087</v>
      </c>
      <c r="R16" s="138">
        <f t="shared" si="6"/>
        <v>0.59728781784615126</v>
      </c>
      <c r="S16" s="138">
        <f t="shared" si="6"/>
        <v>0.63384612610163116</v>
      </c>
      <c r="T16" s="139">
        <f>S16</f>
        <v>0.63384612610163116</v>
      </c>
      <c r="U16" s="139">
        <f>S16</f>
        <v>0.63384612610163116</v>
      </c>
    </row>
    <row r="17" spans="1:23">
      <c r="A17" s="96" t="s">
        <v>568</v>
      </c>
      <c r="B17" s="493">
        <f>'Earning Forecast'!B115</f>
        <v>16237.888000007226</v>
      </c>
      <c r="C17" s="493">
        <f>'Earning Forecast'!C115</f>
        <v>42357.769999996512</v>
      </c>
      <c r="D17" s="493">
        <f>'Earning Forecast'!D115</f>
        <v>2613848.8572000014</v>
      </c>
      <c r="E17" s="493">
        <f>'Earning Forecast'!E115</f>
        <v>549621.25719999417</v>
      </c>
      <c r="F17" s="493">
        <f>'Earning Forecast'!F115</f>
        <v>454412.13479999552</v>
      </c>
      <c r="G17" s="493">
        <f>'Earning Forecast'!G115</f>
        <v>656835.74949999794</v>
      </c>
      <c r="H17" s="493">
        <f>'Earning Forecast'!H115</f>
        <v>422178.81599999254</v>
      </c>
      <c r="I17" s="493">
        <f>'Earning Forecast'!I115</f>
        <v>502916.23599074961</v>
      </c>
      <c r="J17" s="493">
        <f>'Earning Forecast'!J115</f>
        <v>485526.44176399568</v>
      </c>
      <c r="K17" s="493">
        <f>'Earning Forecast'!K115</f>
        <v>472262.22848073178</v>
      </c>
      <c r="M17" s="120" t="str">
        <f t="shared" si="8"/>
        <v>Corporate &amp; Other</v>
      </c>
      <c r="N17" s="138">
        <f t="shared" si="10"/>
        <v>4.5133006712527353E-3</v>
      </c>
      <c r="O17" s="138">
        <f t="shared" si="9"/>
        <v>2.9609340647826442E-3</v>
      </c>
      <c r="P17" s="138">
        <f>G17/G$6</f>
        <v>3.1085471102738332E-3</v>
      </c>
      <c r="Q17" s="138">
        <f t="shared" si="6"/>
        <v>9.9556026933683706E-4</v>
      </c>
      <c r="R17" s="138">
        <f t="shared" si="6"/>
        <v>8.8418565676384199E-4</v>
      </c>
      <c r="S17" s="138">
        <f t="shared" si="6"/>
        <v>6.6204840382482236E-4</v>
      </c>
      <c r="T17" s="139">
        <f>AVERAGE(Q17:S17)</f>
        <v>8.4726477664183377E-4</v>
      </c>
      <c r="U17" s="139">
        <f>AVERAGE(R17:T17)</f>
        <v>7.978329457434993E-4</v>
      </c>
      <c r="W17" t="s">
        <v>229</v>
      </c>
    </row>
    <row r="18" spans="1:23">
      <c r="A18" s="369" t="s">
        <v>1673</v>
      </c>
      <c r="B18" s="144">
        <v>0</v>
      </c>
      <c r="C18" s="144">
        <v>0</v>
      </c>
      <c r="D18" s="144">
        <v>0</v>
      </c>
      <c r="E18" s="144">
        <v>0</v>
      </c>
      <c r="F18" s="144">
        <v>0</v>
      </c>
      <c r="G18" s="144">
        <v>0</v>
      </c>
      <c r="H18" s="144">
        <v>0</v>
      </c>
      <c r="I18" s="144">
        <v>0</v>
      </c>
      <c r="J18" s="144">
        <v>0</v>
      </c>
      <c r="K18" s="144">
        <v>0</v>
      </c>
      <c r="M18" s="120" t="str">
        <f t="shared" si="8"/>
        <v>Implementation</v>
      </c>
      <c r="N18" s="144">
        <v>0</v>
      </c>
      <c r="O18" s="144">
        <v>0</v>
      </c>
      <c r="P18" s="144">
        <v>0</v>
      </c>
      <c r="Q18" s="144">
        <v>0</v>
      </c>
      <c r="R18" s="144">
        <v>0</v>
      </c>
      <c r="S18" s="144">
        <v>0</v>
      </c>
      <c r="T18" s="147">
        <f t="shared" ref="T18:U18" si="11">S18</f>
        <v>0</v>
      </c>
      <c r="U18" s="147">
        <f t="shared" si="11"/>
        <v>0</v>
      </c>
    </row>
    <row r="19" spans="1:23">
      <c r="A19" s="369" t="s">
        <v>1674</v>
      </c>
      <c r="B19" s="144">
        <v>0</v>
      </c>
      <c r="C19" s="144">
        <v>0</v>
      </c>
      <c r="D19" s="144">
        <v>0</v>
      </c>
      <c r="E19" s="144">
        <v>0</v>
      </c>
      <c r="F19" s="144">
        <v>0</v>
      </c>
      <c r="G19" s="144">
        <v>0</v>
      </c>
      <c r="H19" s="144">
        <v>0</v>
      </c>
      <c r="I19" s="144">
        <v>0</v>
      </c>
      <c r="J19" s="144">
        <v>0</v>
      </c>
      <c r="K19" s="144">
        <v>0</v>
      </c>
      <c r="M19" s="120" t="str">
        <f t="shared" si="8"/>
        <v>Fixed</v>
      </c>
      <c r="N19" s="144">
        <v>0</v>
      </c>
      <c r="O19" s="144">
        <v>0</v>
      </c>
      <c r="P19" s="144" t="s">
        <v>1630</v>
      </c>
      <c r="Q19" s="144" t="s">
        <v>1630</v>
      </c>
      <c r="R19" s="144" t="s">
        <v>1630</v>
      </c>
      <c r="S19" s="144" t="s">
        <v>1630</v>
      </c>
      <c r="T19" s="147" t="str">
        <f t="shared" ref="T19:U19" si="12">S19</f>
        <v>(￥)</v>
      </c>
      <c r="U19" s="147" t="str">
        <f t="shared" si="12"/>
        <v>(￥)</v>
      </c>
    </row>
    <row r="20" spans="1:23" ht="14.5">
      <c r="A20" s="371" t="s">
        <v>1581</v>
      </c>
    </row>
    <row r="21" spans="1:23">
      <c r="A21" s="65" t="s">
        <v>511</v>
      </c>
      <c r="B21" s="492">
        <f>B6-B13</f>
        <v>19018262.999999985</v>
      </c>
      <c r="C21" s="492">
        <f t="shared" ref="C21:K21" si="13">C6-C13</f>
        <v>17935074</v>
      </c>
      <c r="D21" s="492">
        <f t="shared" si="13"/>
        <v>18066764</v>
      </c>
      <c r="E21" s="492">
        <f t="shared" si="13"/>
        <v>18075993.000000015</v>
      </c>
      <c r="F21" s="492">
        <f t="shared" si="13"/>
        <v>27243591.000000015</v>
      </c>
      <c r="G21" s="492">
        <f t="shared" si="13"/>
        <v>23632560.99999997</v>
      </c>
      <c r="H21" s="492">
        <f t="shared" si="13"/>
        <v>72273372.246500015</v>
      </c>
      <c r="I21" s="492">
        <f t="shared" si="13"/>
        <v>103748152.75703692</v>
      </c>
      <c r="J21" s="492">
        <f t="shared" si="13"/>
        <v>139600360.31953919</v>
      </c>
      <c r="K21" s="492">
        <f t="shared" si="13"/>
        <v>174398868.60313344</v>
      </c>
      <c r="M21" s="119" t="s">
        <v>1633</v>
      </c>
      <c r="N21" s="132">
        <f t="shared" ref="N21:T21" si="14">IFERROR(E21/E6,"")</f>
        <v>0.1484338356126825</v>
      </c>
      <c r="O21" s="132">
        <f t="shared" si="14"/>
        <v>0.17751831533814641</v>
      </c>
      <c r="P21" s="132">
        <f t="shared" si="14"/>
        <v>0.11184368277890183</v>
      </c>
      <c r="Q21" s="132">
        <f t="shared" si="14"/>
        <v>0.17043133196813057</v>
      </c>
      <c r="R21" s="132">
        <f t="shared" si="14"/>
        <v>0.18240140607670374</v>
      </c>
      <c r="S21" s="132">
        <f t="shared" si="14"/>
        <v>0.19035460846815322</v>
      </c>
      <c r="T21" s="132">
        <f t="shared" si="14"/>
        <v>0.19879952305295864</v>
      </c>
      <c r="U21" s="132" t="str">
        <f>IFERROR(#REF!/#REF!,"")</f>
        <v/>
      </c>
    </row>
    <row r="22" spans="1:23" ht="14.5">
      <c r="A22" s="371" t="s">
        <v>1581</v>
      </c>
    </row>
    <row r="23" spans="1:23">
      <c r="A23" s="65" t="s">
        <v>1582</v>
      </c>
      <c r="B23" s="492">
        <f>SUM(B24:B26)</f>
        <v>11058372</v>
      </c>
      <c r="C23" s="492">
        <f>SUM(C24:C26)</f>
        <v>11712513</v>
      </c>
      <c r="D23" s="492">
        <f t="shared" ref="D23:J23" si="15">SUM(D24:D26)</f>
        <v>13545220</v>
      </c>
      <c r="E23" s="492">
        <f t="shared" si="15"/>
        <v>14207585</v>
      </c>
      <c r="F23" s="492">
        <f t="shared" si="15"/>
        <v>16916104</v>
      </c>
      <c r="G23" s="492">
        <f t="shared" si="15"/>
        <v>19814894</v>
      </c>
      <c r="H23" s="492">
        <f t="shared" si="15"/>
        <v>43722499</v>
      </c>
      <c r="I23" s="492">
        <f t="shared" si="15"/>
        <v>61016608.695253298</v>
      </c>
      <c r="J23" s="492">
        <f t="shared" si="15"/>
        <v>81560799.078649759</v>
      </c>
      <c r="K23" s="492">
        <f t="shared" ref="K23" si="16">SUM(K24:K26)</f>
        <v>102825790.74901947</v>
      </c>
      <c r="M23" s="119" t="s">
        <v>1634</v>
      </c>
    </row>
    <row r="24" spans="1:23">
      <c r="A24" s="369" t="s">
        <v>1583</v>
      </c>
      <c r="B24" s="493">
        <f>'Earning Forecast'!B126</f>
        <v>7886678</v>
      </c>
      <c r="C24" s="493">
        <f>'Earning Forecast'!C126</f>
        <v>7973022</v>
      </c>
      <c r="D24" s="493">
        <f>'Earning Forecast'!D126</f>
        <v>8555860</v>
      </c>
      <c r="E24" s="493">
        <f>'Earning Forecast'!E126</f>
        <v>8578213</v>
      </c>
      <c r="F24" s="493">
        <f>'Earning Forecast'!F126</f>
        <v>9451243</v>
      </c>
      <c r="G24" s="493">
        <f>'Earning Forecast'!G126</f>
        <v>11823920</v>
      </c>
      <c r="H24" s="493">
        <f>'Earning Forecast'!H126</f>
        <v>25068046</v>
      </c>
      <c r="I24" s="493">
        <f>'Earning Forecast'!I126</f>
        <v>33493434.80994438</v>
      </c>
      <c r="J24" s="493">
        <f>'Earning Forecast'!J126</f>
        <v>42525082.884315692</v>
      </c>
      <c r="K24" s="493">
        <f>'Earning Forecast'!K126</f>
        <v>51461651.072139837</v>
      </c>
      <c r="M24" s="155" t="str">
        <f t="shared" ref="M24:M27" si="17">A24</f>
        <v>Selling General &amp; Admin Exp.</v>
      </c>
      <c r="N24" s="138">
        <f>IFERROR(E24/E$6,"")</f>
        <v>7.0441333889240537E-2</v>
      </c>
      <c r="O24" s="138">
        <f t="shared" ref="O24:P25" si="18">IFERROR(F24/F$6,"")</f>
        <v>6.1583978970006122E-2</v>
      </c>
      <c r="P24" s="138">
        <f t="shared" si="18"/>
        <v>5.5957996159752416E-2</v>
      </c>
      <c r="Q24" s="138">
        <f t="shared" ref="Q24:Q26" si="19">IFERROR(H24/H$6,"")</f>
        <v>5.9114170777125538E-2</v>
      </c>
      <c r="R24" s="138">
        <f t="shared" ref="R24:R26" si="20">IFERROR(I24/I$6,"")</f>
        <v>5.8885381968961349E-2</v>
      </c>
      <c r="S24" s="138">
        <f t="shared" ref="S24:S26" si="21">IFERROR(J24/J$6,"")</f>
        <v>5.7985849635279779E-2</v>
      </c>
      <c r="T24" s="139">
        <f t="shared" ref="T24:U24" si="22">S24</f>
        <v>5.7985849635279779E-2</v>
      </c>
      <c r="U24" s="139">
        <f t="shared" si="22"/>
        <v>5.7985849635279779E-2</v>
      </c>
    </row>
    <row r="25" spans="1:23">
      <c r="A25" s="369" t="s">
        <v>770</v>
      </c>
      <c r="B25" s="144">
        <v>0</v>
      </c>
      <c r="C25" s="144">
        <v>0</v>
      </c>
      <c r="D25" s="144">
        <v>0</v>
      </c>
      <c r="E25" s="144">
        <v>0</v>
      </c>
      <c r="F25" s="144">
        <v>0</v>
      </c>
      <c r="G25" s="144">
        <v>0</v>
      </c>
      <c r="H25" s="144">
        <v>0</v>
      </c>
      <c r="I25" s="144">
        <v>0</v>
      </c>
      <c r="J25" s="144">
        <v>0</v>
      </c>
      <c r="K25" s="144">
        <v>0</v>
      </c>
      <c r="M25" s="120" t="str">
        <f t="shared" si="17"/>
        <v>Depreciation &amp; Amort.</v>
      </c>
      <c r="N25" s="138">
        <f>IFERROR(E25/E$6,"")</f>
        <v>0</v>
      </c>
      <c r="O25" s="138">
        <f t="shared" si="18"/>
        <v>0</v>
      </c>
      <c r="P25" s="138">
        <f t="shared" si="18"/>
        <v>0</v>
      </c>
      <c r="Q25" s="138">
        <f t="shared" si="19"/>
        <v>0</v>
      </c>
      <c r="R25" s="138">
        <f t="shared" si="20"/>
        <v>0</v>
      </c>
      <c r="S25" s="138">
        <f t="shared" si="21"/>
        <v>0</v>
      </c>
      <c r="T25" s="139">
        <f t="shared" ref="T25:U25" si="23">S25*0.95</f>
        <v>0</v>
      </c>
      <c r="U25" s="139">
        <f t="shared" si="23"/>
        <v>0</v>
      </c>
    </row>
    <row r="26" spans="1:23">
      <c r="A26" s="369" t="s">
        <v>1675</v>
      </c>
      <c r="B26" s="493">
        <f>'Earning Forecast'!B128</f>
        <v>3171694</v>
      </c>
      <c r="C26" s="493">
        <f>'Earning Forecast'!C128</f>
        <v>3739491</v>
      </c>
      <c r="D26" s="493">
        <f>'Earning Forecast'!D128</f>
        <v>4989360</v>
      </c>
      <c r="E26" s="493">
        <f>'Earning Forecast'!E128</f>
        <v>5629372</v>
      </c>
      <c r="F26" s="493">
        <f>'Earning Forecast'!F128</f>
        <v>7464861</v>
      </c>
      <c r="G26" s="493">
        <f>'Earning Forecast'!G128</f>
        <v>7990974</v>
      </c>
      <c r="H26" s="493">
        <f>'Earning Forecast'!H128</f>
        <v>18654453</v>
      </c>
      <c r="I26" s="493">
        <f>'Earning Forecast'!I128</f>
        <v>27523173.885308918</v>
      </c>
      <c r="J26" s="493">
        <f>'Earning Forecast'!J128</f>
        <v>39035716.194334075</v>
      </c>
      <c r="K26" s="493">
        <f>'Earning Forecast'!K128</f>
        <v>51364139.676879629</v>
      </c>
      <c r="M26" s="120" t="str">
        <f t="shared" si="17"/>
        <v>R&amp;D</v>
      </c>
      <c r="N26" s="138">
        <f t="shared" ref="N26" si="24">IFERROR(E26/E$6,"")</f>
        <v>4.6226466122809243E-2</v>
      </c>
      <c r="O26" s="138">
        <f t="shared" ref="O26" si="25">IFERROR(F26/F$6,"")</f>
        <v>4.8640781200739294E-2</v>
      </c>
      <c r="P26" s="138">
        <f t="shared" ref="P26" si="26">IFERROR(G26/G$6,"")</f>
        <v>3.7818159494032555E-2</v>
      </c>
      <c r="Q26" s="138">
        <f t="shared" si="19"/>
        <v>4.3989967163609874E-2</v>
      </c>
      <c r="R26" s="138">
        <f t="shared" si="20"/>
        <v>4.8388963879970867E-2</v>
      </c>
      <c r="S26" s="138">
        <f t="shared" si="21"/>
        <v>5.3227860267967955E-2</v>
      </c>
      <c r="T26" s="139">
        <f t="shared" ref="T26" si="27">S26</f>
        <v>5.3227860267967955E-2</v>
      </c>
      <c r="U26" s="139">
        <f t="shared" ref="U26" si="28">T26</f>
        <v>5.3227860267967955E-2</v>
      </c>
    </row>
    <row r="27" spans="1:23">
      <c r="A27" s="369" t="s">
        <v>1584</v>
      </c>
      <c r="M27" s="120" t="str">
        <f t="shared" si="17"/>
        <v>Manual Adjustments</v>
      </c>
      <c r="N27" s="138"/>
      <c r="P27" s="144" t="s">
        <v>1630</v>
      </c>
      <c r="Q27" s="144" t="s">
        <v>1630</v>
      </c>
      <c r="R27" s="144" t="s">
        <v>1630</v>
      </c>
      <c r="S27" s="144" t="s">
        <v>1630</v>
      </c>
      <c r="T27" s="147" t="str">
        <f t="shared" ref="T27:U27" si="29">S27</f>
        <v>(￥)</v>
      </c>
      <c r="U27" s="147" t="str">
        <f t="shared" si="29"/>
        <v>(￥)</v>
      </c>
    </row>
    <row r="28" spans="1:23" ht="14.5">
      <c r="A28" s="371" t="s">
        <v>1581</v>
      </c>
    </row>
    <row r="29" spans="1:23">
      <c r="A29" s="65" t="s">
        <v>532</v>
      </c>
      <c r="B29" s="492">
        <f>B21-B23</f>
        <v>7959890.9999999851</v>
      </c>
      <c r="C29" s="492">
        <f t="shared" ref="C29:J29" si="30">C21-C23</f>
        <v>6222561</v>
      </c>
      <c r="D29" s="492">
        <f t="shared" si="30"/>
        <v>4521544</v>
      </c>
      <c r="E29" s="492">
        <f t="shared" si="30"/>
        <v>3868408.0000000149</v>
      </c>
      <c r="F29" s="492">
        <f t="shared" si="30"/>
        <v>10327487.000000015</v>
      </c>
      <c r="G29" s="492">
        <f t="shared" si="30"/>
        <v>3817666.9999999702</v>
      </c>
      <c r="H29" s="492">
        <f t="shared" si="30"/>
        <v>28550873.246500015</v>
      </c>
      <c r="I29" s="492">
        <f t="shared" si="30"/>
        <v>42731544.061783627</v>
      </c>
      <c r="J29" s="492">
        <f t="shared" si="30"/>
        <v>58039561.24088943</v>
      </c>
      <c r="K29" s="492">
        <f>K21-K23</f>
        <v>71573077.854113966</v>
      </c>
      <c r="M29" s="119" t="s">
        <v>1635</v>
      </c>
      <c r="N29" s="154">
        <f t="shared" ref="N29:T29" si="31">IFERROR(E29/E6,"")</f>
        <v>3.1766035600632708E-2</v>
      </c>
      <c r="O29" s="154">
        <f t="shared" si="31"/>
        <v>6.7293555167401001E-2</v>
      </c>
      <c r="P29" s="154">
        <f t="shared" si="31"/>
        <v>1.8067527125116868E-2</v>
      </c>
      <c r="Q29" s="154">
        <f t="shared" si="31"/>
        <v>6.7327194027395135E-2</v>
      </c>
      <c r="R29" s="154">
        <f t="shared" si="31"/>
        <v>7.5127060227771533E-2</v>
      </c>
      <c r="S29" s="154">
        <f t="shared" si="31"/>
        <v>7.9140898564905485E-2</v>
      </c>
      <c r="T29" s="154">
        <f t="shared" si="31"/>
        <v>8.1587075964404995E-2</v>
      </c>
      <c r="U29" s="154" t="str">
        <f>IFERROR(#REF!/#REF!,"")</f>
        <v/>
      </c>
    </row>
    <row r="30" spans="1:23" ht="15">
      <c r="A30" s="631" t="s">
        <v>1676</v>
      </c>
      <c r="B30" s="85">
        <f>'Earning Forecast'!B136</f>
        <v>1799609</v>
      </c>
      <c r="C30" s="85">
        <f>'Earning Forecast'!C136</f>
        <v>2342770</v>
      </c>
      <c r="D30" s="85">
        <f>'Earning Forecast'!D136</f>
        <v>3480516</v>
      </c>
      <c r="E30" s="85">
        <f>'Earning Forecast'!E136</f>
        <v>3487407</v>
      </c>
      <c r="F30" s="85">
        <f>'Earning Forecast'!F136</f>
        <v>3123801</v>
      </c>
      <c r="G30" s="85">
        <f>'Earning Forecast'!G136</f>
        <v>1907642</v>
      </c>
      <c r="H30" s="876">
        <f>-G46*1.65%+(G62+G66)*4.6%</f>
        <v>637933.71349999995</v>
      </c>
      <c r="I30" s="876">
        <f t="shared" ref="I30:J30" si="32">-H46*1.65%+(H62+H66)*4.6%</f>
        <v>1314762.3973059254</v>
      </c>
      <c r="J30" s="876">
        <f t="shared" si="32"/>
        <v>1447935.7662802897</v>
      </c>
      <c r="K30" s="876">
        <f>-J46*1.65%+(J62+J66)*4.6%</f>
        <v>1901850.2489417852</v>
      </c>
      <c r="M30" s="120" t="str">
        <f>A30</f>
        <v>Financial Cost</v>
      </c>
      <c r="N30" s="138">
        <f>IFERROR(E30/E$6,"")</f>
        <v>2.8637386469032036E-2</v>
      </c>
      <c r="O30" s="138">
        <f t="shared" ref="O30:P30" si="33">IFERROR(F30/F$6,"")</f>
        <v>2.035458141225277E-2</v>
      </c>
      <c r="P30" s="138">
        <f t="shared" si="33"/>
        <v>9.0281246583351731E-3</v>
      </c>
      <c r="Q30" s="138">
        <f t="shared" ref="Q30" si="34">IFERROR(H30/H$6,"")</f>
        <v>1.5043423202719859E-3</v>
      </c>
      <c r="R30" s="138">
        <f t="shared" ref="R30" si="35">IFERROR(I30/I$6,"")</f>
        <v>2.3115063117026217E-3</v>
      </c>
      <c r="S30" s="138">
        <f t="shared" ref="S30" si="36">IFERROR(J30/J$6,"")</f>
        <v>1.9743591294924655E-3</v>
      </c>
      <c r="T30" s="494">
        <f>S30</f>
        <v>1.9743591294924655E-3</v>
      </c>
      <c r="U30" s="494">
        <f>T30</f>
        <v>1.9743591294924655E-3</v>
      </c>
      <c r="W30" s="495" t="s">
        <v>1677</v>
      </c>
    </row>
    <row r="31" spans="1:23" ht="14.5">
      <c r="A31" s="371" t="s">
        <v>1581</v>
      </c>
      <c r="G31" s="876"/>
    </row>
    <row r="32" spans="1:23">
      <c r="A32" s="49" t="s">
        <v>1678</v>
      </c>
      <c r="B32" s="85">
        <f>'Earning Forecast'!B131-'Earning Forecast'!B135</f>
        <v>297013</v>
      </c>
      <c r="C32" s="85">
        <f>'Earning Forecast'!C131-'Earning Forecast'!C135</f>
        <v>689565</v>
      </c>
      <c r="D32" s="85">
        <f>'Earning Forecast'!D131-'Earning Forecast'!D135</f>
        <v>1541682</v>
      </c>
      <c r="E32" s="85">
        <f>'Earning Forecast'!E131-'Earning Forecast'!E135</f>
        <v>1761414</v>
      </c>
      <c r="F32" s="136">
        <f>'Earning Forecast'!F131-'Earning Forecast'!F135</f>
        <v>-356613</v>
      </c>
      <c r="G32" s="85">
        <f>'Earning Forecast'!G131-'Earning Forecast'!G135</f>
        <v>1023106</v>
      </c>
      <c r="H32" s="85">
        <f>'Earning Forecast'!H131-'Earning Forecast'!H135</f>
        <v>-9066436.2464999408</v>
      </c>
      <c r="I32" s="85">
        <f>'Earning Forecast'!I131-'Earning Forecast'!I135</f>
        <v>-2799981.0821666466</v>
      </c>
      <c r="J32" s="85">
        <f>'Earning Forecast'!J131-'Earning Forecast'!J135</f>
        <v>-3614437.1095555285</v>
      </c>
      <c r="K32" s="85">
        <f>'Earning Forecast'!K131-'Earning Forecast'!K135</f>
        <v>-5160284.812740705</v>
      </c>
      <c r="M32" s="120" t="str">
        <f t="shared" ref="M32:M36" si="37">A32</f>
        <v>Other income/(expense), net</v>
      </c>
      <c r="N32" s="138">
        <f>IFERROR(E32/E$6,"")</f>
        <v>1.4464125767357694E-2</v>
      </c>
      <c r="O32" s="138">
        <f t="shared" ref="O32:S36" si="38">IFERROR(F32/F$6,"")</f>
        <v>-2.3236782180323574E-3</v>
      </c>
      <c r="P32" s="138">
        <f>IFERROR(G32/G$6,"")</f>
        <v>4.8419611786124786E-3</v>
      </c>
      <c r="Q32" s="138">
        <f t="shared" si="38"/>
        <v>-2.138000148138864E-2</v>
      </c>
      <c r="R32" s="138">
        <f t="shared" si="38"/>
        <v>-4.9226947449503029E-3</v>
      </c>
      <c r="S32" s="138">
        <f t="shared" si="38"/>
        <v>-4.9285314110031455E-3</v>
      </c>
      <c r="T32" s="494">
        <f>S32</f>
        <v>-4.9285314110031455E-3</v>
      </c>
      <c r="U32" s="494">
        <f t="shared" ref="U32" si="39">T32</f>
        <v>-4.9285314110031455E-3</v>
      </c>
    </row>
    <row r="33" spans="1:23">
      <c r="A33" s="49" t="s">
        <v>571</v>
      </c>
      <c r="B33" s="85">
        <f>'Earning Forecast'!B132</f>
        <v>710939</v>
      </c>
      <c r="C33" s="85">
        <f>'Earning Forecast'!C132</f>
        <v>1275807</v>
      </c>
      <c r="D33" s="85">
        <f>'Earning Forecast'!D132</f>
        <v>2332863</v>
      </c>
      <c r="E33" s="85">
        <f>'Earning Forecast'!E132</f>
        <v>1707657</v>
      </c>
      <c r="F33" s="85">
        <f>'Earning Forecast'!F132</f>
        <v>1688142</v>
      </c>
      <c r="G33" s="85">
        <f>'Earning Forecast'!G132</f>
        <v>2263485</v>
      </c>
      <c r="H33" s="85">
        <f>'Earning Forecast'!H132</f>
        <v>1675542</v>
      </c>
      <c r="I33" s="85">
        <f>'Earning Forecast'!I132</f>
        <v>1875723</v>
      </c>
      <c r="J33" s="85">
        <f>'Earning Forecast'!J132</f>
        <v>1938250</v>
      </c>
      <c r="K33" s="85">
        <f>'Earning Forecast'!K132</f>
        <v>1829838.3333333333</v>
      </c>
      <c r="M33" s="120" t="str">
        <f t="shared" si="37"/>
        <v>Government grants and subsidies</v>
      </c>
      <c r="N33" s="138">
        <f t="shared" ref="N33:N36" si="40">IFERROR(E33/E$6,"")</f>
        <v>1.4022691778031024E-2</v>
      </c>
      <c r="O33" s="138">
        <f t="shared" si="38"/>
        <v>1.0999876040260955E-2</v>
      </c>
      <c r="P33" s="138">
        <f t="shared" si="38"/>
        <v>1.0712190621862901E-2</v>
      </c>
      <c r="Q33" s="138">
        <f t="shared" si="38"/>
        <v>3.9511765668631084E-3</v>
      </c>
      <c r="R33" s="138">
        <f t="shared" si="38"/>
        <v>3.2977407647116594E-3</v>
      </c>
      <c r="S33" s="138">
        <f t="shared" si="38"/>
        <v>2.6429360140538057E-3</v>
      </c>
      <c r="T33" s="494">
        <f t="shared" ref="T33:U33" si="41">S33</f>
        <v>2.6429360140538057E-3</v>
      </c>
      <c r="U33" s="494">
        <f t="shared" si="41"/>
        <v>2.6429360140538057E-3</v>
      </c>
    </row>
    <row r="34" spans="1:23">
      <c r="A34" s="49" t="s">
        <v>572</v>
      </c>
      <c r="B34" s="144">
        <v>0</v>
      </c>
      <c r="C34" s="144">
        <v>0</v>
      </c>
      <c r="D34" s="85">
        <f>'Earning Forecast'!D133</f>
        <v>332080</v>
      </c>
      <c r="E34" s="85">
        <f>'Earning Forecast'!E133</f>
        <v>477031</v>
      </c>
      <c r="F34" s="85">
        <f>'Earning Forecast'!F133</f>
        <v>1166268</v>
      </c>
      <c r="G34" s="85">
        <f>'Earning Forecast'!G133</f>
        <v>444553</v>
      </c>
      <c r="H34" s="85">
        <f>'Earning Forecast'!H133</f>
        <v>989521</v>
      </c>
      <c r="I34" s="85">
        <f>'Earning Forecast'!I133</f>
        <v>866780.66666666663</v>
      </c>
      <c r="J34" s="85">
        <f>'Earning Forecast'!J133</f>
        <v>766951.5555555555</v>
      </c>
      <c r="K34" s="85">
        <f>'Earning Forecast'!K133</f>
        <v>874417.74074074067</v>
      </c>
      <c r="M34" s="120" t="str">
        <f t="shared" si="37"/>
        <v>Impairment losses on financial and contract assets</v>
      </c>
      <c r="N34" s="138">
        <f t="shared" si="40"/>
        <v>3.9172144532338268E-3</v>
      </c>
      <c r="O34" s="138">
        <f t="shared" si="38"/>
        <v>7.5993627489411818E-3</v>
      </c>
      <c r="P34" s="138">
        <f t="shared" si="38"/>
        <v>2.1038957525766765E-3</v>
      </c>
      <c r="Q34" s="138">
        <f t="shared" si="38"/>
        <v>2.3334372923024013E-3</v>
      </c>
      <c r="R34" s="138">
        <f t="shared" si="38"/>
        <v>1.5239019506241673E-3</v>
      </c>
      <c r="S34" s="138">
        <f t="shared" si="38"/>
        <v>1.0457907324712321E-3</v>
      </c>
      <c r="T34" s="494">
        <f>S34</f>
        <v>1.0457907324712321E-3</v>
      </c>
      <c r="U34" s="494">
        <f t="shared" ref="U34" si="42">T34</f>
        <v>1.0457907324712321E-3</v>
      </c>
    </row>
    <row r="35" spans="1:23">
      <c r="A35" s="49" t="s">
        <v>573</v>
      </c>
      <c r="B35" s="144">
        <v>0</v>
      </c>
      <c r="C35" s="144">
        <v>0</v>
      </c>
      <c r="D35" s="136">
        <f>'Earning Forecast'!D134</f>
        <v>-26871</v>
      </c>
      <c r="E35" s="85">
        <f>'Earning Forecast'!E134</f>
        <v>519134</v>
      </c>
      <c r="F35" s="85">
        <f>'Earning Forecast'!F134</f>
        <v>299523</v>
      </c>
      <c r="G35" s="85">
        <f>'Earning Forecast'!G134</f>
        <v>88765</v>
      </c>
      <c r="H35" s="85">
        <f>'Earning Forecast'!H134</f>
        <v>22719</v>
      </c>
      <c r="I35" s="85">
        <f>'Earning Forecast'!I134</f>
        <v>137002.33333333334</v>
      </c>
      <c r="J35" s="85">
        <f>'Earning Forecast'!J134</f>
        <v>82828.777777777781</v>
      </c>
      <c r="K35" s="85">
        <f>'Earning Forecast'!K134</f>
        <v>80850.037037037036</v>
      </c>
      <c r="M35" s="120" t="str">
        <f t="shared" si="37"/>
        <v>Loss on derecognition of financial assets measured at amortised cost</v>
      </c>
      <c r="N35" s="138">
        <f t="shared" si="40"/>
        <v>4.2629498040275991E-3</v>
      </c>
      <c r="O35" s="138">
        <f t="shared" si="38"/>
        <v>1.9516817135093389E-3</v>
      </c>
      <c r="P35" s="138">
        <f t="shared" si="38"/>
        <v>4.200900825716364E-4</v>
      </c>
      <c r="Q35" s="138">
        <f t="shared" si="38"/>
        <v>5.357477187833129E-5</v>
      </c>
      <c r="R35" s="138">
        <f t="shared" si="38"/>
        <v>2.4086615107558437E-4</v>
      </c>
      <c r="S35" s="138">
        <f t="shared" si="38"/>
        <v>1.1294268530321086E-4</v>
      </c>
      <c r="T35" s="494">
        <f t="shared" ref="T35:U35" si="43">S35</f>
        <v>1.1294268530321086E-4</v>
      </c>
      <c r="U35" s="494">
        <f t="shared" si="43"/>
        <v>1.1294268530321086E-4</v>
      </c>
    </row>
    <row r="36" spans="1:23">
      <c r="A36" s="121" t="s">
        <v>579</v>
      </c>
      <c r="B36" s="136">
        <f>'Earning Forecast'!B140</f>
        <v>-599824</v>
      </c>
      <c r="C36" s="136">
        <f>'Earning Forecast'!C140</f>
        <v>-224522</v>
      </c>
      <c r="D36" s="136">
        <f>'Earning Forecast'!D140</f>
        <v>-224724</v>
      </c>
      <c r="E36" s="136">
        <f>'Earning Forecast'!E140</f>
        <v>-422776</v>
      </c>
      <c r="F36" s="136">
        <f>'Earning Forecast'!F140</f>
        <v>-186837</v>
      </c>
      <c r="G36" s="136">
        <f>'Earning Forecast'!G140</f>
        <v>-145295</v>
      </c>
      <c r="H36" s="136">
        <f>'Earning Forecast'!H140</f>
        <v>-685885</v>
      </c>
      <c r="I36" s="136">
        <f>'Earning Forecast'!I140</f>
        <v>-791829.94744445302</v>
      </c>
      <c r="J36" s="136">
        <f>'Earning Forecast'!J140</f>
        <v>-1291015.8387090599</v>
      </c>
      <c r="K36" s="136">
        <f>'Earning Forecast'!K140</f>
        <v>-2553363.9058567886</v>
      </c>
      <c r="M36" s="120" t="str">
        <f t="shared" si="37"/>
        <v>Share of profits and losses of joint ventures and associates</v>
      </c>
      <c r="N36" s="138">
        <f t="shared" si="40"/>
        <v>-3.4716910592401426E-3</v>
      </c>
      <c r="O36" s="138">
        <f t="shared" si="38"/>
        <v>-1.2174235578134044E-3</v>
      </c>
      <c r="P36" s="138">
        <f t="shared" si="38"/>
        <v>-6.8762449780032566E-4</v>
      </c>
      <c r="Q36" s="138">
        <f t="shared" si="38"/>
        <v>-1.6174185663880125E-3</v>
      </c>
      <c r="R36" s="138">
        <f t="shared" si="38"/>
        <v>-1.3921298061638438E-3</v>
      </c>
      <c r="S36" s="138">
        <f t="shared" si="38"/>
        <v>-1.760388110325321E-3</v>
      </c>
      <c r="T36" s="494">
        <f t="shared" ref="T36:U36" si="44">S36</f>
        <v>-1.760388110325321E-3</v>
      </c>
      <c r="U36" s="494">
        <f t="shared" si="44"/>
        <v>-1.760388110325321E-3</v>
      </c>
    </row>
    <row r="37" spans="1:23" ht="14.5">
      <c r="A37" s="371" t="s">
        <v>1581</v>
      </c>
    </row>
    <row r="38" spans="1:23">
      <c r="A38" s="121" t="s">
        <v>1679</v>
      </c>
      <c r="B38" s="492">
        <f>B29-B30+B32+B33-B34-B35+B36</f>
        <v>6568409.9999999851</v>
      </c>
      <c r="C38" s="492">
        <f t="shared" ref="C38:I38" si="45">C29-C30+C32+C33-C34-C35+C36</f>
        <v>5620641</v>
      </c>
      <c r="D38" s="492">
        <f t="shared" si="45"/>
        <v>4385640</v>
      </c>
      <c r="E38" s="492">
        <f t="shared" si="45"/>
        <v>2431131.0000000149</v>
      </c>
      <c r="F38" s="492">
        <f t="shared" si="45"/>
        <v>6882587.0000000149</v>
      </c>
      <c r="G38" s="492">
        <f t="shared" si="45"/>
        <v>4518002.9999999702</v>
      </c>
      <c r="H38" s="492">
        <f t="shared" si="45"/>
        <v>18823920.286500074</v>
      </c>
      <c r="I38" s="492">
        <f t="shared" si="45"/>
        <v>38696910.634866595</v>
      </c>
      <c r="J38" s="492">
        <f>J29-J30+J32+J33-J34-J35+J36</f>
        <v>52774642.193011224</v>
      </c>
      <c r="K38" s="492">
        <f t="shared" ref="K38" si="46">K29-K30+K32+K33-K34-K35+K36</f>
        <v>62832149.442130253</v>
      </c>
      <c r="M38" s="120" t="s">
        <v>1636</v>
      </c>
      <c r="N38" s="138">
        <f>E38/E$6</f>
        <v>1.9963611360487819E-2</v>
      </c>
      <c r="O38" s="138">
        <f t="shared" ref="O38:P38" si="47">F38/F$6</f>
        <v>4.4846703557112906E-2</v>
      </c>
      <c r="P38" s="138">
        <f t="shared" si="47"/>
        <v>2.1381943934308437E-2</v>
      </c>
      <c r="Q38" s="138">
        <f>H38/H$6</f>
        <v>4.4389596162028873E-2</v>
      </c>
      <c r="R38" s="138">
        <f t="shared" ref="R38" si="48">I38/I$6</f>
        <v>6.8033702027966658E-2</v>
      </c>
      <c r="S38" s="138">
        <f>J38/J$6</f>
        <v>7.1961822510363926E-2</v>
      </c>
      <c r="T38" s="138">
        <f>K38/K$6</f>
        <v>7.1623178759906758E-2</v>
      </c>
      <c r="U38" s="138" t="e">
        <f>#REF!/#REF!</f>
        <v>#REF!</v>
      </c>
    </row>
    <row r="39" spans="1:23">
      <c r="A39" s="372" t="s">
        <v>1680</v>
      </c>
      <c r="B39" s="85">
        <f>'Earning Forecast'!B144</f>
        <v>1088398</v>
      </c>
      <c r="C39" s="85">
        <f>'Earning Forecast'!C144</f>
        <v>703705</v>
      </c>
      <c r="D39" s="85">
        <f>'Earning Forecast'!D144</f>
        <v>829447</v>
      </c>
      <c r="E39" s="85">
        <f>'Earning Forecast'!E144</f>
        <v>312274</v>
      </c>
      <c r="F39" s="85">
        <f>'Earning Forecast'!F144</f>
        <v>868624</v>
      </c>
      <c r="G39" s="85">
        <f>'Earning Forecast'!G144</f>
        <v>550737</v>
      </c>
      <c r="H39" s="85">
        <f>'Earning Forecast'!H144</f>
        <v>3366635</v>
      </c>
      <c r="I39" s="85">
        <f>'Earning Forecast'!I144</f>
        <v>5260372.0311163347</v>
      </c>
      <c r="J39" s="85">
        <f>'Earning Forecast'!J144</f>
        <v>7345264.0239366777</v>
      </c>
      <c r="K39" s="85">
        <f>'Earning Forecast'!K144</f>
        <v>9107068.4624971412</v>
      </c>
      <c r="M39" s="120" t="s">
        <v>1637</v>
      </c>
      <c r="N39" s="138">
        <f>IFERROR(E39/E38,"")</f>
        <v>0.12844803509148545</v>
      </c>
      <c r="O39" s="138">
        <f>IFERROR(F39/F38,"")</f>
        <v>0.12620603270252859</v>
      </c>
      <c r="P39" s="138">
        <f t="shared" ref="P39" si="49">IFERROR(G39/G38,"")</f>
        <v>0.12189832543271964</v>
      </c>
      <c r="Q39" s="138">
        <f t="shared" ref="Q39" si="50">IFERROR(H39/H38,"")</f>
        <v>0.17884877054087639</v>
      </c>
      <c r="R39" s="138">
        <f t="shared" ref="R39" si="51">IFERROR(I39/I38,"")</f>
        <v>0.13593777758518655</v>
      </c>
      <c r="S39" s="138">
        <f t="shared" ref="S39" si="52">IFERROR(J39/J38,"")</f>
        <v>0.13918169254607257</v>
      </c>
      <c r="T39" s="139">
        <f>AVERAGE(Q39:S39)</f>
        <v>0.15132274689071182</v>
      </c>
      <c r="U39" s="139">
        <f>AVERAGE(R39:T39)</f>
        <v>0.14214740567399031</v>
      </c>
      <c r="W39" t="s">
        <v>229</v>
      </c>
    </row>
    <row r="40" spans="1:23" ht="14.5">
      <c r="A40" s="371" t="s">
        <v>1581</v>
      </c>
    </row>
    <row r="41" spans="1:23">
      <c r="A41" s="121" t="s">
        <v>1681</v>
      </c>
      <c r="B41" s="136">
        <f>-'Earning Forecast'!B147</f>
        <v>-427857.99999999942</v>
      </c>
      <c r="C41" s="136">
        <f>-'Earning Forecast'!C147</f>
        <v>-850458</v>
      </c>
      <c r="D41" s="136">
        <f>-'Earning Forecast'!D147</f>
        <v>-775999</v>
      </c>
      <c r="E41" s="136">
        <f>-'Earning Forecast'!E147</f>
        <v>-504406.99999999913</v>
      </c>
      <c r="F41" s="136">
        <f>-'Earning Forecast'!F147</f>
        <v>-1779696.0000000033</v>
      </c>
      <c r="G41" s="136">
        <f>-'Earning Forecast'!G147</f>
        <v>-922077.99999999825</v>
      </c>
      <c r="H41" s="136">
        <f>-'Earning Forecast'!H147</f>
        <v>-1090728.0000000028</v>
      </c>
      <c r="I41" s="136">
        <f>-'Earning Forecast'!I147</f>
        <v>-2058928.8379560625</v>
      </c>
      <c r="J41" s="136">
        <f>-'Earning Forecast'!J147</f>
        <v>-2797414.4665868054</v>
      </c>
      <c r="K41" s="136">
        <f>-'Earning Forecast'!K147</f>
        <v>-3308240.6585936486</v>
      </c>
      <c r="M41" s="120" t="str">
        <f>A41</f>
        <v>Minority interest+Prefered share dividend</v>
      </c>
      <c r="N41" s="138">
        <f>E41/E$6</f>
        <v>-4.1420167467361903E-3</v>
      </c>
      <c r="O41" s="138">
        <f t="shared" ref="O41:S41" si="53">F41/F$6</f>
        <v>-1.1596438800378344E-2</v>
      </c>
      <c r="P41" s="138">
        <f t="shared" si="53"/>
        <v>-4.3638351057003165E-3</v>
      </c>
      <c r="Q41" s="138">
        <f t="shared" si="53"/>
        <v>-2.5720984101988945E-3</v>
      </c>
      <c r="R41" s="138">
        <f t="shared" si="53"/>
        <v>-3.6198380894023868E-3</v>
      </c>
      <c r="S41" s="138">
        <f t="shared" si="53"/>
        <v>-3.8144653372771233E-3</v>
      </c>
      <c r="T41" s="139">
        <f>AVERAGE(Q41:S41)</f>
        <v>-3.3354672789594683E-3</v>
      </c>
      <c r="U41" s="139">
        <f>AVERAGE(R41:T41)</f>
        <v>-3.5899235685463264E-3</v>
      </c>
      <c r="W41" t="s">
        <v>229</v>
      </c>
    </row>
    <row r="42" spans="1:23" ht="14.5">
      <c r="A42" s="371" t="s">
        <v>1581</v>
      </c>
    </row>
    <row r="43" spans="1:23">
      <c r="A43" s="373" t="s">
        <v>1588</v>
      </c>
      <c r="B43" s="168">
        <f>B38-B39+B41</f>
        <v>5052153.999999986</v>
      </c>
      <c r="C43" s="168">
        <f t="shared" ref="C43:K43" si="54">C38-C39+C41</f>
        <v>4066478</v>
      </c>
      <c r="D43" s="168">
        <f t="shared" si="54"/>
        <v>2780194</v>
      </c>
      <c r="E43" s="168">
        <f t="shared" si="54"/>
        <v>1614450.0000000158</v>
      </c>
      <c r="F43" s="168">
        <f t="shared" si="54"/>
        <v>4234267.0000000112</v>
      </c>
      <c r="G43" s="168">
        <f t="shared" si="54"/>
        <v>3045187.9999999721</v>
      </c>
      <c r="H43" s="168">
        <f t="shared" si="54"/>
        <v>14366557.28650007</v>
      </c>
      <c r="I43" s="168">
        <f t="shared" si="54"/>
        <v>31377609.765794195</v>
      </c>
      <c r="J43" s="168">
        <f t="shared" si="54"/>
        <v>42631963.702487744</v>
      </c>
      <c r="K43" s="168">
        <f t="shared" si="54"/>
        <v>50416840.321039461</v>
      </c>
      <c r="M43" s="120" t="s">
        <v>1638</v>
      </c>
      <c r="N43" s="138">
        <f t="shared" ref="N43:T43" si="55">E43/E$6</f>
        <v>1.3257307961166913E-2</v>
      </c>
      <c r="O43" s="138">
        <f t="shared" si="55"/>
        <v>2.7590340221004962E-2</v>
      </c>
      <c r="P43" s="138">
        <f t="shared" si="55"/>
        <v>1.4411685668519626E-2</v>
      </c>
      <c r="Q43" s="138">
        <f t="shared" si="55"/>
        <v>3.3878473053445109E-2</v>
      </c>
      <c r="R43" s="138">
        <f t="shared" si="55"/>
        <v>5.5165513683989684E-2</v>
      </c>
      <c r="S43" s="138">
        <f t="shared" si="55"/>
        <v>5.813158891739429E-2</v>
      </c>
      <c r="T43" s="138">
        <f t="shared" si="55"/>
        <v>5.747080752265693E-2</v>
      </c>
      <c r="U43" s="138" t="e">
        <f>#REF!/#REF!</f>
        <v>#REF!</v>
      </c>
    </row>
    <row r="44" spans="1:23" s="497" customFormat="1" ht="14.5">
      <c r="A44" s="496" t="s">
        <v>1581</v>
      </c>
      <c r="G44" s="857"/>
    </row>
    <row r="45" spans="1:23" ht="20">
      <c r="A45" s="498" t="s">
        <v>1590</v>
      </c>
      <c r="M45" s="694" t="s">
        <v>1613</v>
      </c>
    </row>
    <row r="46" spans="1:23">
      <c r="A46" s="216" t="s">
        <v>877</v>
      </c>
      <c r="B46" s="85">
        <f>SUM('Fin Sta as rep'!C246:C248)/1000</f>
        <v>7693666</v>
      </c>
      <c r="C46" s="85">
        <f>SUM('Fin Sta as rep'!D246:D248)/1000</f>
        <v>9903785</v>
      </c>
      <c r="D46" s="85">
        <f>SUM('Fin Sta as rep'!E246:E248)/1000</f>
        <v>13052546</v>
      </c>
      <c r="E46" s="85">
        <f>SUM('Fin Sta as rep'!F246:F248)/1000</f>
        <v>12684428</v>
      </c>
      <c r="F46" s="85">
        <f>SUM('Fin Sta as rep'!G246:G248)/1000</f>
        <v>14445054</v>
      </c>
      <c r="G46" s="85">
        <f>SUM('Fin Sta as rep'!I246:I248)/1000</f>
        <v>56063149</v>
      </c>
      <c r="H46" s="85">
        <f>H113</f>
        <v>90032005.405924112</v>
      </c>
      <c r="I46" s="85">
        <f t="shared" ref="I46:K46" si="56">I113</f>
        <v>135674414.68839127</v>
      </c>
      <c r="J46" s="85">
        <f t="shared" si="56"/>
        <v>172751858.96755278</v>
      </c>
      <c r="K46" s="85">
        <f t="shared" si="56"/>
        <v>210203655.11279061</v>
      </c>
      <c r="M46" s="758" t="s">
        <v>1591</v>
      </c>
    </row>
    <row r="47" spans="1:23">
      <c r="A47" s="665" t="s">
        <v>1067</v>
      </c>
      <c r="B47" s="85">
        <f>SUM('Fin Sta as rep'!C249:C253)/1000</f>
        <v>48693595</v>
      </c>
      <c r="C47" s="85">
        <f>SUM('Fin Sta as rep'!D249:D253)/1000</f>
        <v>59679183</v>
      </c>
      <c r="D47" s="85">
        <f>SUM('Fin Sta as rep'!E249:E253)/1000</f>
        <v>64367223</v>
      </c>
      <c r="E47" s="85">
        <f>SUM('Fin Sta as rep'!F249:F253)/1000</f>
        <v>59490987</v>
      </c>
      <c r="F47" s="85">
        <f>SUM('Fin Sta as rep'!G249:G253)/1000</f>
        <v>56475558</v>
      </c>
      <c r="G47" s="85">
        <f>SUM('Fin Sta as rep'!I249:I253)/1000</f>
        <v>54898539</v>
      </c>
      <c r="H47" s="876">
        <f>G47*(H6/G6)</f>
        <v>110176846.91007484</v>
      </c>
      <c r="I47" s="876">
        <f t="shared" ref="I47:K47" si="57">H47*(I6/H6)</f>
        <v>147779315.0486058</v>
      </c>
      <c r="J47" s="876">
        <f t="shared" si="57"/>
        <v>190539316.09080124</v>
      </c>
      <c r="K47" s="876">
        <f t="shared" si="57"/>
        <v>227923855.84204069</v>
      </c>
      <c r="M47" s="758" t="s">
        <v>1592</v>
      </c>
    </row>
    <row r="48" spans="1:23">
      <c r="A48" s="665" t="s">
        <v>696</v>
      </c>
      <c r="B48" s="85">
        <f>'Fin Sta as rep'!C254/1000</f>
        <v>17378439</v>
      </c>
      <c r="C48" s="85">
        <f>'Fin Sta as rep'!D254/1000</f>
        <v>19872804</v>
      </c>
      <c r="D48" s="85">
        <f>'Fin Sta as rep'!E254/1000</f>
        <v>26330345</v>
      </c>
      <c r="E48" s="85">
        <f>'Fin Sta as rep'!F254/1000</f>
        <v>25571564</v>
      </c>
      <c r="F48" s="85">
        <f>'Fin Sta as rep'!G254/1000</f>
        <v>31396358</v>
      </c>
      <c r="G48" s="85">
        <f>'Fin Sta as rep'!I254/1000</f>
        <v>43354782</v>
      </c>
      <c r="H48" s="876">
        <f>G48*(H13/G13)</f>
        <v>81269856.14423348</v>
      </c>
      <c r="I48" s="876">
        <f t="shared" ref="I48:K48" si="58">H48*(I13/H13)</f>
        <v>107433715.57736427</v>
      </c>
      <c r="J48" s="876">
        <f t="shared" si="58"/>
        <v>137172249.61371347</v>
      </c>
      <c r="K48" s="876">
        <f t="shared" si="58"/>
        <v>162374487.49286684</v>
      </c>
      <c r="M48" s="758" t="s">
        <v>1593</v>
      </c>
    </row>
    <row r="49" spans="1:13" s="233" customFormat="1">
      <c r="A49" s="888" t="s">
        <v>1069</v>
      </c>
      <c r="B49" s="305">
        <f>SUM('Fin Sta as rep'!C255:C258)/1000</f>
        <v>4474381</v>
      </c>
      <c r="C49" s="305">
        <f>SUM('Fin Sta as rep'!D255:D258)/1000</f>
        <v>13228620</v>
      </c>
      <c r="D49" s="305">
        <f>SUM('Fin Sta as rep'!E255:E258)/1000</f>
        <v>11460461</v>
      </c>
      <c r="E49" s="305">
        <f>SUM('Fin Sta as rep'!F255:F258)/1000</f>
        <v>9219626</v>
      </c>
      <c r="F49" s="305">
        <f>SUM('Fin Sta as rep'!G255:G258)/1000</f>
        <v>9288140</v>
      </c>
      <c r="G49" s="305">
        <f>SUM('Fin Sta as rep'!I255:I258)/1000</f>
        <v>11793719</v>
      </c>
      <c r="H49" s="884">
        <f>G49*(H23/G23)</f>
        <v>26023397.712033235</v>
      </c>
      <c r="I49" s="884">
        <f t="shared" ref="I49:K49" si="59">H49*(I23/H23)</f>
        <v>36316759.367210045</v>
      </c>
      <c r="J49" s="884">
        <f t="shared" si="59"/>
        <v>48544551.676585011</v>
      </c>
      <c r="K49" s="884">
        <f t="shared" si="59"/>
        <v>61201361.059349366</v>
      </c>
      <c r="M49" s="881" t="s">
        <v>1594</v>
      </c>
    </row>
    <row r="50" spans="1:13">
      <c r="A50" s="889" t="s">
        <v>1071</v>
      </c>
      <c r="B50" s="875">
        <f>SUM(B46:B49)</f>
        <v>78240081</v>
      </c>
      <c r="C50" s="875">
        <f t="shared" ref="C50:F50" si="60">SUM(C46:C49)</f>
        <v>102684392</v>
      </c>
      <c r="D50" s="875">
        <f t="shared" si="60"/>
        <v>115210575</v>
      </c>
      <c r="E50" s="875">
        <f t="shared" si="60"/>
        <v>106966605</v>
      </c>
      <c r="F50" s="875">
        <f t="shared" si="60"/>
        <v>111605110</v>
      </c>
      <c r="G50" s="875">
        <f t="shared" ref="G50:K50" si="61">SUM(G46:G49)</f>
        <v>166110189</v>
      </c>
      <c r="H50" s="875">
        <f>SUM(H46:H49)</f>
        <v>307502106.17226565</v>
      </c>
      <c r="I50" s="875">
        <f t="shared" si="61"/>
        <v>427204204.68157136</v>
      </c>
      <c r="J50" s="875">
        <f t="shared" si="61"/>
        <v>549007976.34865248</v>
      </c>
      <c r="K50" s="875">
        <f t="shared" si="61"/>
        <v>661703359.50704753</v>
      </c>
      <c r="M50" s="673"/>
    </row>
    <row r="51" spans="1:13" ht="14.5">
      <c r="A51" s="869" t="s">
        <v>1581</v>
      </c>
      <c r="M51" s="673"/>
    </row>
    <row r="52" spans="1:13">
      <c r="A52" s="665" t="s">
        <v>1076</v>
      </c>
      <c r="B52" s="85">
        <f>SUM('Fin Sta as rep'!C261:C265)/1000</f>
        <v>46440156</v>
      </c>
      <c r="C52" s="85">
        <f>SUM('Fin Sta as rep'!D261:D265)/1000</f>
        <v>50980724</v>
      </c>
      <c r="D52" s="85">
        <f>SUM('Fin Sta as rep'!E261:E265)/1000</f>
        <v>53362403</v>
      </c>
      <c r="E52" s="85">
        <f>SUM('Fin Sta as rep'!F261:F265)/1000</f>
        <v>60848697</v>
      </c>
      <c r="F52" s="85">
        <f>SUM('Fin Sta as rep'!G261:G265)/1000</f>
        <v>61642132</v>
      </c>
      <c r="G52" s="85">
        <f>SUM('Fin Sta as rep'!I261:I265)/1000</f>
        <v>83071906</v>
      </c>
      <c r="H52" s="492">
        <f>G52-H82-H97</f>
        <v>163433960.8288725</v>
      </c>
      <c r="I52" s="492">
        <f t="shared" ref="I52:K52" si="62">H52-I82-I97</f>
        <v>228865937.33932111</v>
      </c>
      <c r="J52" s="492">
        <f t="shared" si="62"/>
        <v>334259137.75174773</v>
      </c>
      <c r="K52" s="492">
        <f t="shared" si="62"/>
        <v>465337436.84283996</v>
      </c>
      <c r="M52" s="758" t="s">
        <v>1595</v>
      </c>
    </row>
    <row r="53" spans="1:13">
      <c r="A53" s="96" t="s">
        <v>1596</v>
      </c>
      <c r="B53" s="85"/>
      <c r="C53" s="85"/>
      <c r="D53" s="85"/>
      <c r="E53" s="85"/>
      <c r="F53" s="85"/>
      <c r="G53" s="85"/>
      <c r="M53" s="758" t="s">
        <v>1597</v>
      </c>
    </row>
    <row r="54" spans="1:13">
      <c r="A54" s="96" t="s">
        <v>1682</v>
      </c>
      <c r="B54" s="85"/>
      <c r="C54" s="85"/>
      <c r="D54" s="85"/>
      <c r="E54" s="85"/>
      <c r="F54" s="85"/>
      <c r="G54" s="85"/>
    </row>
    <row r="55" spans="1:13">
      <c r="A55" s="96" t="s">
        <v>895</v>
      </c>
      <c r="B55" s="85">
        <f>SUM('Fin Sta as rep'!C266:C269)/1000</f>
        <v>5469996</v>
      </c>
      <c r="C55" s="85">
        <f>SUM('Fin Sta as rep'!D266:D269)/1000</f>
        <v>7250371</v>
      </c>
      <c r="D55" s="85">
        <f>SUM('Fin Sta as rep'!E266:E269)/1000</f>
        <v>5265358</v>
      </c>
      <c r="E55" s="85">
        <f>SUM('Fin Sta as rep'!F266:F269)/1000</f>
        <v>6029087</v>
      </c>
      <c r="F55" s="85">
        <f>SUM('Fin Sta as rep'!G266:G269)/1000</f>
        <v>7170564</v>
      </c>
      <c r="G55" s="85">
        <f>SUM('Fin Sta as rep'!I266:I269)/1000</f>
        <v>11052809</v>
      </c>
      <c r="H55" s="492">
        <f>G55-H99</f>
        <v>15018207.800000001</v>
      </c>
      <c r="I55" s="492">
        <f t="shared" ref="I55:K55" si="63">H55-I99</f>
        <v>18983606.600000001</v>
      </c>
      <c r="J55" s="492">
        <f t="shared" si="63"/>
        <v>22949005.400000002</v>
      </c>
      <c r="K55" s="492">
        <f t="shared" si="63"/>
        <v>26914404.200000003</v>
      </c>
      <c r="M55" s="758" t="s">
        <v>1599</v>
      </c>
    </row>
    <row r="56" spans="1:13">
      <c r="A56" s="96" t="s">
        <v>713</v>
      </c>
      <c r="B56" s="85">
        <f>'Fin Sta as rep'!C272/1000</f>
        <v>65914</v>
      </c>
      <c r="C56" s="85">
        <f>'Fin Sta as rep'!D272/1000</f>
        <v>65914</v>
      </c>
      <c r="D56" s="85">
        <f>'Fin Sta as rep'!E272/1000</f>
        <v>65914</v>
      </c>
      <c r="E56" s="85">
        <f>'Fin Sta as rep'!F272/1000</f>
        <v>65914</v>
      </c>
      <c r="F56" s="85">
        <f>'Fin Sta as rep'!G272/1000</f>
        <v>65914</v>
      </c>
      <c r="G56" s="85">
        <f>'Fin Sta as rep'!I272/1000</f>
        <v>65914</v>
      </c>
      <c r="H56" s="876">
        <f>G56</f>
        <v>65914</v>
      </c>
      <c r="I56" s="876">
        <f t="shared" ref="I56:K56" si="64">H56</f>
        <v>65914</v>
      </c>
      <c r="J56" s="876">
        <f t="shared" si="64"/>
        <v>65914</v>
      </c>
      <c r="K56" s="876">
        <f t="shared" si="64"/>
        <v>65914</v>
      </c>
      <c r="M56" s="758" t="s">
        <v>1600</v>
      </c>
    </row>
    <row r="57" spans="1:13">
      <c r="A57" s="96" t="s">
        <v>902</v>
      </c>
      <c r="B57" s="85">
        <f>SUM('Fin Sta as rep'!C273:C274)/1000</f>
        <v>12055571</v>
      </c>
      <c r="C57" s="85">
        <f>SUM('Fin Sta as rep'!D273:D274)/1000</f>
        <v>14199119</v>
      </c>
      <c r="D57" s="85">
        <f>SUM('Fin Sta as rep'!E273:E274)/1000</f>
        <v>16698461</v>
      </c>
      <c r="E57" s="85">
        <f>SUM('Fin Sta as rep'!F273:F274)/1000</f>
        <v>18398159</v>
      </c>
      <c r="F57" s="85">
        <f>SUM('Fin Sta as rep'!G273:G274)/1000</f>
        <v>16689882</v>
      </c>
      <c r="G57" s="85">
        <f>SUM('Fin Sta as rep'!I273:I274)/1000</f>
        <v>19709973</v>
      </c>
      <c r="H57" s="492">
        <f>G57-H83</f>
        <v>14224043.757068057</v>
      </c>
      <c r="I57" s="492">
        <f t="shared" ref="I57:K57" si="65">H57-I83</f>
        <v>6270100.5580308437</v>
      </c>
      <c r="J57" s="492">
        <f t="shared" si="65"/>
        <v>-3559156.4712266326</v>
      </c>
      <c r="K57" s="492">
        <f t="shared" si="65"/>
        <v>-15350542.824096736</v>
      </c>
      <c r="M57" s="758" t="s">
        <v>1601</v>
      </c>
    </row>
    <row r="58" spans="1:13" s="233" customFormat="1">
      <c r="A58" s="888" t="s">
        <v>1081</v>
      </c>
      <c r="B58" s="305">
        <f>SUM('Fin Sta as rep'!C270:C271,'Fin Sta as rep'!C275:C278)/1000</f>
        <v>2799060</v>
      </c>
      <c r="C58" s="305">
        <f>SUM('Fin Sta as rep'!D270:D271,'Fin Sta as rep'!D275:D278)/1000</f>
        <v>2918910</v>
      </c>
      <c r="D58" s="305">
        <f>SUM('Fin Sta as rep'!E270:E271,'Fin Sta as rep'!E275:E278)/1000</f>
        <v>3968366</v>
      </c>
      <c r="E58" s="305">
        <f>SUM('Fin Sta as rep'!F270:F271,'Fin Sta as rep'!F275:F278)/1000</f>
        <v>3333131</v>
      </c>
      <c r="F58" s="305">
        <f>SUM('Fin Sta as rep'!G270:G271,'Fin Sta as rep'!G275:G278)/1000</f>
        <v>3843719</v>
      </c>
      <c r="G58" s="305">
        <f>SUM('Fin Sta as rep'!I270:I271,'Fin Sta as rep'!I275:I278)/1000</f>
        <v>15769356</v>
      </c>
      <c r="H58" s="887">
        <f>G58</f>
        <v>15769356</v>
      </c>
      <c r="I58" s="887">
        <f t="shared" ref="I58:K58" si="66">H58</f>
        <v>15769356</v>
      </c>
      <c r="J58" s="887">
        <f t="shared" si="66"/>
        <v>15769356</v>
      </c>
      <c r="K58" s="887">
        <f t="shared" si="66"/>
        <v>15769356</v>
      </c>
      <c r="M58" s="881" t="s">
        <v>1592</v>
      </c>
    </row>
    <row r="59" spans="1:13">
      <c r="A59" s="906" t="s">
        <v>1085</v>
      </c>
      <c r="B59" s="492">
        <f>SUM(B50,B52:B58)</f>
        <v>145070778</v>
      </c>
      <c r="C59" s="492">
        <f t="shared" ref="C59:G59" si="67">SUM(C50,C52:C58)</f>
        <v>178099430</v>
      </c>
      <c r="D59" s="492">
        <f t="shared" si="67"/>
        <v>194571077</v>
      </c>
      <c r="E59" s="492">
        <f t="shared" si="67"/>
        <v>195641593</v>
      </c>
      <c r="F59" s="492">
        <f t="shared" si="67"/>
        <v>201017321</v>
      </c>
      <c r="G59" s="492">
        <f t="shared" si="67"/>
        <v>295780147</v>
      </c>
      <c r="H59" s="492">
        <f t="shared" ref="H59" si="68">SUM(H50,H52:H58)</f>
        <v>516013588.5582062</v>
      </c>
      <c r="I59" s="492">
        <f t="shared" ref="I59" si="69">SUM(I50,I52:I58)</f>
        <v>697159119.17892337</v>
      </c>
      <c r="J59" s="492">
        <f t="shared" ref="J59" si="70">SUM(J50,J52:J58)</f>
        <v>918492233.02917361</v>
      </c>
      <c r="K59" s="492">
        <f t="shared" ref="K59" si="71">SUM(K50,K52:K58)</f>
        <v>1154439927.7257907</v>
      </c>
      <c r="M59" s="758"/>
    </row>
    <row r="60" spans="1:13" ht="14.5">
      <c r="A60" s="869" t="s">
        <v>1581</v>
      </c>
      <c r="M60" s="758"/>
    </row>
    <row r="61" spans="1:13">
      <c r="A61" s="665" t="s">
        <v>791</v>
      </c>
      <c r="B61" s="85">
        <f>SUM('Fin Sta as rep'!C281:C285,'Fin Sta as rep'!C287:C289,'Fin Sta as rep'!C291,'Fin Sta as rep'!C295)/1000</f>
        <v>39490317</v>
      </c>
      <c r="C61" s="85">
        <f>SUM('Fin Sta as rep'!D281:D285,'Fin Sta as rep'!D287:D289,'Fin Sta as rep'!D291,'Fin Sta as rep'!D295)/1000</f>
        <v>44404789</v>
      </c>
      <c r="D61" s="85">
        <f>SUM('Fin Sta as rep'!E281:E285,'Fin Sta as rep'!E287:E289,'Fin Sta as rep'!E291,'Fin Sta as rep'!E295)/1000</f>
        <v>51219824</v>
      </c>
      <c r="E61" s="85">
        <f>SUM('Fin Sta as rep'!F281:F285,'Fin Sta as rep'!F287:F289,'Fin Sta as rep'!F291,'Fin Sta as rep'!F295)/1000</f>
        <v>40564710</v>
      </c>
      <c r="F61" s="85">
        <f>SUM('Fin Sta as rep'!G281:G285,'Fin Sta as rep'!G287:G289,'Fin Sta as rep'!G291,'Fin Sta as rep'!G295)/1000</f>
        <v>58602334</v>
      </c>
      <c r="G61" s="85">
        <f>SUM('Fin Sta as rep'!I281:I285,'Fin Sta as rep'!I287:I289,'Fin Sta as rep'!I291,'Fin Sta as rep'!I295)/1000</f>
        <v>88119514</v>
      </c>
      <c r="H61" s="876">
        <f>G61*(H23/G23)</f>
        <v>194439867.4424141</v>
      </c>
      <c r="I61" s="876">
        <f t="shared" ref="I61:K61" si="72">H61*(I23/H23)</f>
        <v>271349112.65000439</v>
      </c>
      <c r="J61" s="876">
        <f t="shared" si="72"/>
        <v>362711906.31967384</v>
      </c>
      <c r="K61" s="876">
        <f t="shared" si="72"/>
        <v>457280200.81607783</v>
      </c>
      <c r="M61" s="758" t="s">
        <v>1594</v>
      </c>
    </row>
    <row r="62" spans="1:13">
      <c r="A62" s="665" t="s">
        <v>729</v>
      </c>
      <c r="B62" s="85">
        <f>SUM('Fin Sta as rep'!C292,'Fin Sta as rep'!C301)/1000</f>
        <v>32928441</v>
      </c>
      <c r="C62" s="85">
        <f>SUM('Fin Sta as rep'!D292,'Fin Sta as rep'!D301)/1000</f>
        <v>45648670</v>
      </c>
      <c r="D62" s="85">
        <f>SUM('Fin Sta as rep'!E292,'Fin Sta as rep'!E301)/1000</f>
        <v>45271611</v>
      </c>
      <c r="E62" s="85">
        <f>SUM('Fin Sta as rep'!F292,'Fin Sta as rep'!F301)/1000</f>
        <v>49079813</v>
      </c>
      <c r="F62" s="85">
        <f>SUM('Fin Sta as rep'!G292,'Fin Sta as rep'!G301)/1000</f>
        <v>27813150</v>
      </c>
      <c r="G62" s="85">
        <f>SUM('Fin Sta as rep'!I292,'Fin Sta as rep'!I301)/1000</f>
        <v>23187774</v>
      </c>
      <c r="H62" s="876">
        <f>G62*(H23/G23)</f>
        <v>51164917.941384196</v>
      </c>
      <c r="I62" s="876">
        <f t="shared" ref="I62:K62" si="73">H62*(I23/H23)</f>
        <v>71402821.164320558</v>
      </c>
      <c r="J62" s="876">
        <f t="shared" si="73"/>
        <v>95444031.96379143</v>
      </c>
      <c r="K62" s="876">
        <f t="shared" si="73"/>
        <v>120328738.4358228</v>
      </c>
      <c r="M62" s="758" t="s">
        <v>1594</v>
      </c>
    </row>
    <row r="63" spans="1:13" s="233" customFormat="1">
      <c r="A63" s="888" t="s">
        <v>1091</v>
      </c>
      <c r="B63" s="305">
        <f>SUM('Fin Sta as rep'!C286,'Fin Sta as rep'!C290,'Fin Sta as rep'!C293:C294,'Fin Sta as rep'!C296:C300)/1000</f>
        <v>5898846</v>
      </c>
      <c r="C63" s="305">
        <f>SUM('Fin Sta as rep'!D286,'Fin Sta as rep'!D290,'Fin Sta as rep'!D293:D294,'Fin Sta as rep'!D296:D300)/1000</f>
        <v>14943477</v>
      </c>
      <c r="D63" s="305">
        <f>SUM('Fin Sta as rep'!E286,'Fin Sta as rep'!E290,'Fin Sta as rep'!E293:E294,'Fin Sta as rep'!E296:E300)/1000</f>
        <v>20077540</v>
      </c>
      <c r="E63" s="305">
        <f>SUM('Fin Sta as rep'!F286,'Fin Sta as rep'!F290,'Fin Sta as rep'!F293:F294,'Fin Sta as rep'!F296:F300)/1000</f>
        <v>18384424</v>
      </c>
      <c r="F63" s="305">
        <f>SUM('Fin Sta as rep'!G286,'Fin Sta as rep'!G290,'Fin Sta as rep'!G293:G294,'Fin Sta as rep'!G296:G300)/1000</f>
        <v>20015212</v>
      </c>
      <c r="G63" s="305">
        <f>SUM('Fin Sta as rep'!I286,'Fin Sta as rep'!I290,'Fin Sta as rep'!I293:I294,'Fin Sta as rep'!I296:I300)/1000</f>
        <v>59996656</v>
      </c>
      <c r="H63" s="884">
        <f>G63*(H23/G23)</f>
        <v>132385453.68768282</v>
      </c>
      <c r="I63" s="884">
        <f t="shared" ref="I63:K63" si="74">H63*(I23/H23)</f>
        <v>184749536.49389803</v>
      </c>
      <c r="J63" s="884">
        <f t="shared" si="74"/>
        <v>246954397.30370837</v>
      </c>
      <c r="K63" s="884">
        <f t="shared" si="74"/>
        <v>311341740.99023211</v>
      </c>
      <c r="M63" s="881" t="s">
        <v>1594</v>
      </c>
    </row>
    <row r="64" spans="1:13">
      <c r="A64" s="889" t="s">
        <v>1099</v>
      </c>
      <c r="B64" s="492">
        <f>SUM(B61:B63)</f>
        <v>78317604</v>
      </c>
      <c r="C64" s="492">
        <f t="shared" ref="C64:G64" si="75">SUM(C61:C63)</f>
        <v>104996936</v>
      </c>
      <c r="D64" s="492">
        <f t="shared" si="75"/>
        <v>116568975</v>
      </c>
      <c r="E64" s="492">
        <f t="shared" si="75"/>
        <v>108028947</v>
      </c>
      <c r="F64" s="492">
        <f t="shared" si="75"/>
        <v>106430696</v>
      </c>
      <c r="G64" s="492">
        <f t="shared" si="75"/>
        <v>171303944</v>
      </c>
      <c r="H64" s="492">
        <f t="shared" ref="H64" si="76">SUM(H61:H63)</f>
        <v>377990239.07148111</v>
      </c>
      <c r="I64" s="492">
        <f t="shared" ref="I64" si="77">SUM(I61:I63)</f>
        <v>527501470.30822301</v>
      </c>
      <c r="J64" s="492">
        <f t="shared" ref="J64" si="78">SUM(J61:J63)</f>
        <v>705110335.5871737</v>
      </c>
      <c r="K64" s="492">
        <f t="shared" ref="K64" si="79">SUM(K61:K63)</f>
        <v>888950680.24213278</v>
      </c>
      <c r="M64" s="758"/>
    </row>
    <row r="65" spans="1:30" ht="14.5">
      <c r="A65" s="869" t="s">
        <v>1581</v>
      </c>
      <c r="M65" s="770"/>
    </row>
    <row r="66" spans="1:30">
      <c r="A66" s="216" t="s">
        <v>740</v>
      </c>
      <c r="B66" s="85">
        <f>SUM('Fin Sta as rep'!C304:C307)/1000</f>
        <v>9338520</v>
      </c>
      <c r="C66" s="85">
        <f>SUM('Fin Sta as rep'!D304:D307)/1000</f>
        <v>10862346</v>
      </c>
      <c r="D66" s="85">
        <f>SUM('Fin Sta as rep'!E304:E307)/1000</f>
        <v>13924380</v>
      </c>
      <c r="E66" s="85">
        <f>SUM('Fin Sta as rep'!F304:F307)/1000</f>
        <v>21916487</v>
      </c>
      <c r="F66" s="85">
        <f>SUM('Fin Sta as rep'!G304:G307)/1000</f>
        <v>23625954</v>
      </c>
      <c r="G66" s="85">
        <f>SUM('Fin Sta as rep'!I304:I307)/1000</f>
        <v>10789958</v>
      </c>
      <c r="H66" s="876">
        <f>Q66</f>
        <v>9710962.2000000011</v>
      </c>
      <c r="I66" s="876">
        <f>R66</f>
        <v>8739865.9800000004</v>
      </c>
      <c r="J66" s="876">
        <f>S66</f>
        <v>7865879.3820000002</v>
      </c>
      <c r="K66" s="876">
        <f>T66</f>
        <v>7079291.4438000005</v>
      </c>
      <c r="M66" s="771" t="s">
        <v>740</v>
      </c>
      <c r="N66" s="85">
        <f>E66</f>
        <v>21916487</v>
      </c>
      <c r="O66" s="85">
        <f t="shared" ref="O66:P66" si="80">F66</f>
        <v>23625954</v>
      </c>
      <c r="P66" s="85">
        <f t="shared" si="80"/>
        <v>10789958</v>
      </c>
      <c r="Q66" s="877">
        <f>P66*0.9</f>
        <v>9710962.2000000011</v>
      </c>
      <c r="R66" s="877">
        <f t="shared" ref="R66:U66" si="81">Q66*0.9</f>
        <v>8739865.9800000004</v>
      </c>
      <c r="S66" s="877">
        <f t="shared" si="81"/>
        <v>7865879.3820000002</v>
      </c>
      <c r="T66" s="877">
        <f t="shared" si="81"/>
        <v>7079291.4438000005</v>
      </c>
      <c r="U66" s="877">
        <f t="shared" si="81"/>
        <v>6371362.299420001</v>
      </c>
    </row>
    <row r="67" spans="1:30" s="233" customFormat="1">
      <c r="A67" s="888" t="s">
        <v>745</v>
      </c>
      <c r="B67" s="305">
        <f>SUM('Fin Sta as rep'!C308:C311)/1000</f>
        <v>2005291</v>
      </c>
      <c r="C67" s="305">
        <f>SUM('Fin Sta as rep'!D308:D311)/1000</f>
        <v>2282661</v>
      </c>
      <c r="D67" s="305">
        <f>SUM('Fin Sta as rep'!E308:E311)/1000</f>
        <v>3383743</v>
      </c>
      <c r="E67" s="305">
        <f>SUM('Fin Sta as rep'!F308:F311)/1000</f>
        <v>3094739</v>
      </c>
      <c r="F67" s="305">
        <f>SUM('Fin Sta as rep'!G308:G311)/1000</f>
        <v>6506759</v>
      </c>
      <c r="G67" s="305">
        <f>SUM('Fin Sta as rep'!I308:I311)/1000</f>
        <v>9442036</v>
      </c>
      <c r="H67" s="887">
        <f>G67</f>
        <v>9442036</v>
      </c>
      <c r="I67" s="887">
        <f t="shared" ref="I67:K67" si="82">H67</f>
        <v>9442036</v>
      </c>
      <c r="J67" s="887">
        <f t="shared" si="82"/>
        <v>9442036</v>
      </c>
      <c r="K67" s="887">
        <f t="shared" si="82"/>
        <v>9442036</v>
      </c>
      <c r="M67" s="881" t="s">
        <v>1639</v>
      </c>
    </row>
    <row r="68" spans="1:30">
      <c r="A68" s="889" t="s">
        <v>1108</v>
      </c>
      <c r="B68" s="492">
        <f>SUM(B66:B67)</f>
        <v>11343811</v>
      </c>
      <c r="C68" s="492">
        <f t="shared" ref="C68:K68" si="83">SUM(C66:C67)</f>
        <v>13145007</v>
      </c>
      <c r="D68" s="492">
        <f t="shared" si="83"/>
        <v>17308123</v>
      </c>
      <c r="E68" s="492">
        <f t="shared" si="83"/>
        <v>25011226</v>
      </c>
      <c r="F68" s="492">
        <f t="shared" si="83"/>
        <v>30132713</v>
      </c>
      <c r="G68" s="492">
        <f t="shared" si="83"/>
        <v>20231994</v>
      </c>
      <c r="H68" s="492">
        <f t="shared" si="83"/>
        <v>19152998.200000003</v>
      </c>
      <c r="I68" s="492">
        <f t="shared" si="83"/>
        <v>18181901.98</v>
      </c>
      <c r="J68" s="492">
        <f t="shared" si="83"/>
        <v>17307915.381999999</v>
      </c>
      <c r="K68" s="492">
        <f t="shared" si="83"/>
        <v>16521327.4438</v>
      </c>
      <c r="M68" s="758"/>
    </row>
    <row r="69" spans="1:30" ht="14.5">
      <c r="A69" s="869" t="s">
        <v>1581</v>
      </c>
      <c r="M69" s="758"/>
    </row>
    <row r="70" spans="1:30">
      <c r="A70" s="665" t="s">
        <v>755</v>
      </c>
      <c r="B70" s="85">
        <f>SUM('Fin Sta as rep'!C313:C314)/1000</f>
        <v>27199956</v>
      </c>
      <c r="C70" s="85">
        <f>SUM('Fin Sta as rep'!D313:D314)/1000</f>
        <v>27202436</v>
      </c>
      <c r="D70" s="85">
        <f>SUM('Fin Sta as rep'!E313:E314)/1000</f>
        <v>27252586</v>
      </c>
      <c r="E70" s="85">
        <f>SUM('Fin Sta as rep'!F313:F314)/1000</f>
        <v>27258809</v>
      </c>
      <c r="F70" s="85">
        <f>SUM('Fin Sta as rep'!G313:G314)/1000</f>
        <v>27426806</v>
      </c>
      <c r="G70" s="85">
        <f>SUM('Fin Sta as rep'!I313:I314)/1000</f>
        <v>63718362</v>
      </c>
      <c r="H70" s="492">
        <f>G70</f>
        <v>63718362</v>
      </c>
      <c r="I70" s="492">
        <f t="shared" ref="I70:K70" si="84">H70</f>
        <v>63718362</v>
      </c>
      <c r="J70" s="492">
        <f t="shared" si="84"/>
        <v>63718362</v>
      </c>
      <c r="K70" s="492">
        <f t="shared" si="84"/>
        <v>63718362</v>
      </c>
      <c r="M70" s="758" t="s">
        <v>1604</v>
      </c>
    </row>
    <row r="71" spans="1:30">
      <c r="A71" s="665" t="s">
        <v>1125</v>
      </c>
      <c r="B71" s="85"/>
      <c r="C71" s="85"/>
      <c r="D71" s="85"/>
      <c r="E71" s="85"/>
      <c r="F71" s="85"/>
      <c r="G71" s="85"/>
      <c r="H71" s="492">
        <f>G71+H107/2</f>
        <v>-262736.5</v>
      </c>
      <c r="I71" s="492">
        <f t="shared" ref="I71:K71" si="85">H71+I107/2</f>
        <v>-525473</v>
      </c>
      <c r="J71" s="492">
        <f t="shared" si="85"/>
        <v>-788209.5</v>
      </c>
      <c r="K71" s="492">
        <f t="shared" si="85"/>
        <v>-1050946</v>
      </c>
      <c r="M71" s="758" t="s">
        <v>1605</v>
      </c>
    </row>
    <row r="72" spans="1:30">
      <c r="A72" s="665" t="s">
        <v>758</v>
      </c>
      <c r="B72" s="85">
        <f>SUM('Fin Sta as rep'!C315:C319,'Fin Sta as rep'!C322)/1000</f>
        <v>23463767</v>
      </c>
      <c r="C72" s="85">
        <f>SUM('Fin Sta as rep'!D315:D319,'Fin Sta as rep'!D322)/1000</f>
        <v>27598979</v>
      </c>
      <c r="D72" s="85">
        <f>SUM('Fin Sta as rep'!E315:E319,'Fin Sta as rep'!E322)/1000</f>
        <v>29836339</v>
      </c>
      <c r="E72" s="85">
        <f>SUM('Fin Sta as rep'!F315:F319,'Fin Sta as rep'!F322)/1000</f>
        <v>30994678</v>
      </c>
      <c r="F72" s="85">
        <f>SUM('Fin Sta as rep'!G315:G319,'Fin Sta as rep'!G322)/1000</f>
        <v>36488580</v>
      </c>
      <c r="G72" s="85">
        <f>SUM('Fin Sta as rep'!I315:I319,'Fin Sta as rep'!I322)/1000</f>
        <v>40649902</v>
      </c>
      <c r="H72" s="492">
        <f>G72+H81+H105+H94</f>
        <v>55801517.286725074</v>
      </c>
      <c r="I72" s="492">
        <f t="shared" ref="I72:K72" si="86">H72+I81+I105+I94</f>
        <v>88932385.890700325</v>
      </c>
      <c r="J72" s="492">
        <f t="shared" si="86"/>
        <v>134056094.05999988</v>
      </c>
      <c r="K72" s="492">
        <f t="shared" si="86"/>
        <v>187475505.03985798</v>
      </c>
      <c r="M72" s="758" t="s">
        <v>1606</v>
      </c>
    </row>
    <row r="73" spans="1:30">
      <c r="A73" s="665" t="s">
        <v>765</v>
      </c>
      <c r="B73" s="85"/>
      <c r="C73" s="85"/>
      <c r="D73" s="85"/>
      <c r="E73" s="85"/>
      <c r="F73" s="85"/>
      <c r="G73" s="85"/>
      <c r="M73" s="758" t="s">
        <v>1607</v>
      </c>
    </row>
    <row r="74" spans="1:30">
      <c r="A74" s="665" t="s">
        <v>760</v>
      </c>
      <c r="B74" s="85">
        <f>SUM('Fin Sta as rep'!C320:C321)/1000</f>
        <v>949840</v>
      </c>
      <c r="C74" s="85">
        <f>SUM('Fin Sta as rep'!D320:D321)/1000</f>
        <v>1260272</v>
      </c>
      <c r="D74" s="136">
        <f>SUM('Fin Sta as rep'!E320:E321)/1000</f>
        <v>-290746</v>
      </c>
      <c r="E74" s="136">
        <f>SUM('Fin Sta as rep'!F320:F321)/1000</f>
        <v>-46659</v>
      </c>
      <c r="F74" s="136">
        <f>SUM('Fin Sta as rep'!G320:G321)/1000</f>
        <v>-556066</v>
      </c>
      <c r="G74" s="136">
        <f>SUM('Fin Sta as rep'!I320:I321)/1000</f>
        <v>-124055</v>
      </c>
      <c r="H74" s="492">
        <f>G74+H107/2</f>
        <v>-386791.5</v>
      </c>
      <c r="I74" s="492">
        <f t="shared" ref="I74:K74" si="87">H74+I107/2</f>
        <v>-649528</v>
      </c>
      <c r="J74" s="492">
        <f t="shared" si="87"/>
        <v>-912264.5</v>
      </c>
      <c r="K74" s="492">
        <f t="shared" si="87"/>
        <v>-1175001</v>
      </c>
      <c r="M74" s="758" t="s">
        <v>1608</v>
      </c>
    </row>
    <row r="75" spans="1:30" s="233" customFormat="1">
      <c r="A75" s="888" t="s">
        <v>1609</v>
      </c>
      <c r="B75" s="305">
        <f>SUM('Fin Sta as rep'!C323:C324)/1000</f>
        <v>3795800</v>
      </c>
      <c r="C75" s="305">
        <f>SUM('Fin Sta as rep'!D323:D324)/1000</f>
        <v>3895800</v>
      </c>
      <c r="D75" s="305">
        <f>SUM('Fin Sta as rep'!E323:E324)/1000</f>
        <v>3895800</v>
      </c>
      <c r="E75" s="305">
        <f>SUM('Fin Sta as rep'!F323:F324)/1000</f>
        <v>4394592</v>
      </c>
      <c r="F75" s="305">
        <f>SUM('Fin Sta as rep'!G323:G324)/1000</f>
        <v>1094592</v>
      </c>
      <c r="G75" s="305">
        <f>SUM('Fin Sta as rep'!I323:I324)/1000</f>
        <v>0</v>
      </c>
      <c r="H75" s="887">
        <f>G75</f>
        <v>0</v>
      </c>
      <c r="I75" s="887">
        <f t="shared" ref="I75:K75" si="88">H75</f>
        <v>0</v>
      </c>
      <c r="J75" s="887">
        <f t="shared" si="88"/>
        <v>0</v>
      </c>
      <c r="K75" s="887">
        <f t="shared" si="88"/>
        <v>0</v>
      </c>
      <c r="M75" s="808"/>
    </row>
    <row r="76" spans="1:30">
      <c r="A76" s="889" t="s">
        <v>1610</v>
      </c>
      <c r="B76" s="492">
        <f>SUM(B70:B75)</f>
        <v>55409363</v>
      </c>
      <c r="C76" s="492">
        <f t="shared" ref="C76:G76" si="89">SUM(C70:C75)</f>
        <v>59957487</v>
      </c>
      <c r="D76" s="492">
        <f t="shared" si="89"/>
        <v>60693979</v>
      </c>
      <c r="E76" s="492">
        <f t="shared" si="89"/>
        <v>62601420</v>
      </c>
      <c r="F76" s="492">
        <f t="shared" si="89"/>
        <v>64453912</v>
      </c>
      <c r="G76" s="492">
        <f t="shared" si="89"/>
        <v>104244209</v>
      </c>
      <c r="H76" s="492">
        <f>SUM(H70:H75)</f>
        <v>118870351.28672507</v>
      </c>
      <c r="I76" s="492">
        <f t="shared" ref="I76:K76" si="90">SUM(I70:I75)</f>
        <v>151475746.89070034</v>
      </c>
      <c r="J76" s="492">
        <f t="shared" si="90"/>
        <v>196073982.05999988</v>
      </c>
      <c r="K76" s="492">
        <f t="shared" si="90"/>
        <v>248967920.03985798</v>
      </c>
    </row>
    <row r="77" spans="1:30">
      <c r="A77" s="889" t="s">
        <v>1611</v>
      </c>
      <c r="B77" s="492">
        <f>B64+B68+B76</f>
        <v>145070778</v>
      </c>
      <c r="C77" s="492">
        <f t="shared" ref="C77:G77" si="91">C64+C68+C76</f>
        <v>178099430</v>
      </c>
      <c r="D77" s="492">
        <f t="shared" si="91"/>
        <v>194571077</v>
      </c>
      <c r="E77" s="492">
        <f t="shared" si="91"/>
        <v>195641593</v>
      </c>
      <c r="F77" s="492">
        <f t="shared" si="91"/>
        <v>201017321</v>
      </c>
      <c r="G77" s="492">
        <f t="shared" si="91"/>
        <v>295780147</v>
      </c>
      <c r="H77" s="492">
        <f t="shared" ref="H77:K77" si="92">H64+H68+H76</f>
        <v>516013588.5582062</v>
      </c>
      <c r="I77" s="492">
        <f t="shared" si="92"/>
        <v>697159119.17892337</v>
      </c>
      <c r="J77" s="492">
        <f t="shared" si="92"/>
        <v>918492233.02917361</v>
      </c>
      <c r="K77" s="492">
        <f t="shared" si="92"/>
        <v>1154439927.7257907</v>
      </c>
      <c r="L77" s="625">
        <f>H77-H59</f>
        <v>0</v>
      </c>
      <c r="M77" s="625"/>
    </row>
    <row r="78" spans="1:30" ht="14.5">
      <c r="A78" s="869" t="s">
        <v>1581</v>
      </c>
    </row>
    <row r="80" spans="1:30" s="679" customFormat="1" ht="20">
      <c r="A80" s="890" t="s">
        <v>1612</v>
      </c>
      <c r="B80" s="852"/>
      <c r="C80" s="853"/>
      <c r="D80" s="853"/>
      <c r="E80" s="853"/>
      <c r="F80" s="853"/>
      <c r="G80" s="853"/>
      <c r="H80" s="854"/>
      <c r="I80" s="854"/>
      <c r="J80" s="854"/>
      <c r="K80" s="854"/>
      <c r="L80" s="855"/>
      <c r="M80" s="694" t="s">
        <v>1613</v>
      </c>
      <c r="N80" s="691"/>
      <c r="O80" s="855"/>
      <c r="P80" s="855"/>
      <c r="Q80" s="855"/>
      <c r="R80" s="855"/>
      <c r="S80" s="855"/>
      <c r="T80" s="855"/>
      <c r="U80" s="855"/>
      <c r="V80" s="855"/>
      <c r="W80" s="856"/>
      <c r="AD80" s="673"/>
    </row>
    <row r="81" spans="1:30">
      <c r="A81" s="665" t="s">
        <v>543</v>
      </c>
      <c r="B81" s="136">
        <f>B43-B41</f>
        <v>5480011.9999999851</v>
      </c>
      <c r="C81" s="136">
        <f t="shared" ref="C81:K81" si="93">C43-C41</f>
        <v>4916936</v>
      </c>
      <c r="D81" s="136">
        <f t="shared" si="93"/>
        <v>3556193</v>
      </c>
      <c r="E81" s="136">
        <f t="shared" si="93"/>
        <v>2118857.0000000149</v>
      </c>
      <c r="F81" s="136">
        <f t="shared" si="93"/>
        <v>6013963.0000000149</v>
      </c>
      <c r="G81" s="136">
        <f t="shared" si="93"/>
        <v>3967265.9999999702</v>
      </c>
      <c r="H81" s="136">
        <f t="shared" si="93"/>
        <v>15457285.286500074</v>
      </c>
      <c r="I81" s="136">
        <f>I43-I41</f>
        <v>33436538.603750259</v>
      </c>
      <c r="J81" s="136">
        <f t="shared" si="93"/>
        <v>45429378.16907455</v>
      </c>
      <c r="K81" s="136">
        <f t="shared" si="93"/>
        <v>53725080.979633108</v>
      </c>
      <c r="M81" s="770"/>
      <c r="N81" s="673"/>
      <c r="AD81" s="103"/>
    </row>
    <row r="82" spans="1:30">
      <c r="A82" s="903" t="s">
        <v>770</v>
      </c>
      <c r="B82" s="136">
        <f>SUM('Fin Sta as rep'!C336:C340)/1000</f>
        <v>5308825</v>
      </c>
      <c r="C82" s="136">
        <f>SUM('Fin Sta as rep'!D336:D340)/1000</f>
        <v>5750952</v>
      </c>
      <c r="D82" s="136">
        <f>SUM('Fin Sta as rep'!E336:E340)/1000</f>
        <v>7591203</v>
      </c>
      <c r="E82" s="136">
        <f>SUM('Fin Sta as rep'!F336:F340)/1000</f>
        <v>8320673</v>
      </c>
      <c r="F82" s="136">
        <f>SUM('Fin Sta as rep'!G336:G340)/1000</f>
        <v>9414758</v>
      </c>
      <c r="G82" s="136">
        <f>SUM('Fin Sta as rep'!I336:I340)/1000</f>
        <v>11152855</v>
      </c>
      <c r="H82" s="877">
        <f>H85-H83</f>
        <v>21412713.571127504</v>
      </c>
      <c r="I82" s="877">
        <f t="shared" ref="I82:K82" si="94">I85-I83</f>
        <v>28124989.19265857</v>
      </c>
      <c r="J82" s="877">
        <f t="shared" si="94"/>
        <v>36689128.178705543</v>
      </c>
      <c r="K82" s="877">
        <f t="shared" si="94"/>
        <v>43854083.262920916</v>
      </c>
      <c r="M82" s="760" t="s">
        <v>1615</v>
      </c>
      <c r="N82" s="894">
        <f>E85/E6</f>
        <v>8.0803753928959179E-2</v>
      </c>
      <c r="O82" s="894">
        <f>F85/F6</f>
        <v>8.1571268405258482E-2</v>
      </c>
      <c r="P82" s="894">
        <f>G85/G6</f>
        <v>6.6769462731168683E-2</v>
      </c>
      <c r="Q82" s="859">
        <f>P82*0.95</f>
        <v>6.3430989594610243E-2</v>
      </c>
      <c r="R82" s="859">
        <f>Q82</f>
        <v>6.3430989594610243E-2</v>
      </c>
      <c r="S82" s="859">
        <f t="shared" ref="S82:U82" si="95">R82</f>
        <v>6.3430989594610243E-2</v>
      </c>
      <c r="T82" s="859">
        <f t="shared" si="95"/>
        <v>6.3430989594610243E-2</v>
      </c>
      <c r="U82" s="859">
        <f t="shared" si="95"/>
        <v>6.3430989594610243E-2</v>
      </c>
      <c r="AD82" s="103"/>
    </row>
    <row r="83" spans="1:30">
      <c r="A83" s="904" t="s">
        <v>951</v>
      </c>
      <c r="B83" s="136">
        <f>SUM('Fin Sta as rep'!C341:C342)/1000</f>
        <v>1718744</v>
      </c>
      <c r="C83" s="136">
        <f>SUM('Fin Sta as rep'!D341:D342)/1000</f>
        <v>1341543</v>
      </c>
      <c r="D83" s="136">
        <f>SUM('Fin Sta as rep'!E341:E342)/1000</f>
        <v>1835317</v>
      </c>
      <c r="E83" s="136">
        <f>SUM('Fin Sta as rep'!F341:F342)/1000</f>
        <v>1519456</v>
      </c>
      <c r="F83" s="136">
        <f>SUM('Fin Sta as rep'!G341:G342)/1000</f>
        <v>3103918</v>
      </c>
      <c r="G83" s="136">
        <f>SUM('Fin Sta as rep'!I341:I342)/1000</f>
        <v>2955527</v>
      </c>
      <c r="H83" s="877">
        <f>H85*Q83</f>
        <v>5485929.2429319434</v>
      </c>
      <c r="I83" s="877">
        <f>I85*R83</f>
        <v>7953943.1990372129</v>
      </c>
      <c r="J83" s="877">
        <f>J85*S83</f>
        <v>9829257.0292574763</v>
      </c>
      <c r="K83" s="877">
        <f>K85*T83</f>
        <v>11791386.352870103</v>
      </c>
      <c r="M83" s="673" t="s">
        <v>951</v>
      </c>
      <c r="N83" s="777">
        <f>E83/E85</f>
        <v>0.1544142358296319</v>
      </c>
      <c r="O83" s="777">
        <f t="shared" ref="O83:P83" si="96">F83/F85</f>
        <v>0.24794299333252173</v>
      </c>
      <c r="P83" s="777">
        <f t="shared" si="96"/>
        <v>0.20948731045133312</v>
      </c>
      <c r="Q83" s="777">
        <f>AVERAGE(N83:P83)</f>
        <v>0.20394817987116229</v>
      </c>
      <c r="R83" s="777">
        <f t="shared" ref="R83:U83" si="97">AVERAGE(O83:Q83)</f>
        <v>0.22045949455167238</v>
      </c>
      <c r="S83" s="777">
        <f t="shared" si="97"/>
        <v>0.21129832829138925</v>
      </c>
      <c r="T83" s="777">
        <f t="shared" si="97"/>
        <v>0.21190200090474132</v>
      </c>
      <c r="U83" s="777">
        <f t="shared" si="97"/>
        <v>0.21455327458260098</v>
      </c>
      <c r="AD83" s="103"/>
    </row>
    <row r="84" spans="1:30">
      <c r="A84" s="904" t="s">
        <v>771</v>
      </c>
      <c r="B84" s="136"/>
      <c r="C84" s="136"/>
      <c r="D84" s="136"/>
      <c r="E84" s="136"/>
      <c r="F84" s="136"/>
      <c r="G84" s="136"/>
      <c r="H84" s="858"/>
      <c r="I84" s="858"/>
      <c r="J84" s="861"/>
      <c r="K84" s="861"/>
      <c r="M84" s="673" t="s">
        <v>1683</v>
      </c>
      <c r="N84" s="673"/>
      <c r="Q84" s="860"/>
      <c r="R84" s="860"/>
      <c r="S84" s="860"/>
      <c r="T84" s="860"/>
      <c r="U84" s="860"/>
      <c r="AD84" s="103"/>
    </row>
    <row r="85" spans="1:30">
      <c r="A85" s="905" t="s">
        <v>1139</v>
      </c>
      <c r="B85" s="137">
        <f>SUM(B82:B84)</f>
        <v>7027569</v>
      </c>
      <c r="C85" s="137">
        <f t="shared" ref="C85:G85" si="98">SUM(C82:C84)</f>
        <v>7092495</v>
      </c>
      <c r="D85" s="137">
        <f t="shared" si="98"/>
        <v>9426520</v>
      </c>
      <c r="E85" s="137">
        <f t="shared" si="98"/>
        <v>9840129</v>
      </c>
      <c r="F85" s="137">
        <f t="shared" si="98"/>
        <v>12518676</v>
      </c>
      <c r="G85" s="137">
        <f t="shared" si="98"/>
        <v>14108382</v>
      </c>
      <c r="H85" s="877">
        <f>H6*Q82</f>
        <v>26898642.814059447</v>
      </c>
      <c r="I85" s="877">
        <f>I6*R82</f>
        <v>36078932.391695783</v>
      </c>
      <c r="J85" s="877">
        <f>J6*S82</f>
        <v>46518385.20796302</v>
      </c>
      <c r="K85" s="877">
        <f>K6*T82</f>
        <v>55645469.615791015</v>
      </c>
      <c r="M85" s="770"/>
      <c r="N85" s="673"/>
      <c r="AD85" s="103"/>
    </row>
    <row r="86" spans="1:30">
      <c r="A86" s="665" t="s">
        <v>788</v>
      </c>
      <c r="B86" s="136">
        <f>SUM('Fin Sta as rep'!C358:C359)/1000</f>
        <v>-19811441</v>
      </c>
      <c r="C86" s="136">
        <f>SUM('Fin Sta as rep'!D358:D359)/1000</f>
        <v>-19636274</v>
      </c>
      <c r="D86" s="136">
        <f>SUM('Fin Sta as rep'!E358:E359)/1000</f>
        <v>-4385568</v>
      </c>
      <c r="E86" s="136">
        <f>SUM('Fin Sta as rep'!F358:F359)/1000</f>
        <v>8068298</v>
      </c>
      <c r="F86" s="136">
        <f>SUM('Fin Sta as rep'!G358:G359)/1000</f>
        <v>1549519</v>
      </c>
      <c r="G86" s="136">
        <f>SUM('Fin Sta as rep'!I358:I359)/1000</f>
        <v>1382660</v>
      </c>
      <c r="H86" s="137">
        <f>-(H47-G47)</f>
        <v>-55278307.910074845</v>
      </c>
      <c r="I86" s="137">
        <f t="shared" ref="I86:K86" si="99">-(I47-H47)</f>
        <v>-37602468.138530955</v>
      </c>
      <c r="J86" s="137">
        <f t="shared" si="99"/>
        <v>-42760001.042195439</v>
      </c>
      <c r="K86" s="137">
        <f t="shared" si="99"/>
        <v>-37384539.751239449</v>
      </c>
      <c r="M86" s="758" t="s">
        <v>1617</v>
      </c>
      <c r="N86" s="673"/>
      <c r="AD86" s="103"/>
    </row>
    <row r="87" spans="1:30">
      <c r="A87" s="665" t="s">
        <v>696</v>
      </c>
      <c r="B87" s="136">
        <f>SUM('Fin Sta as rep'!C360:C362)/1000</f>
        <v>-1984925</v>
      </c>
      <c r="C87" s="136">
        <f>SUM('Fin Sta as rep'!D360:D362)/1000</f>
        <v>-2726616</v>
      </c>
      <c r="D87" s="136">
        <f>SUM('Fin Sta as rep'!E360:E362)/1000</f>
        <v>-6584924</v>
      </c>
      <c r="E87" s="136">
        <f>SUM('Fin Sta as rep'!F360:F362)/1000</f>
        <v>283960</v>
      </c>
      <c r="F87" s="136">
        <f>SUM('Fin Sta as rep'!G360:G362)/1000</f>
        <v>-6701761</v>
      </c>
      <c r="G87" s="136">
        <f>SUM('Fin Sta as rep'!I360:I362)/1000</f>
        <v>-12892770</v>
      </c>
      <c r="H87" s="137">
        <f>-(H48-G48)</f>
        <v>-37915074.14423348</v>
      </c>
      <c r="I87" s="137">
        <f t="shared" ref="I87:K87" si="100">-(I48-H48)</f>
        <v>-26163859.433130786</v>
      </c>
      <c r="J87" s="137">
        <f t="shared" si="100"/>
        <v>-29738534.036349207</v>
      </c>
      <c r="K87" s="137">
        <f t="shared" si="100"/>
        <v>-25202237.879153371</v>
      </c>
      <c r="M87" s="758" t="s">
        <v>1617</v>
      </c>
      <c r="N87" s="673"/>
      <c r="AD87" s="103"/>
    </row>
    <row r="88" spans="1:30">
      <c r="A88" s="665" t="s">
        <v>1069</v>
      </c>
      <c r="B88" s="136"/>
      <c r="C88" s="136"/>
      <c r="D88" s="136"/>
      <c r="E88" s="136"/>
      <c r="F88" s="136"/>
      <c r="G88" s="136"/>
      <c r="H88" s="137">
        <f>-(H49-G49)</f>
        <v>-14229678.712033235</v>
      </c>
      <c r="I88" s="137">
        <f t="shared" ref="I88:K88" si="101">-(I49-H49)</f>
        <v>-10293361.655176811</v>
      </c>
      <c r="J88" s="137">
        <f t="shared" si="101"/>
        <v>-12227792.309374966</v>
      </c>
      <c r="K88" s="137">
        <f t="shared" si="101"/>
        <v>-12656809.382764354</v>
      </c>
      <c r="M88" s="758" t="s">
        <v>1617</v>
      </c>
      <c r="N88" s="673"/>
      <c r="AD88" s="103"/>
    </row>
    <row r="89" spans="1:30">
      <c r="A89" s="665" t="s">
        <v>791</v>
      </c>
      <c r="B89" s="136">
        <f>SUM('Fin Sta as rep'!C363:C364)/1000</f>
        <v>4830456</v>
      </c>
      <c r="C89" s="136">
        <f>SUM('Fin Sta as rep'!D363:D364)/1000</f>
        <v>14377997</v>
      </c>
      <c r="D89" s="136">
        <f>SUM('Fin Sta as rep'!E363:E364)/1000</f>
        <v>6123683</v>
      </c>
      <c r="E89" s="136">
        <f>SUM('Fin Sta as rep'!F363:F364)/1000</f>
        <v>-9983177</v>
      </c>
      <c r="F89" s="136">
        <f>SUM('Fin Sta as rep'!G363:G364)/1000</f>
        <v>26515194</v>
      </c>
      <c r="G89" s="136">
        <f>SUM('Fin Sta as rep'!I363:I364)/1000</f>
        <v>55595180</v>
      </c>
      <c r="H89" s="137">
        <f>H61-G61</f>
        <v>106320353.4424141</v>
      </c>
      <c r="I89" s="137">
        <f t="shared" ref="I89:K89" si="102">I61-H61</f>
        <v>76909245.207590282</v>
      </c>
      <c r="J89" s="137">
        <f t="shared" si="102"/>
        <v>91362793.669669449</v>
      </c>
      <c r="K89" s="137">
        <f t="shared" si="102"/>
        <v>94568294.496403992</v>
      </c>
      <c r="M89" s="758" t="s">
        <v>1617</v>
      </c>
      <c r="N89" s="673"/>
      <c r="AD89" s="103"/>
    </row>
    <row r="90" spans="1:30">
      <c r="A90" s="665" t="s">
        <v>775</v>
      </c>
      <c r="B90" s="136">
        <f>SUM('Fin Sta as rep'!C346:C347)/1000</f>
        <v>726027</v>
      </c>
      <c r="C90" s="136">
        <f>SUM('Fin Sta as rep'!D346:D347)/1000</f>
        <v>206053</v>
      </c>
      <c r="D90" s="136">
        <f>SUM('Fin Sta as rep'!E346:E347)/1000</f>
        <v>-248412</v>
      </c>
      <c r="E90" s="136">
        <f>SUM('Fin Sta as rep'!F346:F347)/1000</f>
        <v>289561</v>
      </c>
      <c r="F90" s="136">
        <f>SUM('Fin Sta as rep'!G346:G347)/1000</f>
        <v>-26713</v>
      </c>
      <c r="G90" s="136">
        <f>SUM('Fin Sta as rep'!I346:I347)/1000</f>
        <v>-31631</v>
      </c>
      <c r="H90" s="137">
        <f>H63-G63</f>
        <v>72388797.687682822</v>
      </c>
      <c r="I90" s="137">
        <f t="shared" ref="I90:K90" si="103">I63-H63</f>
        <v>52364082.806215212</v>
      </c>
      <c r="J90" s="137">
        <f t="shared" si="103"/>
        <v>62204860.80981034</v>
      </c>
      <c r="K90" s="137">
        <f t="shared" si="103"/>
        <v>64387343.686523736</v>
      </c>
      <c r="M90" s="758" t="s">
        <v>1617</v>
      </c>
      <c r="N90" s="673"/>
      <c r="AD90" s="103"/>
    </row>
    <row r="91" spans="1:30">
      <c r="A91" s="361" t="s">
        <v>707</v>
      </c>
      <c r="B91" s="136"/>
      <c r="C91" s="136"/>
      <c r="D91" s="136"/>
      <c r="E91" s="136"/>
      <c r="F91" s="136"/>
      <c r="G91" s="136"/>
      <c r="H91" s="137"/>
      <c r="I91" s="137"/>
      <c r="J91" s="137"/>
      <c r="K91" s="137"/>
      <c r="M91" s="758"/>
      <c r="N91" s="673"/>
      <c r="P91" s="865"/>
      <c r="Q91" s="865"/>
      <c r="R91" s="865"/>
      <c r="S91" s="862"/>
      <c r="T91" s="862"/>
      <c r="U91" s="862"/>
      <c r="AD91" s="103"/>
    </row>
    <row r="92" spans="1:30">
      <c r="A92" t="s">
        <v>778</v>
      </c>
      <c r="B92" s="136"/>
      <c r="C92" s="136"/>
      <c r="D92" s="136"/>
      <c r="E92" s="136"/>
      <c r="F92" s="136"/>
      <c r="G92" s="136"/>
      <c r="H92" s="137"/>
      <c r="I92" s="137"/>
      <c r="J92" s="137"/>
      <c r="K92" s="137"/>
      <c r="M92" s="695" t="s">
        <v>1619</v>
      </c>
      <c r="N92" s="742"/>
      <c r="O92" s="742"/>
      <c r="P92" s="742"/>
      <c r="Q92" s="865"/>
      <c r="R92" s="865"/>
      <c r="S92" s="862"/>
      <c r="T92" s="862"/>
      <c r="U92" s="862"/>
      <c r="AD92" s="103"/>
    </row>
    <row r="93" spans="1:30">
      <c r="A93" s="665" t="s">
        <v>773</v>
      </c>
      <c r="B93" s="136">
        <f>SUM('Fin Sta as rep'!C343:C345)/1000</f>
        <v>136717</v>
      </c>
      <c r="C93" s="136">
        <f>SUM('Fin Sta as rep'!D343:D345)/1000</f>
        <v>55150</v>
      </c>
      <c r="D93" s="136">
        <f>SUM('Fin Sta as rep'!E343:E345)/1000</f>
        <v>18526</v>
      </c>
      <c r="E93" s="136">
        <f>SUM('Fin Sta as rep'!F343:F345)/1000</f>
        <v>99754</v>
      </c>
      <c r="F93" s="136">
        <f>SUM('Fin Sta as rep'!G343:G345)/1000</f>
        <v>375662</v>
      </c>
      <c r="G93" s="136">
        <f>SUM('Fin Sta as rep'!I343:I345)/1000</f>
        <v>112802</v>
      </c>
      <c r="H93" s="137">
        <v>0</v>
      </c>
      <c r="I93" s="137">
        <v>0</v>
      </c>
      <c r="J93" s="137">
        <v>0</v>
      </c>
      <c r="K93" s="137">
        <v>0</v>
      </c>
      <c r="M93" s="758" t="s">
        <v>1600</v>
      </c>
      <c r="N93" s="136"/>
      <c r="O93" s="136"/>
      <c r="P93" s="136"/>
      <c r="Q93" s="137"/>
      <c r="R93" s="137"/>
      <c r="S93" s="137"/>
      <c r="T93" s="137"/>
      <c r="U93" s="137"/>
      <c r="AD93" s="103"/>
    </row>
    <row r="94" spans="1:30" s="233" customFormat="1">
      <c r="A94" s="888" t="s">
        <v>780</v>
      </c>
      <c r="B94" s="866">
        <f>(SUM('Fin Sta as rep'!C348:C357)+SUM('Fin Sta as rep'!C365:C367))/1000</f>
        <v>1750014</v>
      </c>
      <c r="C94" s="866">
        <f>(SUM('Fin Sta as rep'!D348:D357)+SUM('Fin Sta as rep'!D365:D367))/1000</f>
        <v>2293084</v>
      </c>
      <c r="D94" s="866">
        <f>(SUM('Fin Sta as rep'!E348:E357)+SUM('Fin Sta as rep'!E365:E367))/1000</f>
        <v>4616891</v>
      </c>
      <c r="E94" s="866">
        <f>(SUM('Fin Sta as rep'!F348:F357)+SUM('Fin Sta as rep'!F365:F367))/1000</f>
        <v>4023625</v>
      </c>
      <c r="F94" s="866">
        <f>(SUM('Fin Sta as rep'!G348:G357)+SUM('Fin Sta as rep'!G365:G367))/1000</f>
        <v>5148128</v>
      </c>
      <c r="G94" s="866">
        <f>(SUM('Fin Sta as rep'!I348:I357)+SUM('Fin Sta as rep'!I365:I367))/1000</f>
        <v>3224793</v>
      </c>
      <c r="H94" s="898">
        <f>H30</f>
        <v>637933.71349999995</v>
      </c>
      <c r="I94" s="898">
        <f t="shared" ref="I94:K94" si="104">I30</f>
        <v>1314762.3973059254</v>
      </c>
      <c r="J94" s="898">
        <f t="shared" si="104"/>
        <v>1447935.7662802897</v>
      </c>
      <c r="K94" s="898">
        <f t="shared" si="104"/>
        <v>1901850.2489417852</v>
      </c>
      <c r="M94" s="878" t="s">
        <v>807</v>
      </c>
      <c r="N94" s="879">
        <f>E94</f>
        <v>4023625</v>
      </c>
      <c r="O94" s="879">
        <f t="shared" ref="O94:P94" si="105">F94</f>
        <v>5148128</v>
      </c>
      <c r="P94" s="879">
        <f t="shared" si="105"/>
        <v>3224793</v>
      </c>
      <c r="Q94" s="866"/>
      <c r="R94" s="866"/>
      <c r="S94" s="866"/>
      <c r="T94" s="866"/>
      <c r="U94" s="866"/>
      <c r="AD94" s="228"/>
    </row>
    <row r="95" spans="1:30">
      <c r="A95" s="889" t="s">
        <v>1620</v>
      </c>
      <c r="B95" s="137">
        <f>B81+SUM(B85:B94)</f>
        <v>-1845571.0000000149</v>
      </c>
      <c r="C95" s="137">
        <f t="shared" ref="C95:G95" si="106">C81+SUM(C85:C94)</f>
        <v>6578825</v>
      </c>
      <c r="D95" s="137">
        <f t="shared" si="106"/>
        <v>12522909</v>
      </c>
      <c r="E95" s="137">
        <f t="shared" si="106"/>
        <v>14741007.000000015</v>
      </c>
      <c r="F95" s="137">
        <f t="shared" si="106"/>
        <v>45392668.000000015</v>
      </c>
      <c r="G95" s="137">
        <f t="shared" si="106"/>
        <v>65466681.99999997</v>
      </c>
      <c r="H95" s="137">
        <f>H81+SUM(H85:H94)</f>
        <v>114279952.1778149</v>
      </c>
      <c r="I95" s="137">
        <f t="shared" ref="I95" si="107">I81+SUM(I85:I94)</f>
        <v>126043872.1797189</v>
      </c>
      <c r="J95" s="137">
        <f t="shared" ref="J95" si="108">J81+SUM(J85:J94)</f>
        <v>162237026.23487806</v>
      </c>
      <c r="K95" s="137">
        <f t="shared" ref="K95" si="109">K81+SUM(K85:K94)</f>
        <v>194984452.01413643</v>
      </c>
      <c r="M95" s="770"/>
      <c r="N95" s="673"/>
      <c r="AD95" s="103"/>
    </row>
    <row r="96" spans="1:30" ht="14.5">
      <c r="A96" s="869" t="s">
        <v>1581</v>
      </c>
      <c r="B96" s="869"/>
      <c r="C96" s="870"/>
      <c r="D96" s="870"/>
      <c r="E96" s="870"/>
      <c r="F96" s="870"/>
      <c r="G96" s="871"/>
      <c r="H96" s="861"/>
      <c r="I96" s="861"/>
      <c r="J96" s="861"/>
      <c r="K96" s="861"/>
      <c r="M96" s="673"/>
      <c r="N96" s="673"/>
      <c r="AD96" s="103"/>
    </row>
    <row r="97" spans="1:30">
      <c r="A97" s="665" t="s">
        <v>797</v>
      </c>
      <c r="B97" s="136">
        <f>SUM('Fin Sta as rep'!C370:C371)/1000</f>
        <v>-13053450</v>
      </c>
      <c r="C97" s="136">
        <f>SUM('Fin Sta as rep'!D370:D371)/1000</f>
        <v>-14776561</v>
      </c>
      <c r="D97" s="136">
        <f>SUM('Fin Sta as rep'!E370:E371)/1000</f>
        <v>-17842390</v>
      </c>
      <c r="E97" s="136">
        <f>SUM('Fin Sta as rep'!F370:F371)/1000</f>
        <v>-20627160</v>
      </c>
      <c r="F97" s="136">
        <f>SUM('Fin Sta as rep'!G370:G371)/1000</f>
        <v>-11774094</v>
      </c>
      <c r="G97" s="136">
        <f>SUM('Fin Sta as rep'!I370:I371)/1000</f>
        <v>-37343609</v>
      </c>
      <c r="H97" s="877">
        <f>-Q97*H6</f>
        <v>-101774768.39999999</v>
      </c>
      <c r="I97" s="877">
        <f>-R97*I6</f>
        <v>-93556965.703107178</v>
      </c>
      <c r="J97" s="877">
        <f>-S97*J6</f>
        <v>-142082328.59113213</v>
      </c>
      <c r="K97" s="877">
        <f>-T97*K6</f>
        <v>-174932382.35401317</v>
      </c>
      <c r="M97" s="695" t="s">
        <v>1621</v>
      </c>
      <c r="N97" s="777">
        <f>-E97/E6</f>
        <v>0.16938314130772772</v>
      </c>
      <c r="O97" s="777">
        <f>-F97/F6</f>
        <v>7.6719597336231363E-2</v>
      </c>
      <c r="P97" s="777">
        <f>-G97/G6</f>
        <v>0.17673271884563627</v>
      </c>
      <c r="Q97" s="897">
        <v>0.24</v>
      </c>
      <c r="R97" s="859">
        <f>AVERAGE(O97:Q97)</f>
        <v>0.16448410539395589</v>
      </c>
      <c r="S97" s="859">
        <f>AVERAGE(P97:R97)</f>
        <v>0.19373894141319736</v>
      </c>
      <c r="T97" s="859">
        <f>AVERAGE(Q97:S97)</f>
        <v>0.19940768226905106</v>
      </c>
      <c r="U97" s="859">
        <f>AVERAGE(R97:T97)</f>
        <v>0.18587690969206808</v>
      </c>
      <c r="V97" s="872"/>
      <c r="AD97" s="103"/>
    </row>
    <row r="98" spans="1:30">
      <c r="A98" s="316" t="s">
        <v>1169</v>
      </c>
      <c r="B98" s="136"/>
      <c r="C98" s="136"/>
      <c r="D98" s="136"/>
      <c r="E98" s="136"/>
      <c r="F98" s="136"/>
      <c r="G98" s="136"/>
      <c r="H98" s="873"/>
      <c r="I98" s="873"/>
      <c r="J98" s="874"/>
      <c r="K98" s="874"/>
      <c r="M98" s="695" t="s">
        <v>1642</v>
      </c>
      <c r="N98" s="777"/>
      <c r="O98" s="859"/>
      <c r="P98" s="859"/>
      <c r="Q98" s="859"/>
      <c r="R98" s="859"/>
      <c r="S98" s="860"/>
      <c r="T98" s="860"/>
      <c r="U98" s="860"/>
      <c r="AD98" s="103"/>
    </row>
    <row r="99" spans="1:30">
      <c r="A99" s="665" t="s">
        <v>804</v>
      </c>
      <c r="B99" s="136">
        <f>SUM('Fin Sta as rep'!C374:C380,'Fin Sta as rep'!C389)/1000</f>
        <v>-894524</v>
      </c>
      <c r="C99" s="136">
        <f>SUM('Fin Sta as rep'!D374:D380,'Fin Sta as rep'!D389)/1000</f>
        <v>-1591915</v>
      </c>
      <c r="D99" s="136">
        <f>SUM('Fin Sta as rep'!E374:E380,'Fin Sta as rep'!E389)/1000</f>
        <v>-287697</v>
      </c>
      <c r="E99" s="136">
        <f>SUM('Fin Sta as rep'!F374:F380,'Fin Sta as rep'!F389)/1000</f>
        <v>-735806</v>
      </c>
      <c r="F99" s="136">
        <f>SUM('Fin Sta as rep'!G374:G380,'Fin Sta as rep'!G389)/1000</f>
        <v>-1738938</v>
      </c>
      <c r="G99" s="136">
        <f>SUM('Fin Sta as rep'!I374:I380,'Fin Sta as rep'!I389)/1000</f>
        <v>-3304499</v>
      </c>
      <c r="H99" s="893">
        <f>Q99</f>
        <v>-3965398.8</v>
      </c>
      <c r="I99" s="893">
        <f>R99</f>
        <v>-3965398.8</v>
      </c>
      <c r="J99" s="893">
        <f>S99</f>
        <v>-3965398.8</v>
      </c>
      <c r="K99" s="893">
        <f>T99</f>
        <v>-3965398.8</v>
      </c>
      <c r="M99" s="896" t="s">
        <v>804</v>
      </c>
      <c r="N99" s="136">
        <f>E99</f>
        <v>-735806</v>
      </c>
      <c r="O99" s="136">
        <f t="shared" ref="O99:P99" si="110">F99</f>
        <v>-1738938</v>
      </c>
      <c r="P99" s="136">
        <f t="shared" si="110"/>
        <v>-3304499</v>
      </c>
      <c r="Q99" s="895">
        <f>P99*1.2</f>
        <v>-3965398.8</v>
      </c>
      <c r="R99" s="895">
        <f>Q99</f>
        <v>-3965398.8</v>
      </c>
      <c r="S99" s="895">
        <f t="shared" ref="S99:U99" si="111">R99</f>
        <v>-3965398.8</v>
      </c>
      <c r="T99" s="895">
        <f t="shared" si="111"/>
        <v>-3965398.8</v>
      </c>
      <c r="U99" s="895">
        <f t="shared" si="111"/>
        <v>-3965398.8</v>
      </c>
      <c r="AD99" s="103"/>
    </row>
    <row r="100" spans="1:30" s="233" customFormat="1">
      <c r="A100" s="888" t="s">
        <v>807</v>
      </c>
      <c r="B100" s="879">
        <f>SUM('Fin Sta as rep'!C372:C373,'Fin Sta as rep'!C381:C388)/1000</f>
        <v>505332</v>
      </c>
      <c r="C100" s="879">
        <f>SUM('Fin Sta as rep'!D372:D373,'Fin Sta as rep'!D381:D388)/1000</f>
        <v>193454</v>
      </c>
      <c r="D100" s="879">
        <f>SUM('Fin Sta as rep'!E372:E373,'Fin Sta as rep'!E381:E388)/1000</f>
        <v>3899327</v>
      </c>
      <c r="E100" s="879">
        <f>SUM('Fin Sta as rep'!F372:F373,'Fin Sta as rep'!F381:F388)/1000</f>
        <v>481520</v>
      </c>
      <c r="F100" s="879">
        <f>SUM('Fin Sta as rep'!G372:G373,'Fin Sta as rep'!G381:G388)/1000</f>
        <v>-931216</v>
      </c>
      <c r="G100" s="879">
        <f>SUM('Fin Sta as rep'!I372:I373,'Fin Sta as rep'!I381:I388)/1000</f>
        <v>-4755884</v>
      </c>
      <c r="H100" s="880">
        <v>0</v>
      </c>
      <c r="I100" s="880">
        <v>0</v>
      </c>
      <c r="J100" s="867">
        <v>0</v>
      </c>
      <c r="K100" s="867">
        <v>0</v>
      </c>
      <c r="M100" s="260"/>
      <c r="N100" s="260"/>
      <c r="O100" s="260"/>
      <c r="P100" s="260"/>
      <c r="Q100" s="260"/>
      <c r="R100" s="260"/>
      <c r="S100" s="260"/>
      <c r="T100" s="868"/>
      <c r="U100" s="868"/>
      <c r="AD100" s="228"/>
    </row>
    <row r="101" spans="1:30">
      <c r="A101" s="889" t="s">
        <v>1684</v>
      </c>
      <c r="B101" s="137">
        <f>SUM(B97:B100)</f>
        <v>-13442642</v>
      </c>
      <c r="C101" s="137">
        <f t="shared" ref="C101:G101" si="112">SUM(C97:C100)</f>
        <v>-16175022</v>
      </c>
      <c r="D101" s="137">
        <f t="shared" si="112"/>
        <v>-14230760</v>
      </c>
      <c r="E101" s="137">
        <f t="shared" si="112"/>
        <v>-20881446</v>
      </c>
      <c r="F101" s="137">
        <f t="shared" si="112"/>
        <v>-14444248</v>
      </c>
      <c r="G101" s="137">
        <f t="shared" si="112"/>
        <v>-45403992</v>
      </c>
      <c r="H101" s="137">
        <f t="shared" ref="H101" si="113">SUM(H97:H100)</f>
        <v>-105740167.19999999</v>
      </c>
      <c r="I101" s="137">
        <f t="shared" ref="I101" si="114">SUM(I97:I100)</f>
        <v>-97522364.503107175</v>
      </c>
      <c r="J101" s="137">
        <f t="shared" ref="J101" si="115">SUM(J97:J100)</f>
        <v>-146047727.39113215</v>
      </c>
      <c r="K101" s="137">
        <f t="shared" ref="K101" si="116">SUM(K97:K100)</f>
        <v>-178897781.15401319</v>
      </c>
      <c r="M101" s="260"/>
      <c r="N101" s="260"/>
      <c r="O101" s="260"/>
      <c r="P101" s="260"/>
      <c r="Q101" s="260"/>
      <c r="R101" s="260"/>
      <c r="S101" s="260"/>
      <c r="AD101" s="103"/>
    </row>
    <row r="102" spans="1:30" ht="14.5">
      <c r="A102" s="869" t="s">
        <v>1581</v>
      </c>
      <c r="B102" s="869"/>
      <c r="C102" s="870"/>
      <c r="D102" s="870"/>
      <c r="E102" s="870"/>
      <c r="F102" s="871"/>
      <c r="G102" s="871"/>
      <c r="H102" s="861"/>
      <c r="I102" s="861"/>
      <c r="J102" s="861"/>
      <c r="K102" s="861"/>
      <c r="M102" s="260"/>
      <c r="N102" s="260"/>
      <c r="O102" s="260"/>
      <c r="P102" s="260"/>
      <c r="Q102" s="260"/>
      <c r="R102" s="260"/>
      <c r="S102" s="260"/>
      <c r="AD102" s="103"/>
    </row>
    <row r="103" spans="1:30">
      <c r="A103" s="665" t="s">
        <v>816</v>
      </c>
      <c r="B103" s="136">
        <f>SUM('Fin Sta as rep'!C392:C397)/1000</f>
        <v>4532157</v>
      </c>
      <c r="C103" s="136">
        <f>SUM('Fin Sta as rep'!D392:D397)/1000</f>
        <v>14283484</v>
      </c>
      <c r="D103" s="136">
        <f>SUM('Fin Sta as rep'!E392:E397)/1000</f>
        <v>9507781</v>
      </c>
      <c r="E103" s="136">
        <f>SUM('Fin Sta as rep'!F392:F397)/1000</f>
        <v>9879385</v>
      </c>
      <c r="F103" s="136">
        <f>SUM('Fin Sta as rep'!G392:G397)/1000</f>
        <v>-24489908</v>
      </c>
      <c r="G103" s="136">
        <f>SUM('Fin Sta as rep'!I392:I397)/1000</f>
        <v>-17006426</v>
      </c>
      <c r="H103" s="886">
        <f>H62-G62+H66-G66</f>
        <v>26898148.141384199</v>
      </c>
      <c r="I103" s="886">
        <f t="shared" ref="I103:K103" si="117">I62-H62+I66-H66</f>
        <v>19266807.002936363</v>
      </c>
      <c r="J103" s="886">
        <f t="shared" si="117"/>
        <v>23167224.201470871</v>
      </c>
      <c r="K103" s="886">
        <f t="shared" si="117"/>
        <v>24098118.533831373</v>
      </c>
      <c r="M103" s="260" t="s">
        <v>1644</v>
      </c>
      <c r="N103" s="260"/>
      <c r="O103" s="260"/>
      <c r="P103" s="260"/>
      <c r="Q103" s="260"/>
      <c r="R103" s="260"/>
      <c r="S103" s="260"/>
      <c r="AD103" s="103"/>
    </row>
    <row r="104" spans="1:30">
      <c r="A104" s="665" t="s">
        <v>1003</v>
      </c>
      <c r="B104" s="136">
        <f>SUM('Fin Sta as rep'!C398:C404)/1000</f>
        <v>15068800</v>
      </c>
      <c r="C104" s="136">
        <f>SUM('Fin Sta as rep'!D398:D404)/1000</f>
        <v>100000</v>
      </c>
      <c r="D104" s="136">
        <f>SUM('Fin Sta as rep'!E398:E404)/1000</f>
        <v>10835</v>
      </c>
      <c r="E104" s="136">
        <f>SUM('Fin Sta as rep'!F398:F404)/1000</f>
        <v>500578</v>
      </c>
      <c r="F104" s="136">
        <f>SUM('Fin Sta as rep'!G398:G404)/1000</f>
        <v>-500000</v>
      </c>
      <c r="G104" s="136">
        <f>SUM('Fin Sta as rep'!I398:I404)/1000</f>
        <v>36213719</v>
      </c>
      <c r="H104" s="874">
        <v>0</v>
      </c>
      <c r="I104" s="874">
        <v>0</v>
      </c>
      <c r="J104" s="874">
        <v>0</v>
      </c>
      <c r="K104" s="874">
        <v>0</v>
      </c>
      <c r="M104" s="260"/>
      <c r="N104" s="260"/>
      <c r="O104" s="260"/>
      <c r="P104" s="260"/>
      <c r="Q104" s="260"/>
      <c r="R104" s="260"/>
      <c r="S104" s="260"/>
      <c r="AD104" s="103"/>
    </row>
    <row r="105" spans="1:30" ht="14.5">
      <c r="A105" s="891" t="s">
        <v>825</v>
      </c>
      <c r="B105" s="136">
        <f>SUM('Fin Sta as rep'!C405:C408)/1000</f>
        <v>-3208633</v>
      </c>
      <c r="C105" s="136">
        <f>SUM('Fin Sta as rep'!D405:D408)/1000</f>
        <v>-3201316</v>
      </c>
      <c r="D105" s="136">
        <f>SUM('Fin Sta as rep'!E405:E408)/1000</f>
        <v>-4120193</v>
      </c>
      <c r="E105" s="136">
        <f>SUM('Fin Sta as rep'!F405:F408)/1000</f>
        <v>-4388702</v>
      </c>
      <c r="F105" s="136">
        <f>SUM('Fin Sta as rep'!G405:G408)/1000</f>
        <v>-3686029</v>
      </c>
      <c r="G105" s="136">
        <f>SUM('Fin Sta as rep'!I405:I408)/1000</f>
        <v>-2619303</v>
      </c>
      <c r="H105" s="220">
        <f>-H94-2911142855/10*1.05/1000</f>
        <v>-943603.71327499999</v>
      </c>
      <c r="I105" s="220">
        <f>-I94-2911142855/10*1.05/1000</f>
        <v>-1620432.3970809253</v>
      </c>
      <c r="J105" s="220">
        <f>-J94-2911142855/10*1.05/1000</f>
        <v>-1753605.7660552897</v>
      </c>
      <c r="K105" s="220">
        <f>-K94-2911142855/10*1.05/1000</f>
        <v>-2207520.2487167851</v>
      </c>
      <c r="M105" s="260" t="s">
        <v>825</v>
      </c>
      <c r="N105" s="886"/>
      <c r="O105" s="886"/>
      <c r="P105" s="886"/>
      <c r="Q105" s="886"/>
      <c r="R105" s="886"/>
      <c r="S105" s="886"/>
      <c r="T105" s="886"/>
      <c r="U105" s="886"/>
      <c r="W105" s="869"/>
      <c r="AD105" s="103"/>
    </row>
    <row r="106" spans="1:30">
      <c r="A106" s="891" t="s">
        <v>834</v>
      </c>
      <c r="B106" s="136"/>
      <c r="C106" s="136"/>
      <c r="D106" s="136"/>
      <c r="E106" s="136"/>
      <c r="F106" s="136"/>
      <c r="G106" s="136"/>
      <c r="H106" s="864"/>
      <c r="I106" s="864"/>
      <c r="J106" s="861"/>
      <c r="K106" s="861"/>
      <c r="M106" s="260" t="s">
        <v>1645</v>
      </c>
      <c r="N106" s="260"/>
      <c r="O106" s="260"/>
      <c r="P106" s="260"/>
      <c r="Q106" s="260" t="s">
        <v>1428</v>
      </c>
      <c r="R106" s="260"/>
      <c r="S106" s="260"/>
      <c r="T106" s="862"/>
      <c r="U106" s="862"/>
      <c r="AD106" s="103"/>
    </row>
    <row r="107" spans="1:30" s="233" customFormat="1">
      <c r="A107" s="888" t="s">
        <v>837</v>
      </c>
      <c r="B107" s="879">
        <f>SUM('Fin Sta as rep'!C409:C412)/1000</f>
        <v>-122107</v>
      </c>
      <c r="C107" s="879">
        <f>SUM('Fin Sta as rep'!D409:D412)/1000</f>
        <v>-14344</v>
      </c>
      <c r="D107" s="879">
        <f>SUM('Fin Sta as rep'!E409:E412)/1000</f>
        <v>-1481912</v>
      </c>
      <c r="E107" s="879">
        <f>SUM('Fin Sta as rep'!F409:F412)/1000</f>
        <v>619084</v>
      </c>
      <c r="F107" s="879">
        <f>SUM('Fin Sta as rep'!G409:G412)/1000</f>
        <v>-231481</v>
      </c>
      <c r="G107" s="879">
        <f>SUM('Fin Sta as rep'!I409:I412)/1000</f>
        <v>-525473</v>
      </c>
      <c r="H107" s="885">
        <f>$G$107</f>
        <v>-525473</v>
      </c>
      <c r="I107" s="885">
        <f t="shared" ref="I107:K107" si="118">$G$107</f>
        <v>-525473</v>
      </c>
      <c r="J107" s="885">
        <f t="shared" si="118"/>
        <v>-525473</v>
      </c>
      <c r="K107" s="885">
        <f t="shared" si="118"/>
        <v>-525473</v>
      </c>
      <c r="M107" s="260" t="s">
        <v>807</v>
      </c>
      <c r="N107" s="260"/>
      <c r="O107" s="260"/>
      <c r="P107" s="260"/>
      <c r="Q107" s="260"/>
      <c r="R107" s="260"/>
      <c r="S107" s="260"/>
      <c r="T107" s="868"/>
      <c r="U107" s="868"/>
      <c r="AD107" s="228"/>
    </row>
    <row r="108" spans="1:30">
      <c r="A108" s="889" t="s">
        <v>1623</v>
      </c>
      <c r="B108" s="137">
        <f t="shared" ref="B108:K108" si="119">SUM(B103:B107)</f>
        <v>16270217</v>
      </c>
      <c r="C108" s="137">
        <f t="shared" si="119"/>
        <v>11167824</v>
      </c>
      <c r="D108" s="137">
        <f t="shared" si="119"/>
        <v>3916511</v>
      </c>
      <c r="E108" s="137">
        <f t="shared" si="119"/>
        <v>6610345</v>
      </c>
      <c r="F108" s="137">
        <f t="shared" si="119"/>
        <v>-28907418</v>
      </c>
      <c r="G108" s="137">
        <f t="shared" si="119"/>
        <v>16062517</v>
      </c>
      <c r="H108" s="137">
        <f t="shared" si="119"/>
        <v>25429071.428109199</v>
      </c>
      <c r="I108" s="137">
        <f t="shared" si="119"/>
        <v>17120901.605855439</v>
      </c>
      <c r="J108" s="137">
        <f t="shared" si="119"/>
        <v>20888145.435415581</v>
      </c>
      <c r="K108" s="137">
        <f t="shared" si="119"/>
        <v>21365125.285114586</v>
      </c>
      <c r="L108" s="137">
        <v>0</v>
      </c>
      <c r="M108" s="260"/>
      <c r="N108" s="260"/>
      <c r="O108" s="260"/>
      <c r="P108" s="260"/>
      <c r="Q108" s="260"/>
      <c r="R108" s="260"/>
      <c r="S108" s="260"/>
      <c r="AD108" s="103"/>
    </row>
    <row r="109" spans="1:30" s="233" customFormat="1">
      <c r="A109" s="888" t="s">
        <v>1624</v>
      </c>
      <c r="B109" s="879">
        <f>'Fin Sta as rep'!C415/1000</f>
        <v>97059</v>
      </c>
      <c r="C109" s="879">
        <f>'Fin Sta as rep'!D415/1000</f>
        <v>5733</v>
      </c>
      <c r="D109" s="879">
        <f>'Fin Sta as rep'!E415/1000</f>
        <v>6443</v>
      </c>
      <c r="E109" s="879">
        <f>'Fin Sta as rep'!F415/1000</f>
        <v>53334</v>
      </c>
      <c r="F109" s="879">
        <f>'Fin Sta as rep'!G415/1000</f>
        <v>23199</v>
      </c>
      <c r="G109" s="879">
        <f>'Fin Sta as rep'!I415/1000</f>
        <v>-43845</v>
      </c>
      <c r="H109" s="880">
        <v>0</v>
      </c>
      <c r="I109" s="880">
        <v>0</v>
      </c>
      <c r="J109" s="867">
        <v>0</v>
      </c>
      <c r="K109" s="867">
        <v>0</v>
      </c>
      <c r="M109" s="260" t="s">
        <v>1624</v>
      </c>
      <c r="N109" s="260"/>
      <c r="O109" s="260"/>
      <c r="P109" s="260"/>
      <c r="Q109" s="260"/>
      <c r="R109" s="260"/>
      <c r="S109" s="260"/>
      <c r="T109" s="868"/>
      <c r="U109" s="868"/>
      <c r="AD109" s="228"/>
    </row>
    <row r="110" spans="1:30">
      <c r="A110" s="889" t="s">
        <v>1625</v>
      </c>
      <c r="B110" s="137">
        <f>B95+B101+B108+B109</f>
        <v>1079062.9999999851</v>
      </c>
      <c r="C110" s="137">
        <f t="shared" ref="C110:G110" si="120">C95+C101+C108+C109</f>
        <v>1577360</v>
      </c>
      <c r="D110" s="137">
        <f t="shared" si="120"/>
        <v>2215103</v>
      </c>
      <c r="E110" s="137">
        <f t="shared" si="120"/>
        <v>523240.0000000149</v>
      </c>
      <c r="F110" s="137">
        <f t="shared" si="120"/>
        <v>2064201.0000000149</v>
      </c>
      <c r="G110" s="137">
        <f t="shared" si="120"/>
        <v>36081361.99999997</v>
      </c>
      <c r="H110" s="137">
        <f t="shared" ref="H110" si="121">H95+H101+H108+H109</f>
        <v>33968856.405924112</v>
      </c>
      <c r="I110" s="137">
        <f t="shared" ref="I110" si="122">I95+I101+I108+I109</f>
        <v>45642409.282467157</v>
      </c>
      <c r="J110" s="137">
        <f t="shared" ref="J110" si="123">J95+J101+J108+J109</f>
        <v>37077444.279161498</v>
      </c>
      <c r="K110" s="137">
        <f t="shared" ref="K110" si="124">K95+K101+K108+K109</f>
        <v>37451796.145237833</v>
      </c>
      <c r="L110" s="137"/>
      <c r="M110" s="770"/>
      <c r="N110" s="673"/>
      <c r="AD110" s="103"/>
    </row>
    <row r="111" spans="1:30" ht="14.5">
      <c r="A111" s="869" t="s">
        <v>1581</v>
      </c>
      <c r="B111" s="869"/>
      <c r="C111" s="863"/>
      <c r="D111" s="863"/>
      <c r="E111" s="870"/>
      <c r="F111" s="871"/>
      <c r="G111" s="871"/>
      <c r="H111" s="861"/>
      <c r="I111" s="861"/>
      <c r="J111" s="861"/>
      <c r="K111" s="861"/>
      <c r="AD111" s="103"/>
    </row>
    <row r="112" spans="1:30">
      <c r="A112" s="665" t="s">
        <v>1626</v>
      </c>
      <c r="B112" s="665"/>
      <c r="C112" s="136">
        <f>B46</f>
        <v>7693666</v>
      </c>
      <c r="D112" s="136">
        <f>C113</f>
        <v>9271026</v>
      </c>
      <c r="E112" s="136">
        <f t="shared" ref="E112:K112" si="125">D113</f>
        <v>11486129</v>
      </c>
      <c r="F112" s="136">
        <f t="shared" si="125"/>
        <v>12009369.000000015</v>
      </c>
      <c r="G112" s="136">
        <f t="shared" si="125"/>
        <v>14073570.00000003</v>
      </c>
      <c r="H112" s="136">
        <f>G46</f>
        <v>56063149</v>
      </c>
      <c r="I112" s="136">
        <f t="shared" si="125"/>
        <v>90032005.405924112</v>
      </c>
      <c r="J112" s="136">
        <f t="shared" si="125"/>
        <v>135674414.68839127</v>
      </c>
      <c r="K112" s="136">
        <f t="shared" si="125"/>
        <v>172751858.96755278</v>
      </c>
      <c r="M112" s="260"/>
      <c r="AD112" s="103"/>
    </row>
    <row r="113" spans="1:30">
      <c r="A113" s="665" t="s">
        <v>1627</v>
      </c>
      <c r="B113" s="136">
        <f>B46</f>
        <v>7693666</v>
      </c>
      <c r="C113" s="863">
        <f>C112+C110</f>
        <v>9271026</v>
      </c>
      <c r="D113" s="863">
        <f t="shared" ref="D113:H113" si="126">D112+D110</f>
        <v>11486129</v>
      </c>
      <c r="E113" s="863">
        <f t="shared" si="126"/>
        <v>12009369.000000015</v>
      </c>
      <c r="F113" s="863">
        <f t="shared" si="126"/>
        <v>14073570.00000003</v>
      </c>
      <c r="G113" s="863">
        <f t="shared" si="126"/>
        <v>50154932</v>
      </c>
      <c r="H113" s="863">
        <f t="shared" si="126"/>
        <v>90032005.405924112</v>
      </c>
      <c r="I113" s="863">
        <f t="shared" ref="I113" si="127">I112+I110</f>
        <v>135674414.68839127</v>
      </c>
      <c r="J113" s="863">
        <f t="shared" ref="J113" si="128">J112+J110</f>
        <v>172751858.96755278</v>
      </c>
      <c r="K113" s="863">
        <f t="shared" ref="K113" si="129">K112+K110</f>
        <v>210203655.11279061</v>
      </c>
      <c r="M113" s="260"/>
      <c r="AD113" s="103"/>
    </row>
    <row r="114" spans="1:30" ht="14.5">
      <c r="A114" s="371" t="s">
        <v>1581</v>
      </c>
      <c r="B114" s="869"/>
      <c r="C114" s="870"/>
      <c r="D114" s="870"/>
      <c r="E114" s="870"/>
      <c r="F114" s="871"/>
      <c r="G114" s="871"/>
      <c r="H114" s="861"/>
      <c r="I114" s="861"/>
      <c r="J114" s="861"/>
      <c r="K114" s="861"/>
      <c r="AD114" s="103"/>
    </row>
  </sheetData>
  <phoneticPr fontId="4" type="noConversion"/>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986DF-013D-4879-A1FF-FB1F7F673641}">
  <dimension ref="A1:AD114"/>
  <sheetViews>
    <sheetView showGridLines="0" workbookViewId="0">
      <pane xSplit="1" ySplit="4" topLeftCell="B5" activePane="bottomRight" state="frozen"/>
      <selection pane="topRight"/>
      <selection pane="bottomLeft"/>
      <selection pane="bottomRight" activeCell="B32" sqref="B32:K36"/>
    </sheetView>
  </sheetViews>
  <sheetFormatPr defaultColWidth="8.83203125" defaultRowHeight="14"/>
  <cols>
    <col min="1" max="1" width="38.75" customWidth="1"/>
    <col min="2" max="6" width="18.25" bestFit="1" customWidth="1"/>
    <col min="7" max="7" width="16.83203125" customWidth="1"/>
    <col min="8" max="8" width="17.1640625" customWidth="1"/>
    <col min="9" max="9" width="17.75" customWidth="1"/>
    <col min="10" max="10" width="17.4140625" customWidth="1"/>
    <col min="11" max="11" width="16.83203125" customWidth="1"/>
    <col min="12" max="12" width="9"/>
    <col min="13" max="13" width="26.25" customWidth="1"/>
    <col min="14" max="14" width="16.75" customWidth="1"/>
    <col min="15" max="15" width="15.4140625" customWidth="1"/>
    <col min="16" max="16" width="16.75" customWidth="1"/>
    <col min="17" max="17" width="16.4140625" customWidth="1"/>
    <col min="18" max="18" width="18.25" customWidth="1"/>
    <col min="19" max="19" width="17.1640625" customWidth="1"/>
    <col min="20" max="20" width="18.4140625" customWidth="1"/>
    <col min="21" max="21" width="21.4140625" customWidth="1"/>
  </cols>
  <sheetData>
    <row r="1" spans="1:23">
      <c r="A1" s="49"/>
      <c r="B1" s="104"/>
      <c r="C1" s="104"/>
      <c r="D1" s="105"/>
      <c r="E1" s="106"/>
      <c r="F1" s="106"/>
      <c r="G1" s="106"/>
      <c r="H1" s="107"/>
      <c r="I1" s="107"/>
      <c r="J1" s="107"/>
      <c r="K1" s="107"/>
      <c r="L1" s="103"/>
      <c r="M1" s="103"/>
      <c r="N1" s="103"/>
      <c r="O1" s="103"/>
      <c r="P1" s="103"/>
      <c r="Q1" s="103"/>
      <c r="R1" s="103"/>
      <c r="S1" s="103"/>
      <c r="T1" s="103"/>
      <c r="U1" s="103"/>
      <c r="V1" s="103"/>
      <c r="W1" s="103"/>
    </row>
    <row r="2" spans="1:23" ht="17.5">
      <c r="A2" s="365" t="s">
        <v>1669</v>
      </c>
      <c r="B2" s="109"/>
      <c r="C2" s="109"/>
      <c r="D2" s="110"/>
      <c r="E2" s="111"/>
      <c r="F2" s="111"/>
      <c r="G2" s="111"/>
      <c r="H2" s="112"/>
      <c r="I2" s="112"/>
      <c r="J2" s="112"/>
      <c r="K2" s="113"/>
      <c r="L2" s="108"/>
      <c r="M2" s="108"/>
      <c r="N2" s="108"/>
      <c r="O2" s="108"/>
      <c r="P2" s="108"/>
      <c r="Q2" s="108"/>
      <c r="R2" s="108"/>
      <c r="S2" s="108"/>
      <c r="T2" s="108"/>
      <c r="U2" s="108"/>
      <c r="V2" s="108"/>
      <c r="W2" s="108"/>
    </row>
    <row r="3" spans="1:23">
      <c r="A3" s="366" t="s">
        <v>1670</v>
      </c>
      <c r="B3" s="114">
        <v>2016</v>
      </c>
      <c r="C3" s="114">
        <v>2017</v>
      </c>
      <c r="D3" s="114">
        <v>2018</v>
      </c>
      <c r="E3" s="114">
        <v>2019</v>
      </c>
      <c r="F3" s="114">
        <v>2020</v>
      </c>
      <c r="G3" s="114">
        <v>2021</v>
      </c>
      <c r="H3" s="115">
        <v>2022</v>
      </c>
      <c r="I3" s="115">
        <v>2023</v>
      </c>
      <c r="J3" s="115">
        <v>2024</v>
      </c>
      <c r="K3" s="115">
        <v>2025</v>
      </c>
      <c r="L3" s="103"/>
      <c r="M3" s="116"/>
      <c r="N3" s="114">
        <f t="shared" ref="N3:R4" si="0">E3</f>
        <v>2019</v>
      </c>
      <c r="O3" s="114">
        <f t="shared" si="0"/>
        <v>2020</v>
      </c>
      <c r="P3" s="114">
        <f t="shared" si="0"/>
        <v>2021</v>
      </c>
      <c r="Q3" s="117">
        <f t="shared" si="0"/>
        <v>2022</v>
      </c>
      <c r="R3" s="117">
        <f t="shared" si="0"/>
        <v>2023</v>
      </c>
      <c r="S3" s="117">
        <v>2024</v>
      </c>
      <c r="T3" s="117">
        <f>K3</f>
        <v>2025</v>
      </c>
      <c r="U3" s="117" t="e">
        <f>#REF!</f>
        <v>#REF!</v>
      </c>
      <c r="V3" s="103"/>
      <c r="W3" s="103"/>
    </row>
    <row r="4" spans="1:23">
      <c r="A4" s="367" t="s">
        <v>1574</v>
      </c>
      <c r="B4" s="114" t="s">
        <v>1575</v>
      </c>
      <c r="C4" s="114" t="s">
        <v>1575</v>
      </c>
      <c r="D4" s="114" t="s">
        <v>1575</v>
      </c>
      <c r="E4" s="114" t="s">
        <v>1575</v>
      </c>
      <c r="F4" s="114" t="s">
        <v>1575</v>
      </c>
      <c r="G4" s="114" t="s">
        <v>1575</v>
      </c>
      <c r="H4" s="115" t="s">
        <v>1576</v>
      </c>
      <c r="I4" s="115" t="s">
        <v>1576</v>
      </c>
      <c r="J4" s="115" t="s">
        <v>1576</v>
      </c>
      <c r="K4" s="115" t="s">
        <v>1576</v>
      </c>
      <c r="L4" s="103"/>
      <c r="M4" s="118"/>
      <c r="N4" s="114" t="str">
        <f t="shared" si="0"/>
        <v>Actual</v>
      </c>
      <c r="O4" s="114" t="str">
        <f t="shared" si="0"/>
        <v>Actual</v>
      </c>
      <c r="P4" s="114" t="str">
        <f t="shared" si="0"/>
        <v>Actual</v>
      </c>
      <c r="Q4" s="117" t="str">
        <f t="shared" si="0"/>
        <v>Forecast</v>
      </c>
      <c r="R4" s="117" t="str">
        <f t="shared" si="0"/>
        <v>Forecast</v>
      </c>
      <c r="S4" s="117" t="str">
        <f>J4</f>
        <v>Forecast</v>
      </c>
      <c r="T4" s="117" t="str">
        <f>K4</f>
        <v>Forecast</v>
      </c>
      <c r="U4" s="117" t="e">
        <f>#REF!</f>
        <v>#REF!</v>
      </c>
      <c r="V4" s="119"/>
      <c r="W4" s="103"/>
    </row>
    <row r="5" spans="1:23" s="491" customFormat="1" ht="20">
      <c r="A5" s="490" t="s">
        <v>1577</v>
      </c>
      <c r="M5" s="490" t="s">
        <v>1613</v>
      </c>
    </row>
    <row r="6" spans="1:23">
      <c r="A6" s="65" t="s">
        <v>508</v>
      </c>
      <c r="B6" s="492">
        <f>SUM(B7:B10)</f>
        <v>100207703</v>
      </c>
      <c r="C6" s="492">
        <f t="shared" ref="C6:K6" si="1">SUM(C7:C10)</f>
        <v>102650614</v>
      </c>
      <c r="D6" s="492">
        <f t="shared" si="1"/>
        <v>121790925</v>
      </c>
      <c r="E6" s="492">
        <f t="shared" si="1"/>
        <v>121778117</v>
      </c>
      <c r="F6" s="492">
        <f t="shared" si="1"/>
        <v>153469184</v>
      </c>
      <c r="G6" s="492">
        <f t="shared" si="1"/>
        <v>211299918</v>
      </c>
      <c r="H6" s="492">
        <f>SUM(H7:H10)</f>
        <v>424061535</v>
      </c>
      <c r="I6" s="492">
        <f t="shared" si="1"/>
        <v>568790312.46836209</v>
      </c>
      <c r="J6" s="492">
        <f t="shared" si="1"/>
        <v>733370005.81677365</v>
      </c>
      <c r="K6" s="492">
        <f t="shared" si="1"/>
        <v>877259995.01857424</v>
      </c>
      <c r="M6" s="119" t="s">
        <v>1631</v>
      </c>
      <c r="N6" s="138">
        <f t="shared" ref="N6:T10" si="2">IFERROR(E6/D6-1,"")</f>
        <v>-1.0516382891423426E-4</v>
      </c>
      <c r="O6" s="138">
        <f t="shared" si="2"/>
        <v>0.26023613914148469</v>
      </c>
      <c r="P6" s="138">
        <f t="shared" si="2"/>
        <v>0.37682310215450165</v>
      </c>
      <c r="Q6" s="138">
        <f t="shared" si="2"/>
        <v>1.0069176505785489</v>
      </c>
      <c r="R6" s="138">
        <f t="shared" si="2"/>
        <v>0.34129192469286829</v>
      </c>
      <c r="S6" s="138">
        <f t="shared" si="2"/>
        <v>0.28935038051929896</v>
      </c>
      <c r="T6" s="138">
        <f t="shared" si="2"/>
        <v>0.19620380989204289</v>
      </c>
      <c r="U6" s="138" t="str">
        <f>IFERROR(#REF!/K6-1,"")</f>
        <v/>
      </c>
    </row>
    <row r="7" spans="1:23">
      <c r="A7" s="96" t="s">
        <v>1671</v>
      </c>
      <c r="B7" s="136">
        <f>'Earning Forecast'!B90</f>
        <v>7103045</v>
      </c>
      <c r="C7" s="136">
        <f>'Earning Forecast'!C90</f>
        <v>8442131</v>
      </c>
      <c r="D7" s="136">
        <f>'Earning Forecast'!D90</f>
        <v>8681073</v>
      </c>
      <c r="E7" s="136">
        <f>'Earning Forecast'!E90</f>
        <v>9718500</v>
      </c>
      <c r="F7" s="136">
        <f>'Earning Forecast'!F90</f>
        <v>11704632</v>
      </c>
      <c r="G7" s="136">
        <f>'Earning Forecast'!G90</f>
        <v>15402042</v>
      </c>
      <c r="H7" s="136">
        <f>'Earning Forecast'!H90</f>
        <v>19031916.070949078</v>
      </c>
      <c r="I7" s="136">
        <f>'Earning Forecast'!I90</f>
        <v>27785669.824451655</v>
      </c>
      <c r="J7" s="136">
        <f>'Earning Forecast'!J90</f>
        <v>18958053.730820876</v>
      </c>
      <c r="K7" s="136">
        <f>'Earning Forecast'!K90</f>
        <v>26940399.855485272</v>
      </c>
      <c r="M7" s="96" t="str">
        <f>A7</f>
        <v>Rechargeable Batteries &amp; Photovoltaic Business</v>
      </c>
      <c r="N7" s="138">
        <f>IFERROR(E7/D7-1,"")</f>
        <v>0.11950446678653659</v>
      </c>
      <c r="O7" s="138">
        <f t="shared" si="2"/>
        <v>0.20436610588053705</v>
      </c>
      <c r="P7" s="138">
        <f t="shared" si="2"/>
        <v>0.31589288753375588</v>
      </c>
      <c r="Q7" s="138">
        <f t="shared" si="2"/>
        <v>0.23567485862907511</v>
      </c>
      <c r="R7" s="138">
        <f t="shared" si="2"/>
        <v>0.45995125876288334</v>
      </c>
      <c r="S7" s="138">
        <f t="shared" si="2"/>
        <v>-0.31770391534208731</v>
      </c>
      <c r="T7" s="139">
        <f>AVERAGE(Q7:S7)</f>
        <v>0.12597406734995706</v>
      </c>
      <c r="U7" s="139">
        <f>AVERAGE(R7:T7)</f>
        <v>8.9407136923584374E-2</v>
      </c>
      <c r="W7" t="s">
        <v>229</v>
      </c>
    </row>
    <row r="8" spans="1:23">
      <c r="A8" s="96" t="s">
        <v>566</v>
      </c>
      <c r="B8" s="136">
        <f>'Earning Forecast'!B103</f>
        <v>38082566</v>
      </c>
      <c r="C8" s="136">
        <f>'Earning Forecast'!C103</f>
        <v>39707908</v>
      </c>
      <c r="D8" s="136">
        <f>'Earning Forecast'!D103</f>
        <v>41341000</v>
      </c>
      <c r="E8" s="136">
        <f>'Earning Forecast'!E103</f>
        <v>52522290</v>
      </c>
      <c r="F8" s="136">
        <f>'Earning Forecast'!F103</f>
        <v>59354468</v>
      </c>
      <c r="G8" s="136">
        <f>'Earning Forecast'!G103</f>
        <v>85545672</v>
      </c>
      <c r="H8" s="136">
        <f>'Earning Forecast'!H103</f>
        <v>98815954</v>
      </c>
      <c r="I8" s="136">
        <f>'Earning Forecast'!I103</f>
        <v>108697549.40000001</v>
      </c>
      <c r="J8" s="136">
        <f>'Earning Forecast'!J103</f>
        <v>119567304.34000002</v>
      </c>
      <c r="K8" s="136">
        <f>'Earning Forecast'!K103</f>
        <v>131524034.77400003</v>
      </c>
      <c r="M8" s="96" t="str">
        <f t="shared" ref="M8:M11" si="3">A8</f>
        <v>Mobile Handset Components &amp; Assembly Service</v>
      </c>
      <c r="N8" s="138">
        <f>IFERROR(E8/D8-1,"")</f>
        <v>0.27046491376599491</v>
      </c>
      <c r="O8" s="138">
        <f t="shared" si="2"/>
        <v>0.13008149492339349</v>
      </c>
      <c r="P8" s="138">
        <f t="shared" si="2"/>
        <v>0.44126760600398263</v>
      </c>
      <c r="Q8" s="138">
        <f t="shared" si="2"/>
        <v>0.15512511258313566</v>
      </c>
      <c r="R8" s="138">
        <f t="shared" si="2"/>
        <v>0.10000000000000009</v>
      </c>
      <c r="S8" s="138">
        <f t="shared" si="2"/>
        <v>0.10000000000000009</v>
      </c>
      <c r="T8" s="139">
        <f>AVERAGE(Q8:S8)</f>
        <v>0.11837503752771195</v>
      </c>
      <c r="U8" s="139">
        <f>AVERAGE(R8:T8)</f>
        <v>0.10612501250923738</v>
      </c>
      <c r="W8" t="s">
        <v>229</v>
      </c>
    </row>
    <row r="9" spans="1:23">
      <c r="A9" s="96" t="s">
        <v>1672</v>
      </c>
      <c r="B9" s="136">
        <f>'Earning Forecast'!B81</f>
        <v>55022092</v>
      </c>
      <c r="C9" s="136">
        <f>'Earning Forecast'!C81</f>
        <v>54500575</v>
      </c>
      <c r="D9" s="136">
        <f>'Earning Forecast'!D81</f>
        <v>71768852</v>
      </c>
      <c r="E9" s="136">
        <f>'Earning Forecast'!E81</f>
        <v>59537327</v>
      </c>
      <c r="F9" s="136">
        <f>'Earning Forecast'!F81</f>
        <v>81957889</v>
      </c>
      <c r="G9" s="136">
        <f>'Earning Forecast'!G81</f>
        <v>109659458</v>
      </c>
      <c r="H9" s="136">
        <f>'Earning Forecast'!H81</f>
        <v>305659258.92905092</v>
      </c>
      <c r="I9" s="136">
        <f>'Earning Forecast'!I81</f>
        <v>431751295.24960929</v>
      </c>
      <c r="J9" s="136">
        <f>'Earning Forecast'!J81</f>
        <v>594287534.98316085</v>
      </c>
      <c r="K9" s="136">
        <f>'Earning Forecast'!K81</f>
        <v>718237299.28548455</v>
      </c>
      <c r="M9" s="96" t="str">
        <f t="shared" si="3"/>
        <v>Automobiles &amp; Related Products</v>
      </c>
      <c r="N9" s="138">
        <f>IFERROR(E9/D9-1,"")</f>
        <v>-0.1704294364357396</v>
      </c>
      <c r="O9" s="138">
        <f t="shared" si="2"/>
        <v>0.37657992270966423</v>
      </c>
      <c r="P9" s="138">
        <f t="shared" si="2"/>
        <v>0.33799759044550304</v>
      </c>
      <c r="Q9" s="138">
        <f t="shared" si="2"/>
        <v>1.7873497143224153</v>
      </c>
      <c r="R9" s="138">
        <f t="shared" si="2"/>
        <v>0.41252483815589769</v>
      </c>
      <c r="S9" s="138">
        <f t="shared" si="2"/>
        <v>0.37645802461248934</v>
      </c>
      <c r="T9" s="139">
        <f>AVERAGE(R9:S9)</f>
        <v>0.39449143138419351</v>
      </c>
      <c r="U9" s="139">
        <f>AVERAGE(S9:T9)</f>
        <v>0.38547472799834143</v>
      </c>
      <c r="W9" t="s">
        <v>229</v>
      </c>
    </row>
    <row r="10" spans="1:23">
      <c r="A10" s="96" t="s">
        <v>568</v>
      </c>
      <c r="B10" s="136">
        <f>'Earning Forecast'!B112</f>
        <v>0</v>
      </c>
      <c r="C10" s="136">
        <f>'Earning Forecast'!C112</f>
        <v>0</v>
      </c>
      <c r="D10" s="136">
        <f>'Earning Forecast'!D112</f>
        <v>0</v>
      </c>
      <c r="E10" s="136">
        <f>'Earning Forecast'!E112</f>
        <v>0</v>
      </c>
      <c r="F10" s="136">
        <f>'Earning Forecast'!F112</f>
        <v>452195</v>
      </c>
      <c r="G10" s="136">
        <f>'Earning Forecast'!G112</f>
        <v>692746</v>
      </c>
      <c r="H10" s="136">
        <f>'Earning Forecast'!H112</f>
        <v>554406</v>
      </c>
      <c r="I10" s="136">
        <f>'Earning Forecast'!I112</f>
        <v>555797.99430103914</v>
      </c>
      <c r="J10" s="136">
        <f>'Earning Forecast'!J112</f>
        <v>557112.76279181812</v>
      </c>
      <c r="K10" s="136">
        <f>'Earning Forecast'!K112</f>
        <v>558261.1036043145</v>
      </c>
      <c r="M10" s="96" t="str">
        <f t="shared" si="3"/>
        <v>Corporate &amp; Other</v>
      </c>
      <c r="O10" s="138" t="str">
        <f t="shared" si="2"/>
        <v/>
      </c>
      <c r="P10" s="138">
        <f t="shared" si="2"/>
        <v>0.53196298057254054</v>
      </c>
      <c r="Q10" s="138">
        <f>IFERROR(H10/G10-1,"")</f>
        <v>-0.19969801341328564</v>
      </c>
      <c r="R10" s="138">
        <f>IFERROR(I10/H10-1,"")</f>
        <v>2.5107850583130364E-3</v>
      </c>
      <c r="S10" s="138">
        <f>IFERROR(J10/I10-1,"")</f>
        <v>2.3655509812201547E-3</v>
      </c>
      <c r="T10" s="139">
        <f>S10</f>
        <v>2.3655509812201547E-3</v>
      </c>
      <c r="U10" s="139">
        <f>T10</f>
        <v>2.3655509812201547E-3</v>
      </c>
    </row>
    <row r="11" spans="1:23">
      <c r="A11" s="369" t="s">
        <v>1629</v>
      </c>
      <c r="B11" s="144">
        <v>0</v>
      </c>
      <c r="C11" s="144">
        <v>0</v>
      </c>
      <c r="D11" s="144">
        <v>0</v>
      </c>
      <c r="E11" s="144">
        <v>0</v>
      </c>
      <c r="F11" s="144">
        <v>0</v>
      </c>
      <c r="G11" s="144">
        <v>0</v>
      </c>
      <c r="H11" s="144">
        <v>0</v>
      </c>
      <c r="I11" s="144">
        <v>0</v>
      </c>
      <c r="J11" s="144">
        <v>0</v>
      </c>
      <c r="K11" s="145" t="str">
        <f>S11</f>
        <v>(￥)</v>
      </c>
      <c r="M11" s="96" t="str">
        <f t="shared" si="3"/>
        <v>Other/Manual Adjustments</v>
      </c>
      <c r="O11" s="146"/>
      <c r="P11" s="146" t="s">
        <v>1630</v>
      </c>
      <c r="Q11" s="146" t="s">
        <v>1630</v>
      </c>
      <c r="R11" s="146" t="s">
        <v>1630</v>
      </c>
      <c r="S11" s="146" t="s">
        <v>1630</v>
      </c>
      <c r="T11" s="147" t="str">
        <f>R11</f>
        <v>(￥)</v>
      </c>
      <c r="U11" s="147" t="str">
        <f>T11</f>
        <v>(￥)</v>
      </c>
    </row>
    <row r="12" spans="1:23" ht="14.5">
      <c r="A12" s="370" t="s">
        <v>1581</v>
      </c>
      <c r="M12" s="119"/>
    </row>
    <row r="13" spans="1:23">
      <c r="A13" s="65" t="s">
        <v>287</v>
      </c>
      <c r="B13" s="492">
        <f>SUM(B14:B17)</f>
        <v>81189440.000000015</v>
      </c>
      <c r="C13" s="492">
        <f t="shared" ref="C13:J13" si="4">SUM(C14:C17)</f>
        <v>84715540</v>
      </c>
      <c r="D13" s="492">
        <f t="shared" si="4"/>
        <v>103724161</v>
      </c>
      <c r="E13" s="492">
        <f t="shared" si="4"/>
        <v>103702123.99999999</v>
      </c>
      <c r="F13" s="492">
        <f t="shared" si="4"/>
        <v>126225592.99999999</v>
      </c>
      <c r="G13" s="492">
        <f t="shared" si="4"/>
        <v>187667357.00000003</v>
      </c>
      <c r="H13" s="492">
        <f t="shared" si="4"/>
        <v>351788162.75349998</v>
      </c>
      <c r="I13" s="492">
        <f t="shared" si="4"/>
        <v>465042159.71132517</v>
      </c>
      <c r="J13" s="492">
        <f t="shared" si="4"/>
        <v>593769645.49723446</v>
      </c>
      <c r="K13" s="492">
        <f>SUM(K14:K17)</f>
        <v>702861126.4154408</v>
      </c>
      <c r="M13" s="119" t="s">
        <v>1632</v>
      </c>
      <c r="N13" s="138">
        <f>E13/E$6</f>
        <v>0.85156616438731747</v>
      </c>
      <c r="O13" s="138">
        <f t="shared" ref="O13:T17" si="5">F13/F$6</f>
        <v>0.82248168466185356</v>
      </c>
      <c r="P13" s="138">
        <f t="shared" si="5"/>
        <v>0.88815631722109811</v>
      </c>
      <c r="Q13" s="138">
        <f t="shared" si="5"/>
        <v>0.82956866803186946</v>
      </c>
      <c r="R13" s="138">
        <f t="shared" si="5"/>
        <v>0.81759859392329626</v>
      </c>
      <c r="S13" s="138">
        <f t="shared" si="5"/>
        <v>0.80964539153184678</v>
      </c>
      <c r="T13" s="138">
        <f t="shared" si="5"/>
        <v>0.80120047694704133</v>
      </c>
      <c r="U13" s="138" t="e">
        <f>#REF!/#REF!</f>
        <v>#REF!</v>
      </c>
    </row>
    <row r="14" spans="1:23">
      <c r="A14" s="96" t="s">
        <v>1671</v>
      </c>
      <c r="B14" s="493">
        <f>'Earning Forecast'!B97</f>
        <v>6178516.3840000005</v>
      </c>
      <c r="C14" s="493">
        <f>'Earning Forecast'!C97</f>
        <v>7598983.9379999992</v>
      </c>
      <c r="D14" s="493">
        <f>'Earning Forecast'!D97</f>
        <v>7727449.9945</v>
      </c>
      <c r="E14" s="493">
        <f>'Earning Forecast'!E97</f>
        <v>8285799.7076000003</v>
      </c>
      <c r="F14" s="493">
        <f>'Earning Forecast'!F97</f>
        <v>9643635.3051999994</v>
      </c>
      <c r="G14" s="493">
        <f>'Earning Forecast'!G97</f>
        <v>14487919.9604</v>
      </c>
      <c r="H14" s="493">
        <f>'Earning Forecast'!H97</f>
        <v>16603098.111867299</v>
      </c>
      <c r="I14" s="493">
        <f>'Earning Forecast'!I97</f>
        <v>24423115.592399918</v>
      </c>
      <c r="J14" s="493">
        <f>'Earning Forecast'!J97</f>
        <v>17011779.327202532</v>
      </c>
      <c r="K14" s="493">
        <f>'Earning Forecast'!K97</f>
        <v>23785698.217245549</v>
      </c>
      <c r="M14" s="155" t="str">
        <f t="shared" ref="M14:M19" si="6">A14</f>
        <v>Rechargeable Batteries &amp; Photovoltaic Business</v>
      </c>
      <c r="N14" s="138">
        <f>E14/E$6</f>
        <v>6.8040136534546686E-2</v>
      </c>
      <c r="O14" s="138">
        <f t="shared" si="5"/>
        <v>6.2837600708165617E-2</v>
      </c>
      <c r="P14" s="138">
        <f t="shared" si="5"/>
        <v>6.8565667689468771E-2</v>
      </c>
      <c r="Q14" s="138">
        <f t="shared" si="5"/>
        <v>3.9152568062715942E-2</v>
      </c>
      <c r="R14" s="138">
        <f t="shared" si="5"/>
        <v>4.2938698246128108E-2</v>
      </c>
      <c r="S14" s="138">
        <f t="shared" si="5"/>
        <v>2.3196720880691135E-2</v>
      </c>
      <c r="T14" s="139">
        <f>AVERAGE(Q14:S14)</f>
        <v>3.5095995729845064E-2</v>
      </c>
      <c r="U14" s="139">
        <f>AVERAGE(R14:T14)</f>
        <v>3.3743804952221436E-2</v>
      </c>
      <c r="W14" t="s">
        <v>229</v>
      </c>
    </row>
    <row r="15" spans="1:23">
      <c r="A15" s="96" t="s">
        <v>566</v>
      </c>
      <c r="B15" s="493">
        <f>'Earning Forecast'!B106</f>
        <v>34684128.767999999</v>
      </c>
      <c r="C15" s="493">
        <f>'Earning Forecast'!C106</f>
        <v>34741842.954000004</v>
      </c>
      <c r="D15" s="493">
        <f>'Earning Forecast'!D106</f>
        <v>35214352.659500003</v>
      </c>
      <c r="E15" s="493">
        <f>'Earning Forecast'!E106</f>
        <v>46925211.109999999</v>
      </c>
      <c r="F15" s="493">
        <f>'Earning Forecast'!F106</f>
        <v>53317690.483199999</v>
      </c>
      <c r="G15" s="493">
        <f>'Earning Forecast'!G106</f>
        <v>79758626.725000009</v>
      </c>
      <c r="H15" s="493">
        <f>'Earning Forecast'!H106</f>
        <v>92879339.520000011</v>
      </c>
      <c r="I15" s="493">
        <f>'Earning Forecast'!I106</f>
        <v>100384603.33667597</v>
      </c>
      <c r="J15" s="493">
        <f>'Earning Forecast'!J106</f>
        <v>111428602.54217529</v>
      </c>
      <c r="K15" s="493">
        <f>'Earning Forecast'!K106</f>
        <v>122553077.91163027</v>
      </c>
      <c r="M15" s="120" t="str">
        <f t="shared" si="6"/>
        <v>Mobile Handset Components &amp; Assembly Service</v>
      </c>
      <c r="N15" s="138">
        <f t="shared" ref="N15:N17" si="7">E15/E$6</f>
        <v>0.38533368938526125</v>
      </c>
      <c r="O15" s="138">
        <f t="shared" si="5"/>
        <v>0.34741626360116701</v>
      </c>
      <c r="P15" s="138">
        <f t="shared" si="5"/>
        <v>0.37746643481896669</v>
      </c>
      <c r="Q15" s="138">
        <f t="shared" si="5"/>
        <v>0.21902325925410804</v>
      </c>
      <c r="R15" s="138">
        <f t="shared" si="5"/>
        <v>0.17648789217425301</v>
      </c>
      <c r="S15" s="138">
        <f t="shared" si="5"/>
        <v>0.15194049614569974</v>
      </c>
      <c r="T15" s="139">
        <f>AVERAGE(R15:S15)</f>
        <v>0.16421419415997637</v>
      </c>
      <c r="U15" s="139">
        <f>AVERAGE(S15:T15)</f>
        <v>0.15807734515283806</v>
      </c>
      <c r="W15" t="s">
        <v>285</v>
      </c>
    </row>
    <row r="16" spans="1:23">
      <c r="A16" s="96" t="s">
        <v>1672</v>
      </c>
      <c r="B16" s="493">
        <f>'Earning Forecast'!B84</f>
        <v>40310556.960000001</v>
      </c>
      <c r="C16" s="493">
        <f>'Earning Forecast'!C84</f>
        <v>42332355.338</v>
      </c>
      <c r="D16" s="493">
        <f>'Earning Forecast'!D84</f>
        <v>58168509.488799997</v>
      </c>
      <c r="E16" s="493">
        <f>'Earning Forecast'!E84</f>
        <v>47941491.925200008</v>
      </c>
      <c r="F16" s="493">
        <f>'Earning Forecast'!F84</f>
        <v>62809855.076799996</v>
      </c>
      <c r="G16" s="493">
        <f>'Earning Forecast'!G84</f>
        <v>92763974.565099999</v>
      </c>
      <c r="H16" s="493">
        <f>'Earning Forecast'!H84</f>
        <v>241883546.30563271</v>
      </c>
      <c r="I16" s="493">
        <f>'Earning Forecast'!I84</f>
        <v>339731524.54625851</v>
      </c>
      <c r="J16" s="493">
        <f>'Earning Forecast'!J84</f>
        <v>464843737.18609267</v>
      </c>
      <c r="K16" s="493">
        <f>'Earning Forecast'!K84</f>
        <v>556050088.05808425</v>
      </c>
      <c r="M16" s="120" t="str">
        <f t="shared" si="6"/>
        <v>Automobiles &amp; Related Products</v>
      </c>
      <c r="N16" s="138">
        <f t="shared" si="7"/>
        <v>0.39367903779625701</v>
      </c>
      <c r="O16" s="138">
        <f t="shared" si="5"/>
        <v>0.40926688628773839</v>
      </c>
      <c r="P16" s="138">
        <f t="shared" si="5"/>
        <v>0.43901566760238875</v>
      </c>
      <c r="Q16" s="138">
        <f>H16/H$6</f>
        <v>0.5703972804457087</v>
      </c>
      <c r="R16" s="138">
        <f t="shared" si="5"/>
        <v>0.59728781784615126</v>
      </c>
      <c r="S16" s="138">
        <f t="shared" si="5"/>
        <v>0.63384612610163116</v>
      </c>
      <c r="T16" s="139">
        <f>S16</f>
        <v>0.63384612610163116</v>
      </c>
      <c r="U16" s="139">
        <f>S16</f>
        <v>0.63384612610163116</v>
      </c>
    </row>
    <row r="17" spans="1:23">
      <c r="A17" s="96" t="s">
        <v>568</v>
      </c>
      <c r="B17" s="493">
        <f>'Earning Forecast'!B115</f>
        <v>16237.888000007226</v>
      </c>
      <c r="C17" s="493">
        <f>'Earning Forecast'!C115</f>
        <v>42357.769999996512</v>
      </c>
      <c r="D17" s="493">
        <f>'Earning Forecast'!D115</f>
        <v>2613848.8572000014</v>
      </c>
      <c r="E17" s="493">
        <f>'Earning Forecast'!E115</f>
        <v>549621.25719999417</v>
      </c>
      <c r="F17" s="493">
        <f>'Earning Forecast'!F115</f>
        <v>454412.13479999552</v>
      </c>
      <c r="G17" s="493">
        <f>'Earning Forecast'!G115</f>
        <v>656835.74949999794</v>
      </c>
      <c r="H17" s="493">
        <f>'Earning Forecast'!H115</f>
        <v>422178.81599999254</v>
      </c>
      <c r="I17" s="493">
        <f>'Earning Forecast'!I115</f>
        <v>502916.23599074961</v>
      </c>
      <c r="J17" s="493">
        <f>'Earning Forecast'!J115</f>
        <v>485526.44176399568</v>
      </c>
      <c r="K17" s="493">
        <f>'Earning Forecast'!K115</f>
        <v>472262.22848073178</v>
      </c>
      <c r="M17" s="120" t="str">
        <f t="shared" si="6"/>
        <v>Corporate &amp; Other</v>
      </c>
      <c r="N17" s="138">
        <f t="shared" si="7"/>
        <v>4.5133006712527353E-3</v>
      </c>
      <c r="O17" s="138">
        <f t="shared" si="5"/>
        <v>2.9609340647826442E-3</v>
      </c>
      <c r="P17" s="138">
        <f>G17/G$6</f>
        <v>3.1085471102738332E-3</v>
      </c>
      <c r="Q17" s="138">
        <f t="shared" si="5"/>
        <v>9.9556026933683706E-4</v>
      </c>
      <c r="R17" s="138">
        <f t="shared" si="5"/>
        <v>8.8418565676384199E-4</v>
      </c>
      <c r="S17" s="138">
        <f t="shared" si="5"/>
        <v>6.6204840382482236E-4</v>
      </c>
      <c r="T17" s="139">
        <f>AVERAGE(Q17:S17)</f>
        <v>8.4726477664183377E-4</v>
      </c>
      <c r="U17" s="139">
        <f>AVERAGE(R17:T17)</f>
        <v>7.978329457434993E-4</v>
      </c>
      <c r="W17" t="s">
        <v>229</v>
      </c>
    </row>
    <row r="18" spans="1:23">
      <c r="A18" s="369" t="s">
        <v>1673</v>
      </c>
      <c r="B18" s="144">
        <v>0</v>
      </c>
      <c r="C18" s="144">
        <v>0</v>
      </c>
      <c r="D18" s="144">
        <v>0</v>
      </c>
      <c r="E18" s="144">
        <v>0</v>
      </c>
      <c r="F18" s="144">
        <v>0</v>
      </c>
      <c r="G18" s="144">
        <v>0</v>
      </c>
      <c r="H18" s="144">
        <v>0</v>
      </c>
      <c r="I18" s="144">
        <v>0</v>
      </c>
      <c r="J18" s="144">
        <v>0</v>
      </c>
      <c r="K18" s="144">
        <v>0</v>
      </c>
      <c r="M18" s="120" t="str">
        <f t="shared" si="6"/>
        <v>Implementation</v>
      </c>
      <c r="N18" s="144">
        <v>0</v>
      </c>
      <c r="O18" s="144">
        <v>0</v>
      </c>
      <c r="P18" s="144">
        <v>0</v>
      </c>
      <c r="Q18" s="144">
        <v>0</v>
      </c>
      <c r="R18" s="144">
        <v>0</v>
      </c>
      <c r="S18" s="144">
        <v>0</v>
      </c>
      <c r="T18" s="147">
        <f t="shared" ref="T18:U19" si="8">S18</f>
        <v>0</v>
      </c>
      <c r="U18" s="147">
        <f t="shared" si="8"/>
        <v>0</v>
      </c>
    </row>
    <row r="19" spans="1:23">
      <c r="A19" s="369" t="s">
        <v>1674</v>
      </c>
      <c r="B19" s="144">
        <v>0</v>
      </c>
      <c r="C19" s="144">
        <v>0</v>
      </c>
      <c r="D19" s="144">
        <v>0</v>
      </c>
      <c r="E19" s="144">
        <v>0</v>
      </c>
      <c r="F19" s="144">
        <v>0</v>
      </c>
      <c r="G19" s="144">
        <v>0</v>
      </c>
      <c r="H19" s="144">
        <v>0</v>
      </c>
      <c r="I19" s="144">
        <v>0</v>
      </c>
      <c r="J19" s="144">
        <v>0</v>
      </c>
      <c r="K19" s="144">
        <v>0</v>
      </c>
      <c r="M19" s="120" t="str">
        <f t="shared" si="6"/>
        <v>Fixed</v>
      </c>
      <c r="N19" s="144">
        <v>0</v>
      </c>
      <c r="O19" s="144">
        <v>0</v>
      </c>
      <c r="P19" s="144" t="s">
        <v>1630</v>
      </c>
      <c r="Q19" s="144" t="s">
        <v>1630</v>
      </c>
      <c r="R19" s="144" t="s">
        <v>1630</v>
      </c>
      <c r="S19" s="144" t="s">
        <v>1630</v>
      </c>
      <c r="T19" s="147" t="str">
        <f t="shared" si="8"/>
        <v>(￥)</v>
      </c>
      <c r="U19" s="147" t="str">
        <f t="shared" si="8"/>
        <v>(￥)</v>
      </c>
    </row>
    <row r="20" spans="1:23" ht="14.5">
      <c r="A20" s="371" t="s">
        <v>1581</v>
      </c>
    </row>
    <row r="21" spans="1:23">
      <c r="A21" s="65" t="s">
        <v>511</v>
      </c>
      <c r="B21" s="492">
        <f>B6-B13</f>
        <v>19018262.999999985</v>
      </c>
      <c r="C21" s="492">
        <f t="shared" ref="C21:K21" si="9">C6-C13</f>
        <v>17935074</v>
      </c>
      <c r="D21" s="492">
        <f t="shared" si="9"/>
        <v>18066764</v>
      </c>
      <c r="E21" s="492">
        <f t="shared" si="9"/>
        <v>18075993.000000015</v>
      </c>
      <c r="F21" s="492">
        <f t="shared" si="9"/>
        <v>27243591.000000015</v>
      </c>
      <c r="G21" s="492">
        <f t="shared" si="9"/>
        <v>23632560.99999997</v>
      </c>
      <c r="H21" s="492">
        <f t="shared" si="9"/>
        <v>72273372.246500015</v>
      </c>
      <c r="I21" s="492">
        <f t="shared" si="9"/>
        <v>103748152.75703692</v>
      </c>
      <c r="J21" s="492">
        <f t="shared" si="9"/>
        <v>139600360.31953919</v>
      </c>
      <c r="K21" s="492">
        <f t="shared" si="9"/>
        <v>174398868.60313344</v>
      </c>
      <c r="M21" s="119" t="s">
        <v>1633</v>
      </c>
      <c r="N21" s="132">
        <f t="shared" ref="N21:T21" si="10">IFERROR(E21/E6,"")</f>
        <v>0.1484338356126825</v>
      </c>
      <c r="O21" s="132">
        <f t="shared" si="10"/>
        <v>0.17751831533814641</v>
      </c>
      <c r="P21" s="132">
        <f t="shared" si="10"/>
        <v>0.11184368277890183</v>
      </c>
      <c r="Q21" s="132">
        <f t="shared" si="10"/>
        <v>0.17043133196813057</v>
      </c>
      <c r="R21" s="132">
        <f t="shared" si="10"/>
        <v>0.18240140607670374</v>
      </c>
      <c r="S21" s="132">
        <f t="shared" si="10"/>
        <v>0.19035460846815322</v>
      </c>
      <c r="T21" s="132">
        <f t="shared" si="10"/>
        <v>0.19879952305295864</v>
      </c>
      <c r="U21" s="132" t="str">
        <f>IFERROR(#REF!/#REF!,"")</f>
        <v/>
      </c>
    </row>
    <row r="22" spans="1:23" ht="14.5">
      <c r="A22" s="371" t="s">
        <v>1581</v>
      </c>
    </row>
    <row r="23" spans="1:23">
      <c r="A23" s="65" t="s">
        <v>1582</v>
      </c>
      <c r="B23" s="492">
        <f>SUM(B24:B26)</f>
        <v>11058372</v>
      </c>
      <c r="C23" s="492">
        <f t="shared" ref="C23:K23" si="11">SUM(C24:C26)</f>
        <v>11712513</v>
      </c>
      <c r="D23" s="492">
        <f t="shared" si="11"/>
        <v>13545220</v>
      </c>
      <c r="E23" s="492">
        <f t="shared" si="11"/>
        <v>14207585</v>
      </c>
      <c r="F23" s="492">
        <f t="shared" si="11"/>
        <v>16916104</v>
      </c>
      <c r="G23" s="492">
        <f t="shared" si="11"/>
        <v>19814894</v>
      </c>
      <c r="H23" s="492">
        <f t="shared" si="11"/>
        <v>43722499</v>
      </c>
      <c r="I23" s="492">
        <f t="shared" si="11"/>
        <v>61016608.695253298</v>
      </c>
      <c r="J23" s="492">
        <f t="shared" si="11"/>
        <v>81560799.078649759</v>
      </c>
      <c r="K23" s="492">
        <f t="shared" si="11"/>
        <v>102825790.74901947</v>
      </c>
      <c r="M23" s="119" t="s">
        <v>1634</v>
      </c>
    </row>
    <row r="24" spans="1:23">
      <c r="A24" s="369" t="s">
        <v>1583</v>
      </c>
      <c r="B24" s="493">
        <f>'Earning Forecast'!B126</f>
        <v>7886678</v>
      </c>
      <c r="C24" s="493">
        <f>'Earning Forecast'!C126</f>
        <v>7973022</v>
      </c>
      <c r="D24" s="493">
        <f>'Earning Forecast'!D126</f>
        <v>8555860</v>
      </c>
      <c r="E24" s="493">
        <f>'Earning Forecast'!E126</f>
        <v>8578213</v>
      </c>
      <c r="F24" s="493">
        <f>'Earning Forecast'!F126</f>
        <v>9451243</v>
      </c>
      <c r="G24" s="493">
        <f>'Earning Forecast'!G126</f>
        <v>11823920</v>
      </c>
      <c r="H24" s="493">
        <f>'Earning Forecast'!H126</f>
        <v>25068046</v>
      </c>
      <c r="I24" s="493">
        <f>'Earning Forecast'!I126</f>
        <v>33493434.80994438</v>
      </c>
      <c r="J24" s="493">
        <f>'Earning Forecast'!J126</f>
        <v>42525082.884315692</v>
      </c>
      <c r="K24" s="493">
        <f>'Earning Forecast'!K126</f>
        <v>51461651.072139837</v>
      </c>
      <c r="M24" s="155" t="str">
        <f t="shared" ref="M24:M27" si="12">A24</f>
        <v>Selling General &amp; Admin Exp.</v>
      </c>
      <c r="N24" s="138">
        <f>IFERROR(E24/E$6,"")</f>
        <v>7.0441333889240537E-2</v>
      </c>
      <c r="O24" s="138">
        <f t="shared" ref="O24:S26" si="13">IFERROR(F24/F$6,"")</f>
        <v>6.1583978970006122E-2</v>
      </c>
      <c r="P24" s="138">
        <f t="shared" si="13"/>
        <v>5.5957996159752416E-2</v>
      </c>
      <c r="Q24" s="138">
        <f t="shared" si="13"/>
        <v>5.9114170777125538E-2</v>
      </c>
      <c r="R24" s="138">
        <f t="shared" si="13"/>
        <v>5.8885381968961349E-2</v>
      </c>
      <c r="S24" s="138">
        <f t="shared" si="13"/>
        <v>5.7985849635279779E-2</v>
      </c>
      <c r="T24" s="139">
        <f t="shared" ref="T24:U24" si="14">S24</f>
        <v>5.7985849635279779E-2</v>
      </c>
      <c r="U24" s="139">
        <f t="shared" si="14"/>
        <v>5.7985849635279779E-2</v>
      </c>
    </row>
    <row r="25" spans="1:23">
      <c r="A25" s="369" t="s">
        <v>770</v>
      </c>
      <c r="B25" s="144">
        <v>0</v>
      </c>
      <c r="C25" s="144">
        <v>0</v>
      </c>
      <c r="D25" s="144">
        <v>0</v>
      </c>
      <c r="E25" s="144">
        <v>0</v>
      </c>
      <c r="F25" s="144">
        <v>0</v>
      </c>
      <c r="G25" s="144">
        <v>0</v>
      </c>
      <c r="H25" s="144">
        <v>0</v>
      </c>
      <c r="I25" s="144">
        <v>0</v>
      </c>
      <c r="J25" s="144">
        <v>0</v>
      </c>
      <c r="K25" s="144">
        <v>0</v>
      </c>
      <c r="M25" s="120" t="str">
        <f t="shared" si="12"/>
        <v>Depreciation &amp; Amort.</v>
      </c>
      <c r="N25" s="138">
        <f>IFERROR(E25/E$6,"")</f>
        <v>0</v>
      </c>
      <c r="O25" s="138">
        <f t="shared" si="13"/>
        <v>0</v>
      </c>
      <c r="P25" s="138">
        <f t="shared" si="13"/>
        <v>0</v>
      </c>
      <c r="Q25" s="138">
        <f t="shared" si="13"/>
        <v>0</v>
      </c>
      <c r="R25" s="138">
        <f t="shared" si="13"/>
        <v>0</v>
      </c>
      <c r="S25" s="138">
        <f t="shared" si="13"/>
        <v>0</v>
      </c>
      <c r="T25" s="139">
        <f t="shared" ref="T25:U25" si="15">S25*0.95</f>
        <v>0</v>
      </c>
      <c r="U25" s="139">
        <f t="shared" si="15"/>
        <v>0</v>
      </c>
    </row>
    <row r="26" spans="1:23">
      <c r="A26" s="369" t="s">
        <v>1675</v>
      </c>
      <c r="B26" s="493">
        <f>'Earning Forecast'!B128</f>
        <v>3171694</v>
      </c>
      <c r="C26" s="493">
        <f>'Earning Forecast'!C128</f>
        <v>3739491</v>
      </c>
      <c r="D26" s="493">
        <f>'Earning Forecast'!D128</f>
        <v>4989360</v>
      </c>
      <c r="E26" s="493">
        <f>'Earning Forecast'!E128</f>
        <v>5629372</v>
      </c>
      <c r="F26" s="493">
        <f>'Earning Forecast'!F128</f>
        <v>7464861</v>
      </c>
      <c r="G26" s="493">
        <f>'Earning Forecast'!G128</f>
        <v>7990974</v>
      </c>
      <c r="H26" s="493">
        <f>'Earning Forecast'!H128</f>
        <v>18654453</v>
      </c>
      <c r="I26" s="493">
        <f>'Earning Forecast'!I128</f>
        <v>27523173.885308918</v>
      </c>
      <c r="J26" s="493">
        <f>'Earning Forecast'!J128</f>
        <v>39035716.194334075</v>
      </c>
      <c r="K26" s="493">
        <f>'Earning Forecast'!K128</f>
        <v>51364139.676879629</v>
      </c>
      <c r="M26" s="120" t="str">
        <f t="shared" si="12"/>
        <v>R&amp;D</v>
      </c>
      <c r="N26" s="138">
        <f t="shared" ref="N26" si="16">IFERROR(E26/E$6,"")</f>
        <v>4.6226466122809243E-2</v>
      </c>
      <c r="O26" s="138">
        <f t="shared" si="13"/>
        <v>4.8640781200739294E-2</v>
      </c>
      <c r="P26" s="138">
        <f t="shared" si="13"/>
        <v>3.7818159494032555E-2</v>
      </c>
      <c r="Q26" s="138">
        <f t="shared" si="13"/>
        <v>4.3989967163609874E-2</v>
      </c>
      <c r="R26" s="138">
        <f t="shared" si="13"/>
        <v>4.8388963879970867E-2</v>
      </c>
      <c r="S26" s="138">
        <f t="shared" si="13"/>
        <v>5.3227860267967955E-2</v>
      </c>
      <c r="T26" s="139">
        <f t="shared" ref="T26:U27" si="17">S26</f>
        <v>5.3227860267967955E-2</v>
      </c>
      <c r="U26" s="139">
        <f t="shared" si="17"/>
        <v>5.3227860267967955E-2</v>
      </c>
    </row>
    <row r="27" spans="1:23">
      <c r="A27" s="369" t="s">
        <v>1584</v>
      </c>
      <c r="M27" s="120" t="str">
        <f t="shared" si="12"/>
        <v>Manual Adjustments</v>
      </c>
      <c r="N27" s="138"/>
      <c r="P27" s="144" t="s">
        <v>1630</v>
      </c>
      <c r="Q27" s="144" t="s">
        <v>1630</v>
      </c>
      <c r="R27" s="144" t="s">
        <v>1630</v>
      </c>
      <c r="S27" s="144" t="s">
        <v>1630</v>
      </c>
      <c r="T27" s="147" t="str">
        <f t="shared" si="17"/>
        <v>(￥)</v>
      </c>
      <c r="U27" s="147" t="str">
        <f t="shared" si="17"/>
        <v>(￥)</v>
      </c>
    </row>
    <row r="28" spans="1:23" ht="14.5">
      <c r="A28" s="371" t="s">
        <v>1581</v>
      </c>
    </row>
    <row r="29" spans="1:23">
      <c r="A29" s="65" t="s">
        <v>532</v>
      </c>
      <c r="B29" s="492">
        <f>B21-B23</f>
        <v>7959890.9999999851</v>
      </c>
      <c r="C29" s="492">
        <f>C21-C23</f>
        <v>6222561</v>
      </c>
      <c r="D29" s="492">
        <f t="shared" ref="D29:J29" si="18">D21-D23</f>
        <v>4521544</v>
      </c>
      <c r="E29" s="492">
        <f t="shared" si="18"/>
        <v>3868408.0000000149</v>
      </c>
      <c r="F29" s="492">
        <f t="shared" si="18"/>
        <v>10327487.000000015</v>
      </c>
      <c r="G29" s="492">
        <f t="shared" si="18"/>
        <v>3817666.9999999702</v>
      </c>
      <c r="H29" s="492">
        <f t="shared" si="18"/>
        <v>28550873.246500015</v>
      </c>
      <c r="I29" s="492">
        <f t="shared" si="18"/>
        <v>42731544.061783627</v>
      </c>
      <c r="J29" s="492">
        <f t="shared" si="18"/>
        <v>58039561.24088943</v>
      </c>
      <c r="K29" s="492">
        <f>K21-K23</f>
        <v>71573077.854113966</v>
      </c>
      <c r="M29" s="119" t="s">
        <v>1635</v>
      </c>
      <c r="N29" s="154">
        <f t="shared" ref="N29:T29" si="19">IFERROR(E29/E6,"")</f>
        <v>3.1766035600632708E-2</v>
      </c>
      <c r="O29" s="154">
        <f t="shared" si="19"/>
        <v>6.7293555167401001E-2</v>
      </c>
      <c r="P29" s="154">
        <f t="shared" si="19"/>
        <v>1.8067527125116868E-2</v>
      </c>
      <c r="Q29" s="154">
        <f t="shared" si="19"/>
        <v>6.7327194027395135E-2</v>
      </c>
      <c r="R29" s="154">
        <f t="shared" si="19"/>
        <v>7.5127060227771533E-2</v>
      </c>
      <c r="S29" s="154">
        <f t="shared" si="19"/>
        <v>7.9140898564905485E-2</v>
      </c>
      <c r="T29" s="154">
        <f t="shared" si="19"/>
        <v>8.1587075964404995E-2</v>
      </c>
      <c r="U29" s="154" t="str">
        <f>IFERROR(#REF!/#REF!,"")</f>
        <v/>
      </c>
    </row>
    <row r="30" spans="1:23" ht="15">
      <c r="A30" s="65" t="s">
        <v>1676</v>
      </c>
      <c r="B30" s="85">
        <f>'Earning Forecast'!B136</f>
        <v>1799609</v>
      </c>
      <c r="C30" s="85">
        <f>'Earning Forecast'!C136</f>
        <v>2342770</v>
      </c>
      <c r="D30" s="85">
        <f>'Earning Forecast'!D136</f>
        <v>3480516</v>
      </c>
      <c r="E30" s="85">
        <f>'Earning Forecast'!E136</f>
        <v>3487407</v>
      </c>
      <c r="F30" s="85">
        <f>'Earning Forecast'!F136</f>
        <v>3123801</v>
      </c>
      <c r="G30" s="85">
        <f>'Earning Forecast'!G136</f>
        <v>1907642</v>
      </c>
      <c r="H30" s="876">
        <f>-G46*1.65%+(G62+G66)*4.6%</f>
        <v>637933.71349999995</v>
      </c>
      <c r="I30" s="876">
        <f t="shared" ref="I30:K30" si="20">-H46*1.65%+(H62+H66)*4.6%</f>
        <v>1314762.3973059254</v>
      </c>
      <c r="J30" s="876">
        <f t="shared" si="20"/>
        <v>1447935.7662802897</v>
      </c>
      <c r="K30" s="876">
        <f t="shared" si="20"/>
        <v>1901850.2489417852</v>
      </c>
      <c r="M30" s="120" t="str">
        <f>A30</f>
        <v>Financial Cost</v>
      </c>
      <c r="N30" s="138">
        <f>IFERROR(E30/E$6,"")</f>
        <v>2.8637386469032036E-2</v>
      </c>
      <c r="O30" s="138">
        <f t="shared" ref="O30:S30" si="21">IFERROR(F30/F$6,"")</f>
        <v>2.035458141225277E-2</v>
      </c>
      <c r="P30" s="138">
        <f t="shared" si="21"/>
        <v>9.0281246583351731E-3</v>
      </c>
      <c r="Q30" s="138">
        <f t="shared" si="21"/>
        <v>1.5043423202719859E-3</v>
      </c>
      <c r="R30" s="138">
        <f t="shared" si="21"/>
        <v>2.3115063117026217E-3</v>
      </c>
      <c r="S30" s="138">
        <f t="shared" si="21"/>
        <v>1.9743591294924655E-3</v>
      </c>
      <c r="T30" s="494">
        <f>S30</f>
        <v>1.9743591294924655E-3</v>
      </c>
      <c r="U30" s="494">
        <f>T30</f>
        <v>1.9743591294924655E-3</v>
      </c>
      <c r="W30" s="495" t="s">
        <v>1677</v>
      </c>
    </row>
    <row r="31" spans="1:23" ht="14.5">
      <c r="A31" s="371" t="s">
        <v>1581</v>
      </c>
      <c r="G31" s="876"/>
    </row>
    <row r="32" spans="1:23">
      <c r="A32" s="49" t="s">
        <v>1678</v>
      </c>
      <c r="B32" s="85">
        <f>'Earning Forecast'!B131-'Earning Forecast'!B135</f>
        <v>297013</v>
      </c>
      <c r="C32" s="85">
        <f>'Earning Forecast'!C131-'Earning Forecast'!C135</f>
        <v>689565</v>
      </c>
      <c r="D32" s="85">
        <f>'Earning Forecast'!D131-'Earning Forecast'!D135</f>
        <v>1541682</v>
      </c>
      <c r="E32" s="85">
        <f>'Earning Forecast'!E131-'Earning Forecast'!E135</f>
        <v>1761414</v>
      </c>
      <c r="F32" s="136">
        <f>'Earning Forecast'!F131-'Earning Forecast'!F135</f>
        <v>-356613</v>
      </c>
      <c r="G32" s="85">
        <f>'Earning Forecast'!G131-'Earning Forecast'!G135</f>
        <v>1023106</v>
      </c>
      <c r="H32" s="85">
        <f>'Earning Forecast'!H131-'Earning Forecast'!H135</f>
        <v>-9066436.2464999408</v>
      </c>
      <c r="I32" s="85">
        <f>'Earning Forecast'!I131-'Earning Forecast'!I135</f>
        <v>-2799981.0821666466</v>
      </c>
      <c r="J32" s="85">
        <f>'Earning Forecast'!J131-'Earning Forecast'!J135</f>
        <v>-3614437.1095555285</v>
      </c>
      <c r="K32" s="85">
        <f>'Earning Forecast'!K131-'Earning Forecast'!K135</f>
        <v>-5160284.812740705</v>
      </c>
      <c r="M32" s="120" t="str">
        <f t="shared" ref="M32:M36" si="22">A32</f>
        <v>Other income/(expense), net</v>
      </c>
      <c r="N32" s="138">
        <f>IFERROR(E32/E$6,"")</f>
        <v>1.4464125767357694E-2</v>
      </c>
      <c r="O32" s="138">
        <f t="shared" ref="O32:S36" si="23">IFERROR(F32/F$6,"")</f>
        <v>-2.3236782180323574E-3</v>
      </c>
      <c r="P32" s="138">
        <f>IFERROR(G32/G$6,"")</f>
        <v>4.8419611786124786E-3</v>
      </c>
      <c r="Q32" s="138">
        <f t="shared" si="23"/>
        <v>-2.138000148138864E-2</v>
      </c>
      <c r="R32" s="138">
        <f t="shared" si="23"/>
        <v>-4.9226947449503029E-3</v>
      </c>
      <c r="S32" s="138">
        <f t="shared" si="23"/>
        <v>-4.9285314110031455E-3</v>
      </c>
      <c r="T32" s="494">
        <f>S32</f>
        <v>-4.9285314110031455E-3</v>
      </c>
      <c r="U32" s="494">
        <f t="shared" ref="U32" si="24">T32</f>
        <v>-4.9285314110031455E-3</v>
      </c>
    </row>
    <row r="33" spans="1:23">
      <c r="A33" s="49" t="s">
        <v>571</v>
      </c>
      <c r="B33" s="85">
        <f>'Earning Forecast'!B132</f>
        <v>710939</v>
      </c>
      <c r="C33" s="85">
        <f>'Earning Forecast'!C132</f>
        <v>1275807</v>
      </c>
      <c r="D33" s="85">
        <f>'Earning Forecast'!D132</f>
        <v>2332863</v>
      </c>
      <c r="E33" s="85">
        <f>'Earning Forecast'!E132</f>
        <v>1707657</v>
      </c>
      <c r="F33" s="85">
        <f>'Earning Forecast'!F132</f>
        <v>1688142</v>
      </c>
      <c r="G33" s="85">
        <f>'Earning Forecast'!G132</f>
        <v>2263485</v>
      </c>
      <c r="H33" s="85">
        <f>'Earning Forecast'!H132</f>
        <v>1675542</v>
      </c>
      <c r="I33" s="85">
        <f>'Earning Forecast'!I132</f>
        <v>1875723</v>
      </c>
      <c r="J33" s="85">
        <f>'Earning Forecast'!J132</f>
        <v>1938250</v>
      </c>
      <c r="K33" s="85">
        <f>'Earning Forecast'!K132</f>
        <v>1829838.3333333333</v>
      </c>
      <c r="M33" s="120" t="str">
        <f t="shared" si="22"/>
        <v>Government grants and subsidies</v>
      </c>
      <c r="N33" s="138">
        <f t="shared" ref="N33:N36" si="25">IFERROR(E33/E$6,"")</f>
        <v>1.4022691778031024E-2</v>
      </c>
      <c r="O33" s="138">
        <f t="shared" si="23"/>
        <v>1.0999876040260955E-2</v>
      </c>
      <c r="P33" s="138">
        <f t="shared" si="23"/>
        <v>1.0712190621862901E-2</v>
      </c>
      <c r="Q33" s="138">
        <f t="shared" si="23"/>
        <v>3.9511765668631084E-3</v>
      </c>
      <c r="R33" s="138">
        <f t="shared" si="23"/>
        <v>3.2977407647116594E-3</v>
      </c>
      <c r="S33" s="138">
        <f t="shared" si="23"/>
        <v>2.6429360140538057E-3</v>
      </c>
      <c r="T33" s="494">
        <f t="shared" ref="T33:U34" si="26">S33</f>
        <v>2.6429360140538057E-3</v>
      </c>
      <c r="U33" s="494">
        <f t="shared" si="26"/>
        <v>2.6429360140538057E-3</v>
      </c>
    </row>
    <row r="34" spans="1:23">
      <c r="A34" s="49" t="s">
        <v>572</v>
      </c>
      <c r="B34" s="144">
        <v>0</v>
      </c>
      <c r="C34" s="144">
        <v>0</v>
      </c>
      <c r="D34" s="85">
        <f>'Earning Forecast'!D133</f>
        <v>332080</v>
      </c>
      <c r="E34" s="85">
        <f>'Earning Forecast'!E133</f>
        <v>477031</v>
      </c>
      <c r="F34" s="85">
        <f>'Earning Forecast'!F133</f>
        <v>1166268</v>
      </c>
      <c r="G34" s="85">
        <f>'Earning Forecast'!G133</f>
        <v>444553</v>
      </c>
      <c r="H34" s="85">
        <f>'Earning Forecast'!H133</f>
        <v>989521</v>
      </c>
      <c r="I34" s="85">
        <f>'Earning Forecast'!I133</f>
        <v>866780.66666666663</v>
      </c>
      <c r="J34" s="85">
        <f>'Earning Forecast'!J133</f>
        <v>766951.5555555555</v>
      </c>
      <c r="K34" s="85">
        <f>'Earning Forecast'!K133</f>
        <v>874417.74074074067</v>
      </c>
      <c r="M34" s="120" t="str">
        <f t="shared" si="22"/>
        <v>Impairment losses on financial and contract assets</v>
      </c>
      <c r="N34" s="138">
        <f t="shared" si="25"/>
        <v>3.9172144532338268E-3</v>
      </c>
      <c r="O34" s="138">
        <f t="shared" si="23"/>
        <v>7.5993627489411818E-3</v>
      </c>
      <c r="P34" s="138">
        <f t="shared" si="23"/>
        <v>2.1038957525766765E-3</v>
      </c>
      <c r="Q34" s="138">
        <f t="shared" si="23"/>
        <v>2.3334372923024013E-3</v>
      </c>
      <c r="R34" s="138">
        <f t="shared" si="23"/>
        <v>1.5239019506241673E-3</v>
      </c>
      <c r="S34" s="138">
        <f t="shared" si="23"/>
        <v>1.0457907324712321E-3</v>
      </c>
      <c r="T34" s="494">
        <f>S34</f>
        <v>1.0457907324712321E-3</v>
      </c>
      <c r="U34" s="494">
        <f t="shared" si="26"/>
        <v>1.0457907324712321E-3</v>
      </c>
    </row>
    <row r="35" spans="1:23">
      <c r="A35" s="49" t="s">
        <v>573</v>
      </c>
      <c r="B35" s="144">
        <v>0</v>
      </c>
      <c r="C35" s="144">
        <v>0</v>
      </c>
      <c r="D35" s="136">
        <f>'Earning Forecast'!D134</f>
        <v>-26871</v>
      </c>
      <c r="E35" s="85">
        <f>'Earning Forecast'!E134</f>
        <v>519134</v>
      </c>
      <c r="F35" s="85">
        <f>'Earning Forecast'!F134</f>
        <v>299523</v>
      </c>
      <c r="G35" s="85">
        <f>'Earning Forecast'!G134</f>
        <v>88765</v>
      </c>
      <c r="H35" s="85">
        <f>'Earning Forecast'!H134</f>
        <v>22719</v>
      </c>
      <c r="I35" s="85">
        <f>'Earning Forecast'!I134</f>
        <v>137002.33333333334</v>
      </c>
      <c r="J35" s="85">
        <f>'Earning Forecast'!J134</f>
        <v>82828.777777777781</v>
      </c>
      <c r="K35" s="85">
        <f>'Earning Forecast'!K134</f>
        <v>80850.037037037036</v>
      </c>
      <c r="M35" s="120" t="str">
        <f t="shared" si="22"/>
        <v>Loss on derecognition of financial assets measured at amortised cost</v>
      </c>
      <c r="N35" s="138">
        <f t="shared" si="25"/>
        <v>4.2629498040275991E-3</v>
      </c>
      <c r="O35" s="138">
        <f t="shared" si="23"/>
        <v>1.9516817135093389E-3</v>
      </c>
      <c r="P35" s="138">
        <f t="shared" si="23"/>
        <v>4.200900825716364E-4</v>
      </c>
      <c r="Q35" s="138">
        <f t="shared" si="23"/>
        <v>5.357477187833129E-5</v>
      </c>
      <c r="R35" s="138">
        <f t="shared" si="23"/>
        <v>2.4086615107558437E-4</v>
      </c>
      <c r="S35" s="138">
        <f t="shared" si="23"/>
        <v>1.1294268530321086E-4</v>
      </c>
      <c r="T35" s="494">
        <f t="shared" ref="T35:U36" si="27">S35</f>
        <v>1.1294268530321086E-4</v>
      </c>
      <c r="U35" s="494">
        <f t="shared" si="27"/>
        <v>1.1294268530321086E-4</v>
      </c>
    </row>
    <row r="36" spans="1:23">
      <c r="A36" s="121" t="s">
        <v>579</v>
      </c>
      <c r="B36" s="136">
        <f>'Earning Forecast'!B140</f>
        <v>-599824</v>
      </c>
      <c r="C36" s="136">
        <f>'Earning Forecast'!C140</f>
        <v>-224522</v>
      </c>
      <c r="D36" s="136">
        <f>'Earning Forecast'!D140</f>
        <v>-224724</v>
      </c>
      <c r="E36" s="136">
        <f>'Earning Forecast'!E140</f>
        <v>-422776</v>
      </c>
      <c r="F36" s="136">
        <f>'Earning Forecast'!F140</f>
        <v>-186837</v>
      </c>
      <c r="G36" s="136">
        <f>'Earning Forecast'!G140</f>
        <v>-145295</v>
      </c>
      <c r="H36" s="136">
        <f>'Earning Forecast'!H140</f>
        <v>-685885</v>
      </c>
      <c r="I36" s="136">
        <f>'Earning Forecast'!I140</f>
        <v>-791829.94744445302</v>
      </c>
      <c r="J36" s="136">
        <f>'Earning Forecast'!J140</f>
        <v>-1291015.8387090599</v>
      </c>
      <c r="K36" s="136">
        <f>'Earning Forecast'!K140</f>
        <v>-2553363.9058567886</v>
      </c>
      <c r="M36" s="120" t="str">
        <f t="shared" si="22"/>
        <v>Share of profits and losses of joint ventures and associates</v>
      </c>
      <c r="N36" s="138">
        <f t="shared" si="25"/>
        <v>-3.4716910592401426E-3</v>
      </c>
      <c r="O36" s="138">
        <f t="shared" si="23"/>
        <v>-1.2174235578134044E-3</v>
      </c>
      <c r="P36" s="138">
        <f t="shared" si="23"/>
        <v>-6.8762449780032566E-4</v>
      </c>
      <c r="Q36" s="138">
        <f t="shared" si="23"/>
        <v>-1.6174185663880125E-3</v>
      </c>
      <c r="R36" s="138">
        <f t="shared" si="23"/>
        <v>-1.3921298061638438E-3</v>
      </c>
      <c r="S36" s="138">
        <f t="shared" si="23"/>
        <v>-1.760388110325321E-3</v>
      </c>
      <c r="T36" s="494">
        <f t="shared" si="27"/>
        <v>-1.760388110325321E-3</v>
      </c>
      <c r="U36" s="494">
        <f t="shared" si="27"/>
        <v>-1.760388110325321E-3</v>
      </c>
    </row>
    <row r="37" spans="1:23" ht="14.5">
      <c r="A37" s="371" t="s">
        <v>1581</v>
      </c>
    </row>
    <row r="38" spans="1:23">
      <c r="A38" s="121" t="s">
        <v>1679</v>
      </c>
      <c r="B38" s="492">
        <f>B29-B30+B32+B33-B34-B35+B36</f>
        <v>6568409.9999999851</v>
      </c>
      <c r="C38" s="492">
        <f t="shared" ref="C38:I38" si="28">C29-C30+C32+C33-C34-C35+C36</f>
        <v>5620641</v>
      </c>
      <c r="D38" s="492">
        <f t="shared" si="28"/>
        <v>4385640</v>
      </c>
      <c r="E38" s="492">
        <f t="shared" si="28"/>
        <v>2431131.0000000149</v>
      </c>
      <c r="F38" s="492">
        <f t="shared" si="28"/>
        <v>6882587.0000000149</v>
      </c>
      <c r="G38" s="492">
        <f t="shared" si="28"/>
        <v>4518002.9999999702</v>
      </c>
      <c r="H38" s="492">
        <f t="shared" si="28"/>
        <v>18823920.286500074</v>
      </c>
      <c r="I38" s="492">
        <f t="shared" si="28"/>
        <v>38696910.634866595</v>
      </c>
      <c r="J38" s="492">
        <f>J29-J30+J32+J33-J34-J35+J36</f>
        <v>52774642.193011224</v>
      </c>
      <c r="K38" s="492">
        <f t="shared" ref="K38" si="29">K29-K30+K32+K33-K34-K35+K36</f>
        <v>62832149.442130253</v>
      </c>
      <c r="M38" s="120" t="s">
        <v>1636</v>
      </c>
      <c r="N38" s="138">
        <f>E38/E$6</f>
        <v>1.9963611360487819E-2</v>
      </c>
      <c r="O38" s="138">
        <f t="shared" ref="O38:P38" si="30">F38/F$6</f>
        <v>4.4846703557112906E-2</v>
      </c>
      <c r="P38" s="138">
        <f t="shared" si="30"/>
        <v>2.1381943934308437E-2</v>
      </c>
      <c r="Q38" s="138">
        <f>H38/H$6</f>
        <v>4.4389596162028873E-2</v>
      </c>
      <c r="R38" s="138">
        <f t="shared" ref="R38" si="31">I38/I$6</f>
        <v>6.8033702027966658E-2</v>
      </c>
      <c r="S38" s="138">
        <f>J38/J$6</f>
        <v>7.1961822510363926E-2</v>
      </c>
      <c r="T38" s="138">
        <f>K38/K$6</f>
        <v>7.1623178759906758E-2</v>
      </c>
      <c r="U38" s="138" t="e">
        <f>#REF!/#REF!</f>
        <v>#REF!</v>
      </c>
    </row>
    <row r="39" spans="1:23">
      <c r="A39" s="372" t="s">
        <v>1680</v>
      </c>
      <c r="B39" s="85">
        <f>'Earning Forecast'!B144</f>
        <v>1088398</v>
      </c>
      <c r="C39" s="85">
        <f>'Earning Forecast'!C144</f>
        <v>703705</v>
      </c>
      <c r="D39" s="85">
        <f>'Earning Forecast'!D144</f>
        <v>829447</v>
      </c>
      <c r="E39" s="85">
        <f>'Earning Forecast'!E144</f>
        <v>312274</v>
      </c>
      <c r="F39" s="85">
        <f>'Earning Forecast'!F144</f>
        <v>868624</v>
      </c>
      <c r="G39" s="85">
        <f>'Earning Forecast'!G144</f>
        <v>550737</v>
      </c>
      <c r="H39" s="85">
        <f>'Earning Forecast'!H144</f>
        <v>3366635</v>
      </c>
      <c r="I39" s="85">
        <f>'Earning Forecast'!I144</f>
        <v>5260372.0311163347</v>
      </c>
      <c r="J39" s="85">
        <f>'Earning Forecast'!J144</f>
        <v>7345264.0239366777</v>
      </c>
      <c r="K39" s="85">
        <f>'Earning Forecast'!K144</f>
        <v>9107068.4624971412</v>
      </c>
      <c r="M39" s="120" t="s">
        <v>1637</v>
      </c>
      <c r="N39" s="138">
        <f>IFERROR(E39/E38,"")</f>
        <v>0.12844803509148545</v>
      </c>
      <c r="O39" s="138">
        <f>IFERROR(F39/F38,"")</f>
        <v>0.12620603270252859</v>
      </c>
      <c r="P39" s="138">
        <f t="shared" ref="P39:S39" si="32">IFERROR(G39/G38,"")</f>
        <v>0.12189832543271964</v>
      </c>
      <c r="Q39" s="138">
        <f t="shared" si="32"/>
        <v>0.17884877054087639</v>
      </c>
      <c r="R39" s="138">
        <f t="shared" si="32"/>
        <v>0.13593777758518655</v>
      </c>
      <c r="S39" s="138">
        <f t="shared" si="32"/>
        <v>0.13918169254607257</v>
      </c>
      <c r="T39" s="139">
        <f>AVERAGE(Q39:S39)</f>
        <v>0.15132274689071182</v>
      </c>
      <c r="U39" s="139">
        <f>AVERAGE(R39:T39)</f>
        <v>0.14214740567399031</v>
      </c>
      <c r="W39" t="s">
        <v>229</v>
      </c>
    </row>
    <row r="40" spans="1:23" ht="14.5">
      <c r="A40" s="371" t="s">
        <v>1581</v>
      </c>
    </row>
    <row r="41" spans="1:23">
      <c r="A41" s="121" t="s">
        <v>1681</v>
      </c>
      <c r="B41" s="136">
        <f>-'Earning Forecast'!B147</f>
        <v>-427857.99999999942</v>
      </c>
      <c r="C41" s="136">
        <f>-'Earning Forecast'!C147</f>
        <v>-850458</v>
      </c>
      <c r="D41" s="136">
        <f>-'Earning Forecast'!D147</f>
        <v>-775999</v>
      </c>
      <c r="E41" s="136">
        <f>-'Earning Forecast'!E147</f>
        <v>-504406.99999999913</v>
      </c>
      <c r="F41" s="136">
        <f>-'Earning Forecast'!F147</f>
        <v>-1779696.0000000033</v>
      </c>
      <c r="G41" s="136">
        <f>-'Earning Forecast'!G147</f>
        <v>-922077.99999999825</v>
      </c>
      <c r="H41" s="136">
        <f>-'Earning Forecast'!H147</f>
        <v>-1090728.0000000028</v>
      </c>
      <c r="I41" s="136">
        <f>-'Earning Forecast'!I147</f>
        <v>-2058928.8379560625</v>
      </c>
      <c r="J41" s="136">
        <f>-'Earning Forecast'!J147</f>
        <v>-2797414.4665868054</v>
      </c>
      <c r="K41" s="136">
        <f>-'Earning Forecast'!K147</f>
        <v>-3308240.6585936486</v>
      </c>
      <c r="M41" s="120" t="str">
        <f>A41</f>
        <v>Minority interest+Prefered share dividend</v>
      </c>
      <c r="N41" s="138">
        <f>E41/E$6</f>
        <v>-4.1420167467361903E-3</v>
      </c>
      <c r="O41" s="138">
        <f t="shared" ref="O41:S41" si="33">F41/F$6</f>
        <v>-1.1596438800378344E-2</v>
      </c>
      <c r="P41" s="138">
        <f t="shared" si="33"/>
        <v>-4.3638351057003165E-3</v>
      </c>
      <c r="Q41" s="138">
        <f t="shared" si="33"/>
        <v>-2.5720984101988945E-3</v>
      </c>
      <c r="R41" s="138">
        <f t="shared" si="33"/>
        <v>-3.6198380894023868E-3</v>
      </c>
      <c r="S41" s="138">
        <f t="shared" si="33"/>
        <v>-3.8144653372771233E-3</v>
      </c>
      <c r="T41" s="139">
        <f>AVERAGE(Q41:S41)</f>
        <v>-3.3354672789594683E-3</v>
      </c>
      <c r="U41" s="139">
        <f>AVERAGE(R41:T41)</f>
        <v>-3.5899235685463264E-3</v>
      </c>
      <c r="W41" t="s">
        <v>229</v>
      </c>
    </row>
    <row r="42" spans="1:23" ht="14.5">
      <c r="A42" s="371" t="s">
        <v>1581</v>
      </c>
    </row>
    <row r="43" spans="1:23">
      <c r="A43" s="373" t="s">
        <v>1588</v>
      </c>
      <c r="B43" s="168">
        <f>B38-B39+B41</f>
        <v>5052153.999999986</v>
      </c>
      <c r="C43" s="168">
        <f t="shared" ref="C43:K43" si="34">C38-C39+C41</f>
        <v>4066478</v>
      </c>
      <c r="D43" s="168">
        <f t="shared" si="34"/>
        <v>2780194</v>
      </c>
      <c r="E43" s="168">
        <f t="shared" si="34"/>
        <v>1614450.0000000158</v>
      </c>
      <c r="F43" s="168">
        <f t="shared" si="34"/>
        <v>4234267.0000000112</v>
      </c>
      <c r="G43" s="168">
        <f t="shared" si="34"/>
        <v>3045187.9999999721</v>
      </c>
      <c r="H43" s="168">
        <f t="shared" si="34"/>
        <v>14366557.28650007</v>
      </c>
      <c r="I43" s="168">
        <f t="shared" si="34"/>
        <v>31377609.765794195</v>
      </c>
      <c r="J43" s="168">
        <f t="shared" si="34"/>
        <v>42631963.702487744</v>
      </c>
      <c r="K43" s="168">
        <f t="shared" si="34"/>
        <v>50416840.321039461</v>
      </c>
      <c r="M43" s="120" t="s">
        <v>1638</v>
      </c>
      <c r="N43" s="138">
        <f t="shared" ref="N43:T43" si="35">E43/E$6</f>
        <v>1.3257307961166913E-2</v>
      </c>
      <c r="O43" s="138">
        <f t="shared" si="35"/>
        <v>2.7590340221004962E-2</v>
      </c>
      <c r="P43" s="138">
        <f t="shared" si="35"/>
        <v>1.4411685668519626E-2</v>
      </c>
      <c r="Q43" s="138">
        <f t="shared" si="35"/>
        <v>3.3878473053445109E-2</v>
      </c>
      <c r="R43" s="138">
        <f t="shared" si="35"/>
        <v>5.5165513683989684E-2</v>
      </c>
      <c r="S43" s="138">
        <f t="shared" si="35"/>
        <v>5.813158891739429E-2</v>
      </c>
      <c r="T43" s="138">
        <f t="shared" si="35"/>
        <v>5.747080752265693E-2</v>
      </c>
      <c r="U43" s="138" t="e">
        <f>#REF!/#REF!</f>
        <v>#REF!</v>
      </c>
    </row>
    <row r="44" spans="1:23" s="497" customFormat="1" ht="14.5">
      <c r="A44" s="496" t="s">
        <v>1581</v>
      </c>
      <c r="G44" s="857"/>
    </row>
    <row r="45" spans="1:23" ht="20">
      <c r="A45" s="498" t="s">
        <v>1590</v>
      </c>
      <c r="M45" s="694" t="s">
        <v>1613</v>
      </c>
    </row>
    <row r="46" spans="1:23">
      <c r="A46" s="665" t="s">
        <v>877</v>
      </c>
      <c r="B46" s="85">
        <f>SUM('Fin Sta as rep'!C246:C248)/1000</f>
        <v>7693666</v>
      </c>
      <c r="C46" s="85">
        <f>SUM('Fin Sta as rep'!D246:D248)/1000</f>
        <v>9903785</v>
      </c>
      <c r="D46" s="85">
        <f>SUM('Fin Sta as rep'!E246:E248)/1000</f>
        <v>13052546</v>
      </c>
      <c r="E46" s="85">
        <f>SUM('Fin Sta as rep'!F246:F248)/1000</f>
        <v>12684428</v>
      </c>
      <c r="F46" s="85">
        <f>SUM('Fin Sta as rep'!G246:G248)/1000</f>
        <v>14445054</v>
      </c>
      <c r="G46" s="85">
        <f>SUM('Fin Sta as rep'!I246:I248)/1000</f>
        <v>56063149</v>
      </c>
      <c r="H46" s="85">
        <f>H113</f>
        <v>90032005.405924112</v>
      </c>
      <c r="I46" s="85">
        <f t="shared" ref="I46:K46" si="36">I113</f>
        <v>135674414.68839127</v>
      </c>
      <c r="J46" s="85">
        <f t="shared" si="36"/>
        <v>172751858.96755278</v>
      </c>
      <c r="K46" s="85">
        <f t="shared" si="36"/>
        <v>210203655.11279061</v>
      </c>
      <c r="M46" s="758" t="s">
        <v>1591</v>
      </c>
    </row>
    <row r="47" spans="1:23">
      <c r="A47" s="665" t="s">
        <v>1067</v>
      </c>
      <c r="B47" s="85">
        <f>SUM('Fin Sta as rep'!C249:C253)/1000</f>
        <v>48693595</v>
      </c>
      <c r="C47" s="85">
        <f>SUM('Fin Sta as rep'!D249:D253)/1000</f>
        <v>59679183</v>
      </c>
      <c r="D47" s="85">
        <f>SUM('Fin Sta as rep'!E249:E253)/1000</f>
        <v>64367223</v>
      </c>
      <c r="E47" s="85">
        <f>SUM('Fin Sta as rep'!F249:F253)/1000</f>
        <v>59490987</v>
      </c>
      <c r="F47" s="85">
        <f>SUM('Fin Sta as rep'!G249:G253)/1000</f>
        <v>56475558</v>
      </c>
      <c r="G47" s="85">
        <f>SUM('Fin Sta as rep'!I249:I253)/1000</f>
        <v>54898539</v>
      </c>
      <c r="H47" s="876">
        <f>G47*(H6/G6)</f>
        <v>110176846.91007484</v>
      </c>
      <c r="I47" s="876">
        <f t="shared" ref="I47:K47" si="37">H47*(I6/H6)</f>
        <v>147779315.0486058</v>
      </c>
      <c r="J47" s="876">
        <f t="shared" si="37"/>
        <v>190539316.09080124</v>
      </c>
      <c r="K47" s="876">
        <f t="shared" si="37"/>
        <v>227923855.84204069</v>
      </c>
      <c r="M47" s="758" t="s">
        <v>1592</v>
      </c>
    </row>
    <row r="48" spans="1:23">
      <c r="A48" s="665" t="s">
        <v>696</v>
      </c>
      <c r="B48" s="85">
        <f>'Fin Sta as rep'!C254/1000</f>
        <v>17378439</v>
      </c>
      <c r="C48" s="85">
        <f>'Fin Sta as rep'!D254/1000</f>
        <v>19872804</v>
      </c>
      <c r="D48" s="85">
        <f>'Fin Sta as rep'!E254/1000</f>
        <v>26330345</v>
      </c>
      <c r="E48" s="85">
        <f>'Fin Sta as rep'!F254/1000</f>
        <v>25571564</v>
      </c>
      <c r="F48" s="85">
        <f>'Fin Sta as rep'!G254/1000</f>
        <v>31396358</v>
      </c>
      <c r="G48" s="85">
        <f>'Fin Sta as rep'!I254/1000</f>
        <v>43354782</v>
      </c>
      <c r="H48" s="876">
        <f>G48*(H13/G13)</f>
        <v>81269856.14423348</v>
      </c>
      <c r="I48" s="876">
        <f t="shared" ref="I48:K48" si="38">H48*(I13/H13)</f>
        <v>107433715.57736427</v>
      </c>
      <c r="J48" s="876">
        <f t="shared" si="38"/>
        <v>137172249.61371347</v>
      </c>
      <c r="K48" s="876">
        <f t="shared" si="38"/>
        <v>162374487.49286684</v>
      </c>
      <c r="M48" s="758" t="s">
        <v>1593</v>
      </c>
    </row>
    <row r="49" spans="1:13" s="233" customFormat="1">
      <c r="A49" s="888" t="s">
        <v>1069</v>
      </c>
      <c r="B49" s="305">
        <f>SUM('Fin Sta as rep'!C255:C258)/1000</f>
        <v>4474381</v>
      </c>
      <c r="C49" s="305">
        <f>SUM('Fin Sta as rep'!D255:D258)/1000</f>
        <v>13228620</v>
      </c>
      <c r="D49" s="305">
        <f>SUM('Fin Sta as rep'!E255:E258)/1000</f>
        <v>11460461</v>
      </c>
      <c r="E49" s="305">
        <f>SUM('Fin Sta as rep'!F255:F258)/1000</f>
        <v>9219626</v>
      </c>
      <c r="F49" s="305">
        <f>SUM('Fin Sta as rep'!G255:G258)/1000</f>
        <v>9288140</v>
      </c>
      <c r="G49" s="305">
        <f>SUM('Fin Sta as rep'!I255:I258)/1000</f>
        <v>11793719</v>
      </c>
      <c r="H49" s="884">
        <f>G49*(H23/G23)</f>
        <v>26023397.712033235</v>
      </c>
      <c r="I49" s="884">
        <f t="shared" ref="I49:K49" si="39">H49*(I23/H23)</f>
        <v>36316759.367210045</v>
      </c>
      <c r="J49" s="884">
        <f t="shared" si="39"/>
        <v>48544551.676585011</v>
      </c>
      <c r="K49" s="884">
        <f t="shared" si="39"/>
        <v>61201361.059349366</v>
      </c>
      <c r="M49" s="881" t="s">
        <v>1594</v>
      </c>
    </row>
    <row r="50" spans="1:13">
      <c r="A50" s="889" t="s">
        <v>1071</v>
      </c>
      <c r="B50" s="875">
        <f>SUM(B46:B49)</f>
        <v>78240081</v>
      </c>
      <c r="C50" s="875">
        <f t="shared" ref="C50:K50" si="40">SUM(C46:C49)</f>
        <v>102684392</v>
      </c>
      <c r="D50" s="875">
        <f t="shared" si="40"/>
        <v>115210575</v>
      </c>
      <c r="E50" s="875">
        <f t="shared" si="40"/>
        <v>106966605</v>
      </c>
      <c r="F50" s="875">
        <f t="shared" si="40"/>
        <v>111605110</v>
      </c>
      <c r="G50" s="875">
        <f t="shared" si="40"/>
        <v>166110189</v>
      </c>
      <c r="H50" s="875">
        <f t="shared" si="40"/>
        <v>307502106.17226565</v>
      </c>
      <c r="I50" s="875">
        <f t="shared" si="40"/>
        <v>427204204.68157136</v>
      </c>
      <c r="J50" s="875">
        <f t="shared" si="40"/>
        <v>549007976.34865248</v>
      </c>
      <c r="K50" s="875">
        <f t="shared" si="40"/>
        <v>661703359.50704753</v>
      </c>
      <c r="M50" s="673"/>
    </row>
    <row r="51" spans="1:13" ht="14.5">
      <c r="A51" s="869" t="s">
        <v>1581</v>
      </c>
      <c r="M51" s="673"/>
    </row>
    <row r="52" spans="1:13">
      <c r="A52" s="665" t="s">
        <v>1076</v>
      </c>
      <c r="B52" s="85">
        <f>SUM('Fin Sta as rep'!C261:C265)/1000</f>
        <v>46440156</v>
      </c>
      <c r="C52" s="85">
        <f>SUM('Fin Sta as rep'!D261:D265)/1000</f>
        <v>50980724</v>
      </c>
      <c r="D52" s="85">
        <f>SUM('Fin Sta as rep'!E261:E265)/1000</f>
        <v>53362403</v>
      </c>
      <c r="E52" s="85">
        <f>SUM('Fin Sta as rep'!F261:F265)/1000</f>
        <v>60848697</v>
      </c>
      <c r="F52" s="85">
        <f>SUM('Fin Sta as rep'!G261:G265)/1000</f>
        <v>61642132</v>
      </c>
      <c r="G52" s="85">
        <f>SUM('Fin Sta as rep'!I261:I265)/1000</f>
        <v>83071906</v>
      </c>
      <c r="H52" s="492">
        <f>G52-H82-H97</f>
        <v>163433960.8288725</v>
      </c>
      <c r="I52" s="492">
        <f t="shared" ref="I52:K52" si="41">H52-I82-I97</f>
        <v>228865937.33932111</v>
      </c>
      <c r="J52" s="492">
        <f t="shared" si="41"/>
        <v>334259137.75174773</v>
      </c>
      <c r="K52" s="492">
        <f t="shared" si="41"/>
        <v>465337436.84283996</v>
      </c>
      <c r="M52" s="758" t="s">
        <v>1595</v>
      </c>
    </row>
    <row r="53" spans="1:13">
      <c r="A53" s="96" t="s">
        <v>1596</v>
      </c>
      <c r="B53" s="85"/>
      <c r="C53" s="85"/>
      <c r="D53" s="85"/>
      <c r="E53" s="85"/>
      <c r="F53" s="85"/>
      <c r="G53" s="85"/>
      <c r="M53" s="758" t="s">
        <v>1597</v>
      </c>
    </row>
    <row r="54" spans="1:13">
      <c r="A54" s="96" t="s">
        <v>1682</v>
      </c>
      <c r="B54" s="85"/>
      <c r="C54" s="85"/>
      <c r="D54" s="85"/>
      <c r="E54" s="85"/>
      <c r="F54" s="85"/>
      <c r="G54" s="85"/>
    </row>
    <row r="55" spans="1:13">
      <c r="A55" s="96" t="s">
        <v>895</v>
      </c>
      <c r="B55" s="85">
        <f>SUM('Fin Sta as rep'!C266:C269)/1000</f>
        <v>5469996</v>
      </c>
      <c r="C55" s="85">
        <f>SUM('Fin Sta as rep'!D266:D269)/1000</f>
        <v>7250371</v>
      </c>
      <c r="D55" s="85">
        <f>SUM('Fin Sta as rep'!E266:E269)/1000</f>
        <v>5265358</v>
      </c>
      <c r="E55" s="85">
        <f>SUM('Fin Sta as rep'!F266:F269)/1000</f>
        <v>6029087</v>
      </c>
      <c r="F55" s="85">
        <f>SUM('Fin Sta as rep'!G266:G269)/1000</f>
        <v>7170564</v>
      </c>
      <c r="G55" s="85">
        <f>SUM('Fin Sta as rep'!I266:I269)/1000</f>
        <v>11052809</v>
      </c>
      <c r="H55" s="492">
        <f>G55-H99</f>
        <v>15018207.800000001</v>
      </c>
      <c r="I55" s="492">
        <f t="shared" ref="I55:K55" si="42">H55-I99</f>
        <v>18983606.600000001</v>
      </c>
      <c r="J55" s="492">
        <f t="shared" si="42"/>
        <v>22949005.400000002</v>
      </c>
      <c r="K55" s="492">
        <f t="shared" si="42"/>
        <v>26914404.200000003</v>
      </c>
      <c r="M55" s="758" t="s">
        <v>1599</v>
      </c>
    </row>
    <row r="56" spans="1:13">
      <c r="A56" s="96" t="s">
        <v>713</v>
      </c>
      <c r="B56" s="85">
        <f>'Fin Sta as rep'!C272/1000</f>
        <v>65914</v>
      </c>
      <c r="C56" s="85">
        <f>'Fin Sta as rep'!D272/1000</f>
        <v>65914</v>
      </c>
      <c r="D56" s="85">
        <f>'Fin Sta as rep'!E272/1000</f>
        <v>65914</v>
      </c>
      <c r="E56" s="85">
        <f>'Fin Sta as rep'!F272/1000</f>
        <v>65914</v>
      </c>
      <c r="F56" s="85">
        <f>'Fin Sta as rep'!G272/1000</f>
        <v>65914</v>
      </c>
      <c r="G56" s="85">
        <f>'Fin Sta as rep'!I272/1000</f>
        <v>65914</v>
      </c>
      <c r="H56" s="876">
        <f>G56</f>
        <v>65914</v>
      </c>
      <c r="I56" s="876">
        <f t="shared" ref="I56:K56" si="43">H56</f>
        <v>65914</v>
      </c>
      <c r="J56" s="876">
        <f t="shared" si="43"/>
        <v>65914</v>
      </c>
      <c r="K56" s="876">
        <f t="shared" si="43"/>
        <v>65914</v>
      </c>
      <c r="M56" s="758" t="s">
        <v>1600</v>
      </c>
    </row>
    <row r="57" spans="1:13">
      <c r="A57" s="96" t="s">
        <v>902</v>
      </c>
      <c r="B57" s="85">
        <f>SUM('Fin Sta as rep'!C273:C274)/1000</f>
        <v>12055571</v>
      </c>
      <c r="C57" s="85">
        <f>SUM('Fin Sta as rep'!D273:D274)/1000</f>
        <v>14199119</v>
      </c>
      <c r="D57" s="85">
        <f>SUM('Fin Sta as rep'!E273:E274)/1000</f>
        <v>16698461</v>
      </c>
      <c r="E57" s="85">
        <f>SUM('Fin Sta as rep'!F273:F274)/1000</f>
        <v>18398159</v>
      </c>
      <c r="F57" s="85">
        <f>SUM('Fin Sta as rep'!G273:G274)/1000</f>
        <v>16689882</v>
      </c>
      <c r="G57" s="85">
        <f>SUM('Fin Sta as rep'!I273:I274)/1000</f>
        <v>19709973</v>
      </c>
      <c r="H57" s="492">
        <f>G57-H83</f>
        <v>14224043.757068057</v>
      </c>
      <c r="I57" s="492">
        <f t="shared" ref="I57:K57" si="44">H57-I83</f>
        <v>6270100.5580308437</v>
      </c>
      <c r="J57" s="492">
        <f t="shared" si="44"/>
        <v>-3559156.4712266326</v>
      </c>
      <c r="K57" s="492">
        <f t="shared" si="44"/>
        <v>-15350542.824096736</v>
      </c>
      <c r="M57" s="758" t="s">
        <v>1601</v>
      </c>
    </row>
    <row r="58" spans="1:13" s="233" customFormat="1">
      <c r="A58" s="888" t="s">
        <v>1081</v>
      </c>
      <c r="B58" s="305">
        <f>SUM('Fin Sta as rep'!C270:C271,'Fin Sta as rep'!C275:C278)/1000</f>
        <v>2799060</v>
      </c>
      <c r="C58" s="305">
        <f>SUM('Fin Sta as rep'!D270:D271,'Fin Sta as rep'!D275:D278)/1000</f>
        <v>2918910</v>
      </c>
      <c r="D58" s="305">
        <f>SUM('Fin Sta as rep'!E270:E271,'Fin Sta as rep'!E275:E278)/1000</f>
        <v>3968366</v>
      </c>
      <c r="E58" s="305">
        <f>SUM('Fin Sta as rep'!F270:F271,'Fin Sta as rep'!F275:F278)/1000</f>
        <v>3333131</v>
      </c>
      <c r="F58" s="305">
        <f>SUM('Fin Sta as rep'!G270:G271,'Fin Sta as rep'!G275:G278)/1000</f>
        <v>3843719</v>
      </c>
      <c r="G58" s="305">
        <f>SUM('Fin Sta as rep'!I270:I271,'Fin Sta as rep'!I275:I278)/1000</f>
        <v>15769356</v>
      </c>
      <c r="H58" s="887">
        <f>G58</f>
        <v>15769356</v>
      </c>
      <c r="I58" s="887">
        <f t="shared" ref="I58:K58" si="45">H58</f>
        <v>15769356</v>
      </c>
      <c r="J58" s="887">
        <f t="shared" si="45"/>
        <v>15769356</v>
      </c>
      <c r="K58" s="887">
        <f t="shared" si="45"/>
        <v>15769356</v>
      </c>
      <c r="M58" s="881" t="s">
        <v>1592</v>
      </c>
    </row>
    <row r="59" spans="1:13">
      <c r="A59" s="906" t="s">
        <v>1085</v>
      </c>
      <c r="B59" s="492">
        <f>SUM(B50,B52:B58)</f>
        <v>145070778</v>
      </c>
      <c r="C59" s="492">
        <f t="shared" ref="C59:K59" si="46">SUM(C50,C52:C58)</f>
        <v>178099430</v>
      </c>
      <c r="D59" s="492">
        <f t="shared" si="46"/>
        <v>194571077</v>
      </c>
      <c r="E59" s="492">
        <f t="shared" si="46"/>
        <v>195641593</v>
      </c>
      <c r="F59" s="492">
        <f t="shared" si="46"/>
        <v>201017321</v>
      </c>
      <c r="G59" s="492">
        <f t="shared" si="46"/>
        <v>295780147</v>
      </c>
      <c r="H59" s="492">
        <f t="shared" si="46"/>
        <v>516013588.5582062</v>
      </c>
      <c r="I59" s="492">
        <f t="shared" si="46"/>
        <v>697159119.17892337</v>
      </c>
      <c r="J59" s="492">
        <f t="shared" si="46"/>
        <v>918492233.02917361</v>
      </c>
      <c r="K59" s="492">
        <f t="shared" si="46"/>
        <v>1154439927.7257907</v>
      </c>
      <c r="M59" s="758"/>
    </row>
    <row r="60" spans="1:13" ht="14.5">
      <c r="A60" s="869" t="s">
        <v>1581</v>
      </c>
      <c r="M60" s="758"/>
    </row>
    <row r="61" spans="1:13">
      <c r="A61" s="665" t="s">
        <v>791</v>
      </c>
      <c r="B61" s="85">
        <f>SUM('Fin Sta as rep'!C281:C285,'Fin Sta as rep'!C287:C289,'Fin Sta as rep'!C291,'Fin Sta as rep'!C295)/1000</f>
        <v>39490317</v>
      </c>
      <c r="C61" s="85">
        <f>SUM('Fin Sta as rep'!D281:D285,'Fin Sta as rep'!D287:D289,'Fin Sta as rep'!D291,'Fin Sta as rep'!D295)/1000</f>
        <v>44404789</v>
      </c>
      <c r="D61" s="85">
        <f>SUM('Fin Sta as rep'!E281:E285,'Fin Sta as rep'!E287:E289,'Fin Sta as rep'!E291,'Fin Sta as rep'!E295)/1000</f>
        <v>51219824</v>
      </c>
      <c r="E61" s="85">
        <f>SUM('Fin Sta as rep'!F281:F285,'Fin Sta as rep'!F287:F289,'Fin Sta as rep'!F291,'Fin Sta as rep'!F295)/1000</f>
        <v>40564710</v>
      </c>
      <c r="F61" s="85">
        <f>SUM('Fin Sta as rep'!G281:G285,'Fin Sta as rep'!G287:G289,'Fin Sta as rep'!G291,'Fin Sta as rep'!G295)/1000</f>
        <v>58602334</v>
      </c>
      <c r="G61" s="85">
        <f>SUM('Fin Sta as rep'!I281:I285,'Fin Sta as rep'!I287:I289,'Fin Sta as rep'!I291,'Fin Sta as rep'!I295)/1000</f>
        <v>88119514</v>
      </c>
      <c r="H61" s="876">
        <f>G61*(H23/G23)</f>
        <v>194439867.4424141</v>
      </c>
      <c r="I61" s="876">
        <f t="shared" ref="I61:K61" si="47">H61*(I23/H23)</f>
        <v>271349112.65000439</v>
      </c>
      <c r="J61" s="876">
        <f t="shared" si="47"/>
        <v>362711906.31967384</v>
      </c>
      <c r="K61" s="876">
        <f t="shared" si="47"/>
        <v>457280200.81607783</v>
      </c>
      <c r="M61" s="758" t="s">
        <v>1594</v>
      </c>
    </row>
    <row r="62" spans="1:13">
      <c r="A62" s="665" t="s">
        <v>729</v>
      </c>
      <c r="B62" s="85">
        <f>SUM('Fin Sta as rep'!C292,'Fin Sta as rep'!C301)/1000</f>
        <v>32928441</v>
      </c>
      <c r="C62" s="85">
        <f>SUM('Fin Sta as rep'!D292,'Fin Sta as rep'!D301)/1000</f>
        <v>45648670</v>
      </c>
      <c r="D62" s="85">
        <f>SUM('Fin Sta as rep'!E292,'Fin Sta as rep'!E301)/1000</f>
        <v>45271611</v>
      </c>
      <c r="E62" s="85">
        <f>SUM('Fin Sta as rep'!F292,'Fin Sta as rep'!F301)/1000</f>
        <v>49079813</v>
      </c>
      <c r="F62" s="85">
        <f>SUM('Fin Sta as rep'!G292,'Fin Sta as rep'!G301)/1000</f>
        <v>27813150</v>
      </c>
      <c r="G62" s="85">
        <f>SUM('Fin Sta as rep'!I292,'Fin Sta as rep'!I301)/1000</f>
        <v>23187774</v>
      </c>
      <c r="H62" s="876">
        <f>G62*(H23/G23)</f>
        <v>51164917.941384196</v>
      </c>
      <c r="I62" s="876">
        <f t="shared" ref="I62:K62" si="48">H62*(I23/H23)</f>
        <v>71402821.164320558</v>
      </c>
      <c r="J62" s="876">
        <f t="shared" si="48"/>
        <v>95444031.96379143</v>
      </c>
      <c r="K62" s="876">
        <f t="shared" si="48"/>
        <v>120328738.4358228</v>
      </c>
      <c r="M62" s="758" t="s">
        <v>1594</v>
      </c>
    </row>
    <row r="63" spans="1:13" s="233" customFormat="1">
      <c r="A63" s="888" t="s">
        <v>1091</v>
      </c>
      <c r="B63" s="305">
        <f>SUM('Fin Sta as rep'!C286,'Fin Sta as rep'!C290,'Fin Sta as rep'!C293:C294,'Fin Sta as rep'!C296:C300)/1000</f>
        <v>5898846</v>
      </c>
      <c r="C63" s="305">
        <f>SUM('Fin Sta as rep'!D286,'Fin Sta as rep'!D290,'Fin Sta as rep'!D293:D294,'Fin Sta as rep'!D296:D300)/1000</f>
        <v>14943477</v>
      </c>
      <c r="D63" s="305">
        <f>SUM('Fin Sta as rep'!E286,'Fin Sta as rep'!E290,'Fin Sta as rep'!E293:E294,'Fin Sta as rep'!E296:E300)/1000</f>
        <v>20077540</v>
      </c>
      <c r="E63" s="305">
        <f>SUM('Fin Sta as rep'!F286,'Fin Sta as rep'!F290,'Fin Sta as rep'!F293:F294,'Fin Sta as rep'!F296:F300)/1000</f>
        <v>18384424</v>
      </c>
      <c r="F63" s="305">
        <f>SUM('Fin Sta as rep'!G286,'Fin Sta as rep'!G290,'Fin Sta as rep'!G293:G294,'Fin Sta as rep'!G296:G300)/1000</f>
        <v>20015212</v>
      </c>
      <c r="G63" s="305">
        <f>SUM('Fin Sta as rep'!I286,'Fin Sta as rep'!I290,'Fin Sta as rep'!I293:I294,'Fin Sta as rep'!I296:I300)/1000</f>
        <v>59996656</v>
      </c>
      <c r="H63" s="884">
        <f>G63*(H23/G23)</f>
        <v>132385453.68768282</v>
      </c>
      <c r="I63" s="884">
        <f t="shared" ref="I63:K63" si="49">H63*(I23/H23)</f>
        <v>184749536.49389803</v>
      </c>
      <c r="J63" s="884">
        <f t="shared" si="49"/>
        <v>246954397.30370837</v>
      </c>
      <c r="K63" s="884">
        <f t="shared" si="49"/>
        <v>311341740.99023211</v>
      </c>
      <c r="M63" s="881" t="s">
        <v>1594</v>
      </c>
    </row>
    <row r="64" spans="1:13">
      <c r="A64" s="889" t="s">
        <v>1099</v>
      </c>
      <c r="B64" s="492">
        <f>SUM(B61:B63)</f>
        <v>78317604</v>
      </c>
      <c r="C64" s="492">
        <f t="shared" ref="C64:K64" si="50">SUM(C61:C63)</f>
        <v>104996936</v>
      </c>
      <c r="D64" s="492">
        <f t="shared" si="50"/>
        <v>116568975</v>
      </c>
      <c r="E64" s="492">
        <f t="shared" si="50"/>
        <v>108028947</v>
      </c>
      <c r="F64" s="492">
        <f t="shared" si="50"/>
        <v>106430696</v>
      </c>
      <c r="G64" s="492">
        <f t="shared" si="50"/>
        <v>171303944</v>
      </c>
      <c r="H64" s="492">
        <f t="shared" si="50"/>
        <v>377990239.07148111</v>
      </c>
      <c r="I64" s="492">
        <f t="shared" si="50"/>
        <v>527501470.30822301</v>
      </c>
      <c r="J64" s="492">
        <f t="shared" si="50"/>
        <v>705110335.5871737</v>
      </c>
      <c r="K64" s="492">
        <f t="shared" si="50"/>
        <v>888950680.24213278</v>
      </c>
      <c r="M64" s="758"/>
    </row>
    <row r="65" spans="1:30" ht="14.5">
      <c r="A65" s="869" t="s">
        <v>1581</v>
      </c>
      <c r="M65" s="770"/>
    </row>
    <row r="66" spans="1:30">
      <c r="A66" s="665" t="s">
        <v>740</v>
      </c>
      <c r="B66" s="85">
        <f>SUM('Fin Sta as rep'!C304:C307)/1000</f>
        <v>9338520</v>
      </c>
      <c r="C66" s="85">
        <f>SUM('Fin Sta as rep'!D304:D307)/1000</f>
        <v>10862346</v>
      </c>
      <c r="D66" s="85">
        <f>SUM('Fin Sta as rep'!E304:E307)/1000</f>
        <v>13924380</v>
      </c>
      <c r="E66" s="85">
        <f>SUM('Fin Sta as rep'!F304:F307)/1000</f>
        <v>21916487</v>
      </c>
      <c r="F66" s="85">
        <f>SUM('Fin Sta as rep'!G304:G307)/1000</f>
        <v>23625954</v>
      </c>
      <c r="G66" s="85">
        <f>SUM('Fin Sta as rep'!I304:I307)/1000</f>
        <v>10789958</v>
      </c>
      <c r="H66" s="876">
        <f>Q66</f>
        <v>9710962.2000000011</v>
      </c>
      <c r="I66" s="876">
        <f>R66</f>
        <v>8739865.9800000004</v>
      </c>
      <c r="J66" s="876">
        <f>S66</f>
        <v>7865879.3820000002</v>
      </c>
      <c r="K66" s="876">
        <f>T66</f>
        <v>7079291.4438000005</v>
      </c>
      <c r="M66" s="771" t="s">
        <v>740</v>
      </c>
      <c r="N66" s="85">
        <f>E66</f>
        <v>21916487</v>
      </c>
      <c r="O66" s="85">
        <f t="shared" ref="O66:P66" si="51">F66</f>
        <v>23625954</v>
      </c>
      <c r="P66" s="85">
        <f t="shared" si="51"/>
        <v>10789958</v>
      </c>
      <c r="Q66" s="877">
        <f>P66*0.9</f>
        <v>9710962.2000000011</v>
      </c>
      <c r="R66" s="877">
        <f t="shared" ref="R66:U66" si="52">Q66*0.9</f>
        <v>8739865.9800000004</v>
      </c>
      <c r="S66" s="877">
        <f t="shared" si="52"/>
        <v>7865879.3820000002</v>
      </c>
      <c r="T66" s="877">
        <f t="shared" si="52"/>
        <v>7079291.4438000005</v>
      </c>
      <c r="U66" s="877">
        <f t="shared" si="52"/>
        <v>6371362.299420001</v>
      </c>
    </row>
    <row r="67" spans="1:30" s="233" customFormat="1">
      <c r="A67" s="888" t="s">
        <v>745</v>
      </c>
      <c r="B67" s="305">
        <f>SUM('Fin Sta as rep'!C308:C311)/1000</f>
        <v>2005291</v>
      </c>
      <c r="C67" s="305">
        <f>SUM('Fin Sta as rep'!D308:D311)/1000</f>
        <v>2282661</v>
      </c>
      <c r="D67" s="305">
        <f>SUM('Fin Sta as rep'!E308:E311)/1000</f>
        <v>3383743</v>
      </c>
      <c r="E67" s="305">
        <f>SUM('Fin Sta as rep'!F308:F311)/1000</f>
        <v>3094739</v>
      </c>
      <c r="F67" s="305">
        <f>SUM('Fin Sta as rep'!G308:G311)/1000</f>
        <v>6506759</v>
      </c>
      <c r="G67" s="305">
        <f>SUM('Fin Sta as rep'!I308:I311)/1000</f>
        <v>9442036</v>
      </c>
      <c r="H67" s="887">
        <f>G67</f>
        <v>9442036</v>
      </c>
      <c r="I67" s="887">
        <f t="shared" ref="I67:K67" si="53">H67</f>
        <v>9442036</v>
      </c>
      <c r="J67" s="887">
        <f t="shared" si="53"/>
        <v>9442036</v>
      </c>
      <c r="K67" s="887">
        <f t="shared" si="53"/>
        <v>9442036</v>
      </c>
      <c r="M67" s="881" t="s">
        <v>1639</v>
      </c>
    </row>
    <row r="68" spans="1:30">
      <c r="A68" s="889" t="s">
        <v>1108</v>
      </c>
      <c r="B68" s="492">
        <f>SUM(B66:B67)</f>
        <v>11343811</v>
      </c>
      <c r="C68" s="492">
        <f t="shared" ref="C68:K68" si="54">SUM(C66:C67)</f>
        <v>13145007</v>
      </c>
      <c r="D68" s="492">
        <f t="shared" si="54"/>
        <v>17308123</v>
      </c>
      <c r="E68" s="492">
        <f t="shared" si="54"/>
        <v>25011226</v>
      </c>
      <c r="F68" s="492">
        <f t="shared" si="54"/>
        <v>30132713</v>
      </c>
      <c r="G68" s="492">
        <f t="shared" si="54"/>
        <v>20231994</v>
      </c>
      <c r="H68" s="492">
        <f t="shared" si="54"/>
        <v>19152998.200000003</v>
      </c>
      <c r="I68" s="492">
        <f t="shared" si="54"/>
        <v>18181901.98</v>
      </c>
      <c r="J68" s="492">
        <f t="shared" si="54"/>
        <v>17307915.381999999</v>
      </c>
      <c r="K68" s="492">
        <f t="shared" si="54"/>
        <v>16521327.4438</v>
      </c>
      <c r="M68" s="758"/>
    </row>
    <row r="69" spans="1:30" ht="14.5">
      <c r="A69" s="869" t="s">
        <v>1581</v>
      </c>
      <c r="M69" s="758"/>
    </row>
    <row r="70" spans="1:30">
      <c r="A70" s="665" t="s">
        <v>755</v>
      </c>
      <c r="B70" s="85">
        <f>SUM('Fin Sta as rep'!C313:C314)/1000</f>
        <v>27199956</v>
      </c>
      <c r="C70" s="85">
        <f>SUM('Fin Sta as rep'!D313:D314)/1000</f>
        <v>27202436</v>
      </c>
      <c r="D70" s="85">
        <f>SUM('Fin Sta as rep'!E313:E314)/1000</f>
        <v>27252586</v>
      </c>
      <c r="E70" s="85">
        <f>SUM('Fin Sta as rep'!F313:F314)/1000</f>
        <v>27258809</v>
      </c>
      <c r="F70" s="85">
        <f>SUM('Fin Sta as rep'!G313:G314)/1000</f>
        <v>27426806</v>
      </c>
      <c r="G70" s="85">
        <f>SUM('Fin Sta as rep'!I313:I314)/1000</f>
        <v>63718362</v>
      </c>
      <c r="H70" s="492">
        <f>G70</f>
        <v>63718362</v>
      </c>
      <c r="I70" s="492">
        <f t="shared" ref="I70:K70" si="55">H70</f>
        <v>63718362</v>
      </c>
      <c r="J70" s="492">
        <f t="shared" si="55"/>
        <v>63718362</v>
      </c>
      <c r="K70" s="492">
        <f t="shared" si="55"/>
        <v>63718362</v>
      </c>
      <c r="M70" s="758" t="s">
        <v>1604</v>
      </c>
    </row>
    <row r="71" spans="1:30">
      <c r="A71" s="665" t="s">
        <v>1125</v>
      </c>
      <c r="B71" s="85"/>
      <c r="C71" s="85"/>
      <c r="D71" s="85"/>
      <c r="E71" s="85"/>
      <c r="F71" s="85"/>
      <c r="G71" s="85"/>
      <c r="H71" s="492">
        <f>G71+H107/2</f>
        <v>-262736.5</v>
      </c>
      <c r="I71" s="492">
        <f t="shared" ref="I71:K71" si="56">H71+I107/2</f>
        <v>-525473</v>
      </c>
      <c r="J71" s="492">
        <f t="shared" si="56"/>
        <v>-788209.5</v>
      </c>
      <c r="K71" s="492">
        <f t="shared" si="56"/>
        <v>-1050946</v>
      </c>
      <c r="M71" s="758" t="s">
        <v>1605</v>
      </c>
    </row>
    <row r="72" spans="1:30">
      <c r="A72" s="665" t="s">
        <v>758</v>
      </c>
      <c r="B72" s="85">
        <f>SUM('Fin Sta as rep'!C315:C319,'Fin Sta as rep'!C322)/1000</f>
        <v>23463767</v>
      </c>
      <c r="C72" s="85">
        <f>SUM('Fin Sta as rep'!D315:D319,'Fin Sta as rep'!D322)/1000</f>
        <v>27598979</v>
      </c>
      <c r="D72" s="85">
        <f>SUM('Fin Sta as rep'!E315:E319,'Fin Sta as rep'!E322)/1000</f>
        <v>29836339</v>
      </c>
      <c r="E72" s="85">
        <f>SUM('Fin Sta as rep'!F315:F319,'Fin Sta as rep'!F322)/1000</f>
        <v>30994678</v>
      </c>
      <c r="F72" s="85">
        <f>SUM('Fin Sta as rep'!G315:G319,'Fin Sta as rep'!G322)/1000</f>
        <v>36488580</v>
      </c>
      <c r="G72" s="85">
        <f>SUM('Fin Sta as rep'!I315:I319,'Fin Sta as rep'!I322)/1000</f>
        <v>40649902</v>
      </c>
      <c r="H72" s="492">
        <f>G72+H81+H105+H94</f>
        <v>55801517.286725074</v>
      </c>
      <c r="I72" s="492">
        <f t="shared" ref="I72:K72" si="57">H72+I81+I105+I94</f>
        <v>88932385.890700325</v>
      </c>
      <c r="J72" s="492">
        <f t="shared" si="57"/>
        <v>134056094.05999988</v>
      </c>
      <c r="K72" s="492">
        <f t="shared" si="57"/>
        <v>187475505.03985798</v>
      </c>
      <c r="M72" s="758" t="s">
        <v>1606</v>
      </c>
    </row>
    <row r="73" spans="1:30">
      <c r="A73" s="665" t="s">
        <v>765</v>
      </c>
      <c r="B73" s="85"/>
      <c r="C73" s="85"/>
      <c r="D73" s="85"/>
      <c r="E73" s="85"/>
      <c r="F73" s="85"/>
      <c r="G73" s="85"/>
      <c r="M73" s="758" t="s">
        <v>1607</v>
      </c>
    </row>
    <row r="74" spans="1:30">
      <c r="A74" s="665" t="s">
        <v>760</v>
      </c>
      <c r="B74" s="85">
        <f>SUM('Fin Sta as rep'!C320:C321)/1000</f>
        <v>949840</v>
      </c>
      <c r="C74" s="85">
        <f>SUM('Fin Sta as rep'!D320:D321)/1000</f>
        <v>1260272</v>
      </c>
      <c r="D74" s="136">
        <f>SUM('Fin Sta as rep'!E320:E321)/1000</f>
        <v>-290746</v>
      </c>
      <c r="E74" s="136">
        <f>SUM('Fin Sta as rep'!F320:F321)/1000</f>
        <v>-46659</v>
      </c>
      <c r="F74" s="136">
        <f>SUM('Fin Sta as rep'!G320:G321)/1000</f>
        <v>-556066</v>
      </c>
      <c r="G74" s="136">
        <f>SUM('Fin Sta as rep'!I320:I321)/1000</f>
        <v>-124055</v>
      </c>
      <c r="H74" s="492">
        <f>G74+H107/2</f>
        <v>-386791.5</v>
      </c>
      <c r="I74" s="492">
        <f t="shared" ref="I74:K74" si="58">H74+I107/2</f>
        <v>-649528</v>
      </c>
      <c r="J74" s="492">
        <f t="shared" si="58"/>
        <v>-912264.5</v>
      </c>
      <c r="K74" s="492">
        <f t="shared" si="58"/>
        <v>-1175001</v>
      </c>
      <c r="M74" s="758" t="s">
        <v>1608</v>
      </c>
    </row>
    <row r="75" spans="1:30" s="233" customFormat="1">
      <c r="A75" s="888" t="s">
        <v>1609</v>
      </c>
      <c r="B75" s="305">
        <f>SUM('Fin Sta as rep'!C323:C324)/1000</f>
        <v>3795800</v>
      </c>
      <c r="C75" s="305">
        <f>SUM('Fin Sta as rep'!D323:D324)/1000</f>
        <v>3895800</v>
      </c>
      <c r="D75" s="305">
        <f>SUM('Fin Sta as rep'!E323:E324)/1000</f>
        <v>3895800</v>
      </c>
      <c r="E75" s="305">
        <f>SUM('Fin Sta as rep'!F323:F324)/1000</f>
        <v>4394592</v>
      </c>
      <c r="F75" s="305">
        <f>SUM('Fin Sta as rep'!G323:G324)/1000</f>
        <v>1094592</v>
      </c>
      <c r="G75" s="305">
        <f>SUM('Fin Sta as rep'!I323:I324)/1000</f>
        <v>0</v>
      </c>
      <c r="H75" s="887">
        <f>G75</f>
        <v>0</v>
      </c>
      <c r="I75" s="887">
        <f t="shared" ref="I75:K75" si="59">H75</f>
        <v>0</v>
      </c>
      <c r="J75" s="887">
        <f t="shared" si="59"/>
        <v>0</v>
      </c>
      <c r="K75" s="887">
        <f t="shared" si="59"/>
        <v>0</v>
      </c>
      <c r="M75" s="808"/>
    </row>
    <row r="76" spans="1:30">
      <c r="A76" s="889" t="s">
        <v>1610</v>
      </c>
      <c r="B76" s="492">
        <f>SUM(B70:B75)</f>
        <v>55409363</v>
      </c>
      <c r="C76" s="492">
        <f t="shared" ref="C76:G76" si="60">SUM(C70:C75)</f>
        <v>59957487</v>
      </c>
      <c r="D76" s="492">
        <f t="shared" si="60"/>
        <v>60693979</v>
      </c>
      <c r="E76" s="492">
        <f t="shared" si="60"/>
        <v>62601420</v>
      </c>
      <c r="F76" s="492">
        <f t="shared" si="60"/>
        <v>64453912</v>
      </c>
      <c r="G76" s="492">
        <f t="shared" si="60"/>
        <v>104244209</v>
      </c>
      <c r="H76" s="492">
        <f>SUM(H70:H75)</f>
        <v>118870351.28672507</v>
      </c>
      <c r="I76" s="492">
        <f t="shared" ref="I76:K76" si="61">SUM(I70:I75)</f>
        <v>151475746.89070034</v>
      </c>
      <c r="J76" s="492">
        <f t="shared" si="61"/>
        <v>196073982.05999988</v>
      </c>
      <c r="K76" s="492">
        <f t="shared" si="61"/>
        <v>248967920.03985798</v>
      </c>
    </row>
    <row r="77" spans="1:30">
      <c r="A77" s="889" t="s">
        <v>1611</v>
      </c>
      <c r="B77" s="492">
        <f>B64+B68+B76</f>
        <v>145070778</v>
      </c>
      <c r="C77" s="492">
        <f t="shared" ref="C77:K77" si="62">C64+C68+C76</f>
        <v>178099430</v>
      </c>
      <c r="D77" s="492">
        <f t="shared" si="62"/>
        <v>194571077</v>
      </c>
      <c r="E77" s="492">
        <f t="shared" si="62"/>
        <v>195641593</v>
      </c>
      <c r="F77" s="492">
        <f t="shared" si="62"/>
        <v>201017321</v>
      </c>
      <c r="G77" s="492">
        <f t="shared" si="62"/>
        <v>295780147</v>
      </c>
      <c r="H77" s="492">
        <f t="shared" si="62"/>
        <v>516013588.5582062</v>
      </c>
      <c r="I77" s="492">
        <f t="shared" si="62"/>
        <v>697159119.17892337</v>
      </c>
      <c r="J77" s="492">
        <f t="shared" si="62"/>
        <v>918492233.02917361</v>
      </c>
      <c r="K77" s="492">
        <f t="shared" si="62"/>
        <v>1154439927.7257907</v>
      </c>
      <c r="L77" s="625">
        <f>H77-H59</f>
        <v>0</v>
      </c>
      <c r="M77" s="625"/>
    </row>
    <row r="78" spans="1:30" ht="14.5">
      <c r="A78" s="869" t="s">
        <v>1581</v>
      </c>
    </row>
    <row r="80" spans="1:30" s="679" customFormat="1" ht="20">
      <c r="A80" s="890" t="s">
        <v>1612</v>
      </c>
      <c r="B80" s="852"/>
      <c r="C80" s="853"/>
      <c r="D80" s="853"/>
      <c r="E80" s="853"/>
      <c r="F80" s="853"/>
      <c r="G80" s="853"/>
      <c r="H80" s="854"/>
      <c r="I80" s="854"/>
      <c r="J80" s="854"/>
      <c r="K80" s="854"/>
      <c r="L80" s="855"/>
      <c r="M80" s="694" t="s">
        <v>1613</v>
      </c>
      <c r="N80" s="691"/>
      <c r="O80" s="855"/>
      <c r="P80" s="855"/>
      <c r="Q80" s="855"/>
      <c r="R80" s="855"/>
      <c r="S80" s="855"/>
      <c r="T80" s="855"/>
      <c r="U80" s="855"/>
      <c r="V80" s="855"/>
      <c r="W80" s="856"/>
      <c r="AD80" s="673"/>
    </row>
    <row r="81" spans="1:30">
      <c r="A81" s="665" t="s">
        <v>543</v>
      </c>
      <c r="B81" s="136">
        <f>B43-B41</f>
        <v>5480011.9999999851</v>
      </c>
      <c r="C81" s="136">
        <f t="shared" ref="C81:K81" si="63">C43-C41</f>
        <v>4916936</v>
      </c>
      <c r="D81" s="136">
        <f t="shared" si="63"/>
        <v>3556193</v>
      </c>
      <c r="E81" s="136">
        <f t="shared" si="63"/>
        <v>2118857.0000000149</v>
      </c>
      <c r="F81" s="136">
        <f t="shared" si="63"/>
        <v>6013963.0000000149</v>
      </c>
      <c r="G81" s="136">
        <f t="shared" si="63"/>
        <v>3967265.9999999702</v>
      </c>
      <c r="H81" s="136">
        <f t="shared" si="63"/>
        <v>15457285.286500074</v>
      </c>
      <c r="I81" s="136">
        <f t="shared" si="63"/>
        <v>33436538.603750259</v>
      </c>
      <c r="J81" s="136">
        <f t="shared" si="63"/>
        <v>45429378.16907455</v>
      </c>
      <c r="K81" s="136">
        <f t="shared" si="63"/>
        <v>53725080.979633108</v>
      </c>
      <c r="M81" s="770"/>
      <c r="N81" s="673"/>
      <c r="AD81" s="103"/>
    </row>
    <row r="82" spans="1:30">
      <c r="A82" s="903" t="s">
        <v>770</v>
      </c>
      <c r="B82" s="136">
        <f>SUM('Fin Sta as rep'!C336:C340)/1000</f>
        <v>5308825</v>
      </c>
      <c r="C82" s="136">
        <f>SUM('Fin Sta as rep'!D336:D340)/1000</f>
        <v>5750952</v>
      </c>
      <c r="D82" s="136">
        <f>SUM('Fin Sta as rep'!E336:E340)/1000</f>
        <v>7591203</v>
      </c>
      <c r="E82" s="136">
        <f>SUM('Fin Sta as rep'!F336:F340)/1000</f>
        <v>8320673</v>
      </c>
      <c r="F82" s="136">
        <f>SUM('Fin Sta as rep'!G336:G340)/1000</f>
        <v>9414758</v>
      </c>
      <c r="G82" s="136">
        <f>SUM('Fin Sta as rep'!I336:I340)/1000</f>
        <v>11152855</v>
      </c>
      <c r="H82" s="877">
        <f>H85-H83</f>
        <v>21412713.571127504</v>
      </c>
      <c r="I82" s="877">
        <f t="shared" ref="I82:K82" si="64">I85-I83</f>
        <v>28124989.19265857</v>
      </c>
      <c r="J82" s="877">
        <f t="shared" si="64"/>
        <v>36689128.178705543</v>
      </c>
      <c r="K82" s="877">
        <f t="shared" si="64"/>
        <v>43854083.262920916</v>
      </c>
      <c r="M82" s="760" t="s">
        <v>1615</v>
      </c>
      <c r="N82" s="894">
        <f>E85/E6</f>
        <v>8.0803753928959179E-2</v>
      </c>
      <c r="O82" s="894">
        <f>F85/F6</f>
        <v>8.1571268405258482E-2</v>
      </c>
      <c r="P82" s="894">
        <f>G85/G6</f>
        <v>6.6769462731168683E-2</v>
      </c>
      <c r="Q82" s="859">
        <f>P82*0.95</f>
        <v>6.3430989594610243E-2</v>
      </c>
      <c r="R82" s="859">
        <f>Q82</f>
        <v>6.3430989594610243E-2</v>
      </c>
      <c r="S82" s="859">
        <f t="shared" ref="S82:U82" si="65">R82</f>
        <v>6.3430989594610243E-2</v>
      </c>
      <c r="T82" s="859">
        <f t="shared" si="65"/>
        <v>6.3430989594610243E-2</v>
      </c>
      <c r="U82" s="859">
        <f t="shared" si="65"/>
        <v>6.3430989594610243E-2</v>
      </c>
      <c r="AD82" s="103"/>
    </row>
    <row r="83" spans="1:30">
      <c r="A83" s="904" t="s">
        <v>951</v>
      </c>
      <c r="B83" s="136">
        <f>SUM('Fin Sta as rep'!C341:C342)/1000</f>
        <v>1718744</v>
      </c>
      <c r="C83" s="136">
        <f>SUM('Fin Sta as rep'!D341:D342)/1000</f>
        <v>1341543</v>
      </c>
      <c r="D83" s="136">
        <f>SUM('Fin Sta as rep'!E341:E342)/1000</f>
        <v>1835317</v>
      </c>
      <c r="E83" s="136">
        <f>SUM('Fin Sta as rep'!F341:F342)/1000</f>
        <v>1519456</v>
      </c>
      <c r="F83" s="136">
        <f>SUM('Fin Sta as rep'!G341:G342)/1000</f>
        <v>3103918</v>
      </c>
      <c r="G83" s="136">
        <f>SUM('Fin Sta as rep'!I341:I342)/1000</f>
        <v>2955527</v>
      </c>
      <c r="H83" s="877">
        <f>H85*Q83</f>
        <v>5485929.2429319434</v>
      </c>
      <c r="I83" s="877">
        <f>I85*R83</f>
        <v>7953943.1990372129</v>
      </c>
      <c r="J83" s="877">
        <f>J85*S83</f>
        <v>9829257.0292574763</v>
      </c>
      <c r="K83" s="877">
        <f>K85*T83</f>
        <v>11791386.352870103</v>
      </c>
      <c r="M83" s="673" t="s">
        <v>951</v>
      </c>
      <c r="N83" s="777">
        <f>E83/E85</f>
        <v>0.1544142358296319</v>
      </c>
      <c r="O83" s="777">
        <f t="shared" ref="O83:P83" si="66">F83/F85</f>
        <v>0.24794299333252173</v>
      </c>
      <c r="P83" s="777">
        <f t="shared" si="66"/>
        <v>0.20948731045133312</v>
      </c>
      <c r="Q83" s="777">
        <f>AVERAGE(N83:P83)</f>
        <v>0.20394817987116229</v>
      </c>
      <c r="R83" s="777">
        <f t="shared" ref="R83:U83" si="67">AVERAGE(O83:Q83)</f>
        <v>0.22045949455167238</v>
      </c>
      <c r="S83" s="777">
        <f t="shared" si="67"/>
        <v>0.21129832829138925</v>
      </c>
      <c r="T83" s="777">
        <f t="shared" si="67"/>
        <v>0.21190200090474132</v>
      </c>
      <c r="U83" s="777">
        <f t="shared" si="67"/>
        <v>0.21455327458260098</v>
      </c>
      <c r="AD83" s="103"/>
    </row>
    <row r="84" spans="1:30">
      <c r="A84" s="904" t="s">
        <v>771</v>
      </c>
      <c r="B84" s="136"/>
      <c r="C84" s="136"/>
      <c r="D84" s="136"/>
      <c r="E84" s="136"/>
      <c r="F84" s="136"/>
      <c r="G84" s="136"/>
      <c r="H84" s="858"/>
      <c r="I84" s="858"/>
      <c r="J84" s="861"/>
      <c r="K84" s="861"/>
      <c r="M84" s="673" t="s">
        <v>1683</v>
      </c>
      <c r="N84" s="673"/>
      <c r="Q84" s="860"/>
      <c r="R84" s="860"/>
      <c r="S84" s="860"/>
      <c r="T84" s="860"/>
      <c r="U84" s="860"/>
      <c r="AD84" s="103"/>
    </row>
    <row r="85" spans="1:30">
      <c r="A85" s="905" t="s">
        <v>1139</v>
      </c>
      <c r="B85" s="137">
        <f>SUM(B82:B84)</f>
        <v>7027569</v>
      </c>
      <c r="C85" s="137">
        <f t="shared" ref="C85:G85" si="68">SUM(C82:C84)</f>
        <v>7092495</v>
      </c>
      <c r="D85" s="137">
        <f t="shared" si="68"/>
        <v>9426520</v>
      </c>
      <c r="E85" s="137">
        <f t="shared" si="68"/>
        <v>9840129</v>
      </c>
      <c r="F85" s="137">
        <f t="shared" si="68"/>
        <v>12518676</v>
      </c>
      <c r="G85" s="137">
        <f t="shared" si="68"/>
        <v>14108382</v>
      </c>
      <c r="H85" s="877">
        <f>H6*Q82</f>
        <v>26898642.814059447</v>
      </c>
      <c r="I85" s="877">
        <f>I6*R82</f>
        <v>36078932.391695783</v>
      </c>
      <c r="J85" s="877">
        <f>J6*S82</f>
        <v>46518385.20796302</v>
      </c>
      <c r="K85" s="877">
        <f>K6*T82</f>
        <v>55645469.615791015</v>
      </c>
      <c r="M85" s="770"/>
      <c r="N85" s="673"/>
      <c r="AD85" s="103"/>
    </row>
    <row r="86" spans="1:30">
      <c r="A86" s="665" t="s">
        <v>788</v>
      </c>
      <c r="B86" s="136">
        <f>SUM('Fin Sta as rep'!C358:C359)/1000</f>
        <v>-19811441</v>
      </c>
      <c r="C86" s="136">
        <f>SUM('Fin Sta as rep'!D358:D359)/1000</f>
        <v>-19636274</v>
      </c>
      <c r="D86" s="136">
        <f>SUM('Fin Sta as rep'!E358:E359)/1000</f>
        <v>-4385568</v>
      </c>
      <c r="E86" s="136">
        <f>SUM('Fin Sta as rep'!F358:F359)/1000</f>
        <v>8068298</v>
      </c>
      <c r="F86" s="136">
        <f>SUM('Fin Sta as rep'!G358:G359)/1000</f>
        <v>1549519</v>
      </c>
      <c r="G86" s="136">
        <f>SUM('Fin Sta as rep'!I358:I359)/1000</f>
        <v>1382660</v>
      </c>
      <c r="H86" s="137">
        <f>-(H47-G47)</f>
        <v>-55278307.910074845</v>
      </c>
      <c r="I86" s="137">
        <f t="shared" ref="I86:K88" si="69">-(I47-H47)</f>
        <v>-37602468.138530955</v>
      </c>
      <c r="J86" s="137">
        <f t="shared" si="69"/>
        <v>-42760001.042195439</v>
      </c>
      <c r="K86" s="137">
        <f t="shared" si="69"/>
        <v>-37384539.751239449</v>
      </c>
      <c r="M86" s="758" t="s">
        <v>1617</v>
      </c>
      <c r="N86" s="673"/>
      <c r="AD86" s="103"/>
    </row>
    <row r="87" spans="1:30">
      <c r="A87" s="665" t="s">
        <v>696</v>
      </c>
      <c r="B87" s="136">
        <f>SUM('Fin Sta as rep'!C360:C362)/1000</f>
        <v>-1984925</v>
      </c>
      <c r="C87" s="136">
        <f>SUM('Fin Sta as rep'!D360:D362)/1000</f>
        <v>-2726616</v>
      </c>
      <c r="D87" s="136">
        <f>SUM('Fin Sta as rep'!E360:E362)/1000</f>
        <v>-6584924</v>
      </c>
      <c r="E87" s="136">
        <f>SUM('Fin Sta as rep'!F360:F362)/1000</f>
        <v>283960</v>
      </c>
      <c r="F87" s="136">
        <f>SUM('Fin Sta as rep'!G360:G362)/1000</f>
        <v>-6701761</v>
      </c>
      <c r="G87" s="136">
        <f>SUM('Fin Sta as rep'!I360:I362)/1000</f>
        <v>-12892770</v>
      </c>
      <c r="H87" s="137">
        <f>-(H48-G48)</f>
        <v>-37915074.14423348</v>
      </c>
      <c r="I87" s="137">
        <f t="shared" si="69"/>
        <v>-26163859.433130786</v>
      </c>
      <c r="J87" s="137">
        <f t="shared" si="69"/>
        <v>-29738534.036349207</v>
      </c>
      <c r="K87" s="137">
        <f t="shared" si="69"/>
        <v>-25202237.879153371</v>
      </c>
      <c r="M87" s="758" t="s">
        <v>1617</v>
      </c>
      <c r="N87" s="673"/>
      <c r="AD87" s="103"/>
    </row>
    <row r="88" spans="1:30">
      <c r="A88" s="665" t="s">
        <v>1069</v>
      </c>
      <c r="B88" s="136"/>
      <c r="C88" s="136"/>
      <c r="D88" s="136"/>
      <c r="E88" s="136"/>
      <c r="F88" s="136"/>
      <c r="G88" s="136"/>
      <c r="H88" s="137">
        <f>-(H49-G49)</f>
        <v>-14229678.712033235</v>
      </c>
      <c r="I88" s="137">
        <f t="shared" si="69"/>
        <v>-10293361.655176811</v>
      </c>
      <c r="J88" s="137">
        <f t="shared" si="69"/>
        <v>-12227792.309374966</v>
      </c>
      <c r="K88" s="137">
        <f t="shared" si="69"/>
        <v>-12656809.382764354</v>
      </c>
      <c r="M88" s="758" t="s">
        <v>1617</v>
      </c>
      <c r="N88" s="673"/>
      <c r="AD88" s="103"/>
    </row>
    <row r="89" spans="1:30">
      <c r="A89" s="665" t="s">
        <v>791</v>
      </c>
      <c r="B89" s="136">
        <f>SUM('Fin Sta as rep'!C363:C364)/1000</f>
        <v>4830456</v>
      </c>
      <c r="C89" s="136">
        <f>SUM('Fin Sta as rep'!D363:D364)/1000</f>
        <v>14377997</v>
      </c>
      <c r="D89" s="136">
        <f>SUM('Fin Sta as rep'!E363:E364)/1000</f>
        <v>6123683</v>
      </c>
      <c r="E89" s="136">
        <f>SUM('Fin Sta as rep'!F363:F364)/1000</f>
        <v>-9983177</v>
      </c>
      <c r="F89" s="136">
        <f>SUM('Fin Sta as rep'!G363:G364)/1000</f>
        <v>26515194</v>
      </c>
      <c r="G89" s="136">
        <f>SUM('Fin Sta as rep'!I363:I364)/1000</f>
        <v>55595180</v>
      </c>
      <c r="H89" s="137">
        <f>H61-G61</f>
        <v>106320353.4424141</v>
      </c>
      <c r="I89" s="137">
        <f t="shared" ref="I89:K89" si="70">I61-H61</f>
        <v>76909245.207590282</v>
      </c>
      <c r="J89" s="137">
        <f t="shared" si="70"/>
        <v>91362793.669669449</v>
      </c>
      <c r="K89" s="137">
        <f t="shared" si="70"/>
        <v>94568294.496403992</v>
      </c>
      <c r="M89" s="758" t="s">
        <v>1617</v>
      </c>
      <c r="N89" s="673"/>
      <c r="AD89" s="103"/>
    </row>
    <row r="90" spans="1:30">
      <c r="A90" s="665" t="s">
        <v>775</v>
      </c>
      <c r="B90" s="136">
        <f>SUM('Fin Sta as rep'!C346:C347)/1000</f>
        <v>726027</v>
      </c>
      <c r="C90" s="136">
        <f>SUM('Fin Sta as rep'!D346:D347)/1000</f>
        <v>206053</v>
      </c>
      <c r="D90" s="136">
        <f>SUM('Fin Sta as rep'!E346:E347)/1000</f>
        <v>-248412</v>
      </c>
      <c r="E90" s="136">
        <f>SUM('Fin Sta as rep'!F346:F347)/1000</f>
        <v>289561</v>
      </c>
      <c r="F90" s="136">
        <f>SUM('Fin Sta as rep'!G346:G347)/1000</f>
        <v>-26713</v>
      </c>
      <c r="G90" s="136">
        <f>SUM('Fin Sta as rep'!I346:I347)/1000</f>
        <v>-31631</v>
      </c>
      <c r="H90" s="137">
        <f>H63-G63</f>
        <v>72388797.687682822</v>
      </c>
      <c r="I90" s="137">
        <f t="shared" ref="I90:K90" si="71">I63-H63</f>
        <v>52364082.806215212</v>
      </c>
      <c r="J90" s="137">
        <f t="shared" si="71"/>
        <v>62204860.80981034</v>
      </c>
      <c r="K90" s="137">
        <f t="shared" si="71"/>
        <v>64387343.686523736</v>
      </c>
      <c r="M90" s="758" t="s">
        <v>1617</v>
      </c>
      <c r="N90" s="673"/>
      <c r="AD90" s="103"/>
    </row>
    <row r="91" spans="1:30">
      <c r="A91" s="361" t="s">
        <v>707</v>
      </c>
      <c r="B91" s="136"/>
      <c r="C91" s="136"/>
      <c r="D91" s="136"/>
      <c r="E91" s="136"/>
      <c r="F91" s="136"/>
      <c r="G91" s="136"/>
      <c r="H91" s="137"/>
      <c r="I91" s="137"/>
      <c r="J91" s="137"/>
      <c r="K91" s="137"/>
      <c r="M91" s="758"/>
      <c r="N91" s="673"/>
      <c r="P91" s="865"/>
      <c r="Q91" s="865"/>
      <c r="R91" s="865"/>
      <c r="S91" s="862"/>
      <c r="T91" s="862"/>
      <c r="U91" s="862"/>
      <c r="AD91" s="103"/>
    </row>
    <row r="92" spans="1:30">
      <c r="A92" t="s">
        <v>778</v>
      </c>
      <c r="B92" s="136"/>
      <c r="C92" s="136"/>
      <c r="D92" s="136"/>
      <c r="E92" s="136"/>
      <c r="F92" s="136"/>
      <c r="G92" s="136"/>
      <c r="H92" s="137"/>
      <c r="I92" s="137"/>
      <c r="J92" s="137"/>
      <c r="K92" s="137"/>
      <c r="M92" s="695" t="s">
        <v>1619</v>
      </c>
      <c r="N92" s="742"/>
      <c r="O92" s="742"/>
      <c r="P92" s="742"/>
      <c r="Q92" s="865"/>
      <c r="R92" s="865"/>
      <c r="S92" s="862"/>
      <c r="T92" s="862"/>
      <c r="U92" s="862"/>
      <c r="AD92" s="103"/>
    </row>
    <row r="93" spans="1:30">
      <c r="A93" s="665" t="s">
        <v>773</v>
      </c>
      <c r="B93" s="136">
        <f>SUM('Fin Sta as rep'!C343:C345)/1000</f>
        <v>136717</v>
      </c>
      <c r="C93" s="136">
        <f>SUM('Fin Sta as rep'!D343:D345)/1000</f>
        <v>55150</v>
      </c>
      <c r="D93" s="136">
        <f>SUM('Fin Sta as rep'!E343:E345)/1000</f>
        <v>18526</v>
      </c>
      <c r="E93" s="136">
        <f>SUM('Fin Sta as rep'!F343:F345)/1000</f>
        <v>99754</v>
      </c>
      <c r="F93" s="136">
        <f>SUM('Fin Sta as rep'!G343:G345)/1000</f>
        <v>375662</v>
      </c>
      <c r="G93" s="136">
        <f>SUM('Fin Sta as rep'!I343:I345)/1000</f>
        <v>112802</v>
      </c>
      <c r="H93" s="137">
        <v>0</v>
      </c>
      <c r="I93" s="137">
        <v>0</v>
      </c>
      <c r="J93" s="137">
        <v>0</v>
      </c>
      <c r="K93" s="137">
        <v>0</v>
      </c>
      <c r="M93" s="758" t="s">
        <v>1600</v>
      </c>
      <c r="N93" s="136"/>
      <c r="O93" s="136"/>
      <c r="P93" s="136"/>
      <c r="Q93" s="137"/>
      <c r="R93" s="137"/>
      <c r="S93" s="137"/>
      <c r="T93" s="137"/>
      <c r="U93" s="137"/>
      <c r="AD93" s="103"/>
    </row>
    <row r="94" spans="1:30" s="233" customFormat="1">
      <c r="A94" s="888" t="s">
        <v>780</v>
      </c>
      <c r="B94" s="866">
        <f>(SUM('Fin Sta as rep'!C348:C357)+SUM('Fin Sta as rep'!C365:C367))/1000</f>
        <v>1750014</v>
      </c>
      <c r="C94" s="866">
        <f>(SUM('Fin Sta as rep'!D348:D357)+SUM('Fin Sta as rep'!D365:D367))/1000</f>
        <v>2293084</v>
      </c>
      <c r="D94" s="866">
        <f>(SUM('Fin Sta as rep'!E348:E357)+SUM('Fin Sta as rep'!E365:E367))/1000</f>
        <v>4616891</v>
      </c>
      <c r="E94" s="866">
        <f>(SUM('Fin Sta as rep'!F348:F357)+SUM('Fin Sta as rep'!F365:F367))/1000</f>
        <v>4023625</v>
      </c>
      <c r="F94" s="866">
        <f>(SUM('Fin Sta as rep'!G348:G357)+SUM('Fin Sta as rep'!G365:G367))/1000</f>
        <v>5148128</v>
      </c>
      <c r="G94" s="866">
        <f>(SUM('Fin Sta as rep'!I348:I357)+SUM('Fin Sta as rep'!I365:I367))/1000</f>
        <v>3224793</v>
      </c>
      <c r="H94" s="898">
        <f>H30</f>
        <v>637933.71349999995</v>
      </c>
      <c r="I94" s="898">
        <f t="shared" ref="I94:K94" si="72">I30</f>
        <v>1314762.3973059254</v>
      </c>
      <c r="J94" s="898">
        <f t="shared" si="72"/>
        <v>1447935.7662802897</v>
      </c>
      <c r="K94" s="898">
        <f t="shared" si="72"/>
        <v>1901850.2489417852</v>
      </c>
      <c r="M94" s="878" t="s">
        <v>807</v>
      </c>
      <c r="N94" s="879">
        <f>E94</f>
        <v>4023625</v>
      </c>
      <c r="O94" s="879">
        <f t="shared" ref="O94:P94" si="73">F94</f>
        <v>5148128</v>
      </c>
      <c r="P94" s="879">
        <f t="shared" si="73"/>
        <v>3224793</v>
      </c>
      <c r="Q94" s="866"/>
      <c r="R94" s="866"/>
      <c r="S94" s="866"/>
      <c r="T94" s="866"/>
      <c r="U94" s="866"/>
      <c r="AD94" s="228"/>
    </row>
    <row r="95" spans="1:30">
      <c r="A95" s="889" t="s">
        <v>1620</v>
      </c>
      <c r="B95" s="137">
        <f>B81+SUM(B85:B94)</f>
        <v>-1845571.0000000149</v>
      </c>
      <c r="C95" s="137">
        <f t="shared" ref="C95:K95" si="74">C81+SUM(C85:C94)</f>
        <v>6578825</v>
      </c>
      <c r="D95" s="137">
        <f t="shared" si="74"/>
        <v>12522909</v>
      </c>
      <c r="E95" s="137">
        <f t="shared" si="74"/>
        <v>14741007.000000015</v>
      </c>
      <c r="F95" s="137">
        <f t="shared" si="74"/>
        <v>45392668.000000015</v>
      </c>
      <c r="G95" s="137">
        <f t="shared" si="74"/>
        <v>65466681.99999997</v>
      </c>
      <c r="H95" s="137">
        <f t="shared" si="74"/>
        <v>114279952.1778149</v>
      </c>
      <c r="I95" s="137">
        <f t="shared" si="74"/>
        <v>126043872.1797189</v>
      </c>
      <c r="J95" s="137">
        <f t="shared" si="74"/>
        <v>162237026.23487806</v>
      </c>
      <c r="K95" s="137">
        <f t="shared" si="74"/>
        <v>194984452.01413643</v>
      </c>
      <c r="M95" s="770"/>
      <c r="N95" s="673"/>
      <c r="AD95" s="103"/>
    </row>
    <row r="96" spans="1:30" ht="14.5">
      <c r="A96" s="869" t="s">
        <v>1581</v>
      </c>
      <c r="B96" s="869"/>
      <c r="C96" s="870"/>
      <c r="D96" s="870"/>
      <c r="E96" s="870"/>
      <c r="F96" s="870"/>
      <c r="G96" s="871"/>
      <c r="H96" s="861"/>
      <c r="I96" s="861"/>
      <c r="J96" s="861"/>
      <c r="K96" s="861"/>
      <c r="M96" s="673"/>
      <c r="N96" s="673"/>
      <c r="AD96" s="103"/>
    </row>
    <row r="97" spans="1:30">
      <c r="A97" s="665" t="s">
        <v>797</v>
      </c>
      <c r="B97" s="136">
        <f>SUM('Fin Sta as rep'!C370:C371)/1000</f>
        <v>-13053450</v>
      </c>
      <c r="C97" s="136">
        <f>SUM('Fin Sta as rep'!D370:D371)/1000</f>
        <v>-14776561</v>
      </c>
      <c r="D97" s="136">
        <f>SUM('Fin Sta as rep'!E370:E371)/1000</f>
        <v>-17842390</v>
      </c>
      <c r="E97" s="136">
        <f>SUM('Fin Sta as rep'!F370:F371)/1000</f>
        <v>-20627160</v>
      </c>
      <c r="F97" s="136">
        <f>SUM('Fin Sta as rep'!G370:G371)/1000</f>
        <v>-11774094</v>
      </c>
      <c r="G97" s="136">
        <f>SUM('Fin Sta as rep'!I370:I371)/1000</f>
        <v>-37343609</v>
      </c>
      <c r="H97" s="877">
        <f>-Q97*H6</f>
        <v>-101774768.39999999</v>
      </c>
      <c r="I97" s="877">
        <f>-R97*I6</f>
        <v>-93556965.703107178</v>
      </c>
      <c r="J97" s="877">
        <f>-S97*J6</f>
        <v>-142082328.59113213</v>
      </c>
      <c r="K97" s="877">
        <f>-T97*K6</f>
        <v>-174932382.35401317</v>
      </c>
      <c r="M97" s="695" t="s">
        <v>1621</v>
      </c>
      <c r="N97" s="777">
        <f>-E97/E6</f>
        <v>0.16938314130772772</v>
      </c>
      <c r="O97" s="777">
        <f>-F97/F6</f>
        <v>7.6719597336231363E-2</v>
      </c>
      <c r="P97" s="777">
        <f>-G97/G6</f>
        <v>0.17673271884563627</v>
      </c>
      <c r="Q97" s="897">
        <v>0.24</v>
      </c>
      <c r="R97" s="859">
        <f>AVERAGE(O97:Q97)</f>
        <v>0.16448410539395589</v>
      </c>
      <c r="S97" s="859">
        <f>AVERAGE(P97:R97)</f>
        <v>0.19373894141319736</v>
      </c>
      <c r="T97" s="859">
        <f>AVERAGE(Q97:S97)</f>
        <v>0.19940768226905106</v>
      </c>
      <c r="U97" s="859">
        <f>AVERAGE(R97:T97)</f>
        <v>0.18587690969206808</v>
      </c>
      <c r="V97" s="872"/>
      <c r="AD97" s="103"/>
    </row>
    <row r="98" spans="1:30">
      <c r="A98" s="316" t="s">
        <v>1169</v>
      </c>
      <c r="B98" s="136"/>
      <c r="C98" s="136"/>
      <c r="D98" s="136"/>
      <c r="E98" s="136"/>
      <c r="F98" s="136"/>
      <c r="G98" s="136"/>
      <c r="H98" s="873"/>
      <c r="I98" s="873"/>
      <c r="J98" s="874"/>
      <c r="K98" s="874"/>
      <c r="M98" s="695" t="s">
        <v>1642</v>
      </c>
      <c r="N98" s="777"/>
      <c r="O98" s="859"/>
      <c r="P98" s="859"/>
      <c r="Q98" s="859"/>
      <c r="R98" s="859"/>
      <c r="S98" s="860"/>
      <c r="T98" s="860"/>
      <c r="U98" s="860"/>
      <c r="AD98" s="103"/>
    </row>
    <row r="99" spans="1:30">
      <c r="A99" s="665" t="s">
        <v>804</v>
      </c>
      <c r="B99" s="136">
        <f>SUM('Fin Sta as rep'!C374:C380,'Fin Sta as rep'!C389)/1000</f>
        <v>-894524</v>
      </c>
      <c r="C99" s="136">
        <f>SUM('Fin Sta as rep'!D374:D380,'Fin Sta as rep'!D389)/1000</f>
        <v>-1591915</v>
      </c>
      <c r="D99" s="136">
        <f>SUM('Fin Sta as rep'!E374:E380,'Fin Sta as rep'!E389)/1000</f>
        <v>-287697</v>
      </c>
      <c r="E99" s="136">
        <f>SUM('Fin Sta as rep'!F374:F380,'Fin Sta as rep'!F389)/1000</f>
        <v>-735806</v>
      </c>
      <c r="F99" s="136">
        <f>SUM('Fin Sta as rep'!G374:G380,'Fin Sta as rep'!G389)/1000</f>
        <v>-1738938</v>
      </c>
      <c r="G99" s="136">
        <f>SUM('Fin Sta as rep'!I374:I380,'Fin Sta as rep'!I389)/1000</f>
        <v>-3304499</v>
      </c>
      <c r="H99" s="893">
        <f>Q99</f>
        <v>-3965398.8</v>
      </c>
      <c r="I99" s="893">
        <f>R99</f>
        <v>-3965398.8</v>
      </c>
      <c r="J99" s="893">
        <f>S99</f>
        <v>-3965398.8</v>
      </c>
      <c r="K99" s="893">
        <f>T99</f>
        <v>-3965398.8</v>
      </c>
      <c r="M99" s="896" t="s">
        <v>804</v>
      </c>
      <c r="N99" s="136">
        <f>E99</f>
        <v>-735806</v>
      </c>
      <c r="O99" s="136">
        <f t="shared" ref="O99:P99" si="75">F99</f>
        <v>-1738938</v>
      </c>
      <c r="P99" s="136">
        <f t="shared" si="75"/>
        <v>-3304499</v>
      </c>
      <c r="Q99" s="895">
        <f>P99*1.2</f>
        <v>-3965398.8</v>
      </c>
      <c r="R99" s="895">
        <f>Q99</f>
        <v>-3965398.8</v>
      </c>
      <c r="S99" s="895">
        <f t="shared" ref="S99:U99" si="76">R99</f>
        <v>-3965398.8</v>
      </c>
      <c r="T99" s="895">
        <f t="shared" si="76"/>
        <v>-3965398.8</v>
      </c>
      <c r="U99" s="895">
        <f t="shared" si="76"/>
        <v>-3965398.8</v>
      </c>
      <c r="AD99" s="103"/>
    </row>
    <row r="100" spans="1:30" s="233" customFormat="1">
      <c r="A100" s="888" t="s">
        <v>807</v>
      </c>
      <c r="B100" s="879">
        <f>SUM('Fin Sta as rep'!C372:C373,'Fin Sta as rep'!C381:C388)/1000</f>
        <v>505332</v>
      </c>
      <c r="C100" s="879">
        <f>SUM('Fin Sta as rep'!D372:D373,'Fin Sta as rep'!D381:D388)/1000</f>
        <v>193454</v>
      </c>
      <c r="D100" s="879">
        <f>SUM('Fin Sta as rep'!E372:E373,'Fin Sta as rep'!E381:E388)/1000</f>
        <v>3899327</v>
      </c>
      <c r="E100" s="879">
        <f>SUM('Fin Sta as rep'!F372:F373,'Fin Sta as rep'!F381:F388)/1000</f>
        <v>481520</v>
      </c>
      <c r="F100" s="879">
        <f>SUM('Fin Sta as rep'!G372:G373,'Fin Sta as rep'!G381:G388)/1000</f>
        <v>-931216</v>
      </c>
      <c r="G100" s="879">
        <f>SUM('Fin Sta as rep'!I372:I373,'Fin Sta as rep'!I381:I388)/1000</f>
        <v>-4755884</v>
      </c>
      <c r="H100" s="880">
        <v>0</v>
      </c>
      <c r="I100" s="880">
        <v>0</v>
      </c>
      <c r="J100" s="867">
        <v>0</v>
      </c>
      <c r="K100" s="867">
        <v>0</v>
      </c>
      <c r="M100" s="260"/>
      <c r="N100" s="260"/>
      <c r="O100" s="260"/>
      <c r="P100" s="260"/>
      <c r="Q100" s="260"/>
      <c r="R100" s="260"/>
      <c r="S100" s="260"/>
      <c r="T100" s="868"/>
      <c r="U100" s="868"/>
      <c r="AD100" s="228"/>
    </row>
    <row r="101" spans="1:30">
      <c r="A101" s="889" t="s">
        <v>1684</v>
      </c>
      <c r="B101" s="137">
        <f>SUM(B97:B100)</f>
        <v>-13442642</v>
      </c>
      <c r="C101" s="137">
        <f t="shared" ref="C101:K101" si="77">SUM(C97:C100)</f>
        <v>-16175022</v>
      </c>
      <c r="D101" s="137">
        <f t="shared" si="77"/>
        <v>-14230760</v>
      </c>
      <c r="E101" s="137">
        <f t="shared" si="77"/>
        <v>-20881446</v>
      </c>
      <c r="F101" s="137">
        <f t="shared" si="77"/>
        <v>-14444248</v>
      </c>
      <c r="G101" s="137">
        <f t="shared" si="77"/>
        <v>-45403992</v>
      </c>
      <c r="H101" s="137">
        <f t="shared" si="77"/>
        <v>-105740167.19999999</v>
      </c>
      <c r="I101" s="137">
        <f t="shared" si="77"/>
        <v>-97522364.503107175</v>
      </c>
      <c r="J101" s="137">
        <f t="shared" si="77"/>
        <v>-146047727.39113215</v>
      </c>
      <c r="K101" s="137">
        <f t="shared" si="77"/>
        <v>-178897781.15401319</v>
      </c>
      <c r="M101" s="260"/>
      <c r="N101" s="260"/>
      <c r="O101" s="260"/>
      <c r="P101" s="260"/>
      <c r="Q101" s="260"/>
      <c r="R101" s="260"/>
      <c r="S101" s="260"/>
      <c r="AD101" s="103"/>
    </row>
    <row r="102" spans="1:30" ht="14.5">
      <c r="A102" s="869" t="s">
        <v>1581</v>
      </c>
      <c r="B102" s="869"/>
      <c r="C102" s="870"/>
      <c r="D102" s="870"/>
      <c r="E102" s="870"/>
      <c r="F102" s="871"/>
      <c r="G102" s="871"/>
      <c r="H102" s="861"/>
      <c r="I102" s="861"/>
      <c r="J102" s="861"/>
      <c r="K102" s="861"/>
      <c r="M102" s="260"/>
      <c r="N102" s="260"/>
      <c r="O102" s="260"/>
      <c r="P102" s="260"/>
      <c r="Q102" s="260"/>
      <c r="R102" s="260"/>
      <c r="S102" s="260"/>
      <c r="AD102" s="103"/>
    </row>
    <row r="103" spans="1:30">
      <c r="A103" s="665" t="s">
        <v>816</v>
      </c>
      <c r="B103" s="136">
        <f>SUM('Fin Sta as rep'!C392:C397)/1000</f>
        <v>4532157</v>
      </c>
      <c r="C103" s="136">
        <f>SUM('Fin Sta as rep'!D392:D397)/1000</f>
        <v>14283484</v>
      </c>
      <c r="D103" s="136">
        <f>SUM('Fin Sta as rep'!E392:E397)/1000</f>
        <v>9507781</v>
      </c>
      <c r="E103" s="136">
        <f>SUM('Fin Sta as rep'!F392:F397)/1000</f>
        <v>9879385</v>
      </c>
      <c r="F103" s="136">
        <f>SUM('Fin Sta as rep'!G392:G397)/1000</f>
        <v>-24489908</v>
      </c>
      <c r="G103" s="136">
        <f>SUM('Fin Sta as rep'!I392:I397)/1000</f>
        <v>-17006426</v>
      </c>
      <c r="H103" s="886">
        <f>H62-G62+H66-G66</f>
        <v>26898148.141384199</v>
      </c>
      <c r="I103" s="886">
        <f t="shared" ref="I103:K103" si="78">I62-H62+I66-H66</f>
        <v>19266807.002936363</v>
      </c>
      <c r="J103" s="886">
        <f t="shared" si="78"/>
        <v>23167224.201470871</v>
      </c>
      <c r="K103" s="886">
        <f t="shared" si="78"/>
        <v>24098118.533831373</v>
      </c>
      <c r="M103" s="260" t="s">
        <v>1644</v>
      </c>
      <c r="N103" s="260"/>
      <c r="O103" s="260"/>
      <c r="P103" s="260"/>
      <c r="Q103" s="260"/>
      <c r="R103" s="260"/>
      <c r="S103" s="260"/>
      <c r="AD103" s="103"/>
    </row>
    <row r="104" spans="1:30">
      <c r="A104" s="665" t="s">
        <v>1003</v>
      </c>
      <c r="B104" s="136">
        <f>SUM('Fin Sta as rep'!C398:C404)/1000</f>
        <v>15068800</v>
      </c>
      <c r="C104" s="136">
        <f>SUM('Fin Sta as rep'!D398:D404)/1000</f>
        <v>100000</v>
      </c>
      <c r="D104" s="136">
        <f>SUM('Fin Sta as rep'!E398:E404)/1000</f>
        <v>10835</v>
      </c>
      <c r="E104" s="136">
        <f>SUM('Fin Sta as rep'!F398:F404)/1000</f>
        <v>500578</v>
      </c>
      <c r="F104" s="136">
        <f>SUM('Fin Sta as rep'!G398:G404)/1000</f>
        <v>-500000</v>
      </c>
      <c r="G104" s="136">
        <f>SUM('Fin Sta as rep'!I398:I404)/1000</f>
        <v>36213719</v>
      </c>
      <c r="H104" s="874">
        <v>0</v>
      </c>
      <c r="I104" s="874">
        <v>0</v>
      </c>
      <c r="J104" s="874">
        <v>0</v>
      </c>
      <c r="K104" s="874">
        <v>0</v>
      </c>
      <c r="M104" s="260"/>
      <c r="N104" s="260"/>
      <c r="O104" s="260"/>
      <c r="P104" s="260"/>
      <c r="Q104" s="260"/>
      <c r="R104" s="260"/>
      <c r="S104" s="260"/>
      <c r="AD104" s="103"/>
    </row>
    <row r="105" spans="1:30" ht="14.5">
      <c r="A105" s="891" t="s">
        <v>825</v>
      </c>
      <c r="B105" s="136">
        <f>SUM('Fin Sta as rep'!C405:C408)/1000</f>
        <v>-3208633</v>
      </c>
      <c r="C105" s="136">
        <f>SUM('Fin Sta as rep'!D405:D408)/1000</f>
        <v>-3201316</v>
      </c>
      <c r="D105" s="136">
        <f>SUM('Fin Sta as rep'!E405:E408)/1000</f>
        <v>-4120193</v>
      </c>
      <c r="E105" s="136">
        <f>SUM('Fin Sta as rep'!F405:F408)/1000</f>
        <v>-4388702</v>
      </c>
      <c r="F105" s="136">
        <f>SUM('Fin Sta as rep'!G405:G408)/1000</f>
        <v>-3686029</v>
      </c>
      <c r="G105" s="136">
        <f>SUM('Fin Sta as rep'!I405:I408)/1000</f>
        <v>-2619303</v>
      </c>
      <c r="H105" s="220">
        <f>-H94-2911142855/10*1.05/1000</f>
        <v>-943603.71327499999</v>
      </c>
      <c r="I105" s="220">
        <f>-I94-2911142855/10*1.05/1000</f>
        <v>-1620432.3970809253</v>
      </c>
      <c r="J105" s="220">
        <f>-J94-2911142855/10*1.05/1000</f>
        <v>-1753605.7660552897</v>
      </c>
      <c r="K105" s="220">
        <f>-K94-2911142855/10*1.05/1000</f>
        <v>-2207520.2487167851</v>
      </c>
      <c r="M105" s="260" t="s">
        <v>825</v>
      </c>
      <c r="N105" s="886"/>
      <c r="O105" s="886"/>
      <c r="P105" s="886"/>
      <c r="Q105" s="886"/>
      <c r="R105" s="886"/>
      <c r="S105" s="886"/>
      <c r="T105" s="886"/>
      <c r="U105" s="886"/>
      <c r="W105" s="869"/>
      <c r="AD105" s="103"/>
    </row>
    <row r="106" spans="1:30">
      <c r="A106" s="891" t="s">
        <v>834</v>
      </c>
      <c r="B106" s="136"/>
      <c r="C106" s="136"/>
      <c r="D106" s="136"/>
      <c r="E106" s="136"/>
      <c r="F106" s="136"/>
      <c r="G106" s="136"/>
      <c r="H106" s="864"/>
      <c r="I106" s="864"/>
      <c r="J106" s="861"/>
      <c r="K106" s="861"/>
      <c r="M106" s="260" t="s">
        <v>1645</v>
      </c>
      <c r="N106" s="260"/>
      <c r="O106" s="260"/>
      <c r="P106" s="260"/>
      <c r="Q106" s="260" t="s">
        <v>1428</v>
      </c>
      <c r="R106" s="260"/>
      <c r="S106" s="260"/>
      <c r="T106" s="862"/>
      <c r="U106" s="862"/>
      <c r="AD106" s="103"/>
    </row>
    <row r="107" spans="1:30" s="233" customFormat="1">
      <c r="A107" s="888" t="s">
        <v>837</v>
      </c>
      <c r="B107" s="879">
        <f>SUM('Fin Sta as rep'!C409:C412)/1000</f>
        <v>-122107</v>
      </c>
      <c r="C107" s="879">
        <f>SUM('Fin Sta as rep'!D409:D412)/1000</f>
        <v>-14344</v>
      </c>
      <c r="D107" s="879">
        <f>SUM('Fin Sta as rep'!E409:E412)/1000</f>
        <v>-1481912</v>
      </c>
      <c r="E107" s="879">
        <f>SUM('Fin Sta as rep'!F409:F412)/1000</f>
        <v>619084</v>
      </c>
      <c r="F107" s="879">
        <f>SUM('Fin Sta as rep'!G409:G412)/1000</f>
        <v>-231481</v>
      </c>
      <c r="G107" s="879">
        <f>SUM('Fin Sta as rep'!I409:I412)/1000</f>
        <v>-525473</v>
      </c>
      <c r="H107" s="885">
        <f>$G$107</f>
        <v>-525473</v>
      </c>
      <c r="I107" s="885">
        <f t="shared" ref="I107:K107" si="79">$G$107</f>
        <v>-525473</v>
      </c>
      <c r="J107" s="885">
        <f t="shared" si="79"/>
        <v>-525473</v>
      </c>
      <c r="K107" s="885">
        <f t="shared" si="79"/>
        <v>-525473</v>
      </c>
      <c r="M107" s="260" t="s">
        <v>807</v>
      </c>
      <c r="N107" s="260"/>
      <c r="O107" s="260"/>
      <c r="P107" s="260"/>
      <c r="Q107" s="260"/>
      <c r="R107" s="260"/>
      <c r="S107" s="260"/>
      <c r="T107" s="868"/>
      <c r="U107" s="868"/>
      <c r="AD107" s="228"/>
    </row>
    <row r="108" spans="1:30">
      <c r="A108" s="889" t="s">
        <v>1623</v>
      </c>
      <c r="B108" s="137">
        <f t="shared" ref="B108:K108" si="80">SUM(B103:B107)</f>
        <v>16270217</v>
      </c>
      <c r="C108" s="137">
        <f t="shared" si="80"/>
        <v>11167824</v>
      </c>
      <c r="D108" s="137">
        <f t="shared" si="80"/>
        <v>3916511</v>
      </c>
      <c r="E108" s="137">
        <f t="shared" si="80"/>
        <v>6610345</v>
      </c>
      <c r="F108" s="137">
        <f t="shared" si="80"/>
        <v>-28907418</v>
      </c>
      <c r="G108" s="137">
        <f t="shared" si="80"/>
        <v>16062517</v>
      </c>
      <c r="H108" s="137">
        <f t="shared" si="80"/>
        <v>25429071.428109199</v>
      </c>
      <c r="I108" s="137">
        <f t="shared" si="80"/>
        <v>17120901.605855439</v>
      </c>
      <c r="J108" s="137">
        <f t="shared" si="80"/>
        <v>20888145.435415581</v>
      </c>
      <c r="K108" s="137">
        <f t="shared" si="80"/>
        <v>21365125.285114586</v>
      </c>
      <c r="L108" s="137">
        <v>0</v>
      </c>
      <c r="M108" s="260"/>
      <c r="N108" s="260"/>
      <c r="O108" s="260"/>
      <c r="P108" s="260"/>
      <c r="Q108" s="260"/>
      <c r="R108" s="260"/>
      <c r="S108" s="260"/>
      <c r="AD108" s="103"/>
    </row>
    <row r="109" spans="1:30" s="233" customFormat="1">
      <c r="A109" s="888" t="s">
        <v>1624</v>
      </c>
      <c r="B109" s="879">
        <f>'Fin Sta as rep'!C415/1000</f>
        <v>97059</v>
      </c>
      <c r="C109" s="879">
        <f>'Fin Sta as rep'!D415/1000</f>
        <v>5733</v>
      </c>
      <c r="D109" s="879">
        <f>'Fin Sta as rep'!E415/1000</f>
        <v>6443</v>
      </c>
      <c r="E109" s="879">
        <f>'Fin Sta as rep'!F415/1000</f>
        <v>53334</v>
      </c>
      <c r="F109" s="879">
        <f>'Fin Sta as rep'!G415/1000</f>
        <v>23199</v>
      </c>
      <c r="G109" s="879">
        <f>'Fin Sta as rep'!I415/1000</f>
        <v>-43845</v>
      </c>
      <c r="H109" s="880">
        <v>0</v>
      </c>
      <c r="I109" s="880">
        <v>0</v>
      </c>
      <c r="J109" s="867">
        <v>0</v>
      </c>
      <c r="K109" s="867">
        <v>0</v>
      </c>
      <c r="M109" s="260" t="s">
        <v>1624</v>
      </c>
      <c r="N109" s="260"/>
      <c r="O109" s="260"/>
      <c r="P109" s="260"/>
      <c r="Q109" s="260"/>
      <c r="R109" s="260"/>
      <c r="S109" s="260"/>
      <c r="T109" s="868"/>
      <c r="U109" s="868"/>
      <c r="AD109" s="228"/>
    </row>
    <row r="110" spans="1:30">
      <c r="A110" s="889" t="s">
        <v>1625</v>
      </c>
      <c r="B110" s="137">
        <f>B95+B101+B108+B109</f>
        <v>1079062.9999999851</v>
      </c>
      <c r="C110" s="137">
        <f t="shared" ref="C110:K110" si="81">C95+C101+C108+C109</f>
        <v>1577360</v>
      </c>
      <c r="D110" s="137">
        <f t="shared" si="81"/>
        <v>2215103</v>
      </c>
      <c r="E110" s="137">
        <f t="shared" si="81"/>
        <v>523240.0000000149</v>
      </c>
      <c r="F110" s="137">
        <f t="shared" si="81"/>
        <v>2064201.0000000149</v>
      </c>
      <c r="G110" s="137">
        <f t="shared" si="81"/>
        <v>36081361.99999997</v>
      </c>
      <c r="H110" s="137">
        <f t="shared" si="81"/>
        <v>33968856.405924112</v>
      </c>
      <c r="I110" s="137">
        <f t="shared" si="81"/>
        <v>45642409.282467157</v>
      </c>
      <c r="J110" s="137">
        <f t="shared" si="81"/>
        <v>37077444.279161498</v>
      </c>
      <c r="K110" s="137">
        <f t="shared" si="81"/>
        <v>37451796.145237833</v>
      </c>
      <c r="L110" s="137"/>
      <c r="M110" s="770"/>
      <c r="N110" s="673"/>
      <c r="AD110" s="103"/>
    </row>
    <row r="111" spans="1:30" ht="14.5">
      <c r="A111" s="869" t="s">
        <v>1581</v>
      </c>
      <c r="B111" s="869"/>
      <c r="C111" s="863"/>
      <c r="D111" s="863"/>
      <c r="E111" s="870"/>
      <c r="F111" s="871"/>
      <c r="G111" s="871"/>
      <c r="H111" s="861"/>
      <c r="I111" s="861"/>
      <c r="J111" s="861"/>
      <c r="K111" s="861"/>
      <c r="AD111" s="103"/>
    </row>
    <row r="112" spans="1:30">
      <c r="A112" s="665" t="s">
        <v>1626</v>
      </c>
      <c r="B112" s="665"/>
      <c r="C112" s="136">
        <f>B46</f>
        <v>7693666</v>
      </c>
      <c r="D112" s="136">
        <f>C113</f>
        <v>9271026</v>
      </c>
      <c r="E112" s="136">
        <f t="shared" ref="E112:K112" si="82">D113</f>
        <v>11486129</v>
      </c>
      <c r="F112" s="136">
        <f t="shared" si="82"/>
        <v>12009369.000000015</v>
      </c>
      <c r="G112" s="136">
        <f t="shared" si="82"/>
        <v>14073570.00000003</v>
      </c>
      <c r="H112" s="136">
        <f>G46</f>
        <v>56063149</v>
      </c>
      <c r="I112" s="136">
        <f t="shared" si="82"/>
        <v>90032005.405924112</v>
      </c>
      <c r="J112" s="136">
        <f t="shared" si="82"/>
        <v>135674414.68839127</v>
      </c>
      <c r="K112" s="136">
        <f t="shared" si="82"/>
        <v>172751858.96755278</v>
      </c>
      <c r="M112" s="260"/>
      <c r="AD112" s="103"/>
    </row>
    <row r="113" spans="1:30">
      <c r="A113" s="665" t="s">
        <v>1627</v>
      </c>
      <c r="B113" s="136">
        <f>B46</f>
        <v>7693666</v>
      </c>
      <c r="C113" s="863">
        <f>C112+C110</f>
        <v>9271026</v>
      </c>
      <c r="D113" s="863">
        <f t="shared" ref="D113:K113" si="83">D112+D110</f>
        <v>11486129</v>
      </c>
      <c r="E113" s="863">
        <f t="shared" si="83"/>
        <v>12009369.000000015</v>
      </c>
      <c r="F113" s="863">
        <f t="shared" si="83"/>
        <v>14073570.00000003</v>
      </c>
      <c r="G113" s="863">
        <f t="shared" si="83"/>
        <v>50154932</v>
      </c>
      <c r="H113" s="863">
        <f t="shared" si="83"/>
        <v>90032005.405924112</v>
      </c>
      <c r="I113" s="863">
        <f t="shared" si="83"/>
        <v>135674414.68839127</v>
      </c>
      <c r="J113" s="863">
        <f t="shared" si="83"/>
        <v>172751858.96755278</v>
      </c>
      <c r="K113" s="863">
        <f t="shared" si="83"/>
        <v>210203655.11279061</v>
      </c>
      <c r="M113" s="260"/>
      <c r="AD113" s="103"/>
    </row>
    <row r="114" spans="1:30" ht="14.5">
      <c r="A114" s="371" t="s">
        <v>1581</v>
      </c>
      <c r="B114" s="869"/>
      <c r="C114" s="870"/>
      <c r="D114" s="870"/>
      <c r="E114" s="870"/>
      <c r="F114" s="871"/>
      <c r="G114" s="871"/>
      <c r="H114" s="861"/>
      <c r="I114" s="861"/>
      <c r="J114" s="861"/>
      <c r="K114" s="861"/>
      <c r="AD114" s="103"/>
    </row>
  </sheetData>
  <phoneticPr fontId="4" type="noConversion"/>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6D53C-95F0-4E73-81CC-2CD8482464AF}">
  <dimension ref="A1:X135"/>
  <sheetViews>
    <sheetView zoomScale="120" zoomScaleNormal="120" workbookViewId="0">
      <pane xSplit="2" ySplit="4" topLeftCell="G68" activePane="bottomRight" state="frozen"/>
      <selection pane="topRight"/>
      <selection pane="bottomLeft"/>
      <selection pane="bottomRight" activeCell="G68" sqref="G68"/>
    </sheetView>
  </sheetViews>
  <sheetFormatPr defaultColWidth="8.83203125" defaultRowHeight="14" outlineLevelCol="1"/>
  <cols>
    <col min="1" max="1" width="27.4140625" style="49" customWidth="1"/>
    <col min="2" max="2" width="11.1640625" hidden="1" customWidth="1"/>
    <col min="3" max="3" width="11" customWidth="1" outlineLevel="1"/>
    <col min="4" max="4" width="12" customWidth="1" outlineLevel="1"/>
    <col min="5" max="7" width="12" bestFit="1" customWidth="1"/>
    <col min="8" max="8" width="12" style="49" bestFit="1" customWidth="1"/>
    <col min="9" max="10" width="12.83203125" bestFit="1" customWidth="1"/>
    <col min="11" max="12" width="13.1640625" bestFit="1" customWidth="1"/>
    <col min="13" max="17" width="9" bestFit="1" customWidth="1"/>
    <col min="18" max="18" width="9.83203125" customWidth="1"/>
    <col min="19" max="19" width="10.75" customWidth="1"/>
    <col min="20" max="20" width="10.25" customWidth="1"/>
  </cols>
  <sheetData>
    <row r="1" spans="1:24">
      <c r="B1" s="103"/>
      <c r="C1" s="104"/>
      <c r="D1" s="104"/>
      <c r="E1" s="105"/>
      <c r="F1" s="106"/>
      <c r="G1" s="106"/>
      <c r="H1" s="564"/>
      <c r="I1" s="107"/>
      <c r="J1" s="107"/>
      <c r="K1" s="107"/>
      <c r="L1" s="107"/>
      <c r="M1" s="103"/>
      <c r="N1" s="103"/>
      <c r="O1" s="103"/>
      <c r="P1" s="103"/>
      <c r="Q1" s="103"/>
      <c r="R1" s="103"/>
      <c r="S1" s="103"/>
      <c r="T1" s="103"/>
      <c r="U1" s="103"/>
      <c r="V1" s="103"/>
      <c r="W1" s="103"/>
      <c r="X1" s="103"/>
    </row>
    <row r="2" spans="1:24" ht="17.5">
      <c r="A2" s="365" t="s">
        <v>1805</v>
      </c>
      <c r="B2" s="108"/>
      <c r="C2" s="109"/>
      <c r="D2" s="109"/>
      <c r="E2" s="110"/>
      <c r="F2" s="111"/>
      <c r="G2" s="111"/>
      <c r="H2" s="565"/>
      <c r="I2" s="112"/>
      <c r="J2" s="112"/>
      <c r="K2" s="112"/>
      <c r="L2" s="113"/>
      <c r="M2" s="108"/>
      <c r="N2" s="108"/>
      <c r="O2" s="108"/>
      <c r="P2" s="108"/>
      <c r="Q2" s="108"/>
      <c r="R2" s="108"/>
      <c r="S2" s="108"/>
      <c r="T2" s="108"/>
      <c r="U2" s="108"/>
      <c r="V2" s="108"/>
      <c r="W2" s="108"/>
      <c r="X2" s="108"/>
    </row>
    <row r="3" spans="1:24">
      <c r="A3" s="366" t="s">
        <v>1806</v>
      </c>
      <c r="B3" s="104">
        <v>2015</v>
      </c>
      <c r="C3" s="104">
        <v>2016</v>
      </c>
      <c r="D3" s="104">
        <v>2017</v>
      </c>
      <c r="E3" s="114">
        <v>2018</v>
      </c>
      <c r="F3" s="114">
        <v>2019</v>
      </c>
      <c r="G3" s="114">
        <v>2020</v>
      </c>
      <c r="H3" s="114">
        <v>2021</v>
      </c>
      <c r="I3" s="114">
        <v>2022</v>
      </c>
      <c r="J3" s="115">
        <v>2023</v>
      </c>
      <c r="K3" s="115">
        <v>2024</v>
      </c>
      <c r="L3" s="115">
        <v>2025</v>
      </c>
      <c r="M3" s="103"/>
      <c r="N3" s="116"/>
      <c r="O3" s="114">
        <f t="shared" ref="O3:V4" si="0">E3</f>
        <v>2018</v>
      </c>
      <c r="P3" s="114">
        <f t="shared" si="0"/>
        <v>2019</v>
      </c>
      <c r="Q3" s="114">
        <f t="shared" si="0"/>
        <v>2020</v>
      </c>
      <c r="R3" s="117">
        <f t="shared" si="0"/>
        <v>2021</v>
      </c>
      <c r="S3" s="117">
        <f t="shared" si="0"/>
        <v>2022</v>
      </c>
      <c r="T3" s="117">
        <f t="shared" si="0"/>
        <v>2023</v>
      </c>
      <c r="U3" s="117">
        <f t="shared" si="0"/>
        <v>2024</v>
      </c>
      <c r="V3" s="117">
        <f t="shared" si="0"/>
        <v>2025</v>
      </c>
      <c r="W3" s="103"/>
      <c r="X3" s="103"/>
    </row>
    <row r="4" spans="1:24">
      <c r="A4" s="367" t="s">
        <v>1807</v>
      </c>
      <c r="B4" s="104" t="s">
        <v>1575</v>
      </c>
      <c r="C4" s="104" t="s">
        <v>1575</v>
      </c>
      <c r="D4" s="104" t="s">
        <v>1575</v>
      </c>
      <c r="E4" s="114" t="s">
        <v>1575</v>
      </c>
      <c r="F4" s="114" t="s">
        <v>1575</v>
      </c>
      <c r="G4" s="114" t="s">
        <v>1575</v>
      </c>
      <c r="H4" s="114" t="s">
        <v>1575</v>
      </c>
      <c r="I4" s="114" t="s">
        <v>1575</v>
      </c>
      <c r="J4" s="115" t="s">
        <v>1576</v>
      </c>
      <c r="K4" s="115" t="s">
        <v>1576</v>
      </c>
      <c r="L4" s="115" t="s">
        <v>1576</v>
      </c>
      <c r="M4" s="103"/>
      <c r="N4" s="118"/>
      <c r="O4" s="114" t="str">
        <f t="shared" si="0"/>
        <v>Actual</v>
      </c>
      <c r="P4" s="114" t="str">
        <f t="shared" si="0"/>
        <v>Actual</v>
      </c>
      <c r="Q4" s="114" t="str">
        <f t="shared" si="0"/>
        <v>Actual</v>
      </c>
      <c r="R4" s="117" t="str">
        <f t="shared" si="0"/>
        <v>Actual</v>
      </c>
      <c r="S4" s="117" t="str">
        <f t="shared" si="0"/>
        <v>Actual</v>
      </c>
      <c r="T4" s="117" t="str">
        <f t="shared" si="0"/>
        <v>Forecast</v>
      </c>
      <c r="U4" s="117" t="str">
        <f t="shared" si="0"/>
        <v>Forecast</v>
      </c>
      <c r="V4" s="117" t="str">
        <f t="shared" si="0"/>
        <v>Forecast</v>
      </c>
      <c r="W4" s="119"/>
      <c r="X4" s="103"/>
    </row>
    <row r="5" spans="1:24">
      <c r="A5" s="121"/>
      <c r="B5" s="120"/>
      <c r="C5" s="121"/>
      <c r="D5" s="121"/>
      <c r="E5" s="120"/>
      <c r="F5" s="120"/>
      <c r="G5" s="120"/>
      <c r="H5" s="566"/>
      <c r="I5" s="122"/>
      <c r="J5" s="122"/>
      <c r="K5" s="122"/>
      <c r="L5" s="122"/>
      <c r="M5" s="120"/>
      <c r="N5" s="103"/>
      <c r="O5" s="103"/>
      <c r="P5" s="103"/>
      <c r="Q5" s="103"/>
      <c r="R5" s="103"/>
      <c r="S5" s="103"/>
      <c r="T5" s="103"/>
      <c r="U5" s="103"/>
      <c r="V5" s="103"/>
      <c r="W5" s="103"/>
      <c r="X5" s="103"/>
    </row>
    <row r="6" spans="1:24" ht="20">
      <c r="A6" s="368" t="s">
        <v>1577</v>
      </c>
      <c r="B6" s="123"/>
      <c r="C6" s="124"/>
      <c r="D6" s="124"/>
      <c r="E6" s="125"/>
      <c r="F6" s="125"/>
      <c r="G6" s="126"/>
      <c r="H6" s="567"/>
      <c r="I6" s="127"/>
      <c r="J6" s="128"/>
      <c r="K6" s="128"/>
      <c r="L6" s="128"/>
      <c r="M6" s="129"/>
      <c r="N6" s="118" t="s">
        <v>1613</v>
      </c>
      <c r="O6" s="129"/>
      <c r="P6" s="129"/>
      <c r="Q6" s="129"/>
      <c r="R6" s="129"/>
      <c r="S6" s="129"/>
      <c r="T6" s="129"/>
      <c r="U6" s="129"/>
      <c r="V6" s="129"/>
      <c r="W6" s="129"/>
      <c r="X6" s="129"/>
    </row>
    <row r="7" spans="1:24">
      <c r="A7" s="65" t="s">
        <v>508</v>
      </c>
      <c r="B7" s="119"/>
      <c r="C7" s="130">
        <f t="shared" ref="C7:L7" si="1">SUM(C8,C9:C12)</f>
        <v>7000129</v>
      </c>
      <c r="D7" s="130">
        <f t="shared" si="1"/>
        <v>11759210</v>
      </c>
      <c r="E7" s="130">
        <f t="shared" si="1"/>
        <v>21460800</v>
      </c>
      <c r="F7" s="130">
        <f t="shared" si="1"/>
        <v>24578000</v>
      </c>
      <c r="G7" s="130">
        <f t="shared" si="1"/>
        <v>31536000</v>
      </c>
      <c r="H7" s="130">
        <f t="shared" si="1"/>
        <v>53823000</v>
      </c>
      <c r="I7" s="130">
        <f t="shared" si="1"/>
        <v>81462000.00000003</v>
      </c>
      <c r="J7" s="130">
        <f t="shared" si="1"/>
        <v>96394360.853666633</v>
      </c>
      <c r="K7" s="130">
        <f t="shared" si="1"/>
        <v>110902766.74495579</v>
      </c>
      <c r="L7" s="131">
        <f t="shared" si="1"/>
        <v>110902766.74495579</v>
      </c>
      <c r="M7" s="103"/>
      <c r="N7" s="119" t="s">
        <v>1631</v>
      </c>
      <c r="O7" s="132">
        <f t="shared" ref="O7:T11" si="2">IFERROR(E7/D7-1,"")</f>
        <v>0.82502055835383503</v>
      </c>
      <c r="P7" s="132">
        <f t="shared" si="2"/>
        <v>0.14525087601580555</v>
      </c>
      <c r="Q7" s="132">
        <f t="shared" si="2"/>
        <v>0.28309870615998056</v>
      </c>
      <c r="R7" s="132">
        <f t="shared" si="2"/>
        <v>0.70671613394216126</v>
      </c>
      <c r="S7" s="132">
        <f t="shared" si="2"/>
        <v>0.51351652639206335</v>
      </c>
      <c r="T7" s="132">
        <f t="shared" si="2"/>
        <v>0.18330461876293969</v>
      </c>
      <c r="U7" s="133"/>
      <c r="V7" s="133"/>
      <c r="W7" s="134"/>
      <c r="X7" s="103"/>
    </row>
    <row r="8" spans="1:24">
      <c r="A8" s="369" t="s">
        <v>1808</v>
      </c>
      <c r="B8" s="135"/>
      <c r="C8" s="136">
        <f>'Earning Forecast'!B5</f>
        <v>6350769</v>
      </c>
      <c r="D8" s="136">
        <f>'Earning Forecast'!C5</f>
        <v>9641750</v>
      </c>
      <c r="E8" s="136">
        <f>'Earning Forecast'!D5</f>
        <v>18514520</v>
      </c>
      <c r="F8" s="136">
        <f>'Earning Forecast'!E5</f>
        <v>20821000</v>
      </c>
      <c r="G8" s="136">
        <f>'Earning Forecast'!F5</f>
        <v>27236000</v>
      </c>
      <c r="H8" s="136">
        <f>'Earning Forecast'!G5</f>
        <v>47232000</v>
      </c>
      <c r="I8" s="136">
        <f>'Earning Forecast'!H5</f>
        <v>71462000.00000003</v>
      </c>
      <c r="J8" s="136">
        <f>'Earning Forecast'!I5</f>
        <v>83926771.802430227</v>
      </c>
      <c r="K8" s="136">
        <f>'Earning Forecast'!J5</f>
        <v>95277251.58928746</v>
      </c>
      <c r="L8" s="137">
        <f>K8*(1+V8)</f>
        <v>95277251.58928746</v>
      </c>
      <c r="M8" s="120"/>
      <c r="N8" s="120" t="str">
        <f>A8</f>
        <v>Automotive Sales&amp;Leasing</v>
      </c>
      <c r="O8" s="138">
        <f t="shared" si="2"/>
        <v>0.92024476884383022</v>
      </c>
      <c r="P8" s="138">
        <f t="shared" si="2"/>
        <v>0.1245768186266778</v>
      </c>
      <c r="Q8" s="138">
        <f t="shared" si="2"/>
        <v>0.30810239661879835</v>
      </c>
      <c r="R8" s="138">
        <f t="shared" si="2"/>
        <v>0.73417535614627694</v>
      </c>
      <c r="S8" s="138">
        <f t="shared" si="2"/>
        <v>0.512999661246613</v>
      </c>
      <c r="T8" s="138">
        <f t="shared" si="2"/>
        <v>0.1744251742524725</v>
      </c>
      <c r="U8" s="139"/>
      <c r="V8" s="139"/>
      <c r="W8" s="140"/>
      <c r="X8" s="120"/>
    </row>
    <row r="9" spans="1:24">
      <c r="A9" s="369" t="s">
        <v>515</v>
      </c>
      <c r="B9" s="135"/>
      <c r="C9" s="136">
        <f>'Earning Forecast'!B12</f>
        <v>467970</v>
      </c>
      <c r="D9" s="136">
        <f>'Earning Forecast'!C12</f>
        <v>1001190</v>
      </c>
      <c r="E9" s="136">
        <f>'Earning Forecast'!D12</f>
        <v>1391040</v>
      </c>
      <c r="F9" s="136">
        <f>'Earning Forecast'!E12</f>
        <v>2226000</v>
      </c>
      <c r="G9" s="136">
        <f>'Earning Forecast'!F12</f>
        <v>2306000</v>
      </c>
      <c r="H9" s="136">
        <f>'Earning Forecast'!G12</f>
        <v>3802000</v>
      </c>
      <c r="I9" s="136">
        <f>'Earning Forecast'!H12</f>
        <v>6091000</v>
      </c>
      <c r="J9" s="136">
        <f>'Earning Forecast'!I12</f>
        <v>7005024.5548287649</v>
      </c>
      <c r="K9" s="136">
        <f>'Earning Forecast'!J12</f>
        <v>7914246.0697092656</v>
      </c>
      <c r="L9" s="137">
        <f>K9*(1+V9)</f>
        <v>7914246.0697092656</v>
      </c>
      <c r="M9" s="141"/>
      <c r="N9" s="120" t="str">
        <f>A9</f>
        <v>Services &amp; Other</v>
      </c>
      <c r="O9" s="138">
        <f t="shared" si="2"/>
        <v>0.38938662991040651</v>
      </c>
      <c r="P9" s="138">
        <f t="shared" si="2"/>
        <v>0.60024154589371981</v>
      </c>
      <c r="Q9" s="138">
        <f t="shared" si="2"/>
        <v>3.5938903863432126E-2</v>
      </c>
      <c r="R9" s="138">
        <f t="shared" si="2"/>
        <v>0.64874241110147435</v>
      </c>
      <c r="S9" s="138">
        <f t="shared" si="2"/>
        <v>0.60205155181483438</v>
      </c>
      <c r="T9" s="138">
        <f t="shared" si="2"/>
        <v>0.15006149315855599</v>
      </c>
      <c r="U9" s="139"/>
      <c r="V9" s="139"/>
      <c r="W9" s="120"/>
      <c r="X9" s="120"/>
    </row>
    <row r="10" spans="1:24">
      <c r="A10" s="369" t="s">
        <v>520</v>
      </c>
      <c r="B10" s="135"/>
      <c r="C10" s="136">
        <f>'Earning Forecast'!B20</f>
        <v>181390</v>
      </c>
      <c r="D10" s="136">
        <f>'Earning Forecast'!C20</f>
        <v>1116270</v>
      </c>
      <c r="E10" s="136">
        <f>'Earning Forecast'!D20</f>
        <v>1555240</v>
      </c>
      <c r="F10" s="136">
        <f>'Earning Forecast'!E20</f>
        <v>1531000</v>
      </c>
      <c r="G10" s="136">
        <f>'Earning Forecast'!F20</f>
        <v>1994000</v>
      </c>
      <c r="H10" s="136">
        <f>'Earning Forecast'!G20</f>
        <v>2789000</v>
      </c>
      <c r="I10" s="136">
        <f>'Earning Forecast'!H20</f>
        <v>3909000</v>
      </c>
      <c r="J10" s="136">
        <f>'Earning Forecast'!I20</f>
        <v>5462564.4964076504</v>
      </c>
      <c r="K10" s="136">
        <f>'Earning Forecast'!J20</f>
        <v>7711269.0859590573</v>
      </c>
      <c r="L10" s="137">
        <f>K10*(1+V10)</f>
        <v>7711269.0859590573</v>
      </c>
      <c r="M10" s="120"/>
      <c r="N10" s="120" t="str">
        <f>A10</f>
        <v>Energy Generation &amp; Storage</v>
      </c>
      <c r="O10" s="138">
        <f t="shared" si="2"/>
        <v>0.39324715346645522</v>
      </c>
      <c r="P10" s="138">
        <f t="shared" si="2"/>
        <v>-1.5586018878115282E-2</v>
      </c>
      <c r="Q10" s="138">
        <f t="shared" si="2"/>
        <v>0.30241672109732209</v>
      </c>
      <c r="R10" s="138">
        <f t="shared" si="2"/>
        <v>0.3986960882647943</v>
      </c>
      <c r="S10" s="138">
        <f t="shared" si="2"/>
        <v>0.40157762638938688</v>
      </c>
      <c r="T10" s="138">
        <f t="shared" si="2"/>
        <v>0.39743271844657202</v>
      </c>
      <c r="U10" s="139"/>
      <c r="V10" s="139"/>
      <c r="W10" s="120"/>
      <c r="X10" s="120"/>
    </row>
    <row r="11" spans="1:24">
      <c r="A11" s="369" t="s">
        <v>1809</v>
      </c>
      <c r="B11" s="135"/>
      <c r="C11" s="142">
        <v>0</v>
      </c>
      <c r="D11" s="142">
        <v>0</v>
      </c>
      <c r="E11" s="142">
        <v>0</v>
      </c>
      <c r="F11" s="142">
        <v>0</v>
      </c>
      <c r="G11" s="142">
        <v>0</v>
      </c>
      <c r="H11" s="142">
        <v>0</v>
      </c>
      <c r="I11" s="142">
        <v>0</v>
      </c>
      <c r="J11" s="142">
        <v>0</v>
      </c>
      <c r="K11" s="137">
        <f>J11*(1+U11)</f>
        <v>0</v>
      </c>
      <c r="L11" s="137">
        <f>K11*(1+V11)</f>
        <v>0</v>
      </c>
      <c r="M11" s="141"/>
      <c r="N11" s="120" t="str">
        <f>A11</f>
        <v>Other Revenue</v>
      </c>
      <c r="O11" s="143" t="str">
        <f t="shared" si="2"/>
        <v/>
      </c>
      <c r="P11" s="143" t="str">
        <f t="shared" si="2"/>
        <v/>
      </c>
      <c r="Q11" s="143" t="str">
        <f t="shared" si="2"/>
        <v/>
      </c>
      <c r="R11" s="143" t="str">
        <f t="shared" si="2"/>
        <v/>
      </c>
      <c r="S11" s="143" t="str">
        <f t="shared" si="2"/>
        <v/>
      </c>
      <c r="T11" s="143" t="str">
        <f t="shared" si="2"/>
        <v/>
      </c>
      <c r="U11" s="139"/>
      <c r="V11" s="139"/>
      <c r="W11" s="120"/>
      <c r="X11" s="120"/>
    </row>
    <row r="12" spans="1:24">
      <c r="A12" s="369" t="s">
        <v>1629</v>
      </c>
      <c r="B12" s="135"/>
      <c r="C12" s="142">
        <v>0</v>
      </c>
      <c r="D12" s="142">
        <v>0</v>
      </c>
      <c r="E12" s="142">
        <v>0</v>
      </c>
      <c r="F12" s="142">
        <v>0</v>
      </c>
      <c r="G12" s="142">
        <v>0</v>
      </c>
      <c r="H12" s="142">
        <v>0</v>
      </c>
      <c r="I12" s="142">
        <v>0</v>
      </c>
      <c r="J12" s="142">
        <v>0</v>
      </c>
      <c r="K12" s="207" t="str">
        <f>U12</f>
        <v>($)</v>
      </c>
      <c r="L12" s="207" t="str">
        <f>V12</f>
        <v>($)</v>
      </c>
      <c r="M12" s="120"/>
      <c r="N12" s="120" t="str">
        <f>A12</f>
        <v>Other/Manual Adjustments</v>
      </c>
      <c r="O12" s="143"/>
      <c r="P12" s="143"/>
      <c r="Q12" s="146" t="s">
        <v>1810</v>
      </c>
      <c r="R12" s="146" t="s">
        <v>1810</v>
      </c>
      <c r="S12" s="146" t="s">
        <v>1810</v>
      </c>
      <c r="T12" s="146" t="s">
        <v>1810</v>
      </c>
      <c r="U12" s="147" t="str">
        <f>T12</f>
        <v>($)</v>
      </c>
      <c r="V12" s="147" t="str">
        <f>U12</f>
        <v>($)</v>
      </c>
      <c r="W12" s="120"/>
      <c r="X12" s="120"/>
    </row>
    <row r="13" spans="1:24" ht="14.5">
      <c r="A13" s="370" t="s">
        <v>1581</v>
      </c>
      <c r="B13" s="148"/>
      <c r="C13" s="104"/>
      <c r="D13" s="104"/>
      <c r="E13" s="104"/>
      <c r="F13" s="149"/>
      <c r="G13" s="150"/>
      <c r="H13" s="568"/>
      <c r="I13" s="151"/>
      <c r="J13" s="131"/>
      <c r="K13" s="152"/>
      <c r="L13" s="152"/>
      <c r="M13" s="103"/>
      <c r="N13" s="153"/>
      <c r="O13" s="103"/>
      <c r="P13" s="103"/>
      <c r="Q13" s="103"/>
      <c r="R13" s="103"/>
      <c r="S13" s="103"/>
      <c r="T13" s="103"/>
      <c r="U13" s="103"/>
      <c r="V13" s="103"/>
      <c r="W13" s="103"/>
      <c r="X13" s="103"/>
    </row>
    <row r="14" spans="1:24">
      <c r="A14" s="65" t="s">
        <v>287</v>
      </c>
      <c r="B14" s="119"/>
      <c r="C14" s="130">
        <f t="shared" ref="C14:L14" si="3">SUM(C15,C16:C19)</f>
        <v>5400872</v>
      </c>
      <c r="D14" s="130">
        <f t="shared" si="3"/>
        <v>9536047</v>
      </c>
      <c r="E14" s="130">
        <f t="shared" si="3"/>
        <v>17367113</v>
      </c>
      <c r="F14" s="130">
        <f t="shared" si="3"/>
        <v>20509000</v>
      </c>
      <c r="G14" s="130">
        <f t="shared" si="3"/>
        <v>24906000</v>
      </c>
      <c r="H14" s="130">
        <f t="shared" si="3"/>
        <v>40216294</v>
      </c>
      <c r="I14" s="130">
        <f t="shared" si="3"/>
        <v>60557450.446945287</v>
      </c>
      <c r="J14" s="130">
        <f t="shared" si="3"/>
        <v>79924762.575856596</v>
      </c>
      <c r="K14" s="130">
        <f t="shared" si="3"/>
        <v>92058697.052028477</v>
      </c>
      <c r="L14" s="131">
        <f t="shared" si="3"/>
        <v>0</v>
      </c>
      <c r="M14" s="103"/>
      <c r="N14" s="119" t="s">
        <v>1632</v>
      </c>
      <c r="O14" s="154">
        <f t="shared" ref="O14:Q18" si="4">IFERROR(E14/E$7,"")</f>
        <v>0.80924816409453515</v>
      </c>
      <c r="P14" s="154">
        <f t="shared" si="4"/>
        <v>0.83444543901049717</v>
      </c>
      <c r="Q14" s="154">
        <f t="shared" si="4"/>
        <v>0.7897640791476408</v>
      </c>
      <c r="R14" s="154">
        <f>IFERROR(H14/H7,"")</f>
        <v>0.74719532541850142</v>
      </c>
      <c r="S14" s="154">
        <f>IFERROR(I14/I7,"")</f>
        <v>0.74338280973883852</v>
      </c>
      <c r="T14" s="154">
        <f>IFERROR(J14/J7,"")</f>
        <v>0.82914355018327224</v>
      </c>
      <c r="U14" s="154"/>
      <c r="V14" s="154"/>
      <c r="W14" s="103"/>
      <c r="X14" s="103"/>
    </row>
    <row r="15" spans="1:24">
      <c r="A15" s="369" t="s">
        <v>1808</v>
      </c>
      <c r="B15" s="135"/>
      <c r="C15" s="214">
        <f>'Earning Forecast'!B8</f>
        <v>4750084</v>
      </c>
      <c r="D15" s="214">
        <f>'Earning Forecast'!C8</f>
        <v>7432750</v>
      </c>
      <c r="E15" s="214">
        <f>'Earning Forecast'!D8</f>
        <v>14173520</v>
      </c>
      <c r="F15" s="214">
        <f>'Earning Forecast'!E8</f>
        <v>16398000</v>
      </c>
      <c r="G15" s="214">
        <f>'Earning Forecast'!F8</f>
        <v>20259000</v>
      </c>
      <c r="H15" s="214">
        <f>'Earning Forecast'!G8</f>
        <v>33393000</v>
      </c>
      <c r="I15" s="214">
        <f>'Earning Forecast'!H8</f>
        <v>51056450.446945287</v>
      </c>
      <c r="J15" s="214">
        <f>'Earning Forecast'!I8</f>
        <v>68269689.795095026</v>
      </c>
      <c r="K15" s="214">
        <f>'Earning Forecast'!J8</f>
        <v>77647023.874300972</v>
      </c>
      <c r="L15" s="137">
        <f>L$7*(V15)</f>
        <v>0</v>
      </c>
      <c r="M15" s="103"/>
      <c r="N15" s="155" t="str">
        <f>A15</f>
        <v>Automotive Sales&amp;Leasing</v>
      </c>
      <c r="O15" s="138">
        <f t="shared" si="4"/>
        <v>0.66043763513009768</v>
      </c>
      <c r="P15" s="138">
        <f t="shared" si="4"/>
        <v>0.66718203271218157</v>
      </c>
      <c r="Q15" s="138">
        <f t="shared" si="4"/>
        <v>0.64240867579908678</v>
      </c>
      <c r="R15" s="138">
        <f t="shared" ref="R15:T18" si="5">IFERROR(H15/H$7,"")</f>
        <v>0.62042249595897669</v>
      </c>
      <c r="S15" s="138">
        <f t="shared" si="5"/>
        <v>0.62675174249276067</v>
      </c>
      <c r="T15" s="138">
        <f t="shared" si="5"/>
        <v>0.70823323263414939</v>
      </c>
      <c r="U15" s="139"/>
      <c r="V15" s="139"/>
      <c r="W15" s="103"/>
      <c r="X15" s="103" t="s">
        <v>1811</v>
      </c>
    </row>
    <row r="16" spans="1:24">
      <c r="A16" s="369" t="s">
        <v>515</v>
      </c>
      <c r="B16" s="135"/>
      <c r="C16" s="214">
        <f>'Earning Forecast'!B12-'Earning Forecast'!B15</f>
        <v>472460</v>
      </c>
      <c r="D16" s="214">
        <f>'Earning Forecast'!C12-'Earning Forecast'!C15</f>
        <v>1229027</v>
      </c>
      <c r="E16" s="214">
        <f>'Earning Forecast'!D12-'Earning Forecast'!D15</f>
        <v>1880353</v>
      </c>
      <c r="F16" s="214">
        <f>'Earning Forecast'!E12-'Earning Forecast'!E15</f>
        <v>2770000</v>
      </c>
      <c r="G16" s="214">
        <f>'Earning Forecast'!F12-'Earning Forecast'!F15</f>
        <v>2671000</v>
      </c>
      <c r="H16" s="214">
        <f>'Earning Forecast'!G12-'Earning Forecast'!G15</f>
        <v>3906000</v>
      </c>
      <c r="I16" s="214">
        <f>'Earning Forecast'!H12-'Earning Forecast'!H15</f>
        <v>5880000</v>
      </c>
      <c r="J16" s="214">
        <f>'Earning Forecast'!I12-'Earning Forecast'!I15</f>
        <v>6412110.3520308714</v>
      </c>
      <c r="K16" s="214">
        <f>'Earning Forecast'!J12-'Earning Forecast'!J15</f>
        <v>6848661.8960483614</v>
      </c>
      <c r="L16" s="137">
        <f>L$7*(V16)</f>
        <v>0</v>
      </c>
      <c r="M16" s="103"/>
      <c r="N16" s="120" t="str">
        <f>A16</f>
        <v>Services &amp; Other</v>
      </c>
      <c r="O16" s="138">
        <f t="shared" si="4"/>
        <v>8.7618029150823826E-2</v>
      </c>
      <c r="P16" s="138">
        <f t="shared" si="4"/>
        <v>0.11270241679550817</v>
      </c>
      <c r="Q16" s="138">
        <f t="shared" si="4"/>
        <v>8.4696854388635209E-2</v>
      </c>
      <c r="R16" s="138">
        <f t="shared" si="5"/>
        <v>7.2571205618415915E-2</v>
      </c>
      <c r="S16" s="138">
        <f t="shared" si="5"/>
        <v>7.2180894159239867E-2</v>
      </c>
      <c r="T16" s="138">
        <f t="shared" si="5"/>
        <v>6.6519558771336251E-2</v>
      </c>
      <c r="U16" s="139"/>
      <c r="V16" s="139"/>
      <c r="W16" s="103"/>
      <c r="X16" s="103" t="s">
        <v>1812</v>
      </c>
    </row>
    <row r="17" spans="1:24">
      <c r="A17" s="369" t="s">
        <v>520</v>
      </c>
      <c r="B17" s="135"/>
      <c r="C17" s="214">
        <f>'Earning Forecast'!B20-'Earning Forecast'!B22</f>
        <v>178328</v>
      </c>
      <c r="D17" s="214">
        <f>'Earning Forecast'!C20-'Earning Forecast'!C22</f>
        <v>874270</v>
      </c>
      <c r="E17" s="214">
        <f>'Earning Forecast'!D20-'Earning Forecast'!D22</f>
        <v>1313240</v>
      </c>
      <c r="F17" s="214">
        <f>'Earning Forecast'!E20-'Earning Forecast'!E22</f>
        <v>1341000</v>
      </c>
      <c r="G17" s="214">
        <f>'Earning Forecast'!F20-'Earning Forecast'!F22</f>
        <v>1976000</v>
      </c>
      <c r="H17" s="214">
        <f>'Earning Forecast'!G20-'Earning Forecast'!G22</f>
        <v>2917294</v>
      </c>
      <c r="I17" s="214">
        <f>'Earning Forecast'!H20-'Earning Forecast'!H22</f>
        <v>3621000</v>
      </c>
      <c r="J17" s="214">
        <f>'Earning Forecast'!I20-'Earning Forecast'!I22</f>
        <v>5242962.4287306909</v>
      </c>
      <c r="K17" s="214">
        <f>'Earning Forecast'!J20-'Earning Forecast'!J22</f>
        <v>7563011.2816791339</v>
      </c>
      <c r="L17" s="137">
        <f>L$7*(V17)</f>
        <v>0</v>
      </c>
      <c r="M17" s="103"/>
      <c r="N17" s="120" t="str">
        <f>A17</f>
        <v>Energy Generation &amp; Storage</v>
      </c>
      <c r="O17" s="138">
        <f t="shared" si="4"/>
        <v>6.119249981361366E-2</v>
      </c>
      <c r="P17" s="138">
        <f t="shared" si="4"/>
        <v>5.456098950280739E-2</v>
      </c>
      <c r="Q17" s="138">
        <f t="shared" si="4"/>
        <v>6.2658548959918819E-2</v>
      </c>
      <c r="R17" s="138">
        <f t="shared" si="5"/>
        <v>5.4201623841108819E-2</v>
      </c>
      <c r="S17" s="138">
        <f t="shared" si="5"/>
        <v>4.4450173086838018E-2</v>
      </c>
      <c r="T17" s="138">
        <f t="shared" si="5"/>
        <v>5.4390758777786534E-2</v>
      </c>
      <c r="U17" s="139"/>
      <c r="V17" s="139"/>
      <c r="W17" s="103"/>
      <c r="X17" s="103" t="s">
        <v>1811</v>
      </c>
    </row>
    <row r="18" spans="1:24">
      <c r="A18" s="369" t="s">
        <v>1673</v>
      </c>
      <c r="B18" s="135"/>
      <c r="C18" s="142">
        <v>0</v>
      </c>
      <c r="D18" s="142">
        <v>0</v>
      </c>
      <c r="E18" s="142">
        <v>0</v>
      </c>
      <c r="F18" s="142">
        <v>0</v>
      </c>
      <c r="G18" s="142">
        <v>0</v>
      </c>
      <c r="H18" s="142">
        <v>0</v>
      </c>
      <c r="I18" s="142">
        <v>0</v>
      </c>
      <c r="J18" s="142">
        <v>0</v>
      </c>
      <c r="K18" s="142">
        <v>0</v>
      </c>
      <c r="L18" s="137">
        <f>L$7*(V18)</f>
        <v>0</v>
      </c>
      <c r="M18" s="103"/>
      <c r="N18" s="120" t="str">
        <f>A18</f>
        <v>Implementation</v>
      </c>
      <c r="O18" s="138">
        <f t="shared" si="4"/>
        <v>0</v>
      </c>
      <c r="P18" s="138">
        <f t="shared" si="4"/>
        <v>0</v>
      </c>
      <c r="Q18" s="138">
        <f t="shared" si="4"/>
        <v>0</v>
      </c>
      <c r="R18" s="138">
        <f t="shared" si="5"/>
        <v>0</v>
      </c>
      <c r="S18" s="138">
        <f t="shared" si="5"/>
        <v>0</v>
      </c>
      <c r="T18" s="138">
        <f t="shared" si="5"/>
        <v>0</v>
      </c>
      <c r="U18" s="139"/>
      <c r="V18" s="139"/>
      <c r="W18" s="120"/>
      <c r="X18" s="103"/>
    </row>
    <row r="19" spans="1:24">
      <c r="A19" s="369" t="s">
        <v>1674</v>
      </c>
      <c r="B19" s="135"/>
      <c r="C19" s="142">
        <v>0</v>
      </c>
      <c r="D19" s="142">
        <v>0</v>
      </c>
      <c r="E19" s="142">
        <v>0</v>
      </c>
      <c r="F19" s="142">
        <v>0</v>
      </c>
      <c r="G19" s="142">
        <v>0</v>
      </c>
      <c r="H19" s="142">
        <v>0</v>
      </c>
      <c r="I19" s="142">
        <v>0</v>
      </c>
      <c r="J19" s="142">
        <v>0</v>
      </c>
      <c r="K19" s="142">
        <v>0</v>
      </c>
      <c r="L19" s="207">
        <f>V19</f>
        <v>0</v>
      </c>
      <c r="M19" s="103"/>
      <c r="N19" s="120" t="str">
        <f>A19</f>
        <v>Fixed</v>
      </c>
      <c r="O19" s="143"/>
      <c r="P19" s="143"/>
      <c r="Q19" s="146" t="s">
        <v>1810</v>
      </c>
      <c r="R19" s="147">
        <v>0</v>
      </c>
      <c r="S19" s="147">
        <v>0</v>
      </c>
      <c r="T19" s="147">
        <v>0</v>
      </c>
      <c r="U19" s="147"/>
      <c r="V19" s="147"/>
      <c r="W19" s="103"/>
      <c r="X19" s="103"/>
    </row>
    <row r="20" spans="1:24" ht="14.5">
      <c r="A20" s="371" t="s">
        <v>1581</v>
      </c>
      <c r="B20" s="156"/>
      <c r="C20" s="157"/>
      <c r="D20" s="157"/>
      <c r="E20" s="157"/>
      <c r="F20" s="158"/>
      <c r="G20" s="158"/>
      <c r="H20" s="570"/>
      <c r="I20" s="159"/>
      <c r="J20" s="159"/>
      <c r="K20" s="159"/>
      <c r="L20" s="159"/>
      <c r="M20" s="103"/>
      <c r="N20" s="103"/>
      <c r="O20" s="160"/>
      <c r="P20" s="160"/>
      <c r="Q20" s="160"/>
      <c r="R20" s="103"/>
      <c r="S20" s="103"/>
      <c r="T20" s="103"/>
      <c r="U20" s="103"/>
      <c r="V20" s="161"/>
      <c r="W20" s="103"/>
      <c r="X20" s="103"/>
    </row>
    <row r="21" spans="1:24">
      <c r="A21" s="65" t="s">
        <v>511</v>
      </c>
      <c r="B21" s="119"/>
      <c r="C21" s="130">
        <f t="shared" ref="C21:L21" si="6">C7-C14</f>
        <v>1599257</v>
      </c>
      <c r="D21" s="130">
        <f t="shared" si="6"/>
        <v>2223163</v>
      </c>
      <c r="E21" s="130">
        <f t="shared" si="6"/>
        <v>4093687</v>
      </c>
      <c r="F21" s="130">
        <f t="shared" si="6"/>
        <v>4069000</v>
      </c>
      <c r="G21" s="130">
        <f t="shared" si="6"/>
        <v>6630000</v>
      </c>
      <c r="H21" s="130">
        <f t="shared" si="6"/>
        <v>13606706</v>
      </c>
      <c r="I21" s="131">
        <f t="shared" si="6"/>
        <v>20904549.553054743</v>
      </c>
      <c r="J21" s="131">
        <f t="shared" si="6"/>
        <v>16469598.277810037</v>
      </c>
      <c r="K21" s="131">
        <f t="shared" si="6"/>
        <v>18844069.692927316</v>
      </c>
      <c r="L21" s="131">
        <f t="shared" si="6"/>
        <v>110902766.74495579</v>
      </c>
      <c r="M21" s="103"/>
      <c r="N21" s="119" t="s">
        <v>1633</v>
      </c>
      <c r="O21" s="133">
        <f t="shared" ref="O21:T21" si="7">IFERROR(E21/E7,"")</f>
        <v>0.19075183590546485</v>
      </c>
      <c r="P21" s="133">
        <f t="shared" si="7"/>
        <v>0.1655545609895028</v>
      </c>
      <c r="Q21" s="133">
        <f t="shared" si="7"/>
        <v>0.2102359208523592</v>
      </c>
      <c r="R21" s="133">
        <f t="shared" si="7"/>
        <v>0.25280467458149863</v>
      </c>
      <c r="S21" s="133">
        <f t="shared" si="7"/>
        <v>0.25661719026116148</v>
      </c>
      <c r="T21" s="133">
        <f t="shared" si="7"/>
        <v>0.17085644981672773</v>
      </c>
      <c r="U21" s="133"/>
      <c r="V21" s="133"/>
      <c r="W21" s="103"/>
      <c r="X21" s="103"/>
    </row>
    <row r="22" spans="1:24" ht="14.5">
      <c r="A22" s="371" t="s">
        <v>1581</v>
      </c>
      <c r="B22" s="156"/>
      <c r="C22" s="158"/>
      <c r="D22" s="158"/>
      <c r="E22" s="158"/>
      <c r="F22" s="158"/>
      <c r="G22" s="158"/>
      <c r="H22" s="570"/>
      <c r="I22" s="159"/>
      <c r="J22" s="159"/>
      <c r="K22" s="159"/>
      <c r="L22" s="159"/>
      <c r="M22" s="103"/>
      <c r="N22" s="103"/>
      <c r="O22" s="103"/>
      <c r="P22" s="103"/>
      <c r="Q22" s="103"/>
      <c r="R22" s="103"/>
      <c r="S22" s="161"/>
      <c r="T22" s="103"/>
      <c r="U22" s="103"/>
      <c r="V22" s="103"/>
      <c r="W22" s="103"/>
      <c r="X22" s="103"/>
    </row>
    <row r="23" spans="1:24">
      <c r="A23" s="65" t="s">
        <v>1582</v>
      </c>
      <c r="B23" s="119"/>
      <c r="C23" s="130">
        <f t="shared" ref="C23:L23" si="8">SUM(,C24:C27)</f>
        <v>2266597</v>
      </c>
      <c r="D23" s="130">
        <f t="shared" si="8"/>
        <v>3855249</v>
      </c>
      <c r="E23" s="130">
        <f t="shared" si="8"/>
        <v>4481760</v>
      </c>
      <c r="F23" s="130">
        <f t="shared" si="8"/>
        <v>4138000</v>
      </c>
      <c r="G23" s="130">
        <f t="shared" si="8"/>
        <v>4636000</v>
      </c>
      <c r="H23" s="130">
        <f t="shared" si="8"/>
        <v>7110000</v>
      </c>
      <c r="I23" s="130">
        <f t="shared" si="8"/>
        <v>7021000</v>
      </c>
      <c r="J23" s="130">
        <f t="shared" si="8"/>
        <v>7639194.5756951794</v>
      </c>
      <c r="K23" s="130">
        <f t="shared" si="8"/>
        <v>7998199.6538938275</v>
      </c>
      <c r="L23" s="131">
        <f t="shared" si="8"/>
        <v>0</v>
      </c>
      <c r="M23" s="103"/>
      <c r="N23" s="119" t="s">
        <v>1634</v>
      </c>
      <c r="O23" s="154">
        <f t="shared" ref="O23:Q26" si="9">IFERROR(E23/E$7,"")</f>
        <v>0.20883471259226125</v>
      </c>
      <c r="P23" s="154">
        <f t="shared" si="9"/>
        <v>0.16836194971112378</v>
      </c>
      <c r="Q23" s="154">
        <f t="shared" si="9"/>
        <v>0.14700659563673263</v>
      </c>
      <c r="R23" s="154">
        <f>IFERROR(H23/H7,"")</f>
        <v>0.13209965999665571</v>
      </c>
      <c r="S23" s="154">
        <f>IFERROR(I23/I7,"")</f>
        <v>8.6187424811568547E-2</v>
      </c>
      <c r="T23" s="154">
        <f>IFERROR(J23/J7,"")</f>
        <v>7.9249392890233583E-2</v>
      </c>
      <c r="U23" s="154"/>
      <c r="V23" s="154"/>
      <c r="W23" s="103"/>
      <c r="X23" s="103"/>
    </row>
    <row r="24" spans="1:24">
      <c r="A24" s="369" t="s">
        <v>1583</v>
      </c>
      <c r="B24" s="135"/>
      <c r="C24" s="136">
        <f>'Earning Forecast'!B43</f>
        <v>1432189</v>
      </c>
      <c r="D24" s="136">
        <f>'Earning Forecast'!C43</f>
        <v>2476500</v>
      </c>
      <c r="E24" s="136">
        <f>'Earning Forecast'!D43</f>
        <v>2834491</v>
      </c>
      <c r="F24" s="136">
        <f>'Earning Forecast'!E43</f>
        <v>2795000</v>
      </c>
      <c r="G24" s="136">
        <f>'Earning Forecast'!F43</f>
        <v>3145000</v>
      </c>
      <c r="H24" s="136">
        <f>'Earning Forecast'!G43</f>
        <v>4517000</v>
      </c>
      <c r="I24" s="136">
        <f>'Earning Forecast'!H43</f>
        <v>3946000</v>
      </c>
      <c r="J24" s="136">
        <f>'Earning Forecast'!I43</f>
        <v>4293442.7853145106</v>
      </c>
      <c r="K24" s="136">
        <f>'Earning Forecast'!J43</f>
        <v>4495213.2015759926</v>
      </c>
      <c r="L24" s="137">
        <f>L$7*(V24)</f>
        <v>0</v>
      </c>
      <c r="M24" s="103"/>
      <c r="N24" s="155" t="str">
        <f>A24</f>
        <v>Selling General &amp; Admin Exp.</v>
      </c>
      <c r="O24" s="138">
        <f t="shared" si="9"/>
        <v>0.13207760195332885</v>
      </c>
      <c r="P24" s="138">
        <f t="shared" si="9"/>
        <v>0.11371958662218244</v>
      </c>
      <c r="Q24" s="138">
        <f t="shared" si="9"/>
        <v>9.9727295788939629E-2</v>
      </c>
      <c r="R24" s="138">
        <f t="shared" ref="R24:T26" si="10">IFERROR(H24/H$7,"")</f>
        <v>8.3923229845976624E-2</v>
      </c>
      <c r="S24" s="138">
        <f t="shared" si="10"/>
        <v>4.843976332523138E-2</v>
      </c>
      <c r="T24" s="138">
        <f t="shared" si="10"/>
        <v>4.4540393725233121E-2</v>
      </c>
      <c r="U24" s="139"/>
      <c r="V24" s="139"/>
      <c r="W24" s="103"/>
      <c r="X24" s="103"/>
    </row>
    <row r="25" spans="1:24">
      <c r="A25" s="369" t="s">
        <v>770</v>
      </c>
      <c r="B25" s="135"/>
      <c r="C25" s="142">
        <v>0</v>
      </c>
      <c r="D25" s="142">
        <v>0</v>
      </c>
      <c r="E25" s="142">
        <v>0</v>
      </c>
      <c r="F25" s="142">
        <v>0</v>
      </c>
      <c r="G25" s="142">
        <v>0</v>
      </c>
      <c r="H25" s="142">
        <v>0</v>
      </c>
      <c r="I25" s="142">
        <v>0</v>
      </c>
      <c r="J25" s="142">
        <v>0</v>
      </c>
      <c r="K25" s="142">
        <v>1</v>
      </c>
      <c r="L25" s="137">
        <f>L$7*(V25)</f>
        <v>0</v>
      </c>
      <c r="M25" s="103"/>
      <c r="N25" s="120" t="str">
        <f>A25</f>
        <v>Depreciation &amp; Amort.</v>
      </c>
      <c r="O25" s="138">
        <f t="shared" si="9"/>
        <v>0</v>
      </c>
      <c r="P25" s="138">
        <f t="shared" si="9"/>
        <v>0</v>
      </c>
      <c r="Q25" s="138">
        <f t="shared" si="9"/>
        <v>0</v>
      </c>
      <c r="R25" s="138">
        <f t="shared" si="10"/>
        <v>0</v>
      </c>
      <c r="S25" s="138">
        <f t="shared" si="10"/>
        <v>0</v>
      </c>
      <c r="T25" s="138">
        <f t="shared" si="10"/>
        <v>0</v>
      </c>
      <c r="U25" s="139"/>
      <c r="V25" s="139"/>
      <c r="W25" s="103"/>
      <c r="X25" s="103"/>
    </row>
    <row r="26" spans="1:24">
      <c r="A26" s="369" t="s">
        <v>1675</v>
      </c>
      <c r="B26" s="135"/>
      <c r="C26" s="136">
        <f>'Earning Forecast'!B45</f>
        <v>834408</v>
      </c>
      <c r="D26" s="136">
        <f>'Earning Forecast'!C45</f>
        <v>1378073</v>
      </c>
      <c r="E26" s="136">
        <f>'Earning Forecast'!D45</f>
        <v>1460370</v>
      </c>
      <c r="F26" s="136">
        <f>'Earning Forecast'!E45</f>
        <v>1343000</v>
      </c>
      <c r="G26" s="136">
        <f>'Earning Forecast'!F45</f>
        <v>1491000</v>
      </c>
      <c r="H26" s="136">
        <f>'Earning Forecast'!G45</f>
        <v>2593000</v>
      </c>
      <c r="I26" s="136">
        <f>'Earning Forecast'!H45</f>
        <v>3075000</v>
      </c>
      <c r="J26" s="136">
        <f>'Earning Forecast'!I45</f>
        <v>3345751.7903806688</v>
      </c>
      <c r="K26" s="136">
        <f>'Earning Forecast'!J45</f>
        <v>3502985.4523178348</v>
      </c>
      <c r="L26" s="137">
        <f>L$7*(V26)</f>
        <v>0</v>
      </c>
      <c r="M26" s="103"/>
      <c r="N26" s="120" t="str">
        <f>A26</f>
        <v>R&amp;D</v>
      </c>
      <c r="O26" s="138">
        <f t="shared" si="9"/>
        <v>6.8048255423842546E-2</v>
      </c>
      <c r="P26" s="138">
        <f t="shared" si="9"/>
        <v>5.4642363088941333E-2</v>
      </c>
      <c r="Q26" s="138">
        <f t="shared" si="9"/>
        <v>4.7279299847792999E-2</v>
      </c>
      <c r="R26" s="138">
        <f t="shared" si="10"/>
        <v>4.817643015067908E-2</v>
      </c>
      <c r="S26" s="138">
        <f t="shared" si="10"/>
        <v>3.7747661486337174E-2</v>
      </c>
      <c r="T26" s="138">
        <f t="shared" si="10"/>
        <v>3.4708999165000469E-2</v>
      </c>
      <c r="U26" s="139"/>
      <c r="V26" s="139"/>
      <c r="W26" s="103"/>
      <c r="X26" s="103"/>
    </row>
    <row r="27" spans="1:24">
      <c r="A27" s="369" t="s">
        <v>1584</v>
      </c>
      <c r="B27" s="135"/>
      <c r="C27" s="142">
        <v>0</v>
      </c>
      <c r="D27" s="142">
        <v>676</v>
      </c>
      <c r="E27" s="142">
        <v>186899</v>
      </c>
      <c r="F27" s="142">
        <v>0</v>
      </c>
      <c r="G27" s="142">
        <v>0</v>
      </c>
      <c r="H27" s="388">
        <f>R27</f>
        <v>0</v>
      </c>
      <c r="I27" s="207">
        <f>S27</f>
        <v>0</v>
      </c>
      <c r="J27" s="207">
        <f>T27</f>
        <v>0</v>
      </c>
      <c r="K27" s="207">
        <f>U27</f>
        <v>0</v>
      </c>
      <c r="L27" s="207">
        <f>V27</f>
        <v>0</v>
      </c>
      <c r="M27" s="103"/>
      <c r="N27" s="120" t="str">
        <f>A27</f>
        <v>Manual Adjustments</v>
      </c>
      <c r="O27" s="143"/>
      <c r="P27" s="143"/>
      <c r="Q27" s="146" t="s">
        <v>1810</v>
      </c>
      <c r="R27" s="147">
        <v>0</v>
      </c>
      <c r="S27" s="147">
        <v>0</v>
      </c>
      <c r="T27" s="147">
        <v>0</v>
      </c>
      <c r="U27" s="147">
        <v>0</v>
      </c>
      <c r="V27" s="147">
        <v>0</v>
      </c>
      <c r="W27" s="103"/>
      <c r="X27" s="103"/>
    </row>
    <row r="28" spans="1:24" ht="14.5">
      <c r="A28" s="371" t="s">
        <v>1581</v>
      </c>
      <c r="B28" s="156"/>
      <c r="C28" s="157"/>
      <c r="D28" s="157"/>
      <c r="E28" s="49"/>
      <c r="F28" s="49"/>
      <c r="G28" s="49"/>
      <c r="H28" s="570"/>
      <c r="I28" s="159"/>
      <c r="J28" s="159"/>
      <c r="K28" s="159"/>
      <c r="L28" s="159"/>
      <c r="M28" s="103"/>
      <c r="N28" s="103"/>
      <c r="O28" s="103"/>
      <c r="P28" s="103"/>
      <c r="Q28" s="103"/>
      <c r="R28" s="161"/>
      <c r="S28" s="161"/>
      <c r="T28" s="161"/>
      <c r="U28" s="161"/>
      <c r="V28" s="161"/>
      <c r="W28" s="103"/>
      <c r="X28" s="103"/>
    </row>
    <row r="29" spans="1:24">
      <c r="A29" s="65" t="s">
        <v>532</v>
      </c>
      <c r="B29" s="119"/>
      <c r="C29" s="130">
        <f t="shared" ref="C29:L29" si="11">C21-C23</f>
        <v>-667340</v>
      </c>
      <c r="D29" s="130">
        <f t="shared" si="11"/>
        <v>-1632086</v>
      </c>
      <c r="E29" s="130">
        <f t="shared" si="11"/>
        <v>-388073</v>
      </c>
      <c r="F29" s="130">
        <f t="shared" si="11"/>
        <v>-69000</v>
      </c>
      <c r="G29" s="130">
        <f t="shared" si="11"/>
        <v>1994000</v>
      </c>
      <c r="H29" s="130">
        <f t="shared" si="11"/>
        <v>6496706</v>
      </c>
      <c r="I29" s="131">
        <f t="shared" si="11"/>
        <v>13883549.553054743</v>
      </c>
      <c r="J29" s="131">
        <f t="shared" si="11"/>
        <v>8830403.7021148577</v>
      </c>
      <c r="K29" s="131">
        <f t="shared" si="11"/>
        <v>10845870.039033487</v>
      </c>
      <c r="L29" s="131">
        <f t="shared" si="11"/>
        <v>110902766.74495579</v>
      </c>
      <c r="M29" s="163"/>
      <c r="N29" s="119" t="s">
        <v>1635</v>
      </c>
      <c r="O29" s="154">
        <f t="shared" ref="O29:T29" si="12">IFERROR(E29/E7,"")</f>
        <v>-1.8082876686796392E-2</v>
      </c>
      <c r="P29" s="154">
        <f t="shared" si="12"/>
        <v>-2.8073887216209618E-3</v>
      </c>
      <c r="Q29" s="154">
        <f t="shared" si="12"/>
        <v>6.3229325215626589E-2</v>
      </c>
      <c r="R29" s="154">
        <f t="shared" si="12"/>
        <v>0.12070501458484291</v>
      </c>
      <c r="S29" s="154">
        <f t="shared" si="12"/>
        <v>0.1704297654495929</v>
      </c>
      <c r="T29" s="154">
        <f t="shared" si="12"/>
        <v>9.1607056926494138E-2</v>
      </c>
      <c r="U29" s="154"/>
      <c r="V29" s="154"/>
      <c r="W29" s="103"/>
      <c r="X29" s="103"/>
    </row>
    <row r="30" spans="1:24">
      <c r="A30" s="65" t="s">
        <v>1676</v>
      </c>
      <c r="B30" s="119"/>
      <c r="C30" s="136">
        <f>'Earning Forecast'!B49</f>
        <v>190280</v>
      </c>
      <c r="D30" s="136">
        <f>'Earning Forecast'!C49</f>
        <v>451573</v>
      </c>
      <c r="E30" s="136">
        <f>'Earning Forecast'!D49</f>
        <v>638538</v>
      </c>
      <c r="F30" s="136">
        <f>'Earning Forecast'!E49</f>
        <v>641000</v>
      </c>
      <c r="G30" s="136">
        <f>'Earning Forecast'!F49</f>
        <v>718000</v>
      </c>
      <c r="H30" s="136">
        <f>'Earning Forecast'!G49</f>
        <v>371000</v>
      </c>
      <c r="I30" s="136">
        <f>'Earning Forecast'!H49</f>
        <v>191000</v>
      </c>
      <c r="J30" s="136">
        <f>'Earning Forecast'!I49</f>
        <v>171900</v>
      </c>
      <c r="K30" s="136">
        <f>'Earning Forecast'!J49</f>
        <v>154710</v>
      </c>
      <c r="L30" s="137">
        <f>L$7*(V30)</f>
        <v>0</v>
      </c>
      <c r="M30" s="103"/>
      <c r="N30" s="120" t="str">
        <f>A30</f>
        <v>Financial Cost</v>
      </c>
      <c r="O30" s="138">
        <f t="shared" ref="O30:T30" si="13">IFERROR(E30/E$7,"")</f>
        <v>2.9753690449563858E-2</v>
      </c>
      <c r="P30" s="138">
        <f t="shared" si="13"/>
        <v>2.6080234355928066E-2</v>
      </c>
      <c r="Q30" s="138">
        <f t="shared" si="13"/>
        <v>2.2767630644342972E-2</v>
      </c>
      <c r="R30" s="138">
        <f t="shared" si="13"/>
        <v>6.8929639745090388E-3</v>
      </c>
      <c r="S30" s="138">
        <f t="shared" si="13"/>
        <v>2.3446514939480978E-3</v>
      </c>
      <c r="T30" s="138">
        <f t="shared" si="13"/>
        <v>1.7832993390656555E-3</v>
      </c>
      <c r="U30" s="139"/>
      <c r="V30" s="139"/>
      <c r="W30" s="103"/>
      <c r="X30" s="103"/>
    </row>
    <row r="31" spans="1:24" ht="14.5">
      <c r="A31" s="371" t="s">
        <v>1581</v>
      </c>
      <c r="B31" s="156"/>
      <c r="C31" s="158"/>
      <c r="D31" s="158"/>
      <c r="E31" s="158"/>
      <c r="F31" s="158"/>
      <c r="G31" s="158"/>
      <c r="H31" s="570"/>
      <c r="I31" s="159"/>
      <c r="J31" s="159"/>
      <c r="K31" s="159"/>
      <c r="L31" s="159"/>
      <c r="M31" s="103"/>
      <c r="N31" s="103"/>
      <c r="O31" s="103"/>
      <c r="P31" s="103"/>
      <c r="Q31" s="103"/>
      <c r="R31" s="103"/>
      <c r="S31" s="103"/>
      <c r="T31" s="103"/>
      <c r="U31" s="103"/>
      <c r="V31" s="103"/>
      <c r="W31" s="103"/>
      <c r="X31" s="103"/>
    </row>
    <row r="32" spans="1:24" ht="14.5">
      <c r="A32" s="49" t="s">
        <v>1678</v>
      </c>
      <c r="B32" s="103"/>
      <c r="C32" s="136">
        <f>'Earning Forecast'!B55</f>
        <v>-111272</v>
      </c>
      <c r="D32" s="136">
        <f>'Earning Forecast'!C55</f>
        <v>125373</v>
      </c>
      <c r="E32" s="136">
        <f>'Earning Forecast'!D55</f>
        <v>-21866</v>
      </c>
      <c r="F32" s="136">
        <f>'Earning Forecast'!E55</f>
        <v>-45000</v>
      </c>
      <c r="G32" s="136">
        <f>'Earning Forecast'!F55</f>
        <v>122000</v>
      </c>
      <c r="H32" s="136">
        <f>'Earning Forecast'!G55</f>
        <v>-217000</v>
      </c>
      <c r="I32" s="136">
        <f>'Earning Forecast'!H55</f>
        <v>-76991</v>
      </c>
      <c r="J32" s="136">
        <f>'Earning Forecast'!I55</f>
        <v>-125625</v>
      </c>
      <c r="K32" s="136">
        <f>'Earning Forecast'!J55</f>
        <v>-125624</v>
      </c>
      <c r="L32" s="159">
        <f>V32</f>
        <v>0</v>
      </c>
      <c r="M32" s="103"/>
      <c r="N32" s="120" t="str">
        <f>A32</f>
        <v>Other income/(expense), net</v>
      </c>
      <c r="O32" s="164"/>
      <c r="P32" s="164"/>
      <c r="Q32" s="164"/>
      <c r="R32" s="147"/>
      <c r="S32" s="147"/>
      <c r="T32" s="147"/>
      <c r="U32" s="147"/>
      <c r="V32" s="147"/>
      <c r="W32" s="103"/>
      <c r="X32" s="156"/>
    </row>
    <row r="33" spans="1:24" ht="14.5">
      <c r="A33" s="371" t="s">
        <v>1581</v>
      </c>
      <c r="B33" s="156"/>
      <c r="C33" s="157"/>
      <c r="D33" s="157"/>
      <c r="E33" s="157"/>
      <c r="F33" s="157"/>
      <c r="G33" s="165"/>
      <c r="H33" s="571"/>
      <c r="I33" s="166"/>
      <c r="J33" s="166"/>
      <c r="K33" s="166"/>
      <c r="L33" s="166"/>
      <c r="M33" s="103"/>
      <c r="N33" s="120"/>
      <c r="O33" s="164"/>
      <c r="P33" s="164"/>
      <c r="Q33" s="164"/>
      <c r="R33" s="164"/>
      <c r="S33" s="164"/>
      <c r="T33" s="164"/>
      <c r="U33" s="164"/>
      <c r="V33" s="164"/>
      <c r="W33" s="103"/>
      <c r="X33" s="103"/>
    </row>
    <row r="34" spans="1:24">
      <c r="A34" s="121" t="s">
        <v>1679</v>
      </c>
      <c r="B34" s="120"/>
      <c r="C34" s="388">
        <f t="shared" ref="C34:J34" si="14">C29-C30-C32</f>
        <v>-746348</v>
      </c>
      <c r="D34" s="388">
        <f t="shared" si="14"/>
        <v>-2209032</v>
      </c>
      <c r="E34" s="388">
        <f t="shared" si="14"/>
        <v>-1004745</v>
      </c>
      <c r="F34" s="388">
        <f t="shared" si="14"/>
        <v>-665000</v>
      </c>
      <c r="G34" s="388">
        <f t="shared" si="14"/>
        <v>1154000</v>
      </c>
      <c r="H34" s="388">
        <f t="shared" si="14"/>
        <v>6342706</v>
      </c>
      <c r="I34" s="388">
        <f t="shared" si="14"/>
        <v>13769540.553054743</v>
      </c>
      <c r="J34" s="388">
        <f t="shared" si="14"/>
        <v>8784128.7021148577</v>
      </c>
      <c r="K34" s="166">
        <f>K29+K32</f>
        <v>10720246.039033487</v>
      </c>
      <c r="L34" s="166">
        <f>L29+L32</f>
        <v>110902766.74495579</v>
      </c>
      <c r="M34" s="103"/>
      <c r="N34" s="120" t="s">
        <v>1636</v>
      </c>
      <c r="O34" s="138" t="s">
        <v>1428</v>
      </c>
      <c r="P34" s="138" t="s">
        <v>1428</v>
      </c>
      <c r="Q34" s="138" t="s">
        <v>1428</v>
      </c>
      <c r="R34" s="138" t="s">
        <v>1428</v>
      </c>
      <c r="S34" s="138" t="s">
        <v>1428</v>
      </c>
      <c r="T34" s="138" t="s">
        <v>1428</v>
      </c>
      <c r="U34" s="143"/>
      <c r="V34" s="143"/>
      <c r="W34" s="103"/>
      <c r="X34" s="103"/>
    </row>
    <row r="35" spans="1:24" ht="14.5">
      <c r="A35" s="372" t="s">
        <v>1680</v>
      </c>
      <c r="B35" s="155"/>
      <c r="C35" s="136">
        <f>'Earning Forecast'!B57</f>
        <v>26698</v>
      </c>
      <c r="D35" s="136">
        <f>'Earning Forecast'!C57</f>
        <v>31546</v>
      </c>
      <c r="E35" s="136">
        <f>'Earning Forecast'!D57</f>
        <v>57837</v>
      </c>
      <c r="F35" s="136">
        <f>'Earning Forecast'!E57</f>
        <v>110000</v>
      </c>
      <c r="G35" s="136">
        <f>'Earning Forecast'!F57</f>
        <v>292000</v>
      </c>
      <c r="H35" s="136">
        <f>'Earning Forecast'!G57</f>
        <v>699000</v>
      </c>
      <c r="I35" s="136">
        <f>'Earning Forecast'!H57</f>
        <v>1132000</v>
      </c>
      <c r="J35" s="136">
        <f>'Earning Forecast'!I57</f>
        <v>978546.8249941672</v>
      </c>
      <c r="K35" s="136">
        <f>'Earning Forecast'!J57</f>
        <v>1303380.0174413584</v>
      </c>
      <c r="L35" s="137">
        <f>L34*V35</f>
        <v>0</v>
      </c>
      <c r="M35" s="103"/>
      <c r="N35" s="120" t="s">
        <v>1637</v>
      </c>
      <c r="O35" s="138">
        <f t="shared" ref="O35:T35" si="15">IFERROR(E35/E34,"")</f>
        <v>-5.7563859486735439E-2</v>
      </c>
      <c r="P35" s="138">
        <f t="shared" si="15"/>
        <v>-0.16541353383458646</v>
      </c>
      <c r="Q35" s="138">
        <f t="shared" si="15"/>
        <v>0.2530329289428076</v>
      </c>
      <c r="R35" s="138">
        <f t="shared" si="15"/>
        <v>0.11020532876661791</v>
      </c>
      <c r="S35" s="138">
        <f t="shared" si="15"/>
        <v>8.2210440910380864E-2</v>
      </c>
      <c r="T35" s="138">
        <f t="shared" si="15"/>
        <v>0.11139941799333761</v>
      </c>
      <c r="U35" s="139"/>
      <c r="V35" s="139"/>
      <c r="W35" s="103"/>
      <c r="X35" s="156"/>
    </row>
    <row r="36" spans="1:24" ht="14.5">
      <c r="A36" s="371" t="s">
        <v>1581</v>
      </c>
      <c r="B36" s="156"/>
      <c r="C36" s="157"/>
      <c r="D36" s="157"/>
      <c r="E36" s="157"/>
      <c r="F36" s="157"/>
      <c r="G36" s="167"/>
      <c r="H36" s="214"/>
      <c r="I36" s="137"/>
      <c r="J36" s="137"/>
      <c r="K36" s="137"/>
      <c r="L36" s="137"/>
      <c r="M36" s="103"/>
      <c r="N36" s="103"/>
      <c r="O36" s="103"/>
      <c r="P36" s="103"/>
      <c r="Q36" s="103"/>
      <c r="R36" s="103"/>
      <c r="S36" s="103"/>
      <c r="T36" s="103"/>
      <c r="U36" s="103"/>
      <c r="V36" s="103"/>
      <c r="W36" s="103"/>
      <c r="X36" s="103"/>
    </row>
    <row r="37" spans="1:24">
      <c r="A37" s="121" t="s">
        <v>1681</v>
      </c>
      <c r="B37" s="120"/>
      <c r="C37" s="136">
        <f>-'Earning Forecast'!B60</f>
        <v>98132</v>
      </c>
      <c r="D37" s="136">
        <f>-'Earning Forecast'!C60</f>
        <v>279178</v>
      </c>
      <c r="E37" s="136">
        <f>-'Earning Forecast'!D60</f>
        <v>86491</v>
      </c>
      <c r="F37" s="136">
        <f>-'Earning Forecast'!E60</f>
        <v>-87000</v>
      </c>
      <c r="G37" s="136">
        <f>-'Earning Forecast'!F60</f>
        <v>-141000</v>
      </c>
      <c r="H37" s="136">
        <f>-'Earning Forecast'!G60</f>
        <v>-125000</v>
      </c>
      <c r="I37" s="136">
        <f>-'Earning Forecast'!H60</f>
        <v>-31000</v>
      </c>
      <c r="J37" s="136">
        <f>-'Earning Forecast'!I60</f>
        <v>-32944.471504307461</v>
      </c>
      <c r="K37" s="136">
        <f>-'Earning Forecast'!J60</f>
        <v>-33903.446229320514</v>
      </c>
      <c r="L37" s="137">
        <f>V37</f>
        <v>0</v>
      </c>
      <c r="M37" s="103"/>
      <c r="N37" s="120" t="str">
        <f>A37</f>
        <v>Minority interest+Prefered share dividend</v>
      </c>
      <c r="O37" s="164"/>
      <c r="P37" s="164"/>
      <c r="Q37" s="164"/>
      <c r="R37" s="147"/>
      <c r="S37" s="147"/>
      <c r="T37" s="147"/>
      <c r="U37" s="147">
        <v>0</v>
      </c>
      <c r="V37" s="147">
        <v>0</v>
      </c>
      <c r="W37" s="103"/>
      <c r="X37" s="103"/>
    </row>
    <row r="38" spans="1:24" ht="14.5">
      <c r="A38" s="371" t="s">
        <v>1581</v>
      </c>
      <c r="B38" s="156"/>
      <c r="C38" s="157"/>
      <c r="D38" s="157"/>
      <c r="E38" s="157"/>
      <c r="F38" s="157"/>
      <c r="G38" s="157"/>
      <c r="H38" s="214"/>
      <c r="I38" s="137"/>
      <c r="J38" s="137"/>
      <c r="K38" s="137"/>
      <c r="L38" s="137"/>
      <c r="M38" s="103"/>
      <c r="N38" s="103"/>
      <c r="O38" s="103"/>
      <c r="P38" s="103"/>
      <c r="Q38" s="103"/>
      <c r="R38" s="103"/>
      <c r="S38" s="103"/>
      <c r="T38" s="103"/>
      <c r="U38" s="103"/>
      <c r="V38" s="103"/>
      <c r="W38" s="103"/>
      <c r="X38" s="103"/>
    </row>
    <row r="39" spans="1:24">
      <c r="A39" s="373" t="s">
        <v>1588</v>
      </c>
      <c r="B39" s="153"/>
      <c r="C39" s="168">
        <f t="shared" ref="C39:L39" si="16">C34-C35+C37</f>
        <v>-674914</v>
      </c>
      <c r="D39" s="168">
        <f t="shared" si="16"/>
        <v>-1961400</v>
      </c>
      <c r="E39" s="168">
        <f t="shared" si="16"/>
        <v>-976091</v>
      </c>
      <c r="F39" s="168">
        <f t="shared" si="16"/>
        <v>-862000</v>
      </c>
      <c r="G39" s="168">
        <f t="shared" si="16"/>
        <v>721000</v>
      </c>
      <c r="H39" s="168">
        <f t="shared" si="16"/>
        <v>5518706</v>
      </c>
      <c r="I39" s="169">
        <f t="shared" si="16"/>
        <v>12606540.553054743</v>
      </c>
      <c r="J39" s="169">
        <f t="shared" si="16"/>
        <v>7772637.4056163831</v>
      </c>
      <c r="K39" s="169">
        <f t="shared" si="16"/>
        <v>9382962.575362809</v>
      </c>
      <c r="L39" s="169">
        <f t="shared" si="16"/>
        <v>110902766.74495579</v>
      </c>
      <c r="M39" s="119"/>
      <c r="N39" s="120" t="s">
        <v>1638</v>
      </c>
      <c r="O39" s="138">
        <f t="shared" ref="O39:T39" si="17">E39/E$7</f>
        <v>-4.5482507641840003E-2</v>
      </c>
      <c r="P39" s="138">
        <f t="shared" si="17"/>
        <v>-3.5072015623728539E-2</v>
      </c>
      <c r="Q39" s="138">
        <f t="shared" si="17"/>
        <v>2.2862760020294266E-2</v>
      </c>
      <c r="R39" s="138">
        <f t="shared" si="17"/>
        <v>0.10253434405365736</v>
      </c>
      <c r="S39" s="138">
        <f t="shared" si="17"/>
        <v>0.15475363424731456</v>
      </c>
      <c r="T39" s="138">
        <f t="shared" si="17"/>
        <v>8.0633735591813194E-2</v>
      </c>
      <c r="U39" s="143"/>
      <c r="V39" s="143"/>
      <c r="W39" s="119"/>
      <c r="X39" s="119"/>
    </row>
    <row r="40" spans="1:24" ht="14.5">
      <c r="A40" s="371" t="s">
        <v>1581</v>
      </c>
      <c r="B40" s="156"/>
      <c r="C40" s="157"/>
      <c r="D40" s="157"/>
      <c r="E40" s="157"/>
      <c r="F40" s="170"/>
      <c r="G40" s="170"/>
      <c r="H40" s="570"/>
      <c r="I40" s="159"/>
      <c r="J40" s="159"/>
      <c r="K40" s="159"/>
      <c r="L40" s="159"/>
      <c r="M40" s="103"/>
      <c r="N40" s="103"/>
      <c r="O40" s="103"/>
      <c r="P40" s="103"/>
      <c r="Q40" s="103"/>
      <c r="R40" s="103"/>
      <c r="S40" s="103"/>
      <c r="T40" s="103"/>
      <c r="U40" s="103"/>
      <c r="V40" s="103"/>
      <c r="W40" s="103"/>
      <c r="X40" s="103"/>
    </row>
    <row r="41" spans="1:24" ht="20">
      <c r="A41" s="368" t="s">
        <v>1590</v>
      </c>
      <c r="B41" s="123"/>
      <c r="C41" s="124"/>
      <c r="D41" s="124"/>
      <c r="E41" s="124"/>
      <c r="F41" s="124"/>
      <c r="G41" s="124"/>
      <c r="H41" s="572"/>
      <c r="I41" s="128"/>
      <c r="J41" s="128"/>
      <c r="K41" s="128"/>
      <c r="L41" s="128"/>
      <c r="M41" s="129"/>
      <c r="N41" s="118" t="s">
        <v>1613</v>
      </c>
      <c r="O41" s="129"/>
      <c r="P41" s="129"/>
      <c r="Q41" s="129"/>
      <c r="R41" s="129"/>
      <c r="S41" s="129"/>
      <c r="T41" s="129"/>
      <c r="U41" s="129"/>
      <c r="V41" s="129"/>
      <c r="W41" s="129"/>
      <c r="X41" s="129"/>
    </row>
    <row r="42" spans="1:24">
      <c r="A42" s="121" t="s">
        <v>877</v>
      </c>
      <c r="B42" s="218">
        <f>1196908</f>
        <v>1196908</v>
      </c>
      <c r="C42" s="136">
        <f>'Fin Sta as rep'!C44</f>
        <v>3393216</v>
      </c>
      <c r="D42" s="136">
        <f>'Fin Sta as rep'!D44</f>
        <v>3367914</v>
      </c>
      <c r="E42" s="136">
        <f>'Fin Sta as rep'!E44</f>
        <v>3686000</v>
      </c>
      <c r="F42" s="136">
        <f>'Fin Sta as rep'!F44</f>
        <v>6268000</v>
      </c>
      <c r="G42" s="136">
        <f>'Fin Sta as rep'!G44</f>
        <v>19384000</v>
      </c>
      <c r="H42" s="570">
        <f>H106</f>
        <v>18590655.643456586</v>
      </c>
      <c r="I42" s="159">
        <f>I106</f>
        <v>16959922.297589108</v>
      </c>
      <c r="J42" s="159">
        <f>J106</f>
        <v>10969823.171215933</v>
      </c>
      <c r="K42" s="159">
        <f>K106</f>
        <v>19173323.911526788</v>
      </c>
      <c r="L42" s="159">
        <f>L106</f>
        <v>123092384.20387965</v>
      </c>
      <c r="M42" s="103"/>
      <c r="N42" s="171" t="s">
        <v>1591</v>
      </c>
      <c r="O42" s="103"/>
      <c r="P42" s="103"/>
      <c r="Q42" s="103"/>
      <c r="R42" s="103"/>
      <c r="S42" s="103"/>
      <c r="T42" s="103"/>
      <c r="U42" s="103"/>
      <c r="V42" s="103"/>
      <c r="W42" s="103"/>
      <c r="X42" s="103"/>
    </row>
    <row r="43" spans="1:24">
      <c r="A43" s="121" t="s">
        <v>788</v>
      </c>
      <c r="B43" s="120"/>
      <c r="C43" s="136">
        <f>'Fin Sta as rep'!C45</f>
        <v>499142</v>
      </c>
      <c r="D43" s="136">
        <f>'Fin Sta as rep'!D45</f>
        <v>515381</v>
      </c>
      <c r="E43" s="136">
        <f>'Fin Sta as rep'!E45</f>
        <v>949000</v>
      </c>
      <c r="F43" s="136">
        <f>'Fin Sta as rep'!F45</f>
        <v>1324000</v>
      </c>
      <c r="G43" s="136">
        <f>'Fin Sta as rep'!G45</f>
        <v>1886000</v>
      </c>
      <c r="H43" s="570">
        <f>G43*(H7/G7)*0.7</f>
        <v>2253206.6400304409</v>
      </c>
      <c r="I43" s="159">
        <f>H43*(I7/H7)*0.7</f>
        <v>2387185.8409436834</v>
      </c>
      <c r="J43" s="159">
        <f>I43*(J7/I7)*0.7</f>
        <v>1977337.6220039069</v>
      </c>
      <c r="K43" s="159">
        <f>J43*(K7/J7)</f>
        <v>2274948.5667737941</v>
      </c>
      <c r="L43" s="159">
        <f>K43*(L7/K7)</f>
        <v>2274948.5667737941</v>
      </c>
      <c r="M43" s="103"/>
      <c r="N43" s="171" t="s">
        <v>2125</v>
      </c>
      <c r="O43" s="172" t="s">
        <v>2126</v>
      </c>
      <c r="P43" s="103"/>
      <c r="Q43" s="103"/>
      <c r="R43" s="103"/>
      <c r="S43" s="103"/>
      <c r="T43" s="103"/>
      <c r="U43" s="103"/>
      <c r="V43" s="103"/>
      <c r="W43" s="103"/>
      <c r="X43" s="103"/>
    </row>
    <row r="44" spans="1:24">
      <c r="A44" s="121" t="s">
        <v>696</v>
      </c>
      <c r="B44" s="120"/>
      <c r="C44" s="136">
        <f>'Fin Sta as rep'!C46</f>
        <v>2067454</v>
      </c>
      <c r="D44" s="136">
        <f>'Fin Sta as rep'!D46</f>
        <v>2263537</v>
      </c>
      <c r="E44" s="136">
        <f>'Fin Sta as rep'!E46</f>
        <v>3113000</v>
      </c>
      <c r="F44" s="136">
        <f>'Fin Sta as rep'!F46</f>
        <v>3552000</v>
      </c>
      <c r="G44" s="136">
        <f>'Fin Sta as rep'!G46</f>
        <v>4101000</v>
      </c>
      <c r="H44" s="570">
        <f>G44*(H14/G14)</f>
        <v>6621979.5107203089</v>
      </c>
      <c r="I44" s="159">
        <f>H44*(I14/H14)</f>
        <v>9971336.3961664923</v>
      </c>
      <c r="J44" s="159">
        <f>I44*(J14/I14)</f>
        <v>13160340.934858587</v>
      </c>
      <c r="K44" s="159">
        <f>J44*(K14/J14)</f>
        <v>15158303.887029987</v>
      </c>
      <c r="L44" s="159">
        <f>K44*(L14/K14)</f>
        <v>0</v>
      </c>
      <c r="M44" s="103"/>
      <c r="N44" s="171" t="s">
        <v>2127</v>
      </c>
      <c r="O44" s="103"/>
      <c r="P44" s="103"/>
      <c r="Q44" s="103"/>
      <c r="R44" s="103"/>
      <c r="S44" s="103"/>
      <c r="T44" s="103"/>
      <c r="U44" s="103"/>
      <c r="V44" s="103"/>
      <c r="W44" s="103"/>
      <c r="X44" s="103"/>
    </row>
    <row r="45" spans="1:24">
      <c r="A45" s="121" t="s">
        <v>1069</v>
      </c>
      <c r="B45" s="120"/>
      <c r="C45" s="136">
        <f>SUM('Fin Sta as rep'!C47:C48)</f>
        <v>299984</v>
      </c>
      <c r="D45" s="136">
        <f>SUM('Fin Sta as rep'!D47:D48)</f>
        <v>423688</v>
      </c>
      <c r="E45" s="136">
        <f>SUM('Fin Sta as rep'!E47:E48)</f>
        <v>559000</v>
      </c>
      <c r="F45" s="136">
        <f>SUM('Fin Sta as rep'!F47:F48)</f>
        <v>959000</v>
      </c>
      <c r="G45" s="136">
        <f>SUM('Fin Sta as rep'!G47:G48)</f>
        <v>1346000</v>
      </c>
      <c r="H45" s="573">
        <f>G45*(H23/G23)</f>
        <v>2064292.4935289042</v>
      </c>
      <c r="I45" s="173">
        <f>H45*(I23/H23)</f>
        <v>2038452.5452976704</v>
      </c>
      <c r="J45" s="173">
        <f>I45*(J23/I23)</f>
        <v>2217936.9928571424</v>
      </c>
      <c r="K45" s="173">
        <f>J45*(K23/J23)</f>
        <v>2322169.2696594242</v>
      </c>
      <c r="L45" s="173">
        <f>K45*(L23/K23)</f>
        <v>0</v>
      </c>
      <c r="M45" s="103"/>
      <c r="N45" s="171" t="s">
        <v>2128</v>
      </c>
      <c r="O45" s="103"/>
      <c r="P45" s="103"/>
      <c r="Q45" s="103"/>
      <c r="R45" s="103"/>
      <c r="S45" s="103"/>
      <c r="T45" s="103"/>
      <c r="U45" s="103"/>
      <c r="V45" s="103"/>
      <c r="W45" s="103"/>
      <c r="X45" s="103"/>
    </row>
    <row r="46" spans="1:24">
      <c r="A46" s="373" t="s">
        <v>1071</v>
      </c>
      <c r="B46" s="153"/>
      <c r="C46" s="175">
        <f t="shared" ref="C46:L46" si="18">SUM(C42:C45)</f>
        <v>6259796</v>
      </c>
      <c r="D46" s="175">
        <f t="shared" si="18"/>
        <v>6570520</v>
      </c>
      <c r="E46" s="175">
        <f t="shared" si="18"/>
        <v>8307000</v>
      </c>
      <c r="F46" s="175">
        <f t="shared" si="18"/>
        <v>12103000</v>
      </c>
      <c r="G46" s="175">
        <f t="shared" si="18"/>
        <v>26717000</v>
      </c>
      <c r="H46" s="175">
        <f t="shared" si="18"/>
        <v>29530134.287736237</v>
      </c>
      <c r="I46" s="176">
        <f t="shared" si="18"/>
        <v>31356897.079996955</v>
      </c>
      <c r="J46" s="176">
        <f t="shared" si="18"/>
        <v>28325438.720935568</v>
      </c>
      <c r="K46" s="176">
        <f t="shared" si="18"/>
        <v>38928745.634989992</v>
      </c>
      <c r="L46" s="176">
        <f t="shared" si="18"/>
        <v>125367332.77065344</v>
      </c>
      <c r="M46" s="103"/>
      <c r="N46" s="103"/>
      <c r="O46" s="103"/>
      <c r="P46" s="103"/>
      <c r="Q46" s="103"/>
      <c r="R46" s="103"/>
      <c r="S46" s="103"/>
      <c r="T46" s="103"/>
      <c r="U46" s="103"/>
      <c r="V46" s="103"/>
      <c r="W46" s="103"/>
      <c r="X46" s="103"/>
    </row>
    <row r="47" spans="1:24" ht="14.5">
      <c r="A47" s="371" t="s">
        <v>1581</v>
      </c>
      <c r="B47" s="156"/>
      <c r="C47" s="157"/>
      <c r="D47" s="157"/>
      <c r="E47" s="157"/>
      <c r="F47" s="158"/>
      <c r="G47" s="158"/>
      <c r="H47" s="570"/>
      <c r="I47" s="159"/>
      <c r="J47" s="159"/>
      <c r="K47" s="159"/>
      <c r="L47" s="159"/>
      <c r="M47" s="103"/>
      <c r="N47" s="103"/>
      <c r="O47" s="103"/>
      <c r="P47" s="103"/>
      <c r="Q47" s="103"/>
      <c r="R47" s="103"/>
      <c r="S47" s="103"/>
      <c r="T47" s="103"/>
      <c r="U47" s="103"/>
      <c r="V47" s="103"/>
      <c r="W47" s="103"/>
      <c r="X47" s="103"/>
    </row>
    <row r="48" spans="1:24">
      <c r="A48" s="121" t="s">
        <v>1076</v>
      </c>
      <c r="B48" s="120"/>
      <c r="C48" s="136">
        <f>SUM('Fin Sta as rep'!C52,'Fin Sta as rep'!C56,'Fin Sta as rep'!C54)</f>
        <v>15036917</v>
      </c>
      <c r="D48" s="136">
        <f>SUM('Fin Sta as rep'!D52,'Fin Sta as rep'!D56,'Fin Sta as rep'!D54)</f>
        <v>20491616</v>
      </c>
      <c r="E48" s="136">
        <f>SUM('Fin Sta as rep'!E52,'Fin Sta as rep'!E56,'Fin Sta as rep'!E54)</f>
        <v>19691000</v>
      </c>
      <c r="F48" s="136">
        <f>SUM('Fin Sta as rep'!F52,'Fin Sta as rep'!F56,'Fin Sta as rep'!F54)</f>
        <v>18981000</v>
      </c>
      <c r="G48" s="136">
        <f>SUM('Fin Sta as rep'!G52,'Fin Sta as rep'!G56,'Fin Sta as rep'!G54)</f>
        <v>21817000</v>
      </c>
      <c r="H48" s="570">
        <f>G48-H76-H91</f>
        <v>26047266.60958904</v>
      </c>
      <c r="I48" s="159">
        <f>H48-I76-I91</f>
        <v>33031517.191780824</v>
      </c>
      <c r="J48" s="159">
        <f>I48-J76-J91</f>
        <v>41915478.979840584</v>
      </c>
      <c r="K48" s="159">
        <f>J48-K76-K91</f>
        <v>41915478.979840584</v>
      </c>
      <c r="L48" s="159">
        <f>K48-L76-L91</f>
        <v>41915478.979840584</v>
      </c>
      <c r="M48" s="103"/>
      <c r="N48" s="171" t="s">
        <v>2129</v>
      </c>
      <c r="O48" s="103"/>
      <c r="P48" s="103"/>
      <c r="Q48" s="103"/>
      <c r="R48" s="103"/>
      <c r="S48" s="103"/>
      <c r="T48" s="103"/>
      <c r="U48" s="103"/>
      <c r="V48" s="103"/>
      <c r="W48" s="103"/>
      <c r="X48" s="103"/>
    </row>
    <row r="49" spans="1:24" ht="14.5">
      <c r="A49" s="910" t="s">
        <v>1596</v>
      </c>
      <c r="B49" s="120"/>
      <c r="C49" s="136">
        <v>-1417000</v>
      </c>
      <c r="D49" s="136">
        <v>-2677000</v>
      </c>
      <c r="E49" s="136">
        <v>-3653000</v>
      </c>
      <c r="F49" s="136">
        <v>-4863000</v>
      </c>
      <c r="G49" s="136">
        <v>-6518000</v>
      </c>
      <c r="H49" s="570">
        <f>G49-H79</f>
        <v>-10541183.39041096</v>
      </c>
      <c r="I49" s="159">
        <f>H49-I79</f>
        <v>-15956232.808219181</v>
      </c>
      <c r="J49" s="159">
        <f>I49-J79</f>
        <v>-21711425.148209419</v>
      </c>
      <c r="K49" s="159"/>
      <c r="L49" s="159"/>
      <c r="M49" s="103"/>
      <c r="N49" s="171"/>
      <c r="O49" s="103"/>
      <c r="P49" s="103"/>
      <c r="Q49" s="103"/>
      <c r="R49" s="103"/>
      <c r="S49" s="103"/>
      <c r="T49" s="103"/>
      <c r="U49" s="103"/>
      <c r="V49" s="103"/>
      <c r="W49" s="103"/>
      <c r="X49" s="103"/>
    </row>
    <row r="50" spans="1:24">
      <c r="A50" s="387" t="s">
        <v>2130</v>
      </c>
      <c r="B50" s="216"/>
      <c r="C50" s="142">
        <v>0</v>
      </c>
      <c r="D50" s="157">
        <v>0</v>
      </c>
      <c r="E50" s="158">
        <v>0</v>
      </c>
      <c r="F50" s="136">
        <f>'Fin Sta as rep'!F51</f>
        <v>1218000</v>
      </c>
      <c r="G50" s="136">
        <f>'Fin Sta as rep'!G51</f>
        <v>1558000</v>
      </c>
      <c r="H50" s="570">
        <f>G50-H78-H92</f>
        <v>1378000</v>
      </c>
      <c r="I50" s="159">
        <f>H50-I78-I92</f>
        <v>1198000</v>
      </c>
      <c r="J50" s="159">
        <f>I50-J78-J92</f>
        <v>1018000</v>
      </c>
      <c r="K50" s="159">
        <f>J50-K78-K92</f>
        <v>1018000</v>
      </c>
      <c r="L50" s="159">
        <f>K50-L78-L92</f>
        <v>1018000</v>
      </c>
      <c r="M50" s="103"/>
      <c r="N50" s="171" t="s">
        <v>2131</v>
      </c>
      <c r="O50" s="103"/>
      <c r="P50" s="103"/>
      <c r="Q50" s="103"/>
      <c r="R50" s="103"/>
      <c r="S50" s="103"/>
      <c r="T50" s="103"/>
      <c r="U50" s="103"/>
      <c r="V50" s="103"/>
      <c r="W50" s="103"/>
      <c r="X50" s="103"/>
    </row>
    <row r="51" spans="1:24">
      <c r="A51" s="121" t="s">
        <v>713</v>
      </c>
      <c r="B51" s="120"/>
      <c r="C51" s="142">
        <v>0</v>
      </c>
      <c r="D51" s="136">
        <f>'Fin Sta as rep'!D59</f>
        <v>60237</v>
      </c>
      <c r="E51" s="136">
        <f>'Fin Sta as rep'!E59</f>
        <v>68000</v>
      </c>
      <c r="F51" s="136">
        <f>'Fin Sta as rep'!F59</f>
        <v>198000</v>
      </c>
      <c r="G51" s="136">
        <f>'Fin Sta as rep'!G59</f>
        <v>207000</v>
      </c>
      <c r="H51" s="570">
        <f>G51</f>
        <v>207000</v>
      </c>
      <c r="I51" s="159">
        <f>H51</f>
        <v>207000</v>
      </c>
      <c r="J51" s="159">
        <f>I51</f>
        <v>207000</v>
      </c>
      <c r="K51" s="159">
        <f>J51</f>
        <v>207000</v>
      </c>
      <c r="L51" s="159">
        <f>K51</f>
        <v>207000</v>
      </c>
      <c r="M51" s="103"/>
      <c r="N51" s="171" t="s">
        <v>2132</v>
      </c>
      <c r="O51" s="103"/>
      <c r="P51" s="103"/>
      <c r="Q51" s="103"/>
      <c r="R51" s="103"/>
      <c r="S51" s="103"/>
      <c r="T51" s="103"/>
      <c r="U51" s="103"/>
      <c r="V51" s="103"/>
      <c r="W51" s="103"/>
      <c r="X51" s="103"/>
    </row>
    <row r="52" spans="1:24">
      <c r="A52" s="121" t="s">
        <v>902</v>
      </c>
      <c r="B52" s="120"/>
      <c r="C52" s="136">
        <f>'Fin Sta as rep'!C61</f>
        <v>376145</v>
      </c>
      <c r="D52" s="136">
        <f>'Fin Sta as rep'!D61</f>
        <v>361502</v>
      </c>
      <c r="E52" s="136">
        <f>'Fin Sta as rep'!E61</f>
        <v>282000</v>
      </c>
      <c r="F52" s="136">
        <f>'Fin Sta as rep'!F61</f>
        <v>339000</v>
      </c>
      <c r="G52" s="136">
        <f>'Fin Sta as rep'!G61</f>
        <v>313000</v>
      </c>
      <c r="H52" s="570">
        <f>G52-H77</f>
        <v>313000</v>
      </c>
      <c r="I52" s="159">
        <f>H52-I77</f>
        <v>313000</v>
      </c>
      <c r="J52" s="159">
        <f>I52-J77</f>
        <v>313000</v>
      </c>
      <c r="K52" s="159">
        <f>J52-K77</f>
        <v>313000</v>
      </c>
      <c r="L52" s="159">
        <f>K52-L77</f>
        <v>313000</v>
      </c>
      <c r="M52" s="103"/>
      <c r="N52" s="171" t="s">
        <v>2133</v>
      </c>
      <c r="O52" s="103"/>
      <c r="P52" s="103"/>
      <c r="Q52" s="103"/>
      <c r="R52" s="103"/>
      <c r="S52" s="103"/>
      <c r="T52" s="103"/>
      <c r="U52" s="103"/>
      <c r="V52" s="103"/>
      <c r="W52" s="103"/>
      <c r="X52" s="103"/>
    </row>
    <row r="53" spans="1:24">
      <c r="A53" s="121" t="s">
        <v>1081</v>
      </c>
      <c r="B53" s="120"/>
      <c r="C53" s="136">
        <f>SUM('Fin Sta as rep'!C64,'Fin Sta as rep'!C62)</f>
        <v>484916</v>
      </c>
      <c r="D53" s="136">
        <f>SUM('Fin Sta as rep'!D64,'Fin Sta as rep'!D62)</f>
        <v>714845</v>
      </c>
      <c r="E53" s="136">
        <f>SUM('Fin Sta as rep'!E64,'Fin Sta as rep'!E62)</f>
        <v>970000</v>
      </c>
      <c r="F53" s="136">
        <f>SUM('Fin Sta as rep'!F64,'Fin Sta as rep'!F62)</f>
        <v>1077000</v>
      </c>
      <c r="G53" s="136">
        <f>SUM('Fin Sta as rep'!G64,'Fin Sta as rep'!G62)</f>
        <v>1536000</v>
      </c>
      <c r="H53" s="570">
        <f>G53*(H7/G7)-H94</f>
        <v>2621515.9817351596</v>
      </c>
      <c r="I53" s="159">
        <f>H53*(I7/H7)-I94</f>
        <v>3967707.7625570786</v>
      </c>
      <c r="J53" s="159">
        <f>I53*(J7/I7)-J94</f>
        <v>4695006.92133536</v>
      </c>
      <c r="K53" s="159">
        <f>J53*(K7/J7)</f>
        <v>5401656.827760403</v>
      </c>
      <c r="L53" s="159">
        <f>K53*(L7/K7)</f>
        <v>5401656.827760403</v>
      </c>
      <c r="M53" s="103"/>
      <c r="N53" s="171" t="s">
        <v>2125</v>
      </c>
      <c r="O53" s="103"/>
      <c r="P53" s="103"/>
      <c r="Q53" s="103"/>
      <c r="R53" s="103"/>
      <c r="S53" s="103"/>
      <c r="T53" s="103"/>
      <c r="U53" s="103"/>
      <c r="V53" s="103"/>
      <c r="W53" s="103"/>
      <c r="X53" s="103"/>
    </row>
    <row r="54" spans="1:24">
      <c r="A54" s="372" t="s">
        <v>711</v>
      </c>
      <c r="B54" s="155"/>
      <c r="C54" s="136">
        <f>'Fin Sta as rep'!C58</f>
        <v>506302</v>
      </c>
      <c r="D54" s="136">
        <f>'Fin Sta as rep'!D58</f>
        <v>456652</v>
      </c>
      <c r="E54" s="136">
        <f>'Fin Sta as rep'!E58</f>
        <v>422000</v>
      </c>
      <c r="F54" s="136">
        <f>'Fin Sta as rep'!F58</f>
        <v>393000</v>
      </c>
      <c r="G54" s="136">
        <v>0</v>
      </c>
      <c r="H54" s="570">
        <f>G54-H93</f>
        <v>100000</v>
      </c>
      <c r="I54" s="159">
        <f>H54-I93</f>
        <v>200000</v>
      </c>
      <c r="J54" s="159">
        <f>I54-J93</f>
        <v>300000</v>
      </c>
      <c r="K54" s="159">
        <f>J54-K93</f>
        <v>300000</v>
      </c>
      <c r="L54" s="159">
        <f>K54-L93</f>
        <v>300000</v>
      </c>
      <c r="M54" s="103"/>
      <c r="N54" s="171" t="s">
        <v>2132</v>
      </c>
      <c r="O54" s="103"/>
      <c r="P54" s="103"/>
      <c r="Q54" s="103"/>
      <c r="R54" s="103"/>
      <c r="S54" s="103"/>
      <c r="T54" s="103"/>
      <c r="U54" s="103"/>
      <c r="V54" s="103"/>
      <c r="W54" s="103"/>
      <c r="X54" s="103"/>
    </row>
    <row r="55" spans="1:24">
      <c r="A55" s="375" t="s">
        <v>1085</v>
      </c>
      <c r="B55" s="177"/>
      <c r="C55" s="175">
        <f t="shared" ref="C55:L55" si="19">SUM(C54,C53,C52,C51,C50,C48,C46)</f>
        <v>22664076</v>
      </c>
      <c r="D55" s="175">
        <f t="shared" si="19"/>
        <v>28655372</v>
      </c>
      <c r="E55" s="175">
        <f t="shared" si="19"/>
        <v>29740000</v>
      </c>
      <c r="F55" s="175">
        <f t="shared" si="19"/>
        <v>34309000</v>
      </c>
      <c r="G55" s="175">
        <f t="shared" si="19"/>
        <v>52148000</v>
      </c>
      <c r="H55" s="175">
        <f t="shared" si="19"/>
        <v>60196916.879060432</v>
      </c>
      <c r="I55" s="176">
        <f t="shared" si="19"/>
        <v>70274122.034334853</v>
      </c>
      <c r="J55" s="176">
        <f t="shared" si="19"/>
        <v>76773924.622111514</v>
      </c>
      <c r="K55" s="176">
        <f t="shared" si="19"/>
        <v>88083881.442590982</v>
      </c>
      <c r="L55" s="176">
        <f t="shared" si="19"/>
        <v>174522468.57825443</v>
      </c>
      <c r="M55" s="103"/>
      <c r="N55" s="178"/>
      <c r="O55" s="103"/>
      <c r="P55" s="103"/>
      <c r="Q55" s="103"/>
      <c r="R55" s="103"/>
      <c r="S55" s="103"/>
      <c r="T55" s="103"/>
      <c r="U55" s="103"/>
      <c r="V55" s="103"/>
      <c r="W55" s="103"/>
      <c r="X55" s="103"/>
    </row>
    <row r="56" spans="1:24" ht="14.5">
      <c r="A56" s="371" t="s">
        <v>1581</v>
      </c>
      <c r="B56" s="156"/>
      <c r="C56" s="157"/>
      <c r="D56" s="157"/>
      <c r="E56" s="157"/>
      <c r="F56" s="170"/>
      <c r="G56" s="170"/>
      <c r="H56" s="570"/>
      <c r="I56" s="159"/>
      <c r="J56" s="159"/>
      <c r="K56" s="159"/>
      <c r="L56" s="159"/>
      <c r="M56" s="103"/>
      <c r="N56" s="103"/>
      <c r="O56" s="103"/>
      <c r="P56" s="103"/>
      <c r="Q56" s="103"/>
      <c r="R56" s="103"/>
      <c r="S56" s="103"/>
      <c r="T56" s="103"/>
      <c r="U56" s="103"/>
      <c r="V56" s="103"/>
      <c r="W56" s="103"/>
      <c r="X56" s="103"/>
    </row>
    <row r="57" spans="1:24">
      <c r="A57" s="121" t="s">
        <v>791</v>
      </c>
      <c r="B57" s="120"/>
      <c r="C57" s="159">
        <f>'Fin Sta as rep'!C69</f>
        <v>1860341</v>
      </c>
      <c r="D57" s="159">
        <f>'Fin Sta as rep'!D69</f>
        <v>2390250</v>
      </c>
      <c r="E57" s="159">
        <f>'Fin Sta as rep'!E69</f>
        <v>3405000</v>
      </c>
      <c r="F57" s="159">
        <f>'Fin Sta as rep'!F69</f>
        <v>3771000</v>
      </c>
      <c r="G57" s="159">
        <f>'Fin Sta as rep'!G69</f>
        <v>6051000</v>
      </c>
      <c r="H57" s="573">
        <f>G57*(H23/G23)</f>
        <v>9280114.3226919752</v>
      </c>
      <c r="I57" s="173">
        <f>H57*(I23/H23)</f>
        <v>9163949.7411561683</v>
      </c>
      <c r="J57" s="173">
        <f>I57*(J23/I23)</f>
        <v>9970829.6759127546</v>
      </c>
      <c r="K57" s="173">
        <f>J57*(K23/J23)</f>
        <v>10439410.290274275</v>
      </c>
      <c r="L57" s="173">
        <f>K57*(L23/K23)</f>
        <v>0</v>
      </c>
      <c r="M57" s="103"/>
      <c r="N57" s="171" t="s">
        <v>2128</v>
      </c>
      <c r="O57" s="103"/>
      <c r="P57" s="103"/>
      <c r="Q57" s="103"/>
      <c r="R57" s="103"/>
      <c r="S57" s="103"/>
      <c r="T57" s="103"/>
      <c r="U57" s="103"/>
      <c r="V57" s="103"/>
      <c r="W57" s="103"/>
      <c r="X57" s="103"/>
    </row>
    <row r="58" spans="1:24">
      <c r="A58" s="121" t="s">
        <v>729</v>
      </c>
      <c r="B58" s="120"/>
      <c r="C58" s="159">
        <f>SUM('Fin Sta as rep'!C72,'Fin Sta as rep'!C73,'Fin Sta as rep'!C74,'Fin Sta as rep'!C75)</f>
        <v>1158931</v>
      </c>
      <c r="D58" s="159">
        <f>SUM('Fin Sta as rep'!D72,'Fin Sta as rep'!D73,'Fin Sta as rep'!D74,'Fin Sta as rep'!D75)</f>
        <v>896619</v>
      </c>
      <c r="E58" s="159">
        <f>SUM('Fin Sta as rep'!E72,'Fin Sta as rep'!E73,'Fin Sta as rep'!E74,'Fin Sta as rep'!E75)</f>
        <v>2568000</v>
      </c>
      <c r="F58" s="159">
        <f>SUM('Fin Sta as rep'!F72,'Fin Sta as rep'!F73,'Fin Sta as rep'!F74,'Fin Sta as rep'!F75)</f>
        <v>1785000</v>
      </c>
      <c r="G58" s="159">
        <f>SUM('Fin Sta as rep'!G72,'Fin Sta as rep'!G73,'Fin Sta as rep'!G74,'Fin Sta as rep'!G75)</f>
        <v>2132000</v>
      </c>
      <c r="H58" s="573">
        <f>G58*(H23/G23)</f>
        <v>3269741.1561691109</v>
      </c>
      <c r="I58" s="173">
        <f>H58*(I23/H23)</f>
        <v>3228811.9068162204</v>
      </c>
      <c r="J58" s="173">
        <f>I58*(J23/I23)</f>
        <v>3513106.7375716395</v>
      </c>
      <c r="K58" s="173">
        <f>J58*(K23/J23)</f>
        <v>3678205.707959801</v>
      </c>
      <c r="L58" s="173">
        <f>K58*(L23/K23)</f>
        <v>0</v>
      </c>
      <c r="M58" s="103"/>
      <c r="N58" s="171" t="s">
        <v>2128</v>
      </c>
      <c r="O58" s="103"/>
      <c r="P58" s="103"/>
      <c r="Q58" s="103"/>
      <c r="R58" s="103"/>
      <c r="S58" s="103"/>
      <c r="T58" s="103"/>
      <c r="U58" s="103"/>
      <c r="V58" s="103"/>
      <c r="W58" s="103"/>
      <c r="X58" s="103"/>
    </row>
    <row r="59" spans="1:24">
      <c r="A59" s="121" t="s">
        <v>1091</v>
      </c>
      <c r="B59" s="120"/>
      <c r="C59" s="159">
        <f>SUM('Fin Sta as rep'!C70,'Fin Sta as rep'!C77,'Fin Sta as rep'!C78,'Fin Sta as rep'!C79)</f>
        <v>2816517</v>
      </c>
      <c r="D59" s="159">
        <f>SUM('Fin Sta as rep'!D70,'Fin Sta as rep'!D77,'Fin Sta as rep'!D78,'Fin Sta as rep'!D79)</f>
        <v>4387871</v>
      </c>
      <c r="E59" s="159">
        <f>SUM('Fin Sta as rep'!E70,'Fin Sta as rep'!E77,'Fin Sta as rep'!E78,'Fin Sta as rep'!E79)</f>
        <v>4020000</v>
      </c>
      <c r="F59" s="159">
        <f>SUM('Fin Sta as rep'!F70,'Fin Sta as rep'!F77,'Fin Sta as rep'!F78)</f>
        <v>5111000</v>
      </c>
      <c r="G59" s="159">
        <f>SUM('Fin Sta as rep'!G70,'Fin Sta as rep'!G77,'Fin Sta as rep'!G78)</f>
        <v>6065000</v>
      </c>
      <c r="H59" s="573">
        <f>G59*(H23/G23)</f>
        <v>9301585.4184641931</v>
      </c>
      <c r="I59" s="173">
        <f>H59*(I23/H23)</f>
        <v>9185152.0707506463</v>
      </c>
      <c r="J59" s="173">
        <f>I59*(J23/I23)</f>
        <v>9993898.8571163211</v>
      </c>
      <c r="K59" s="173">
        <f>J59*(K23/J23)</f>
        <v>10463563.611058254</v>
      </c>
      <c r="L59" s="173">
        <f>K59*(L23/K23)</f>
        <v>0</v>
      </c>
      <c r="M59" s="103"/>
      <c r="N59" s="171" t="s">
        <v>2128</v>
      </c>
      <c r="O59" s="103"/>
      <c r="P59" s="103"/>
      <c r="Q59" s="103"/>
      <c r="R59" s="103"/>
      <c r="S59" s="103"/>
      <c r="T59" s="103"/>
      <c r="U59" s="103"/>
      <c r="V59" s="103"/>
      <c r="W59" s="103"/>
      <c r="X59" s="103"/>
    </row>
    <row r="60" spans="1:24">
      <c r="A60" s="373" t="s">
        <v>1099</v>
      </c>
      <c r="B60" s="153"/>
      <c r="C60" s="175">
        <f t="shared" ref="C60:L60" si="20">SUM(C57:C59)</f>
        <v>5835789</v>
      </c>
      <c r="D60" s="175">
        <f t="shared" si="20"/>
        <v>7674740</v>
      </c>
      <c r="E60" s="175">
        <f t="shared" si="20"/>
        <v>9993000</v>
      </c>
      <c r="F60" s="175">
        <f t="shared" si="20"/>
        <v>10667000</v>
      </c>
      <c r="G60" s="175">
        <f t="shared" si="20"/>
        <v>14248000</v>
      </c>
      <c r="H60" s="175">
        <f t="shared" si="20"/>
        <v>21851440.897325277</v>
      </c>
      <c r="I60" s="176">
        <f t="shared" si="20"/>
        <v>21577913.718723036</v>
      </c>
      <c r="J60" s="176">
        <f t="shared" si="20"/>
        <v>23477835.270600714</v>
      </c>
      <c r="K60" s="176">
        <f t="shared" si="20"/>
        <v>24581179.609292328</v>
      </c>
      <c r="L60" s="176">
        <f t="shared" si="20"/>
        <v>0</v>
      </c>
      <c r="M60" s="103"/>
      <c r="N60" s="178"/>
      <c r="O60" s="103"/>
      <c r="P60" s="103"/>
      <c r="Q60" s="103"/>
      <c r="R60" s="103"/>
      <c r="S60" s="103"/>
      <c r="T60" s="103"/>
      <c r="U60" s="103"/>
      <c r="V60" s="103"/>
      <c r="W60" s="103"/>
      <c r="X60" s="103"/>
    </row>
    <row r="61" spans="1:24" ht="14.5">
      <c r="A61" s="371" t="s">
        <v>1581</v>
      </c>
      <c r="B61" s="156"/>
      <c r="C61" s="157"/>
      <c r="D61" s="157"/>
      <c r="E61" s="157"/>
      <c r="F61" s="158"/>
      <c r="G61" s="158"/>
      <c r="H61" s="570"/>
      <c r="I61" s="159"/>
      <c r="J61" s="159"/>
      <c r="K61" s="159"/>
      <c r="L61" s="159"/>
      <c r="M61" s="103"/>
      <c r="N61" s="103"/>
      <c r="O61" s="103"/>
      <c r="P61" s="103"/>
      <c r="Q61" s="103"/>
      <c r="R61" s="103"/>
      <c r="S61" s="103"/>
      <c r="T61" s="103"/>
      <c r="U61" s="103"/>
      <c r="V61" s="103"/>
      <c r="W61" s="103"/>
      <c r="X61" s="103"/>
    </row>
    <row r="62" spans="1:24">
      <c r="A62" s="121" t="s">
        <v>740</v>
      </c>
      <c r="B62" s="120"/>
      <c r="C62" s="159">
        <f>SUM('Fin Sta as rep'!C83:C87)</f>
        <v>5969500</v>
      </c>
      <c r="D62" s="159">
        <f>SUM('Fin Sta as rep'!D83:D87)</f>
        <v>9418319</v>
      </c>
      <c r="E62" s="159">
        <f>SUM('Fin Sta as rep'!E83:E87)</f>
        <v>9404000</v>
      </c>
      <c r="F62" s="159">
        <f>SUM('Fin Sta as rep'!F83:F87)</f>
        <v>11634000</v>
      </c>
      <c r="G62" s="159">
        <f>SUM('Fin Sta as rep'!G83:G87)</f>
        <v>9607000</v>
      </c>
      <c r="H62" s="570">
        <f>R62</f>
        <v>5738000</v>
      </c>
      <c r="I62" s="225">
        <f>S62</f>
        <v>5038000</v>
      </c>
      <c r="J62" s="225">
        <f>T62</f>
        <v>4338000</v>
      </c>
      <c r="K62" s="159">
        <f>U62</f>
        <v>4338000</v>
      </c>
      <c r="L62" s="159">
        <f>V62</f>
        <v>4338000</v>
      </c>
      <c r="M62" s="103"/>
      <c r="N62" s="179" t="s">
        <v>740</v>
      </c>
      <c r="O62" s="164"/>
      <c r="P62" s="180"/>
      <c r="Q62" s="180"/>
      <c r="R62" s="147">
        <f>6438000-700000</f>
        <v>5738000</v>
      </c>
      <c r="S62" s="147">
        <f>H62-700000</f>
        <v>5038000</v>
      </c>
      <c r="T62" s="147">
        <f>I62-700000</f>
        <v>4338000</v>
      </c>
      <c r="U62" s="147">
        <f>T62</f>
        <v>4338000</v>
      </c>
      <c r="V62" s="147">
        <f>U62</f>
        <v>4338000</v>
      </c>
      <c r="W62" s="103"/>
      <c r="X62" s="103" t="s">
        <v>2134</v>
      </c>
    </row>
    <row r="63" spans="1:24">
      <c r="A63" s="121" t="s">
        <v>745</v>
      </c>
      <c r="B63" s="120"/>
      <c r="C63" s="159">
        <f>SUM('Fin Sta as rep'!C88,'Fin Sta as rep'!C90:C91)</f>
        <v>4953662</v>
      </c>
      <c r="D63" s="159">
        <f>SUM('Fin Sta as rep'!D88,'Fin Sta as rep'!D90:D91)</f>
        <v>5929991</v>
      </c>
      <c r="E63" s="159">
        <f>SUM('Fin Sta as rep'!E88,'Fin Sta as rep'!E90:E91)</f>
        <v>4030000</v>
      </c>
      <c r="F63" s="219">
        <f>SUM('Fin Sta as rep'!F96,'Fin Sta as rep'!F88,'Fin Sta as rep'!F90)</f>
        <v>4505000</v>
      </c>
      <c r="G63" s="219">
        <f>SUM('Fin Sta as rep'!G96,'Fin Sta as rep'!G88,'Fin Sta as rep'!G90)</f>
        <v>5218000</v>
      </c>
      <c r="H63" s="570">
        <f>G63+H53-G53+H94</f>
        <v>6303515.9817351596</v>
      </c>
      <c r="I63" s="159">
        <f>H63+I53-H53</f>
        <v>7649707.7625570791</v>
      </c>
      <c r="J63" s="159">
        <f>I63+J53-I53</f>
        <v>8377006.9213353619</v>
      </c>
      <c r="K63" s="159">
        <f>J63+K53-J53</f>
        <v>9083656.827760404</v>
      </c>
      <c r="L63" s="159">
        <f>K63+L53-K53</f>
        <v>9083656.8277604058</v>
      </c>
      <c r="M63" s="103"/>
      <c r="N63" s="171" t="s">
        <v>2135</v>
      </c>
      <c r="O63" s="103"/>
      <c r="P63" s="103"/>
      <c r="Q63" s="103"/>
      <c r="R63" s="103"/>
      <c r="S63" s="103"/>
      <c r="T63" s="103"/>
      <c r="U63" s="103"/>
      <c r="V63" s="103"/>
      <c r="W63" s="103"/>
      <c r="X63" s="103"/>
    </row>
    <row r="64" spans="1:24">
      <c r="A64" s="373" t="s">
        <v>1108</v>
      </c>
      <c r="B64" s="153"/>
      <c r="C64" s="175">
        <f t="shared" ref="C64:L64" si="21">SUM(C63,C62,C60)</f>
        <v>16758951</v>
      </c>
      <c r="D64" s="175">
        <f t="shared" si="21"/>
        <v>23023050</v>
      </c>
      <c r="E64" s="175">
        <f t="shared" si="21"/>
        <v>23427000</v>
      </c>
      <c r="F64" s="175">
        <f t="shared" si="21"/>
        <v>26806000</v>
      </c>
      <c r="G64" s="175">
        <f t="shared" si="21"/>
        <v>29073000</v>
      </c>
      <c r="H64" s="175">
        <f t="shared" si="21"/>
        <v>33892956.879060432</v>
      </c>
      <c r="I64" s="176">
        <f t="shared" si="21"/>
        <v>34265621.481280118</v>
      </c>
      <c r="J64" s="176">
        <f t="shared" si="21"/>
        <v>36192842.191936076</v>
      </c>
      <c r="K64" s="176">
        <f t="shared" si="21"/>
        <v>38002836.437052734</v>
      </c>
      <c r="L64" s="176">
        <f t="shared" si="21"/>
        <v>13421656.827760406</v>
      </c>
      <c r="M64" s="103"/>
      <c r="N64" s="178"/>
      <c r="O64" s="103"/>
      <c r="P64" s="103"/>
      <c r="Q64" s="103"/>
      <c r="R64" s="103"/>
      <c r="S64" s="103"/>
      <c r="T64" s="103"/>
      <c r="U64" s="103"/>
      <c r="V64" s="103"/>
      <c r="W64" s="103"/>
      <c r="X64" s="103"/>
    </row>
    <row r="65" spans="1:24" ht="14.5">
      <c r="A65" s="371" t="s">
        <v>1581</v>
      </c>
      <c r="B65" s="156"/>
      <c r="C65" s="157"/>
      <c r="D65" s="157"/>
      <c r="E65" s="157"/>
      <c r="F65" s="158"/>
      <c r="G65" s="158"/>
      <c r="H65" s="570"/>
      <c r="I65" s="159"/>
      <c r="J65" s="159"/>
      <c r="K65" s="159"/>
      <c r="L65" s="159"/>
      <c r="M65" s="103"/>
      <c r="N65" s="103"/>
      <c r="O65" s="103"/>
      <c r="P65" s="103"/>
      <c r="Q65" s="103"/>
      <c r="R65" s="103"/>
      <c r="S65" s="103"/>
      <c r="T65" s="103"/>
      <c r="U65" s="103"/>
      <c r="V65" s="103"/>
      <c r="W65" s="103"/>
      <c r="X65" s="103"/>
    </row>
    <row r="66" spans="1:24">
      <c r="A66" s="121" t="s">
        <v>755</v>
      </c>
      <c r="B66" s="120"/>
      <c r="C66" s="159">
        <f>SUM('Fin Sta as rep'!C98:C99)</f>
        <v>7773888</v>
      </c>
      <c r="D66" s="159">
        <f>SUM('Fin Sta as rep'!D98:D99)</f>
        <v>9178193</v>
      </c>
      <c r="E66" s="159">
        <f>SUM('Fin Sta as rep'!E98:E99)</f>
        <v>10249000</v>
      </c>
      <c r="F66" s="159">
        <f>SUM('Fin Sta as rep'!F98:F99)</f>
        <v>12737000</v>
      </c>
      <c r="G66" s="159">
        <f>SUM('Fin Sta as rep'!G98:G99)</f>
        <v>27261000</v>
      </c>
      <c r="H66" s="570">
        <f>G66+SUM(H86:H87)</f>
        <v>27378000</v>
      </c>
      <c r="I66" s="159">
        <f>H66+SUM(I86:I87)</f>
        <v>27495000</v>
      </c>
      <c r="J66" s="159">
        <f>I66+SUM(J86:J87)</f>
        <v>27612000</v>
      </c>
      <c r="K66" s="159">
        <f>J66+SUM(K86:K87)</f>
        <v>27729000</v>
      </c>
      <c r="L66" s="159">
        <f>K66+SUM(L86:L87)</f>
        <v>27846000</v>
      </c>
      <c r="M66" s="103"/>
      <c r="N66" s="171" t="s">
        <v>2136</v>
      </c>
      <c r="O66" s="103"/>
      <c r="P66" s="103"/>
      <c r="Q66" s="103"/>
      <c r="R66" s="103"/>
      <c r="S66" s="103"/>
      <c r="T66" s="103"/>
      <c r="U66" s="103"/>
      <c r="V66" s="103"/>
      <c r="W66" s="103"/>
      <c r="X66" s="103"/>
    </row>
    <row r="67" spans="1:24" ht="14.5">
      <c r="A67" s="121" t="s">
        <v>1125</v>
      </c>
      <c r="B67" s="120"/>
      <c r="C67" s="142">
        <v>0</v>
      </c>
      <c r="D67" s="142">
        <v>0</v>
      </c>
      <c r="E67" s="142">
        <v>0</v>
      </c>
      <c r="F67" s="142">
        <v>0</v>
      </c>
      <c r="G67" s="142">
        <v>0</v>
      </c>
      <c r="H67" s="570">
        <f>G67+H100/2</f>
        <v>-200000</v>
      </c>
      <c r="I67" s="159">
        <f>H67+I100/2</f>
        <v>-575000</v>
      </c>
      <c r="J67" s="159">
        <f>I67+J100/2</f>
        <v>-1000000</v>
      </c>
      <c r="K67" s="159">
        <f>J67+K100/2</f>
        <v>-1000000</v>
      </c>
      <c r="L67" s="159">
        <f>K67+L100/2</f>
        <v>-1000000</v>
      </c>
      <c r="M67" s="103"/>
      <c r="N67" s="171" t="s">
        <v>2137</v>
      </c>
      <c r="O67" s="103"/>
      <c r="P67" s="103"/>
      <c r="Q67" s="103"/>
      <c r="R67" s="103"/>
      <c r="S67" s="103"/>
      <c r="T67" s="103"/>
      <c r="U67" s="103"/>
      <c r="V67" s="103"/>
      <c r="W67" s="103"/>
      <c r="X67" s="103"/>
    </row>
    <row r="68" spans="1:24" ht="14.5">
      <c r="A68" s="121" t="s">
        <v>758</v>
      </c>
      <c r="B68" s="120"/>
      <c r="C68" s="136">
        <f>'Fin Sta as rep'!C100</f>
        <v>-2997237</v>
      </c>
      <c r="D68" s="136">
        <f>'Fin Sta as rep'!D100</f>
        <v>-4974299</v>
      </c>
      <c r="E68" s="136">
        <f>'Fin Sta as rep'!E100</f>
        <v>-5318000</v>
      </c>
      <c r="F68" s="136">
        <f>'Fin Sta as rep'!F100</f>
        <v>-6083000</v>
      </c>
      <c r="G68" s="136">
        <f>'Fin Sta as rep'!G100</f>
        <v>-5399000</v>
      </c>
      <c r="H68" s="570">
        <f>G68+H75+H98</f>
        <v>-1755294</v>
      </c>
      <c r="I68" s="159">
        <f>H68+I75+I98</f>
        <v>8582246.5530547425</v>
      </c>
      <c r="J68" s="159">
        <f>I68+J75+J98</f>
        <v>13887828.430175433</v>
      </c>
      <c r="K68" s="159">
        <f>J68+K75+K98</f>
        <v>23270791.00553824</v>
      </c>
      <c r="L68" s="159">
        <f>K68+L75+L98</f>
        <v>134173557.75049403</v>
      </c>
      <c r="M68" s="103"/>
      <c r="N68" s="171" t="s">
        <v>2138</v>
      </c>
      <c r="O68" s="103"/>
      <c r="P68" s="103"/>
      <c r="Q68" s="103"/>
      <c r="R68" s="103"/>
      <c r="S68" s="103"/>
      <c r="T68" s="103"/>
      <c r="U68" s="103"/>
      <c r="V68" s="103"/>
      <c r="W68" s="103"/>
      <c r="X68" s="103"/>
    </row>
    <row r="69" spans="1:24" ht="14.5">
      <c r="A69" s="121" t="s">
        <v>765</v>
      </c>
      <c r="B69" s="120"/>
      <c r="C69" s="159">
        <v>0</v>
      </c>
      <c r="D69" s="159">
        <v>0</v>
      </c>
      <c r="E69" s="159">
        <v>0</v>
      </c>
      <c r="F69" s="159">
        <v>0</v>
      </c>
      <c r="G69" s="159">
        <v>0</v>
      </c>
      <c r="H69" s="570">
        <f>G69+H99</f>
        <v>0</v>
      </c>
      <c r="I69" s="159">
        <f>H69+I99</f>
        <v>0</v>
      </c>
      <c r="J69" s="159">
        <f>I69+J99</f>
        <v>0</v>
      </c>
      <c r="K69" s="159">
        <f>J69+K99</f>
        <v>0</v>
      </c>
      <c r="L69" s="159">
        <f>K69+L99</f>
        <v>0</v>
      </c>
      <c r="M69" s="103"/>
      <c r="N69" s="171" t="s">
        <v>2139</v>
      </c>
      <c r="O69" s="103"/>
      <c r="P69" s="103"/>
      <c r="Q69" s="103"/>
      <c r="R69" s="103"/>
      <c r="S69" s="103"/>
      <c r="T69" s="103"/>
      <c r="U69" s="103"/>
      <c r="V69" s="103"/>
      <c r="W69" s="103"/>
      <c r="X69" s="103"/>
    </row>
    <row r="70" spans="1:24" ht="14.5">
      <c r="A70" s="121" t="s">
        <v>760</v>
      </c>
      <c r="B70" s="120"/>
      <c r="C70" s="136">
        <f>'Fin Sta as rep'!C101</f>
        <v>-23740</v>
      </c>
      <c r="D70" s="136">
        <f>'Fin Sta as rep'!D101</f>
        <v>33348</v>
      </c>
      <c r="E70" s="136">
        <f>'Fin Sta as rep'!E101</f>
        <v>-8000</v>
      </c>
      <c r="F70" s="220" t="e">
        <f>'Fin Sta as rep'!F101+'Fin Sta as rep'!#REF!</f>
        <v>#REF!</v>
      </c>
      <c r="G70" s="220" t="e">
        <f>'Fin Sta as rep'!G101+'Fin Sta as rep'!#REF!</f>
        <v>#REF!</v>
      </c>
      <c r="H70" s="570" t="e">
        <f>G70+H100/2+H102</f>
        <v>#REF!</v>
      </c>
      <c r="I70" s="159" t="e">
        <f>H70+I100/2+I102</f>
        <v>#REF!</v>
      </c>
      <c r="J70" s="159" t="e">
        <f>I70+J100/2+J102</f>
        <v>#REF!</v>
      </c>
      <c r="K70" s="159" t="e">
        <f>J70+K100/2</f>
        <v>#REF!</v>
      </c>
      <c r="L70" s="159" t="e">
        <f>K70+L100/2</f>
        <v>#REF!</v>
      </c>
      <c r="M70" s="103"/>
      <c r="N70" s="171" t="s">
        <v>2140</v>
      </c>
      <c r="O70" s="103"/>
      <c r="P70" s="103"/>
      <c r="Q70" s="103"/>
      <c r="R70" s="103"/>
      <c r="S70" s="103"/>
      <c r="T70" s="103"/>
      <c r="U70" s="103"/>
      <c r="V70" s="103"/>
      <c r="W70" s="103"/>
      <c r="X70" s="103"/>
    </row>
    <row r="71" spans="1:24">
      <c r="A71" s="373" t="s">
        <v>1610</v>
      </c>
      <c r="B71" s="153"/>
      <c r="C71" s="174">
        <f t="shared" ref="C71:L71" si="22">SUM(C66:C70)</f>
        <v>4752911</v>
      </c>
      <c r="D71" s="174">
        <f t="shared" si="22"/>
        <v>4237242</v>
      </c>
      <c r="E71" s="175">
        <f t="shared" si="22"/>
        <v>4923000</v>
      </c>
      <c r="F71" s="175" t="e">
        <f t="shared" si="22"/>
        <v>#REF!</v>
      </c>
      <c r="G71" s="175" t="e">
        <f t="shared" si="22"/>
        <v>#REF!</v>
      </c>
      <c r="H71" s="175" t="e">
        <f t="shared" si="22"/>
        <v>#REF!</v>
      </c>
      <c r="I71" s="176" t="e">
        <f t="shared" si="22"/>
        <v>#REF!</v>
      </c>
      <c r="J71" s="176" t="e">
        <f t="shared" si="22"/>
        <v>#REF!</v>
      </c>
      <c r="K71" s="176" t="e">
        <f t="shared" si="22"/>
        <v>#REF!</v>
      </c>
      <c r="L71" s="176" t="e">
        <f t="shared" si="22"/>
        <v>#REF!</v>
      </c>
      <c r="M71" s="103"/>
      <c r="N71" s="178"/>
      <c r="O71" s="103"/>
      <c r="P71" s="103"/>
      <c r="Q71" s="103"/>
      <c r="R71" s="103"/>
      <c r="S71" s="103"/>
      <c r="T71" s="103"/>
      <c r="U71" s="103"/>
      <c r="V71" s="103"/>
      <c r="W71" s="103"/>
      <c r="X71" s="103"/>
    </row>
    <row r="72" spans="1:24">
      <c r="A72" s="373" t="s">
        <v>1611</v>
      </c>
      <c r="B72" s="153"/>
      <c r="C72" s="181">
        <f t="shared" ref="C72:L72" si="23">SUM(C71,C64)</f>
        <v>21511862</v>
      </c>
      <c r="D72" s="181">
        <f t="shared" si="23"/>
        <v>27260292</v>
      </c>
      <c r="E72" s="130">
        <f t="shared" si="23"/>
        <v>28350000</v>
      </c>
      <c r="F72" s="130" t="e">
        <f t="shared" si="23"/>
        <v>#REF!</v>
      </c>
      <c r="G72" s="130" t="e">
        <f t="shared" si="23"/>
        <v>#REF!</v>
      </c>
      <c r="H72" s="130" t="e">
        <f t="shared" si="23"/>
        <v>#REF!</v>
      </c>
      <c r="I72" s="131" t="e">
        <f t="shared" si="23"/>
        <v>#REF!</v>
      </c>
      <c r="J72" s="131" t="e">
        <f t="shared" si="23"/>
        <v>#REF!</v>
      </c>
      <c r="K72" s="131" t="e">
        <f t="shared" si="23"/>
        <v>#REF!</v>
      </c>
      <c r="L72" s="131" t="e">
        <f t="shared" si="23"/>
        <v>#REF!</v>
      </c>
      <c r="M72" s="103"/>
      <c r="N72" s="178"/>
      <c r="O72" s="103"/>
      <c r="P72" s="103"/>
      <c r="Q72" s="103"/>
      <c r="R72" s="103"/>
      <c r="S72" s="103"/>
      <c r="T72" s="103"/>
      <c r="U72" s="103"/>
      <c r="V72" s="103"/>
      <c r="W72" s="103"/>
      <c r="X72" s="103"/>
    </row>
    <row r="73" spans="1:24" ht="14.5">
      <c r="A73" s="371" t="s">
        <v>1581</v>
      </c>
      <c r="B73" s="156"/>
      <c r="C73" s="182">
        <f t="shared" ref="C73:L73" si="24">ROUND(C72-C55,1)</f>
        <v>-1152214</v>
      </c>
      <c r="D73" s="182">
        <f t="shared" si="24"/>
        <v>-1395080</v>
      </c>
      <c r="E73" s="182">
        <f t="shared" si="24"/>
        <v>-1390000</v>
      </c>
      <c r="F73" s="182" t="e">
        <f t="shared" si="24"/>
        <v>#REF!</v>
      </c>
      <c r="G73" s="182" t="e">
        <f t="shared" si="24"/>
        <v>#REF!</v>
      </c>
      <c r="H73" s="214" t="e">
        <f t="shared" si="24"/>
        <v>#REF!</v>
      </c>
      <c r="I73" s="137" t="e">
        <f t="shared" si="24"/>
        <v>#REF!</v>
      </c>
      <c r="J73" s="137" t="e">
        <f t="shared" si="24"/>
        <v>#REF!</v>
      </c>
      <c r="K73" s="137" t="e">
        <f t="shared" si="24"/>
        <v>#REF!</v>
      </c>
      <c r="L73" s="137" t="e">
        <f t="shared" si="24"/>
        <v>#REF!</v>
      </c>
      <c r="M73" s="103"/>
      <c r="N73" s="103"/>
      <c r="O73" s="103"/>
      <c r="P73" s="103"/>
      <c r="Q73" s="103"/>
      <c r="R73" s="103"/>
      <c r="S73" s="103"/>
      <c r="T73" s="103"/>
      <c r="U73" s="103"/>
      <c r="V73" s="103"/>
      <c r="W73" s="103"/>
      <c r="X73" s="103"/>
    </row>
    <row r="74" spans="1:24" ht="20">
      <c r="A74" s="368" t="s">
        <v>1612</v>
      </c>
      <c r="B74" s="123"/>
      <c r="C74" s="124"/>
      <c r="D74" s="124"/>
      <c r="E74" s="124"/>
      <c r="F74" s="124"/>
      <c r="G74" s="124"/>
      <c r="H74" s="572"/>
      <c r="I74" s="128"/>
      <c r="J74" s="128"/>
      <c r="K74" s="128"/>
      <c r="L74" s="128"/>
      <c r="M74" s="129"/>
      <c r="N74" s="118" t="s">
        <v>1613</v>
      </c>
      <c r="O74" s="129"/>
      <c r="P74" s="129"/>
      <c r="Q74" s="129"/>
      <c r="R74" s="129"/>
      <c r="S74" s="129"/>
      <c r="T74" s="129"/>
      <c r="U74" s="129"/>
      <c r="V74" s="129"/>
      <c r="W74" s="129"/>
      <c r="X74" s="108"/>
    </row>
    <row r="75" spans="1:24" ht="15.5">
      <c r="A75" s="121" t="s">
        <v>543</v>
      </c>
      <c r="B75" s="120"/>
      <c r="C75" s="222">
        <f t="shared" ref="C75:J75" si="25">C39-C37</f>
        <v>-773046</v>
      </c>
      <c r="D75" s="183">
        <f t="shared" si="25"/>
        <v>-2240578</v>
      </c>
      <c r="E75" s="184">
        <f t="shared" si="25"/>
        <v>-1062582</v>
      </c>
      <c r="F75" s="185">
        <f t="shared" si="25"/>
        <v>-775000</v>
      </c>
      <c r="G75" s="185">
        <f t="shared" si="25"/>
        <v>862000</v>
      </c>
      <c r="H75" s="570">
        <f t="shared" si="25"/>
        <v>5643706</v>
      </c>
      <c r="I75" s="159">
        <f t="shared" si="25"/>
        <v>12637540.553054743</v>
      </c>
      <c r="J75" s="159">
        <f t="shared" si="25"/>
        <v>7805581.8771206904</v>
      </c>
      <c r="K75" s="159">
        <f>K39</f>
        <v>9382962.575362809</v>
      </c>
      <c r="L75" s="159">
        <f>L39</f>
        <v>110902766.74495579</v>
      </c>
      <c r="M75" s="103"/>
      <c r="N75" s="178"/>
      <c r="O75" s="103"/>
      <c r="P75" s="103"/>
      <c r="Q75" s="103"/>
      <c r="R75" s="103"/>
      <c r="S75" s="103"/>
      <c r="T75" s="103"/>
      <c r="U75" s="103"/>
      <c r="V75" s="103"/>
      <c r="W75" s="103"/>
      <c r="X75" s="103"/>
    </row>
    <row r="76" spans="1:24">
      <c r="A76" s="376" t="s">
        <v>770</v>
      </c>
      <c r="B76" s="186"/>
      <c r="C76" s="136">
        <f>'Fin Sta as rep'!C117</f>
        <v>947099</v>
      </c>
      <c r="D76" s="136">
        <f>'Fin Sta as rep'!D117</f>
        <v>1636003</v>
      </c>
      <c r="E76" s="136">
        <f>'Fin Sta as rep'!E117</f>
        <v>1901050</v>
      </c>
      <c r="F76" s="136">
        <f>'Fin Sta as rep'!F117</f>
        <v>2154000</v>
      </c>
      <c r="G76" s="136">
        <f>'Fin Sta as rep'!G117</f>
        <v>2322000</v>
      </c>
      <c r="H76" s="570">
        <f>H7*R76</f>
        <v>3843183.3904109593</v>
      </c>
      <c r="I76" s="159">
        <f>I7*S76</f>
        <v>5235049.4178082217</v>
      </c>
      <c r="J76" s="159">
        <f>J7*T76</f>
        <v>5575192.3399902368</v>
      </c>
      <c r="K76" s="159">
        <f>K7*U76</f>
        <v>0</v>
      </c>
      <c r="L76" s="159">
        <f>L7*V76</f>
        <v>0</v>
      </c>
      <c r="M76" s="103"/>
      <c r="N76" s="172" t="s">
        <v>1615</v>
      </c>
      <c r="O76" s="187">
        <f>E79/E7</f>
        <v>9.597871467978826E-2</v>
      </c>
      <c r="P76" s="187">
        <f>F79/F7</f>
        <v>9.5288469362844824E-2</v>
      </c>
      <c r="Q76" s="187">
        <f>G79/G7</f>
        <v>7.9337899543378998E-2</v>
      </c>
      <c r="R76" s="139">
        <f>Q76*0.9</f>
        <v>7.1404109589041101E-2</v>
      </c>
      <c r="S76" s="139">
        <f>R76*0.9</f>
        <v>6.4263698630136992E-2</v>
      </c>
      <c r="T76" s="139">
        <f>S76*0.9</f>
        <v>5.7837328767123296E-2</v>
      </c>
      <c r="U76" s="139"/>
      <c r="V76" s="139"/>
      <c r="W76" s="103"/>
      <c r="X76" s="103" t="s">
        <v>1815</v>
      </c>
    </row>
    <row r="77" spans="1:24">
      <c r="A77" s="369" t="s">
        <v>951</v>
      </c>
      <c r="B77" s="135"/>
      <c r="C77" s="157">
        <v>0</v>
      </c>
      <c r="D77" s="157"/>
      <c r="E77" s="157"/>
      <c r="F77" s="157"/>
      <c r="G77" s="157"/>
      <c r="H77" s="570">
        <f>R77</f>
        <v>0</v>
      </c>
      <c r="I77" s="159">
        <f>S77</f>
        <v>0</v>
      </c>
      <c r="J77" s="159">
        <f>T77</f>
        <v>0</v>
      </c>
      <c r="K77" s="159">
        <f>U77</f>
        <v>0</v>
      </c>
      <c r="L77" s="159">
        <f>V77</f>
        <v>0</v>
      </c>
      <c r="M77" s="103"/>
      <c r="N77" s="103" t="s">
        <v>951</v>
      </c>
      <c r="O77" s="103"/>
      <c r="P77" s="103"/>
      <c r="Q77" s="103"/>
      <c r="R77" s="147">
        <v>0</v>
      </c>
      <c r="S77" s="147">
        <v>0</v>
      </c>
      <c r="T77" s="147">
        <v>0</v>
      </c>
      <c r="U77" s="147">
        <v>0</v>
      </c>
      <c r="V77" s="147">
        <v>0</v>
      </c>
      <c r="W77" s="103"/>
      <c r="X77" s="103"/>
    </row>
    <row r="78" spans="1:24">
      <c r="A78" s="369" t="s">
        <v>771</v>
      </c>
      <c r="B78" s="135"/>
      <c r="C78" s="136">
        <f>'Fin Sta as rep'!C118</f>
        <v>94690</v>
      </c>
      <c r="D78" s="136">
        <f>'Fin Sta as rep'!D118</f>
        <v>91037</v>
      </c>
      <c r="E78" s="136">
        <f>'Fin Sta as rep'!E118</f>
        <v>158730</v>
      </c>
      <c r="F78" s="136">
        <f>'Fin Sta as rep'!F118</f>
        <v>188000</v>
      </c>
      <c r="G78" s="136">
        <f>'Fin Sta as rep'!G118</f>
        <v>180000</v>
      </c>
      <c r="H78" s="570">
        <v>180000</v>
      </c>
      <c r="I78" s="219">
        <v>180000</v>
      </c>
      <c r="J78" s="219">
        <v>180000</v>
      </c>
      <c r="K78" s="159">
        <f>K7*U78</f>
        <v>0</v>
      </c>
      <c r="L78" s="159">
        <f>L7*V78</f>
        <v>0</v>
      </c>
      <c r="M78" s="103"/>
      <c r="N78" s="103" t="s">
        <v>1683</v>
      </c>
      <c r="O78" s="103"/>
      <c r="P78" s="103"/>
      <c r="Q78" s="103"/>
      <c r="R78" s="139">
        <v>0</v>
      </c>
      <c r="S78" s="139">
        <v>0</v>
      </c>
      <c r="T78" s="139">
        <v>0</v>
      </c>
      <c r="U78" s="139">
        <v>0</v>
      </c>
      <c r="V78" s="139">
        <v>0</v>
      </c>
      <c r="W78" s="103"/>
      <c r="X78" s="103"/>
    </row>
    <row r="79" spans="1:24">
      <c r="A79" s="372" t="s">
        <v>1139</v>
      </c>
      <c r="B79" s="155"/>
      <c r="C79" s="137">
        <f t="shared" ref="C79:L79" si="26">SUM(C76:C78)</f>
        <v>1041789</v>
      </c>
      <c r="D79" s="137">
        <f t="shared" si="26"/>
        <v>1727040</v>
      </c>
      <c r="E79" s="137">
        <f t="shared" si="26"/>
        <v>2059780</v>
      </c>
      <c r="F79" s="137">
        <f t="shared" si="26"/>
        <v>2342000</v>
      </c>
      <c r="G79" s="137">
        <f t="shared" si="26"/>
        <v>2502000</v>
      </c>
      <c r="H79" s="214">
        <f t="shared" si="26"/>
        <v>4023183.3904109593</v>
      </c>
      <c r="I79" s="137">
        <f t="shared" si="26"/>
        <v>5415049.4178082217</v>
      </c>
      <c r="J79" s="137">
        <f t="shared" si="26"/>
        <v>5755192.3399902368</v>
      </c>
      <c r="K79" s="137">
        <f t="shared" si="26"/>
        <v>0</v>
      </c>
      <c r="L79" s="137">
        <f t="shared" si="26"/>
        <v>0</v>
      </c>
      <c r="M79" s="103"/>
      <c r="N79" s="178"/>
      <c r="O79" s="103"/>
      <c r="P79" s="103"/>
      <c r="Q79" s="103"/>
      <c r="R79" s="103"/>
      <c r="S79" s="103"/>
      <c r="T79" s="103"/>
      <c r="U79" s="103"/>
      <c r="V79" s="103"/>
      <c r="W79" s="103"/>
      <c r="X79" s="103"/>
    </row>
    <row r="80" spans="1:24">
      <c r="A80" s="121" t="s">
        <v>788</v>
      </c>
      <c r="B80" s="120"/>
      <c r="C80" s="136">
        <f>'Fin Sta as rep'!C133</f>
        <v>-216565</v>
      </c>
      <c r="D80" s="136">
        <f>'Fin Sta as rep'!D133</f>
        <v>-24635</v>
      </c>
      <c r="E80" s="136">
        <f>'Fin Sta as rep'!E133</f>
        <v>-496732</v>
      </c>
      <c r="F80" s="136">
        <f>'Fin Sta as rep'!F133</f>
        <v>-367000</v>
      </c>
      <c r="G80" s="136">
        <f>'Fin Sta as rep'!G133</f>
        <v>-652000</v>
      </c>
      <c r="H80" s="570">
        <f t="shared" ref="H80:L82" si="27">-(H43-G43)</f>
        <v>-367206.64003044087</v>
      </c>
      <c r="I80" s="159">
        <f t="shared" si="27"/>
        <v>-133979.20091324253</v>
      </c>
      <c r="J80" s="159">
        <f t="shared" si="27"/>
        <v>409848.21893977653</v>
      </c>
      <c r="K80" s="159">
        <f t="shared" si="27"/>
        <v>-297610.94476988725</v>
      </c>
      <c r="L80" s="159">
        <f t="shared" si="27"/>
        <v>0</v>
      </c>
      <c r="M80" s="103"/>
      <c r="N80" s="171" t="s">
        <v>1617</v>
      </c>
      <c r="O80" s="103"/>
      <c r="P80" s="103"/>
      <c r="Q80" s="103"/>
      <c r="R80" s="103"/>
      <c r="S80" s="103"/>
      <c r="T80" s="103"/>
      <c r="U80" s="103"/>
      <c r="V80" s="103"/>
      <c r="W80" s="103"/>
      <c r="X80" s="103"/>
    </row>
    <row r="81" spans="1:24">
      <c r="A81" s="121" t="s">
        <v>696</v>
      </c>
      <c r="B81" s="120"/>
      <c r="C81" s="136">
        <f>'Fin Sta as rep'!C135</f>
        <v>-632867</v>
      </c>
      <c r="D81" s="136">
        <f>'Fin Sta as rep'!D135</f>
        <v>-178850</v>
      </c>
      <c r="E81" s="136">
        <f>'Fin Sta as rep'!E135</f>
        <v>-1023264</v>
      </c>
      <c r="F81" s="136">
        <f>'Fin Sta as rep'!F135</f>
        <v>-429000</v>
      </c>
      <c r="G81" s="136">
        <f>'Fin Sta as rep'!G135</f>
        <v>-422000</v>
      </c>
      <c r="H81" s="570">
        <f t="shared" si="27"/>
        <v>-2520979.5107203089</v>
      </c>
      <c r="I81" s="159">
        <f t="shared" si="27"/>
        <v>-3349356.8854461834</v>
      </c>
      <c r="J81" s="159">
        <f t="shared" si="27"/>
        <v>-3189004.5386920944</v>
      </c>
      <c r="K81" s="159">
        <f t="shared" si="27"/>
        <v>-1997962.9521714002</v>
      </c>
      <c r="L81" s="159">
        <f t="shared" si="27"/>
        <v>15158303.887029987</v>
      </c>
      <c r="M81" s="103"/>
      <c r="N81" s="171" t="s">
        <v>1617</v>
      </c>
      <c r="O81" s="103"/>
      <c r="P81" s="103"/>
      <c r="Q81" s="103"/>
      <c r="R81" s="103"/>
      <c r="S81" s="103"/>
      <c r="T81" s="103"/>
      <c r="U81" s="103"/>
      <c r="V81" s="103"/>
      <c r="W81" s="103"/>
      <c r="X81" s="103"/>
    </row>
    <row r="82" spans="1:24">
      <c r="A82" s="121" t="s">
        <v>1069</v>
      </c>
      <c r="B82" s="216"/>
      <c r="C82" s="142">
        <f>C45</f>
        <v>299984</v>
      </c>
      <c r="D82" s="142">
        <f>D45</f>
        <v>423688</v>
      </c>
      <c r="E82" s="142">
        <f>E45</f>
        <v>559000</v>
      </c>
      <c r="F82" s="142">
        <f>F45</f>
        <v>959000</v>
      </c>
      <c r="G82" s="142">
        <f>G45</f>
        <v>1346000</v>
      </c>
      <c r="H82" s="570">
        <f t="shared" si="27"/>
        <v>-718292.49352890416</v>
      </c>
      <c r="I82" s="159">
        <f t="shared" si="27"/>
        <v>25839.94823123375</v>
      </c>
      <c r="J82" s="159">
        <f t="shared" si="27"/>
        <v>-179484.44755947194</v>
      </c>
      <c r="K82" s="159">
        <f t="shared" si="27"/>
        <v>-104232.27680228185</v>
      </c>
      <c r="L82" s="159">
        <f t="shared" si="27"/>
        <v>2322169.2696594242</v>
      </c>
      <c r="M82" s="103"/>
      <c r="N82" s="171" t="s">
        <v>1617</v>
      </c>
      <c r="O82" s="103"/>
      <c r="P82" s="103"/>
      <c r="Q82" s="103"/>
      <c r="R82" s="103"/>
      <c r="S82" s="103"/>
      <c r="T82" s="103"/>
      <c r="U82" s="103"/>
      <c r="V82" s="103"/>
      <c r="W82" s="103"/>
      <c r="X82" s="103"/>
    </row>
    <row r="83" spans="1:24">
      <c r="A83" s="121" t="s">
        <v>791</v>
      </c>
      <c r="B83" s="120"/>
      <c r="C83" s="136">
        <f>'Fin Sta as rep'!C136</f>
        <v>750640</v>
      </c>
      <c r="D83" s="136">
        <f>'Fin Sta as rep'!D136</f>
        <v>388206</v>
      </c>
      <c r="E83" s="136">
        <f>'Fin Sta as rep'!E136</f>
        <v>1722850</v>
      </c>
      <c r="F83" s="136">
        <f>'Fin Sta as rep'!F136</f>
        <v>646000</v>
      </c>
      <c r="G83" s="136">
        <f>'Fin Sta as rep'!G136</f>
        <v>2102000</v>
      </c>
      <c r="H83" s="570">
        <f>H57-G57</f>
        <v>3229114.3226919752</v>
      </c>
      <c r="I83" s="159">
        <f>I57-H57</f>
        <v>-116164.58153580688</v>
      </c>
      <c r="J83" s="159">
        <f>J57-I57</f>
        <v>806879.93475658633</v>
      </c>
      <c r="K83" s="159">
        <f>K57-J57</f>
        <v>468580.61436152086</v>
      </c>
      <c r="L83" s="159">
        <f>L57-K57</f>
        <v>-10439410.290274275</v>
      </c>
      <c r="M83" s="103"/>
      <c r="N83" s="171" t="s">
        <v>1617</v>
      </c>
      <c r="O83" s="103"/>
      <c r="P83" s="103"/>
      <c r="Q83" s="103"/>
      <c r="R83" s="103"/>
      <c r="S83" s="103"/>
      <c r="T83" s="103"/>
      <c r="U83" s="103"/>
      <c r="V83" s="103"/>
      <c r="W83" s="103"/>
      <c r="X83" s="103"/>
    </row>
    <row r="84" spans="1:24">
      <c r="A84" s="121" t="s">
        <v>775</v>
      </c>
      <c r="B84" s="120"/>
      <c r="C84" s="136">
        <f>SUM('Fin Sta as rep'!C120)</f>
        <v>-88727</v>
      </c>
      <c r="D84" s="136">
        <f>SUM('Fin Sta as rep'!D120)</f>
        <v>57746</v>
      </c>
      <c r="E84" s="142">
        <f>SUM('Fin Sta as rep'!E120)</f>
        <v>0</v>
      </c>
      <c r="F84" s="142">
        <f>SUM('Fin Sta as rep'!F120)</f>
        <v>0</v>
      </c>
      <c r="G84" s="142">
        <f>SUM('Fin Sta as rep'!G120)</f>
        <v>0</v>
      </c>
      <c r="H84" s="570">
        <f>H59-G59</f>
        <v>3236585.4184641931</v>
      </c>
      <c r="I84" s="159">
        <f>I59-H59</f>
        <v>-116433.34771354683</v>
      </c>
      <c r="J84" s="159">
        <f>J59-I59</f>
        <v>808746.78636567481</v>
      </c>
      <c r="K84" s="159">
        <f>K59-J59</f>
        <v>469664.75394193269</v>
      </c>
      <c r="L84" s="159">
        <f>L59-K59</f>
        <v>-10463563.611058254</v>
      </c>
      <c r="M84" s="103"/>
      <c r="N84" s="171" t="s">
        <v>1617</v>
      </c>
      <c r="O84" s="103"/>
      <c r="P84" s="103"/>
      <c r="Q84" s="103"/>
      <c r="R84" s="103"/>
      <c r="S84" s="103"/>
      <c r="T84" s="103"/>
      <c r="U84" s="103"/>
      <c r="V84" s="103"/>
      <c r="W84" s="103"/>
      <c r="X84" s="103"/>
    </row>
    <row r="85" spans="1:24">
      <c r="A85" s="121" t="s">
        <v>2141</v>
      </c>
      <c r="B85" s="120"/>
      <c r="C85" s="142">
        <v>0</v>
      </c>
      <c r="D85" s="142">
        <v>0</v>
      </c>
      <c r="E85" s="142">
        <v>0</v>
      </c>
      <c r="F85" s="142">
        <v>0</v>
      </c>
      <c r="G85" s="142">
        <v>0</v>
      </c>
      <c r="H85" s="570">
        <v>0</v>
      </c>
      <c r="I85" s="159">
        <v>0</v>
      </c>
      <c r="J85" s="159">
        <v>0</v>
      </c>
      <c r="K85" s="159">
        <v>0</v>
      </c>
      <c r="L85" s="159">
        <v>0</v>
      </c>
      <c r="M85" s="103"/>
      <c r="N85" s="171" t="s">
        <v>2142</v>
      </c>
      <c r="O85" s="103"/>
      <c r="P85" s="103"/>
      <c r="Q85" s="103"/>
      <c r="R85" s="103"/>
      <c r="S85" s="103"/>
      <c r="T85" s="103"/>
      <c r="U85" s="103"/>
      <c r="V85" s="103"/>
      <c r="W85" s="103"/>
      <c r="X85" s="103"/>
    </row>
    <row r="86" spans="1:24">
      <c r="A86" s="49" t="s">
        <v>778</v>
      </c>
      <c r="B86" s="103"/>
      <c r="C86" s="136">
        <f>'Fin Sta as rep'!C122</f>
        <v>334225</v>
      </c>
      <c r="D86" s="136">
        <f>'Fin Sta as rep'!D122</f>
        <v>466760</v>
      </c>
      <c r="E86" s="136">
        <f>'Fin Sta as rep'!E122</f>
        <v>749024</v>
      </c>
      <c r="F86" s="136">
        <f>'Fin Sta as rep'!F122</f>
        <v>898000</v>
      </c>
      <c r="G86" s="136">
        <f>'Fin Sta as rep'!G122</f>
        <v>1734000</v>
      </c>
      <c r="H86" s="570">
        <f>R86</f>
        <v>0</v>
      </c>
      <c r="I86" s="159">
        <f>S86</f>
        <v>0</v>
      </c>
      <c r="J86" s="159">
        <f>T86</f>
        <v>0</v>
      </c>
      <c r="K86" s="159">
        <f>U86</f>
        <v>0</v>
      </c>
      <c r="L86" s="159">
        <f>V86</f>
        <v>0</v>
      </c>
      <c r="M86" s="103"/>
      <c r="N86" s="120" t="s">
        <v>1619</v>
      </c>
      <c r="O86" s="103"/>
      <c r="P86" s="103"/>
      <c r="Q86" s="103"/>
      <c r="R86" s="147">
        <v>0</v>
      </c>
      <c r="S86" s="147">
        <v>0</v>
      </c>
      <c r="T86" s="147">
        <v>0</v>
      </c>
      <c r="U86" s="147">
        <v>0</v>
      </c>
      <c r="V86" s="147">
        <v>0</v>
      </c>
      <c r="W86" s="103"/>
      <c r="X86" s="103"/>
    </row>
    <row r="87" spans="1:24">
      <c r="A87" s="121" t="s">
        <v>773</v>
      </c>
      <c r="B87" s="120"/>
      <c r="C87" s="220">
        <f>'Fin Sta as rep'!C119</f>
        <v>34633</v>
      </c>
      <c r="D87" s="136">
        <f>'Fin Sta as rep'!D119</f>
        <v>105770</v>
      </c>
      <c r="E87" s="136">
        <f>'Fin Sta as rep'!E119</f>
        <v>161361</v>
      </c>
      <c r="F87" s="136">
        <f>'Fin Sta as rep'!F119</f>
        <v>146000</v>
      </c>
      <c r="G87" s="136">
        <f>'Fin Sta as rep'!G119</f>
        <v>117000</v>
      </c>
      <c r="H87" s="570">
        <f>G87</f>
        <v>117000</v>
      </c>
      <c r="I87" s="159">
        <f>H87</f>
        <v>117000</v>
      </c>
      <c r="J87" s="159">
        <f>I87</f>
        <v>117000</v>
      </c>
      <c r="K87" s="159">
        <f>J87</f>
        <v>117000</v>
      </c>
      <c r="L87" s="159">
        <f>K87</f>
        <v>117000</v>
      </c>
      <c r="M87" s="103"/>
      <c r="N87" s="171" t="s">
        <v>2132</v>
      </c>
      <c r="O87" s="103"/>
      <c r="P87" s="103"/>
      <c r="Q87" s="103"/>
      <c r="R87" s="103"/>
      <c r="S87" s="103"/>
      <c r="T87" s="103"/>
      <c r="U87" s="103"/>
      <c r="V87" s="103"/>
      <c r="W87" s="103"/>
      <c r="X87" s="103"/>
    </row>
    <row r="88" spans="1:24">
      <c r="A88" s="121" t="s">
        <v>780</v>
      </c>
      <c r="B88" s="120"/>
      <c r="C88" s="224">
        <f>SUM('Fin Sta as rep'!C123:C132,'Fin Sta as rep'!C137:C140)</f>
        <v>-573911</v>
      </c>
      <c r="D88" s="224">
        <f>SUM('Fin Sta as rep'!D123:D132,'Fin Sta as rep'!D137:D140)</f>
        <v>-362113</v>
      </c>
      <c r="E88" s="224">
        <f>SUM('Fin Sta as rep'!E123:E132,'Fin Sta as rep'!E137:E140)</f>
        <v>-12635</v>
      </c>
      <c r="F88" s="224">
        <f>SUM('Fin Sta as rep'!F123:F132,'Fin Sta as rep'!F137:F140)</f>
        <v>-56000</v>
      </c>
      <c r="G88" s="224">
        <f>SUM('Fin Sta as rep'!G123:G132,'Fin Sta as rep'!G137:G140)</f>
        <v>-300000</v>
      </c>
      <c r="H88" s="570">
        <f>R88</f>
        <v>-480338</v>
      </c>
      <c r="I88" s="159">
        <f>S88</f>
        <v>0</v>
      </c>
      <c r="J88" s="159">
        <f>T88</f>
        <v>0</v>
      </c>
      <c r="K88" s="159">
        <f>U88</f>
        <v>0</v>
      </c>
      <c r="L88" s="159">
        <f>V88</f>
        <v>0</v>
      </c>
      <c r="M88" s="103"/>
      <c r="N88" s="120" t="s">
        <v>807</v>
      </c>
      <c r="O88" s="103"/>
      <c r="P88" s="103"/>
      <c r="Q88" s="103"/>
      <c r="R88" s="147">
        <v>-480338</v>
      </c>
      <c r="S88" s="147">
        <v>0</v>
      </c>
      <c r="T88" s="147">
        <v>0</v>
      </c>
      <c r="U88" s="147">
        <v>0</v>
      </c>
      <c r="V88" s="147">
        <v>0</v>
      </c>
      <c r="W88" s="103"/>
      <c r="X88" s="103"/>
    </row>
    <row r="89" spans="1:24">
      <c r="A89" s="373" t="s">
        <v>1620</v>
      </c>
      <c r="B89" s="153"/>
      <c r="C89" s="130">
        <f>SUM(C79:C81,C83:C88,C75)</f>
        <v>-123829</v>
      </c>
      <c r="D89" s="130">
        <f>SUM(D79:D81,D83:D88,D75)</f>
        <v>-60654</v>
      </c>
      <c r="E89" s="130">
        <f>SUM(E79:E81,E83:E88,E75)</f>
        <v>2097802</v>
      </c>
      <c r="F89" s="130">
        <f>SUM(F79:F81,F83:F88,F75)</f>
        <v>2405000</v>
      </c>
      <c r="G89" s="130">
        <f>SUM(G79:G81,G83:G88,G75)</f>
        <v>5943000</v>
      </c>
      <c r="H89" s="175">
        <f>SUM(H79:H88,H75)</f>
        <v>12162772.487287473</v>
      </c>
      <c r="I89" s="176">
        <f>SUM(I79:I88,I75)</f>
        <v>14479495.903485417</v>
      </c>
      <c r="J89" s="176">
        <f>SUM(J79:J88,J75)</f>
        <v>12334760.170921398</v>
      </c>
      <c r="K89" s="176">
        <f>SUM(K79:K88,K75)</f>
        <v>8038401.7699226933</v>
      </c>
      <c r="L89" s="176">
        <f>SUM(L79:L88,L75)</f>
        <v>107597266.00031267</v>
      </c>
      <c r="M89" s="103"/>
      <c r="N89" s="178"/>
      <c r="O89" s="103"/>
      <c r="P89" s="103"/>
      <c r="Q89" s="103"/>
      <c r="R89" s="103"/>
      <c r="S89" s="103"/>
      <c r="T89" s="103"/>
      <c r="U89" s="103"/>
      <c r="V89" s="103"/>
      <c r="W89" s="103"/>
      <c r="X89" s="103"/>
    </row>
    <row r="90" spans="1:24" ht="14.5">
      <c r="A90" s="371" t="s">
        <v>1581</v>
      </c>
      <c r="B90" s="156"/>
      <c r="C90" s="157"/>
      <c r="D90" s="157"/>
      <c r="E90" s="157"/>
      <c r="F90" s="157"/>
      <c r="G90" s="158"/>
      <c r="H90" s="570"/>
      <c r="I90" s="159"/>
      <c r="J90" s="159"/>
      <c r="K90" s="159"/>
      <c r="L90" s="159"/>
      <c r="M90" s="103"/>
      <c r="N90" s="103"/>
      <c r="O90" s="103"/>
      <c r="P90" s="103"/>
      <c r="Q90" s="103"/>
      <c r="R90" s="103"/>
      <c r="S90" s="103"/>
      <c r="T90" s="103"/>
      <c r="U90" s="103"/>
      <c r="V90" s="103"/>
      <c r="W90" s="103"/>
      <c r="X90" s="103"/>
    </row>
    <row r="91" spans="1:24">
      <c r="A91" s="121" t="s">
        <v>797</v>
      </c>
      <c r="B91" s="120"/>
      <c r="C91" s="173">
        <f>SUM('Fin Sta as rep'!C146:C147)</f>
        <v>-1440471</v>
      </c>
      <c r="D91" s="173">
        <f>SUM('Fin Sta as rep'!D146:D147)</f>
        <v>-4081540</v>
      </c>
      <c r="E91" s="173">
        <f>SUM('Fin Sta as rep'!E146:E147)</f>
        <v>-2319000</v>
      </c>
      <c r="F91" s="173">
        <f>SUM('Fin Sta as rep'!F146:F147)</f>
        <v>-1432000</v>
      </c>
      <c r="G91" s="173">
        <f>SUM('Fin Sta as rep'!G146:G147)</f>
        <v>-3232000</v>
      </c>
      <c r="H91" s="573">
        <f>-R91*H7</f>
        <v>-8073450</v>
      </c>
      <c r="I91" s="173">
        <f>-S91*I7</f>
        <v>-12219300.000000004</v>
      </c>
      <c r="J91" s="173">
        <f>-T91*J7</f>
        <v>-14459154.128049994</v>
      </c>
      <c r="K91" s="173">
        <f>-U91*K7</f>
        <v>0</v>
      </c>
      <c r="L91" s="173">
        <f>-V91*L7</f>
        <v>0</v>
      </c>
      <c r="M91" s="103"/>
      <c r="N91" s="120" t="s">
        <v>1621</v>
      </c>
      <c r="O91" s="187">
        <f>-E91/E7</f>
        <v>0.10805748154775217</v>
      </c>
      <c r="P91" s="187">
        <f>-F91/F7</f>
        <v>5.8263487671901704E-2</v>
      </c>
      <c r="Q91" s="187">
        <f>-G91/G7</f>
        <v>0.10248604769152714</v>
      </c>
      <c r="R91" s="139">
        <v>0.15</v>
      </c>
      <c r="S91" s="139">
        <v>0.15</v>
      </c>
      <c r="T91" s="139">
        <v>0.15</v>
      </c>
      <c r="U91" s="139"/>
      <c r="V91" s="139"/>
      <c r="W91" s="103"/>
      <c r="X91" s="103" t="s">
        <v>2143</v>
      </c>
    </row>
    <row r="92" spans="1:24">
      <c r="A92" s="557" t="s">
        <v>1169</v>
      </c>
      <c r="B92" s="216"/>
      <c r="C92" s="142">
        <f>SUM('Fin Sta as rep'!C153)</f>
        <v>0</v>
      </c>
      <c r="D92" s="142">
        <f>SUM('Fin Sta as rep'!D153)</f>
        <v>0</v>
      </c>
      <c r="E92" s="142">
        <f>SUM('Fin Sta as rep'!E153)</f>
        <v>0</v>
      </c>
      <c r="F92" s="173">
        <f>SUM('Fin Sta as rep'!F153)</f>
        <v>-5000</v>
      </c>
      <c r="G92" s="173">
        <f>SUM('Fin Sta as rep'!G153)</f>
        <v>-10000</v>
      </c>
      <c r="H92" s="573">
        <f>-R92*H7</f>
        <v>0</v>
      </c>
      <c r="I92" s="173">
        <f>-S92*I7</f>
        <v>0</v>
      </c>
      <c r="J92" s="173">
        <f>-T92*J7</f>
        <v>0</v>
      </c>
      <c r="K92" s="173">
        <f>-U92*K7</f>
        <v>0</v>
      </c>
      <c r="L92" s="173">
        <f>-V92*L7</f>
        <v>0</v>
      </c>
      <c r="M92" s="103"/>
      <c r="N92" s="120" t="s">
        <v>2144</v>
      </c>
      <c r="O92" s="187">
        <f>-E92/E7</f>
        <v>0</v>
      </c>
      <c r="P92" s="187">
        <f>-F92/F7</f>
        <v>2.034339653348523E-4</v>
      </c>
      <c r="Q92" s="187">
        <f>-G92/G7</f>
        <v>3.1709791983764585E-4</v>
      </c>
      <c r="R92" s="139">
        <v>0</v>
      </c>
      <c r="S92" s="139">
        <v>0</v>
      </c>
      <c r="T92" s="139">
        <v>0</v>
      </c>
      <c r="U92" s="139"/>
      <c r="V92" s="139"/>
      <c r="W92" s="103"/>
      <c r="X92" s="103"/>
    </row>
    <row r="93" spans="1:24">
      <c r="A93" s="121" t="s">
        <v>804</v>
      </c>
      <c r="B93" s="120"/>
      <c r="C93" s="173">
        <f>SUM('Fin Sta as rep'!C152)</f>
        <v>213523</v>
      </c>
      <c r="D93" s="173">
        <f>SUM('Fin Sta as rep'!D152)</f>
        <v>-115000</v>
      </c>
      <c r="E93" s="173">
        <f>SUM('Fin Sta as rep'!E152)</f>
        <v>-18000</v>
      </c>
      <c r="F93" s="173">
        <f>SUM('Fin Sta as rep'!F152)</f>
        <v>-45000</v>
      </c>
      <c r="G93" s="173">
        <f>SUM('Fin Sta as rep'!G152)</f>
        <v>-13000</v>
      </c>
      <c r="H93" s="570">
        <f t="shared" ref="H93:L94" si="28">R93</f>
        <v>-100000</v>
      </c>
      <c r="I93" s="159">
        <f t="shared" si="28"/>
        <v>-100000</v>
      </c>
      <c r="J93" s="159">
        <f t="shared" si="28"/>
        <v>-100000</v>
      </c>
      <c r="K93" s="159">
        <f t="shared" si="28"/>
        <v>0</v>
      </c>
      <c r="L93" s="159">
        <f t="shared" si="28"/>
        <v>0</v>
      </c>
      <c r="M93" s="103"/>
      <c r="N93" s="120" t="s">
        <v>804</v>
      </c>
      <c r="O93" s="103"/>
      <c r="P93" s="103"/>
      <c r="Q93" s="103"/>
      <c r="R93" s="147">
        <v>-100000</v>
      </c>
      <c r="S93" s="147">
        <v>-100000</v>
      </c>
      <c r="T93" s="147">
        <v>-100000</v>
      </c>
      <c r="U93" s="147">
        <v>0</v>
      </c>
      <c r="V93" s="147">
        <v>0</v>
      </c>
      <c r="W93" s="103"/>
      <c r="X93" s="103" t="s">
        <v>2145</v>
      </c>
    </row>
    <row r="94" spans="1:24">
      <c r="A94" s="121" t="s">
        <v>807</v>
      </c>
      <c r="B94" s="216"/>
      <c r="C94" s="173">
        <f>SUM('Fin Sta as rep'!C156:C157)</f>
        <v>16667</v>
      </c>
      <c r="D94" s="173">
        <f>SUM('Fin Sta as rep'!D156:D157)</f>
        <v>0</v>
      </c>
      <c r="E94" s="173">
        <f>SUM('Fin Sta as rep'!E156:E157)</f>
        <v>0</v>
      </c>
      <c r="F94" s="173">
        <f>SUM('Fin Sta as rep'!F156:F157)</f>
        <v>46000</v>
      </c>
      <c r="G94" s="173">
        <f>SUM('Fin Sta as rep'!G156:G157)</f>
        <v>123000</v>
      </c>
      <c r="H94" s="570">
        <f t="shared" si="28"/>
        <v>0</v>
      </c>
      <c r="I94" s="159">
        <f t="shared" si="28"/>
        <v>0</v>
      </c>
      <c r="J94" s="159">
        <f t="shared" si="28"/>
        <v>0</v>
      </c>
      <c r="K94" s="159">
        <f t="shared" si="28"/>
        <v>0</v>
      </c>
      <c r="L94" s="159">
        <f t="shared" si="28"/>
        <v>0</v>
      </c>
      <c r="M94" s="103"/>
      <c r="N94" s="120" t="s">
        <v>807</v>
      </c>
      <c r="O94" s="103"/>
      <c r="P94" s="103"/>
      <c r="Q94" s="103"/>
      <c r="R94" s="147">
        <v>0</v>
      </c>
      <c r="S94" s="147">
        <v>0</v>
      </c>
      <c r="T94" s="147">
        <v>0</v>
      </c>
      <c r="U94" s="147">
        <v>0</v>
      </c>
      <c r="V94" s="147">
        <v>0</v>
      </c>
      <c r="W94" s="103"/>
      <c r="X94" s="103"/>
    </row>
    <row r="95" spans="1:24">
      <c r="A95" s="373" t="s">
        <v>1684</v>
      </c>
      <c r="B95" s="153"/>
      <c r="C95" s="175">
        <f t="shared" ref="C95:L95" si="29">SUM(C91:C94)</f>
        <v>-1210281</v>
      </c>
      <c r="D95" s="175">
        <f t="shared" si="29"/>
        <v>-4196540</v>
      </c>
      <c r="E95" s="175">
        <f t="shared" si="29"/>
        <v>-2337000</v>
      </c>
      <c r="F95" s="175">
        <f t="shared" si="29"/>
        <v>-1436000</v>
      </c>
      <c r="G95" s="175">
        <f t="shared" si="29"/>
        <v>-3132000</v>
      </c>
      <c r="H95" s="175">
        <f t="shared" si="29"/>
        <v>-8173450</v>
      </c>
      <c r="I95" s="176">
        <f t="shared" si="29"/>
        <v>-12319300.000000004</v>
      </c>
      <c r="J95" s="176">
        <f t="shared" si="29"/>
        <v>-14559154.128049994</v>
      </c>
      <c r="K95" s="176">
        <f t="shared" si="29"/>
        <v>0</v>
      </c>
      <c r="L95" s="176">
        <f t="shared" si="29"/>
        <v>0</v>
      </c>
      <c r="M95" s="103"/>
      <c r="N95" s="178"/>
      <c r="O95" s="103"/>
      <c r="P95" s="103"/>
      <c r="Q95" s="103"/>
      <c r="R95" s="103"/>
      <c r="S95" s="103"/>
      <c r="T95" s="103"/>
      <c r="U95" s="103"/>
      <c r="V95" s="103"/>
      <c r="W95" s="103"/>
      <c r="X95" s="103"/>
    </row>
    <row r="96" spans="1:24" ht="14.5">
      <c r="A96" s="371" t="s">
        <v>1581</v>
      </c>
      <c r="B96" s="156"/>
      <c r="C96" s="157"/>
      <c r="D96" s="157"/>
      <c r="E96" s="157"/>
      <c r="F96" s="158"/>
      <c r="G96" s="158"/>
      <c r="H96" s="570"/>
      <c r="I96" s="159"/>
      <c r="J96" s="159"/>
      <c r="K96" s="159"/>
      <c r="L96" s="159"/>
      <c r="M96" s="103"/>
      <c r="N96" s="103"/>
      <c r="O96" s="103"/>
      <c r="P96" s="103"/>
      <c r="Q96" s="103"/>
      <c r="R96" s="103"/>
      <c r="S96" s="103"/>
      <c r="T96" s="103"/>
      <c r="U96" s="103"/>
      <c r="V96" s="103"/>
      <c r="W96" s="103"/>
      <c r="X96" s="103"/>
    </row>
    <row r="97" spans="1:24" ht="14.5">
      <c r="A97" s="121" t="s">
        <v>816</v>
      </c>
      <c r="B97" s="120"/>
      <c r="C97" s="173">
        <f>SUM('Fin Sta as rep'!C162:C169,'Fin Sta as rep'!C177)</f>
        <v>1718190</v>
      </c>
      <c r="D97" s="173">
        <f>SUM('Fin Sta as rep'!D162:D169,'Fin Sta as rep'!D177)</f>
        <v>3385588</v>
      </c>
      <c r="E97" s="173">
        <f>SUM('Fin Sta as rep'!E162:E169,'Fin Sta as rep'!E177)</f>
        <v>74000</v>
      </c>
      <c r="F97" s="173">
        <f>SUM('Fin Sta as rep'!F162:F169,'Fin Sta as rep'!F177)</f>
        <v>761000</v>
      </c>
      <c r="G97" s="173">
        <f>SUM('Fin Sta as rep'!G162:G169,'Fin Sta as rep'!G177)</f>
        <v>-2494000</v>
      </c>
      <c r="H97" s="570">
        <f>H58-G58+H62-G62</f>
        <v>-2731258.8438308891</v>
      </c>
      <c r="I97" s="159">
        <f>I58-H58+I62-H62</f>
        <v>-740929.249352891</v>
      </c>
      <c r="J97" s="159">
        <f>J58-I58+J62-I62</f>
        <v>-415705.1692445809</v>
      </c>
      <c r="K97" s="159">
        <f>K58-J58+K62-J62</f>
        <v>165098.97038816102</v>
      </c>
      <c r="L97" s="159">
        <f>L58-K58+L62-K62</f>
        <v>-3678205.707959801</v>
      </c>
      <c r="M97" s="103"/>
      <c r="N97" s="171" t="s">
        <v>2146</v>
      </c>
      <c r="O97" s="103"/>
      <c r="P97" s="103"/>
      <c r="Q97" s="103"/>
      <c r="R97" s="103"/>
      <c r="S97" s="103"/>
      <c r="T97" s="103"/>
      <c r="U97" s="103"/>
      <c r="V97" s="103"/>
      <c r="W97" s="103"/>
      <c r="X97" s="103"/>
    </row>
    <row r="98" spans="1:24" ht="14.5">
      <c r="A98" s="377" t="s">
        <v>825</v>
      </c>
      <c r="B98" s="188"/>
      <c r="C98" s="173">
        <f>SUM('Fin Sta as rep'!C170:C176,'Fin Sta as rep'!C181)</f>
        <v>2025786</v>
      </c>
      <c r="D98" s="173">
        <f>SUM('Fin Sta as rep'!D170:D176,'Fin Sta as rep'!D181)</f>
        <v>1124040</v>
      </c>
      <c r="E98" s="173">
        <f>SUM('Fin Sta as rep'!E170:E176,'Fin Sta as rep'!E181)</f>
        <v>506000</v>
      </c>
      <c r="F98" s="173">
        <f>SUM('Fin Sta as rep'!F170:F176,'Fin Sta as rep'!F181)</f>
        <v>1079000</v>
      </c>
      <c r="G98" s="173">
        <f>SUM('Fin Sta as rep'!G170:G176,'Fin Sta as rep'!G181)</f>
        <v>12502000</v>
      </c>
      <c r="H98" s="570">
        <f>R98</f>
        <v>-2000000</v>
      </c>
      <c r="I98" s="159">
        <f>S98</f>
        <v>-2300000</v>
      </c>
      <c r="J98" s="159">
        <f>T98</f>
        <v>-2500000</v>
      </c>
      <c r="K98" s="159">
        <f>U98</f>
        <v>0</v>
      </c>
      <c r="L98" s="159">
        <f>V98</f>
        <v>0</v>
      </c>
      <c r="M98" s="103"/>
      <c r="N98" s="188" t="s">
        <v>825</v>
      </c>
      <c r="O98" s="103"/>
      <c r="P98" s="103"/>
      <c r="Q98" s="103"/>
      <c r="R98" s="147">
        <v>-2000000</v>
      </c>
      <c r="S98" s="147">
        <v>-2300000</v>
      </c>
      <c r="T98" s="147">
        <v>-2500000</v>
      </c>
      <c r="U98" s="147">
        <v>0</v>
      </c>
      <c r="V98" s="147">
        <v>0</v>
      </c>
      <c r="W98" s="103"/>
      <c r="X98" s="156" t="s">
        <v>2147</v>
      </c>
    </row>
    <row r="99" spans="1:24">
      <c r="A99" s="377" t="s">
        <v>834</v>
      </c>
      <c r="B99" s="188"/>
      <c r="C99" s="173">
        <f>SUM('Fin Sta as rep'!C178:C179)</f>
        <v>0</v>
      </c>
      <c r="D99" s="173">
        <f>SUM('Fin Sta as rep'!D178:D179)</f>
        <v>-177502</v>
      </c>
      <c r="E99" s="173">
        <f>SUM('Fin Sta as rep'!E178:E179)</f>
        <v>0</v>
      </c>
      <c r="F99" s="173">
        <f>SUM('Fin Sta as rep'!F178:F179)</f>
        <v>174000</v>
      </c>
      <c r="G99" s="142">
        <f>SUM('Fin Sta as rep'!G178:G179)</f>
        <v>0</v>
      </c>
      <c r="H99" s="570">
        <f t="shared" ref="H99:J100" si="30">R99</f>
        <v>0</v>
      </c>
      <c r="I99" s="159">
        <f t="shared" si="30"/>
        <v>0</v>
      </c>
      <c r="J99" s="159">
        <f t="shared" si="30"/>
        <v>0</v>
      </c>
      <c r="K99" s="159"/>
      <c r="L99" s="159"/>
      <c r="M99" s="103"/>
      <c r="N99" s="188" t="s">
        <v>1645</v>
      </c>
      <c r="O99" s="103"/>
      <c r="P99" s="103"/>
      <c r="Q99" s="103"/>
      <c r="R99" s="147">
        <f>(G69-E69)/2</f>
        <v>0</v>
      </c>
      <c r="S99" s="147">
        <f>R99</f>
        <v>0</v>
      </c>
      <c r="T99" s="147">
        <f>S99</f>
        <v>0</v>
      </c>
      <c r="U99" s="147"/>
      <c r="V99" s="147"/>
      <c r="W99" s="103"/>
      <c r="X99" s="103"/>
    </row>
    <row r="100" spans="1:24">
      <c r="A100" s="121" t="s">
        <v>837</v>
      </c>
      <c r="B100" s="120"/>
      <c r="C100" s="173">
        <f>SUM('Fin Sta as rep'!C180,'Fin Sta as rep'!C182:C183)</f>
        <v>0</v>
      </c>
      <c r="D100" s="173">
        <f>SUM('Fin Sta as rep'!D180,'Fin Sta as rep'!D182:D183)</f>
        <v>82738</v>
      </c>
      <c r="E100" s="173">
        <f>SUM('Fin Sta as rep'!E180,'Fin Sta as rep'!E182:E183)</f>
        <v>-6000</v>
      </c>
      <c r="F100" s="173">
        <f>SUM('Fin Sta as rep'!F180,'Fin Sta as rep'!F182:F183)</f>
        <v>-485000</v>
      </c>
      <c r="G100" s="173">
        <f>SUM('Fin Sta as rep'!G180,'Fin Sta as rep'!G182:G183)</f>
        <v>-35000</v>
      </c>
      <c r="H100" s="570">
        <f t="shared" si="30"/>
        <v>-400000</v>
      </c>
      <c r="I100" s="159">
        <f t="shared" si="30"/>
        <v>-750000</v>
      </c>
      <c r="J100" s="159">
        <f t="shared" si="30"/>
        <v>-850000</v>
      </c>
      <c r="K100" s="159">
        <f>U100</f>
        <v>0</v>
      </c>
      <c r="L100" s="159">
        <f>V100</f>
        <v>0</v>
      </c>
      <c r="M100" s="103"/>
      <c r="N100" s="120" t="s">
        <v>807</v>
      </c>
      <c r="O100" s="103"/>
      <c r="P100" s="103"/>
      <c r="Q100" s="103"/>
      <c r="R100" s="147">
        <v>-400000</v>
      </c>
      <c r="S100" s="147">
        <v>-750000</v>
      </c>
      <c r="T100" s="147">
        <v>-850000</v>
      </c>
      <c r="U100" s="147">
        <v>0</v>
      </c>
      <c r="V100" s="147">
        <v>0</v>
      </c>
      <c r="W100" s="103"/>
      <c r="X100" s="103" t="s">
        <v>1818</v>
      </c>
    </row>
    <row r="101" spans="1:24">
      <c r="A101" s="373" t="s">
        <v>1623</v>
      </c>
      <c r="B101" s="153"/>
      <c r="C101" s="174">
        <f t="shared" ref="C101:L101" si="31">SUM(C97:C100)</f>
        <v>3743976</v>
      </c>
      <c r="D101" s="174">
        <f t="shared" si="31"/>
        <v>4414864</v>
      </c>
      <c r="E101" s="175">
        <f t="shared" si="31"/>
        <v>574000</v>
      </c>
      <c r="F101" s="175">
        <f t="shared" si="31"/>
        <v>1529000</v>
      </c>
      <c r="G101" s="175">
        <f t="shared" si="31"/>
        <v>9973000</v>
      </c>
      <c r="H101" s="175">
        <f t="shared" si="31"/>
        <v>-5131258.8438308891</v>
      </c>
      <c r="I101" s="176">
        <f t="shared" si="31"/>
        <v>-3790929.249352891</v>
      </c>
      <c r="J101" s="176">
        <f t="shared" si="31"/>
        <v>-3765705.1692445809</v>
      </c>
      <c r="K101" s="176">
        <f t="shared" si="31"/>
        <v>165098.97038816102</v>
      </c>
      <c r="L101" s="176">
        <f t="shared" si="31"/>
        <v>-3678205.707959801</v>
      </c>
      <c r="M101" s="103"/>
      <c r="N101" s="178"/>
      <c r="O101" s="103"/>
      <c r="P101" s="103"/>
      <c r="Q101" s="103"/>
      <c r="R101" s="103"/>
      <c r="S101" s="103"/>
      <c r="T101" s="103"/>
      <c r="U101" s="103"/>
      <c r="V101" s="103"/>
      <c r="W101" s="103"/>
      <c r="X101" s="103"/>
    </row>
    <row r="102" spans="1:24">
      <c r="A102" s="121" t="s">
        <v>1624</v>
      </c>
      <c r="B102" s="120"/>
      <c r="C102" s="173">
        <f>SUM('Fin Sta as rep'!C187)</f>
        <v>-7409</v>
      </c>
      <c r="D102" s="173">
        <f>SUM('Fin Sta as rep'!D187)</f>
        <v>39455</v>
      </c>
      <c r="E102" s="173">
        <f>SUM('Fin Sta as rep'!E187)</f>
        <v>-22700</v>
      </c>
      <c r="F102" s="173">
        <f>SUM('Fin Sta as rep'!F187)</f>
        <v>8000</v>
      </c>
      <c r="G102" s="173">
        <f>SUM('Fin Sta as rep'!G187)</f>
        <v>334000</v>
      </c>
      <c r="H102" s="570">
        <v>0</v>
      </c>
      <c r="I102" s="225">
        <v>0</v>
      </c>
      <c r="J102" s="225">
        <v>0</v>
      </c>
      <c r="K102" s="159">
        <f>U102</f>
        <v>0</v>
      </c>
      <c r="L102" s="159">
        <f>V102</f>
        <v>0</v>
      </c>
      <c r="M102" s="103"/>
      <c r="N102" s="120" t="s">
        <v>1624</v>
      </c>
      <c r="O102" s="103"/>
      <c r="P102" s="103"/>
      <c r="Q102" s="103"/>
      <c r="R102" s="147">
        <v>0</v>
      </c>
      <c r="S102" s="147">
        <v>0</v>
      </c>
      <c r="T102" s="147">
        <v>0</v>
      </c>
      <c r="U102" s="147">
        <v>0</v>
      </c>
      <c r="V102" s="147">
        <v>0</v>
      </c>
      <c r="W102" s="103"/>
      <c r="X102" s="103"/>
    </row>
    <row r="103" spans="1:24">
      <c r="A103" s="373" t="s">
        <v>1625</v>
      </c>
      <c r="B103" s="153"/>
      <c r="C103" s="174">
        <f t="shared" ref="C103:L103" si="32">C89+C95+C101+C102</f>
        <v>2402457</v>
      </c>
      <c r="D103" s="174">
        <f t="shared" si="32"/>
        <v>197125</v>
      </c>
      <c r="E103" s="176">
        <f t="shared" si="32"/>
        <v>312102</v>
      </c>
      <c r="F103" s="176">
        <f t="shared" si="32"/>
        <v>2506000</v>
      </c>
      <c r="G103" s="176">
        <f t="shared" si="32"/>
        <v>13118000</v>
      </c>
      <c r="H103" s="175">
        <f t="shared" si="32"/>
        <v>-1141936.3565434162</v>
      </c>
      <c r="I103" s="176">
        <f t="shared" si="32"/>
        <v>-1630733.3458674774</v>
      </c>
      <c r="J103" s="176">
        <f t="shared" si="32"/>
        <v>-5990099.1263731765</v>
      </c>
      <c r="K103" s="176">
        <f t="shared" si="32"/>
        <v>8203500.7403108543</v>
      </c>
      <c r="L103" s="176">
        <f t="shared" si="32"/>
        <v>103919060.29235287</v>
      </c>
      <c r="M103" s="103"/>
      <c r="N103" s="178"/>
      <c r="O103" s="103"/>
      <c r="P103" s="103"/>
      <c r="Q103" s="103"/>
      <c r="R103" s="103"/>
      <c r="S103" s="103"/>
      <c r="T103" s="103"/>
      <c r="U103" s="103"/>
      <c r="V103" s="103"/>
      <c r="W103" s="103"/>
      <c r="X103" s="103"/>
    </row>
    <row r="104" spans="1:24" ht="14.5">
      <c r="A104" s="371" t="s">
        <v>1581</v>
      </c>
      <c r="B104" s="156"/>
      <c r="C104" s="157"/>
      <c r="D104" s="157"/>
      <c r="E104" s="164"/>
      <c r="F104" s="180"/>
      <c r="G104" s="180"/>
      <c r="H104" s="570"/>
      <c r="I104" s="159"/>
      <c r="J104" s="159"/>
      <c r="K104" s="159"/>
      <c r="L104" s="159"/>
      <c r="M104" s="103"/>
      <c r="N104" s="103"/>
      <c r="O104" s="103"/>
      <c r="P104" s="103"/>
      <c r="Q104" s="103"/>
      <c r="R104" s="103"/>
      <c r="S104" s="103"/>
      <c r="T104" s="103"/>
      <c r="U104" s="103"/>
      <c r="V104" s="103"/>
      <c r="W104" s="103"/>
      <c r="X104" s="103"/>
    </row>
    <row r="105" spans="1:24">
      <c r="A105" s="121" t="s">
        <v>1626</v>
      </c>
      <c r="B105" s="120"/>
      <c r="C105" s="157">
        <f>B42</f>
        <v>1196908</v>
      </c>
      <c r="D105" s="157">
        <f t="shared" ref="D105:L105" si="33">C106</f>
        <v>3599365</v>
      </c>
      <c r="E105" s="159">
        <f t="shared" si="33"/>
        <v>3796490</v>
      </c>
      <c r="F105" s="159">
        <f t="shared" si="33"/>
        <v>4108592</v>
      </c>
      <c r="G105" s="159">
        <f t="shared" si="33"/>
        <v>6614592</v>
      </c>
      <c r="H105" s="570">
        <f t="shared" si="33"/>
        <v>19732592</v>
      </c>
      <c r="I105" s="159">
        <f t="shared" si="33"/>
        <v>18590655.643456586</v>
      </c>
      <c r="J105" s="159">
        <f t="shared" si="33"/>
        <v>16959922.297589108</v>
      </c>
      <c r="K105" s="159">
        <f t="shared" si="33"/>
        <v>10969823.171215933</v>
      </c>
      <c r="L105" s="159">
        <f t="shared" si="33"/>
        <v>19173323.911526788</v>
      </c>
      <c r="M105" s="103"/>
      <c r="N105" s="178"/>
      <c r="O105" s="103"/>
      <c r="P105" s="103"/>
      <c r="Q105" s="103"/>
      <c r="R105" s="103"/>
      <c r="S105" s="103"/>
      <c r="T105" s="103"/>
      <c r="U105" s="103"/>
      <c r="V105" s="103"/>
      <c r="W105" s="103"/>
      <c r="X105" s="103"/>
    </row>
    <row r="106" spans="1:24">
      <c r="A106" s="121" t="s">
        <v>1627</v>
      </c>
      <c r="B106" s="120"/>
      <c r="C106" s="157">
        <f t="shared" ref="C106:L106" si="34">SUM(C105,C103)</f>
        <v>3599365</v>
      </c>
      <c r="D106" s="157">
        <f t="shared" si="34"/>
        <v>3796490</v>
      </c>
      <c r="E106" s="137">
        <f t="shared" si="34"/>
        <v>4108592</v>
      </c>
      <c r="F106" s="159">
        <f t="shared" si="34"/>
        <v>6614592</v>
      </c>
      <c r="G106" s="159">
        <f t="shared" si="34"/>
        <v>19732592</v>
      </c>
      <c r="H106" s="570">
        <f t="shared" si="34"/>
        <v>18590655.643456586</v>
      </c>
      <c r="I106" s="159">
        <f t="shared" si="34"/>
        <v>16959922.297589108</v>
      </c>
      <c r="J106" s="159">
        <f t="shared" si="34"/>
        <v>10969823.171215933</v>
      </c>
      <c r="K106" s="159">
        <f t="shared" si="34"/>
        <v>19173323.911526788</v>
      </c>
      <c r="L106" s="159">
        <f t="shared" si="34"/>
        <v>123092384.20387965</v>
      </c>
      <c r="M106" s="103"/>
      <c r="N106" s="178"/>
      <c r="O106" s="103"/>
      <c r="P106" s="103"/>
      <c r="Q106" s="103"/>
      <c r="R106" s="103"/>
      <c r="S106" s="103"/>
      <c r="T106" s="103"/>
      <c r="U106" s="103"/>
      <c r="V106" s="103"/>
      <c r="W106" s="103"/>
      <c r="X106" s="103"/>
    </row>
    <row r="107" spans="1:24" ht="14.5">
      <c r="A107" s="371" t="s">
        <v>1581</v>
      </c>
      <c r="B107" s="156"/>
      <c r="C107" s="157"/>
      <c r="D107" s="157"/>
      <c r="E107" s="164"/>
      <c r="F107" s="180"/>
      <c r="G107" s="180"/>
      <c r="H107" s="570"/>
      <c r="I107" s="159"/>
      <c r="J107" s="159"/>
      <c r="K107" s="159"/>
      <c r="L107" s="159"/>
      <c r="M107" s="103"/>
      <c r="N107" s="103"/>
      <c r="O107" s="103"/>
      <c r="P107" s="103"/>
      <c r="Q107" s="103"/>
      <c r="R107" s="103"/>
      <c r="S107" s="103"/>
      <c r="T107" s="103"/>
      <c r="U107" s="103"/>
      <c r="V107" s="103"/>
      <c r="W107" s="103"/>
      <c r="X107" s="103"/>
    </row>
    <row r="108" spans="1:24" ht="20">
      <c r="A108" s="368" t="s">
        <v>1819</v>
      </c>
      <c r="B108" s="123"/>
      <c r="C108" s="189"/>
      <c r="D108" s="189"/>
      <c r="E108" s="190"/>
      <c r="F108" s="190"/>
      <c r="G108" s="190"/>
      <c r="H108" s="572"/>
      <c r="I108" s="128"/>
      <c r="J108" s="128"/>
      <c r="K108" s="128"/>
      <c r="L108" s="128"/>
      <c r="M108" s="191"/>
      <c r="N108" s="191"/>
      <c r="O108" s="191"/>
      <c r="P108" s="191"/>
      <c r="Q108" s="191"/>
      <c r="R108" s="191"/>
      <c r="S108" s="191"/>
      <c r="T108" s="191"/>
      <c r="U108" s="191"/>
      <c r="V108" s="191"/>
      <c r="W108" s="191"/>
      <c r="X108" s="191"/>
    </row>
    <row r="109" spans="1:24" ht="14.5">
      <c r="A109" s="378" t="s">
        <v>1581</v>
      </c>
      <c r="B109" s="911"/>
      <c r="C109" s="193"/>
      <c r="D109" s="193"/>
      <c r="E109" s="194"/>
      <c r="F109" s="194"/>
      <c r="G109" s="194"/>
      <c r="H109" s="214"/>
      <c r="I109" s="137"/>
      <c r="J109" s="137"/>
      <c r="K109" s="137"/>
      <c r="L109" s="137"/>
      <c r="M109" s="195"/>
      <c r="N109" s="195"/>
      <c r="O109" s="195"/>
      <c r="P109" s="195"/>
      <c r="Q109" s="195"/>
      <c r="R109" s="195"/>
      <c r="S109" s="195"/>
      <c r="T109" s="195"/>
      <c r="U109" s="195"/>
      <c r="V109" s="195"/>
      <c r="W109" s="195"/>
      <c r="X109" s="195"/>
    </row>
    <row r="110" spans="1:24">
      <c r="A110" s="373" t="s">
        <v>508</v>
      </c>
      <c r="B110" s="153"/>
      <c r="C110" s="638">
        <f t="shared" ref="C110:J110" si="35">IFERROR(C7/C7,"")</f>
        <v>1</v>
      </c>
      <c r="D110" s="638">
        <f t="shared" si="35"/>
        <v>1</v>
      </c>
      <c r="E110" s="639">
        <f t="shared" si="35"/>
        <v>1</v>
      </c>
      <c r="F110" s="639">
        <f t="shared" si="35"/>
        <v>1</v>
      </c>
      <c r="G110" s="639">
        <f t="shared" si="35"/>
        <v>1</v>
      </c>
      <c r="H110" s="640">
        <f t="shared" si="35"/>
        <v>1</v>
      </c>
      <c r="I110" s="639">
        <f t="shared" si="35"/>
        <v>1</v>
      </c>
      <c r="J110" s="639">
        <f t="shared" si="35"/>
        <v>1</v>
      </c>
      <c r="K110" s="639"/>
      <c r="L110" s="639"/>
      <c r="M110" s="195"/>
      <c r="N110" s="195"/>
      <c r="O110" s="195"/>
      <c r="P110" s="195"/>
      <c r="Q110" s="195"/>
      <c r="R110" s="195"/>
      <c r="S110" s="195"/>
      <c r="T110" s="195"/>
      <c r="U110" s="195"/>
      <c r="V110" s="195"/>
      <c r="W110" s="195"/>
      <c r="X110" s="195"/>
    </row>
    <row r="111" spans="1:24">
      <c r="A111" s="373" t="s">
        <v>1632</v>
      </c>
      <c r="B111" s="153"/>
      <c r="C111" s="198">
        <f t="shared" ref="C111:J111" si="36">IFERROR(C14/C7,"")</f>
        <v>0.77153892449696282</v>
      </c>
      <c r="D111" s="198">
        <f t="shared" si="36"/>
        <v>0.8109428269416058</v>
      </c>
      <c r="E111" s="199">
        <f t="shared" si="36"/>
        <v>0.80924816409453515</v>
      </c>
      <c r="F111" s="199">
        <f t="shared" si="36"/>
        <v>0.83444543901049717</v>
      </c>
      <c r="G111" s="199">
        <f t="shared" si="36"/>
        <v>0.7897640791476408</v>
      </c>
      <c r="H111" s="575">
        <f t="shared" si="36"/>
        <v>0.74719532541850142</v>
      </c>
      <c r="I111" s="199">
        <f t="shared" si="36"/>
        <v>0.74338280973883852</v>
      </c>
      <c r="J111" s="199">
        <f t="shared" si="36"/>
        <v>0.82914355018327224</v>
      </c>
      <c r="K111" s="199"/>
      <c r="L111" s="199"/>
      <c r="M111" s="195"/>
      <c r="N111" s="195"/>
      <c r="O111" s="195"/>
      <c r="P111" s="195"/>
      <c r="Q111" s="195"/>
      <c r="R111" s="195"/>
      <c r="S111" s="195"/>
      <c r="T111" s="195"/>
      <c r="U111" s="195"/>
      <c r="V111" s="195"/>
      <c r="W111" s="195"/>
      <c r="X111" s="195"/>
    </row>
    <row r="112" spans="1:24">
      <c r="A112" s="373" t="s">
        <v>1820</v>
      </c>
      <c r="B112" s="153"/>
      <c r="C112" s="198">
        <f t="shared" ref="C112:J112" si="37">IFERROR(C21/C7,"")</f>
        <v>0.22846107550303715</v>
      </c>
      <c r="D112" s="198">
        <f t="shared" si="37"/>
        <v>0.18905717305839423</v>
      </c>
      <c r="E112" s="199">
        <f t="shared" si="37"/>
        <v>0.19075183590546485</v>
      </c>
      <c r="F112" s="199">
        <f t="shared" si="37"/>
        <v>0.1655545609895028</v>
      </c>
      <c r="G112" s="199">
        <f t="shared" si="37"/>
        <v>0.2102359208523592</v>
      </c>
      <c r="H112" s="575">
        <f t="shared" si="37"/>
        <v>0.25280467458149863</v>
      </c>
      <c r="I112" s="199">
        <f t="shared" si="37"/>
        <v>0.25661719026116148</v>
      </c>
      <c r="J112" s="199">
        <f t="shared" si="37"/>
        <v>0.17085644981672773</v>
      </c>
      <c r="K112" s="199"/>
      <c r="L112" s="199"/>
      <c r="M112" s="195"/>
      <c r="N112" s="195"/>
      <c r="O112" s="195"/>
      <c r="P112" s="195"/>
      <c r="Q112" s="195"/>
      <c r="R112" s="195"/>
      <c r="S112" s="195"/>
      <c r="T112" s="195"/>
      <c r="U112" s="195"/>
      <c r="V112" s="195"/>
      <c r="W112" s="195"/>
      <c r="X112" s="195"/>
    </row>
    <row r="113" spans="1:24">
      <c r="A113" s="373" t="s">
        <v>1821</v>
      </c>
      <c r="B113" s="153"/>
      <c r="C113" s="198">
        <f t="shared" ref="C113:J113" si="38">IFERROR(C23/C7,"")</f>
        <v>0.3237936043750051</v>
      </c>
      <c r="D113" s="198">
        <f t="shared" si="38"/>
        <v>0.32784931980974913</v>
      </c>
      <c r="E113" s="199">
        <f t="shared" si="38"/>
        <v>0.20883471259226125</v>
      </c>
      <c r="F113" s="199">
        <f t="shared" si="38"/>
        <v>0.16836194971112378</v>
      </c>
      <c r="G113" s="199">
        <f t="shared" si="38"/>
        <v>0.14700659563673263</v>
      </c>
      <c r="H113" s="575">
        <f t="shared" si="38"/>
        <v>0.13209965999665571</v>
      </c>
      <c r="I113" s="199">
        <f t="shared" si="38"/>
        <v>8.6187424811568547E-2</v>
      </c>
      <c r="J113" s="199">
        <f t="shared" si="38"/>
        <v>7.9249392890233583E-2</v>
      </c>
      <c r="K113" s="199"/>
      <c r="L113" s="199"/>
      <c r="M113" s="195"/>
      <c r="N113" s="195"/>
      <c r="O113" s="195"/>
      <c r="P113" s="195"/>
      <c r="Q113" s="195"/>
      <c r="R113" s="195"/>
      <c r="S113" s="195"/>
      <c r="T113" s="195"/>
      <c r="U113" s="195"/>
      <c r="V113" s="195"/>
      <c r="W113" s="195"/>
      <c r="X113" s="195"/>
    </row>
    <row r="114" spans="1:24">
      <c r="A114" s="373" t="s">
        <v>1822</v>
      </c>
      <c r="B114" s="153"/>
      <c r="C114" s="198">
        <f t="shared" ref="C114:J114" si="39">IFERROR(C29/C7,"")</f>
        <v>-9.5332528871967928E-2</v>
      </c>
      <c r="D114" s="198">
        <f t="shared" si="39"/>
        <v>-0.1387921467513549</v>
      </c>
      <c r="E114" s="199">
        <f t="shared" si="39"/>
        <v>-1.8082876686796392E-2</v>
      </c>
      <c r="F114" s="199">
        <f t="shared" si="39"/>
        <v>-2.8073887216209618E-3</v>
      </c>
      <c r="G114" s="199">
        <f t="shared" si="39"/>
        <v>6.3229325215626589E-2</v>
      </c>
      <c r="H114" s="575">
        <f t="shared" si="39"/>
        <v>0.12070501458484291</v>
      </c>
      <c r="I114" s="199">
        <f t="shared" si="39"/>
        <v>0.1704297654495929</v>
      </c>
      <c r="J114" s="199">
        <f t="shared" si="39"/>
        <v>9.1607056926494138E-2</v>
      </c>
      <c r="K114" s="199"/>
      <c r="L114" s="199"/>
      <c r="M114" s="195"/>
      <c r="N114" s="195"/>
      <c r="O114" s="195"/>
      <c r="P114" s="195"/>
      <c r="Q114" s="195"/>
      <c r="R114" s="195"/>
      <c r="S114" s="195"/>
      <c r="T114" s="195"/>
      <c r="U114" s="195"/>
      <c r="V114" s="195"/>
      <c r="W114" s="195"/>
      <c r="X114" s="195"/>
    </row>
    <row r="115" spans="1:24">
      <c r="A115" s="121" t="s">
        <v>1823</v>
      </c>
      <c r="B115" s="120"/>
      <c r="C115" s="167">
        <f t="shared" ref="C115:J115" si="40">IFERROR(C35/C34,"")</f>
        <v>-3.5771516772336767E-2</v>
      </c>
      <c r="D115" s="167">
        <f t="shared" si="40"/>
        <v>-1.4280463116876533E-2</v>
      </c>
      <c r="E115" s="200">
        <f t="shared" si="40"/>
        <v>-5.7563859486735439E-2</v>
      </c>
      <c r="F115" s="200">
        <f t="shared" si="40"/>
        <v>-0.16541353383458646</v>
      </c>
      <c r="G115" s="200">
        <f t="shared" si="40"/>
        <v>0.2530329289428076</v>
      </c>
      <c r="H115" s="576">
        <f t="shared" si="40"/>
        <v>0.11020532876661791</v>
      </c>
      <c r="I115" s="200">
        <f t="shared" si="40"/>
        <v>8.2210440910380864E-2</v>
      </c>
      <c r="J115" s="200">
        <f t="shared" si="40"/>
        <v>0.11139941799333761</v>
      </c>
      <c r="K115" s="200"/>
      <c r="L115" s="200"/>
      <c r="M115" s="195"/>
      <c r="N115" s="195"/>
      <c r="O115" s="195"/>
      <c r="P115" s="195"/>
      <c r="Q115" s="195"/>
      <c r="R115" s="195"/>
      <c r="S115" s="195"/>
      <c r="T115" s="195"/>
      <c r="U115" s="195"/>
      <c r="V115" s="195"/>
      <c r="W115" s="195"/>
      <c r="X115" s="195"/>
    </row>
    <row r="116" spans="1:24">
      <c r="A116" s="373" t="s">
        <v>1824</v>
      </c>
      <c r="B116" s="153"/>
      <c r="C116" s="201">
        <f t="shared" ref="C116:J116" si="41">C39/C7</f>
        <v>-9.6414508932621101E-2</v>
      </c>
      <c r="D116" s="201">
        <f t="shared" si="41"/>
        <v>-0.16679691918079531</v>
      </c>
      <c r="E116" s="151">
        <f t="shared" si="41"/>
        <v>-4.5482507641840003E-2</v>
      </c>
      <c r="F116" s="151">
        <f t="shared" si="41"/>
        <v>-3.5072015623728539E-2</v>
      </c>
      <c r="G116" s="202">
        <f t="shared" si="41"/>
        <v>2.2862760020294266E-2</v>
      </c>
      <c r="H116" s="568">
        <f t="shared" si="41"/>
        <v>0.10253434405365736</v>
      </c>
      <c r="I116" s="151">
        <f t="shared" si="41"/>
        <v>0.15475363424731456</v>
      </c>
      <c r="J116" s="151">
        <f t="shared" si="41"/>
        <v>8.0633735591813194E-2</v>
      </c>
      <c r="K116" s="151"/>
      <c r="L116" s="151"/>
      <c r="M116" s="195"/>
      <c r="N116" s="195"/>
      <c r="O116" s="195"/>
      <c r="P116" s="195"/>
      <c r="Q116" s="195"/>
      <c r="R116" s="195"/>
      <c r="S116" s="195"/>
      <c r="T116" s="195"/>
      <c r="U116" s="195"/>
      <c r="V116" s="195"/>
      <c r="W116" s="195"/>
      <c r="X116" s="195"/>
    </row>
    <row r="117" spans="1:24" ht="20">
      <c r="A117" s="368" t="s">
        <v>1825</v>
      </c>
      <c r="B117" s="123"/>
      <c r="C117" s="203"/>
      <c r="D117" s="203"/>
      <c r="E117" s="128"/>
      <c r="F117" s="128"/>
      <c r="G117" s="128"/>
      <c r="H117" s="572"/>
      <c r="I117" s="128"/>
      <c r="J117" s="128"/>
      <c r="K117" s="128"/>
      <c r="L117" s="128"/>
      <c r="M117" s="191"/>
      <c r="N117" s="191"/>
      <c r="O117" s="191"/>
      <c r="P117" s="191"/>
      <c r="Q117" s="191"/>
      <c r="R117" s="191"/>
      <c r="S117" s="191"/>
      <c r="T117" s="191"/>
      <c r="U117" s="191"/>
      <c r="V117" s="191"/>
      <c r="W117" s="191"/>
      <c r="X117" s="191"/>
    </row>
    <row r="118" spans="1:24">
      <c r="A118" s="373" t="s">
        <v>508</v>
      </c>
      <c r="B118" s="153"/>
      <c r="C118" s="198"/>
      <c r="D118" s="198"/>
      <c r="E118" s="199">
        <f t="shared" ref="E118:J118" si="42">IFERROR(E7/D7-1,"")</f>
        <v>0.82502055835383503</v>
      </c>
      <c r="F118" s="199">
        <f t="shared" si="42"/>
        <v>0.14525087601580555</v>
      </c>
      <c r="G118" s="202">
        <f t="shared" si="42"/>
        <v>0.28309870615998056</v>
      </c>
      <c r="H118" s="575">
        <f t="shared" si="42"/>
        <v>0.70671613394216126</v>
      </c>
      <c r="I118" s="199">
        <f t="shared" si="42"/>
        <v>0.51351652639206335</v>
      </c>
      <c r="J118" s="199">
        <f t="shared" si="42"/>
        <v>0.18330461876293969</v>
      </c>
      <c r="K118" s="199"/>
      <c r="L118" s="199"/>
      <c r="M118" s="195"/>
      <c r="N118" s="195"/>
      <c r="O118" s="195"/>
      <c r="P118" s="195"/>
      <c r="Q118" s="195"/>
      <c r="R118" s="195"/>
      <c r="S118" s="195"/>
      <c r="T118" s="195"/>
      <c r="U118" s="195"/>
      <c r="V118" s="195"/>
      <c r="W118" s="195"/>
      <c r="X118" s="195"/>
    </row>
    <row r="119" spans="1:24">
      <c r="A119" s="373" t="s">
        <v>287</v>
      </c>
      <c r="B119" s="153"/>
      <c r="C119" s="198"/>
      <c r="D119" s="198"/>
      <c r="E119" s="199">
        <f t="shared" ref="E119:J119" si="43">IFERROR(E14/D14-1,"")</f>
        <v>0.82120673272688349</v>
      </c>
      <c r="F119" s="199">
        <f t="shared" si="43"/>
        <v>0.18091014896949198</v>
      </c>
      <c r="G119" s="199">
        <f t="shared" si="43"/>
        <v>0.21439368082305332</v>
      </c>
      <c r="H119" s="575">
        <f t="shared" si="43"/>
        <v>0.61472311892716625</v>
      </c>
      <c r="I119" s="199">
        <f t="shared" si="43"/>
        <v>0.50579390649335543</v>
      </c>
      <c r="J119" s="199">
        <f t="shared" si="43"/>
        <v>0.31981716512122849</v>
      </c>
      <c r="K119" s="199"/>
      <c r="L119" s="199"/>
      <c r="M119" s="195"/>
      <c r="N119" s="195"/>
      <c r="O119" s="195"/>
      <c r="P119" s="195"/>
      <c r="Q119" s="195"/>
      <c r="R119" s="195"/>
      <c r="S119" s="195"/>
      <c r="T119" s="195"/>
      <c r="U119" s="195"/>
      <c r="V119" s="195"/>
      <c r="W119" s="195"/>
      <c r="X119" s="195"/>
    </row>
    <row r="120" spans="1:24">
      <c r="A120" s="373" t="s">
        <v>511</v>
      </c>
      <c r="B120" s="153"/>
      <c r="C120" s="201"/>
      <c r="D120" s="201"/>
      <c r="E120" s="199">
        <f t="shared" ref="E120:J120" si="44">IFERROR(E21/D21-1,"")</f>
        <v>0.84137960194551642</v>
      </c>
      <c r="F120" s="199">
        <f t="shared" si="44"/>
        <v>-6.0305050190696541E-3</v>
      </c>
      <c r="G120" s="202">
        <f t="shared" si="44"/>
        <v>0.62939297124600646</v>
      </c>
      <c r="H120" s="575">
        <f t="shared" si="44"/>
        <v>1.0522935143288086</v>
      </c>
      <c r="I120" s="199">
        <f t="shared" si="44"/>
        <v>0.53634167983454217</v>
      </c>
      <c r="J120" s="199">
        <f t="shared" si="44"/>
        <v>-0.2121524438490775</v>
      </c>
      <c r="K120" s="199"/>
      <c r="L120" s="199"/>
      <c r="M120" s="195"/>
      <c r="N120" s="195"/>
      <c r="O120" s="195"/>
      <c r="P120" s="195"/>
      <c r="Q120" s="195"/>
      <c r="R120" s="195"/>
      <c r="S120" s="195"/>
      <c r="T120" s="195"/>
      <c r="U120" s="195"/>
      <c r="V120" s="195"/>
      <c r="W120" s="195"/>
      <c r="X120" s="195"/>
    </row>
    <row r="121" spans="1:24">
      <c r="A121" s="373" t="s">
        <v>1582</v>
      </c>
      <c r="B121" s="153"/>
      <c r="C121" s="201"/>
      <c r="D121" s="201"/>
      <c r="E121" s="199">
        <f t="shared" ref="E121:J121" si="45">IFERROR(E23/D23-1,"")</f>
        <v>0.16250856948539516</v>
      </c>
      <c r="F121" s="199">
        <f t="shared" si="45"/>
        <v>-7.6702009924672465E-2</v>
      </c>
      <c r="G121" s="199">
        <f t="shared" si="45"/>
        <v>0.12034799420009668</v>
      </c>
      <c r="H121" s="575">
        <f t="shared" si="45"/>
        <v>0.53364969801553053</v>
      </c>
      <c r="I121" s="199">
        <f t="shared" si="45"/>
        <v>-1.2517580872011269E-2</v>
      </c>
      <c r="J121" s="199">
        <f t="shared" si="45"/>
        <v>8.8049362725420854E-2</v>
      </c>
      <c r="K121" s="199"/>
      <c r="L121" s="199"/>
      <c r="M121" s="195"/>
      <c r="N121" s="195"/>
      <c r="O121" s="195"/>
      <c r="P121" s="195"/>
      <c r="Q121" s="195"/>
      <c r="R121" s="195"/>
      <c r="S121" s="195"/>
      <c r="T121" s="195"/>
      <c r="U121" s="195"/>
      <c r="V121" s="195"/>
      <c r="W121" s="195"/>
      <c r="X121" s="195"/>
    </row>
    <row r="122" spans="1:24">
      <c r="A122" s="373" t="s">
        <v>532</v>
      </c>
      <c r="B122" s="153"/>
      <c r="C122" s="201"/>
      <c r="D122" s="201"/>
      <c r="E122" s="199">
        <f t="shared" ref="E122:J122" si="46">IFERROR(E29/D29-1,"")</f>
        <v>-0.76222270149979843</v>
      </c>
      <c r="F122" s="199">
        <f t="shared" si="46"/>
        <v>-0.82219840081634121</v>
      </c>
      <c r="G122" s="199">
        <f t="shared" si="46"/>
        <v>-29.89855072463768</v>
      </c>
      <c r="H122" s="575">
        <f t="shared" si="46"/>
        <v>2.2581273821464394</v>
      </c>
      <c r="I122" s="199">
        <f t="shared" si="46"/>
        <v>1.1370136732452942</v>
      </c>
      <c r="J122" s="199">
        <f t="shared" si="46"/>
        <v>-0.36396642167262339</v>
      </c>
      <c r="K122" s="199"/>
      <c r="L122" s="199"/>
      <c r="M122" s="195"/>
      <c r="N122" s="195"/>
      <c r="O122" s="195"/>
      <c r="P122" s="195"/>
      <c r="Q122" s="195"/>
      <c r="R122" s="195"/>
      <c r="S122" s="195"/>
      <c r="T122" s="195"/>
      <c r="U122" s="195"/>
      <c r="V122" s="195"/>
      <c r="W122" s="195"/>
      <c r="X122" s="195"/>
    </row>
    <row r="123" spans="1:24">
      <c r="A123" s="49" t="s">
        <v>1678</v>
      </c>
      <c r="B123" s="103"/>
      <c r="C123" s="167"/>
      <c r="D123" s="167"/>
      <c r="E123" s="204">
        <f t="shared" ref="E123:J123" si="47">IFERROR(E32/D32-1,"")</f>
        <v>-1.1744075678176322</v>
      </c>
      <c r="F123" s="204">
        <f t="shared" si="47"/>
        <v>1.057989572852831</v>
      </c>
      <c r="G123" s="204">
        <f t="shared" si="47"/>
        <v>-3.7111111111111112</v>
      </c>
      <c r="H123" s="577">
        <f t="shared" si="47"/>
        <v>-2.778688524590164</v>
      </c>
      <c r="I123" s="204">
        <f t="shared" si="47"/>
        <v>-0.6452027649769585</v>
      </c>
      <c r="J123" s="204">
        <f t="shared" si="47"/>
        <v>0.63168422283124004</v>
      </c>
      <c r="K123" s="204"/>
      <c r="L123" s="204"/>
      <c r="M123" s="195"/>
      <c r="N123" s="195"/>
      <c r="O123" s="195"/>
      <c r="P123" s="195"/>
      <c r="Q123" s="195"/>
      <c r="R123" s="195"/>
      <c r="S123" s="195"/>
      <c r="T123" s="195"/>
      <c r="U123" s="195"/>
      <c r="V123" s="195"/>
      <c r="W123" s="195"/>
      <c r="X123" s="195"/>
    </row>
    <row r="124" spans="1:24">
      <c r="A124" s="121" t="s">
        <v>1679</v>
      </c>
      <c r="B124" s="120"/>
      <c r="C124" s="205"/>
      <c r="D124" s="205"/>
      <c r="E124" s="204">
        <f t="shared" ref="E124:J125" si="48">IFERROR(E34/D34-1,"")</f>
        <v>-0.54516503156133544</v>
      </c>
      <c r="F124" s="204">
        <f t="shared" si="48"/>
        <v>-0.33814052321733379</v>
      </c>
      <c r="G124" s="204">
        <f t="shared" si="48"/>
        <v>-2.7353383458646618</v>
      </c>
      <c r="H124" s="577">
        <f t="shared" si="48"/>
        <v>4.4962790294627384</v>
      </c>
      <c r="I124" s="204">
        <f t="shared" si="48"/>
        <v>1.170925241222712</v>
      </c>
      <c r="J124" s="204">
        <f t="shared" si="48"/>
        <v>-0.36206087136537624</v>
      </c>
      <c r="K124" s="204"/>
      <c r="L124" s="204"/>
      <c r="M124" s="195"/>
      <c r="N124" s="195"/>
      <c r="O124" s="195"/>
      <c r="P124" s="195"/>
      <c r="Q124" s="195"/>
      <c r="R124" s="195"/>
      <c r="S124" s="195"/>
      <c r="T124" s="195"/>
      <c r="U124" s="195"/>
      <c r="V124" s="195"/>
      <c r="W124" s="195"/>
      <c r="X124" s="195"/>
    </row>
    <row r="125" spans="1:24">
      <c r="A125" s="372" t="s">
        <v>1680</v>
      </c>
      <c r="B125" s="155"/>
      <c r="C125" s="157"/>
      <c r="D125" s="157"/>
      <c r="E125" s="204">
        <f t="shared" si="48"/>
        <v>0.83341786597349898</v>
      </c>
      <c r="F125" s="204">
        <f t="shared" si="48"/>
        <v>0.90189670971869229</v>
      </c>
      <c r="G125" s="204">
        <f t="shared" si="48"/>
        <v>1.6545454545454548</v>
      </c>
      <c r="H125" s="577">
        <f t="shared" si="48"/>
        <v>1.3938356164383561</v>
      </c>
      <c r="I125" s="204">
        <f t="shared" si="48"/>
        <v>0.61945636623748213</v>
      </c>
      <c r="J125" s="204">
        <f t="shared" si="48"/>
        <v>-0.13555934187794416</v>
      </c>
      <c r="K125" s="204"/>
      <c r="L125" s="204"/>
      <c r="M125" s="120"/>
      <c r="N125" s="120"/>
      <c r="O125" s="120"/>
      <c r="P125" s="120"/>
      <c r="Q125" s="120"/>
      <c r="R125" s="120"/>
      <c r="S125" s="120"/>
      <c r="T125" s="120"/>
      <c r="U125" s="120"/>
      <c r="V125" s="120"/>
      <c r="W125" s="120"/>
      <c r="X125" s="120"/>
    </row>
    <row r="126" spans="1:24">
      <c r="A126" s="121" t="s">
        <v>1826</v>
      </c>
      <c r="B126" s="120"/>
      <c r="C126" s="167"/>
      <c r="D126" s="167"/>
      <c r="E126" s="204">
        <f t="shared" ref="E126:J126" si="49">IFERROR(E37/D37-1,"")</f>
        <v>-0.69019406973328845</v>
      </c>
      <c r="F126" s="204">
        <f t="shared" si="49"/>
        <v>-2.0058850053762818</v>
      </c>
      <c r="G126" s="204">
        <f t="shared" si="49"/>
        <v>0.6206896551724137</v>
      </c>
      <c r="H126" s="577">
        <f t="shared" si="49"/>
        <v>-0.11347517730496459</v>
      </c>
      <c r="I126" s="204">
        <f t="shared" si="49"/>
        <v>-0.752</v>
      </c>
      <c r="J126" s="204">
        <f t="shared" si="49"/>
        <v>6.2724887235724447E-2</v>
      </c>
      <c r="K126" s="204"/>
      <c r="L126" s="204"/>
      <c r="M126" s="120"/>
      <c r="N126" s="120"/>
      <c r="O126" s="120"/>
      <c r="P126" s="120"/>
      <c r="Q126" s="120"/>
      <c r="R126" s="120"/>
      <c r="S126" s="120"/>
      <c r="T126" s="120"/>
      <c r="U126" s="120"/>
      <c r="V126" s="120"/>
      <c r="W126" s="120"/>
      <c r="X126" s="120"/>
    </row>
    <row r="127" spans="1:24">
      <c r="A127" s="121" t="s">
        <v>543</v>
      </c>
      <c r="B127" s="120"/>
      <c r="C127" s="167"/>
      <c r="D127" s="167"/>
      <c r="E127" s="151">
        <f t="shared" ref="E127:J127" si="50">IFERROR(E39/D39-1,"")</f>
        <v>-0.50234985214642602</v>
      </c>
      <c r="F127" s="151">
        <f t="shared" si="50"/>
        <v>-0.11688561824665933</v>
      </c>
      <c r="G127" s="199">
        <f t="shared" si="50"/>
        <v>-1.8364269141531322</v>
      </c>
      <c r="H127" s="568">
        <f t="shared" si="50"/>
        <v>6.654238557558946</v>
      </c>
      <c r="I127" s="151">
        <f t="shared" si="50"/>
        <v>1.2843290715350197</v>
      </c>
      <c r="J127" s="151">
        <f t="shared" si="50"/>
        <v>-0.38344406438029799</v>
      </c>
      <c r="K127" s="151"/>
      <c r="L127" s="151"/>
      <c r="M127" s="120"/>
      <c r="N127" s="120"/>
      <c r="O127" s="120"/>
      <c r="P127" s="120"/>
      <c r="Q127" s="120"/>
      <c r="R127" s="120"/>
      <c r="S127" s="120"/>
      <c r="T127" s="120"/>
      <c r="U127" s="120"/>
      <c r="V127" s="120"/>
      <c r="W127" s="120"/>
      <c r="X127" s="120"/>
    </row>
    <row r="128" spans="1:24" s="233" customFormat="1">
      <c r="A128" s="379" t="s">
        <v>1827</v>
      </c>
      <c r="B128" s="228"/>
      <c r="C128" s="229"/>
      <c r="D128" s="229"/>
      <c r="E128" s="230"/>
      <c r="F128" s="231">
        <f>F129/E129-1</f>
        <v>0.30597164772499097</v>
      </c>
      <c r="G128" s="231">
        <f>G129/F129-1</f>
        <v>1.0541205412054122</v>
      </c>
      <c r="H128" s="578">
        <f>H129/G129-1</f>
        <v>2.8609206014596267</v>
      </c>
      <c r="I128" s="231">
        <f>I129/H129-1</f>
        <v>0.39755665380741845</v>
      </c>
      <c r="J128" s="231">
        <f>J129/I129-1</f>
        <v>-0.19801071346773724</v>
      </c>
      <c r="K128" s="232"/>
      <c r="L128" s="232"/>
      <c r="M128" s="228"/>
      <c r="N128" s="228"/>
      <c r="O128" s="228"/>
      <c r="P128" s="228"/>
      <c r="Q128" s="228"/>
      <c r="R128" s="228"/>
      <c r="S128" s="228"/>
      <c r="T128" s="228"/>
      <c r="U128" s="228"/>
      <c r="V128" s="228"/>
      <c r="W128" s="228"/>
      <c r="X128" s="228"/>
    </row>
    <row r="129" spans="1:24">
      <c r="A129" s="49" t="s">
        <v>1827</v>
      </c>
      <c r="B129" s="103"/>
      <c r="C129" s="104"/>
      <c r="D129" s="104"/>
      <c r="E129" s="137">
        <f t="shared" ref="E129:J129" si="51">E39+E79+E87+E84</f>
        <v>1245050</v>
      </c>
      <c r="F129" s="137">
        <f t="shared" si="51"/>
        <v>1626000</v>
      </c>
      <c r="G129" s="137">
        <f t="shared" si="51"/>
        <v>3340000</v>
      </c>
      <c r="H129" s="214">
        <f t="shared" si="51"/>
        <v>12895474.808875153</v>
      </c>
      <c r="I129" s="137">
        <f t="shared" si="51"/>
        <v>18022156.623149417</v>
      </c>
      <c r="J129" s="137">
        <f t="shared" si="51"/>
        <v>14453576.531972295</v>
      </c>
      <c r="K129" s="107"/>
      <c r="L129" s="107"/>
      <c r="M129" s="103"/>
      <c r="N129" s="103"/>
      <c r="O129" s="103"/>
      <c r="P129" s="103"/>
      <c r="Q129" s="103"/>
      <c r="R129" s="103"/>
      <c r="S129" s="103"/>
      <c r="T129" s="103"/>
      <c r="U129" s="103"/>
      <c r="V129" s="103"/>
      <c r="W129" s="103"/>
      <c r="X129" s="103"/>
    </row>
    <row r="130" spans="1:24" ht="21">
      <c r="A130" s="380" t="s">
        <v>1828</v>
      </c>
      <c r="B130" s="206"/>
      <c r="C130" s="128"/>
      <c r="D130" s="128"/>
      <c r="E130" s="128"/>
      <c r="F130" s="128"/>
      <c r="G130" s="128"/>
      <c r="H130" s="572"/>
      <c r="I130" s="128"/>
      <c r="J130" s="128"/>
      <c r="K130" s="128"/>
      <c r="L130" s="128"/>
      <c r="M130" s="103"/>
      <c r="N130" s="103"/>
      <c r="O130" s="103"/>
      <c r="P130" s="103"/>
      <c r="Q130" s="103"/>
      <c r="R130" s="103"/>
      <c r="S130" s="103"/>
      <c r="T130" s="103"/>
      <c r="U130" s="103"/>
      <c r="V130" s="103"/>
      <c r="W130" s="103"/>
      <c r="X130" s="103"/>
    </row>
    <row r="131" spans="1:24">
      <c r="A131" s="49" t="s">
        <v>1829</v>
      </c>
      <c r="B131" s="103"/>
      <c r="C131" s="104"/>
      <c r="D131" s="104"/>
      <c r="E131" s="207">
        <f t="shared" ref="E131:J131" si="52">E7</f>
        <v>21460800</v>
      </c>
      <c r="F131" s="207">
        <f t="shared" si="52"/>
        <v>24578000</v>
      </c>
      <c r="G131" s="207">
        <f t="shared" si="52"/>
        <v>31536000</v>
      </c>
      <c r="H131" s="388">
        <f t="shared" si="52"/>
        <v>53823000</v>
      </c>
      <c r="I131" s="207">
        <f t="shared" si="52"/>
        <v>81462000.00000003</v>
      </c>
      <c r="J131" s="207">
        <f t="shared" si="52"/>
        <v>96394360.853666633</v>
      </c>
      <c r="K131" s="107"/>
      <c r="L131" s="107"/>
      <c r="M131" s="103"/>
      <c r="N131" s="103"/>
      <c r="O131" s="103"/>
      <c r="P131" s="103"/>
      <c r="Q131" s="103"/>
      <c r="R131" s="103"/>
      <c r="S131" s="103"/>
      <c r="T131" s="103"/>
      <c r="U131" s="103"/>
      <c r="V131" s="103"/>
      <c r="W131" s="103"/>
      <c r="X131" s="103"/>
    </row>
    <row r="132" spans="1:24">
      <c r="A132" s="49" t="s">
        <v>1830</v>
      </c>
      <c r="B132" s="103"/>
      <c r="C132" s="104"/>
      <c r="D132" s="104"/>
      <c r="E132" s="207">
        <f>E37</f>
        <v>86491</v>
      </c>
      <c r="F132" s="207">
        <f>F129</f>
        <v>1626000</v>
      </c>
      <c r="G132" s="207">
        <f>G129</f>
        <v>3340000</v>
      </c>
      <c r="H132" s="388">
        <f>H129</f>
        <v>12895474.808875153</v>
      </c>
      <c r="I132" s="207">
        <f>I129</f>
        <v>18022156.623149417</v>
      </c>
      <c r="J132" s="207">
        <f>J129</f>
        <v>14453576.531972295</v>
      </c>
      <c r="K132" s="107"/>
      <c r="L132" s="107"/>
      <c r="M132" s="103"/>
      <c r="N132" s="103"/>
      <c r="O132" s="103"/>
      <c r="P132" s="103"/>
      <c r="Q132" s="103"/>
      <c r="R132" s="103"/>
      <c r="S132" s="103"/>
      <c r="T132" s="103"/>
      <c r="U132" s="103"/>
      <c r="V132" s="103"/>
      <c r="W132" s="103"/>
      <c r="X132" s="103"/>
    </row>
    <row r="133" spans="1:24">
      <c r="A133" s="49" t="s">
        <v>1832</v>
      </c>
      <c r="B133" s="103"/>
      <c r="C133" s="104"/>
      <c r="D133" s="104"/>
      <c r="E133" s="234">
        <f>'Earning Forecast'!B65</f>
        <v>-0.19926601712429878</v>
      </c>
      <c r="F133" s="234">
        <f>'Earning Forecast'!C65</f>
        <v>-0.57889695896073223</v>
      </c>
      <c r="G133" s="234">
        <f>'Earning Forecast'!D65</f>
        <v>-0.30839859320046892</v>
      </c>
      <c r="H133" s="579">
        <f>'Earning Forecast'!E65</f>
        <v>-0.32393836903419765</v>
      </c>
      <c r="I133" s="234">
        <f>'Earning Forecast'!F65</f>
        <v>0.22191443521083409</v>
      </c>
      <c r="J133" s="234">
        <f>'Earning Forecast'!G65</f>
        <v>1.6293788012990846</v>
      </c>
      <c r="K133" s="107"/>
      <c r="L133" s="107"/>
      <c r="M133" s="103"/>
      <c r="N133" s="103"/>
      <c r="O133" s="103"/>
      <c r="P133" s="103"/>
      <c r="Q133" s="103"/>
      <c r="R133" s="103"/>
      <c r="S133" s="103"/>
      <c r="T133" s="103"/>
      <c r="U133" s="103"/>
      <c r="V133" s="103"/>
      <c r="W133" s="103"/>
      <c r="X133" s="103"/>
    </row>
    <row r="134" spans="1:24">
      <c r="A134" s="49" t="s">
        <v>1834</v>
      </c>
      <c r="B134" s="103"/>
      <c r="C134" s="104"/>
      <c r="D134" s="104"/>
      <c r="E134" s="210">
        <f t="shared" ref="E134:J134" si="53">E39/(E71-E69)</f>
        <v>-0.1982715823684745</v>
      </c>
      <c r="F134" s="210" t="e">
        <f t="shared" si="53"/>
        <v>#REF!</v>
      </c>
      <c r="G134" s="210" t="e">
        <f t="shared" si="53"/>
        <v>#REF!</v>
      </c>
      <c r="H134" s="580" t="e">
        <f t="shared" si="53"/>
        <v>#REF!</v>
      </c>
      <c r="I134" s="210" t="e">
        <f t="shared" si="53"/>
        <v>#REF!</v>
      </c>
      <c r="J134" s="210" t="e">
        <f t="shared" si="53"/>
        <v>#REF!</v>
      </c>
      <c r="K134" s="107"/>
      <c r="L134" s="107"/>
      <c r="M134" s="103"/>
      <c r="N134" s="103"/>
      <c r="O134" s="103"/>
      <c r="P134" s="103"/>
      <c r="Q134" s="103"/>
      <c r="R134" s="103"/>
      <c r="S134" s="103"/>
      <c r="T134" s="103"/>
      <c r="U134" s="103"/>
      <c r="V134" s="103"/>
      <c r="W134" s="103"/>
      <c r="X134" s="103"/>
    </row>
    <row r="135" spans="1:24">
      <c r="A135" s="49" t="s">
        <v>1836</v>
      </c>
      <c r="B135" s="103"/>
      <c r="C135" s="104"/>
      <c r="D135" s="104"/>
      <c r="E135" s="208">
        <v>-32.649000000000001</v>
      </c>
      <c r="F135" s="208">
        <v>-37.180999999999997</v>
      </c>
      <c r="G135" s="209">
        <v>-31.911999999999999</v>
      </c>
      <c r="H135" s="581">
        <f>Valuation!D4</f>
        <v>112.08566102271077</v>
      </c>
      <c r="I135" s="208">
        <f>Valuation!E7</f>
        <v>36.009826609170055</v>
      </c>
      <c r="J135" s="208">
        <f>Valuation!F7</f>
        <v>49.217840566423604</v>
      </c>
      <c r="K135" s="107"/>
      <c r="L135" s="107"/>
      <c r="M135" s="103"/>
      <c r="N135" s="103"/>
      <c r="O135" s="103"/>
      <c r="P135" s="103"/>
      <c r="Q135" s="103"/>
      <c r="R135" s="103"/>
      <c r="S135" s="103"/>
      <c r="T135" s="103"/>
      <c r="U135" s="103"/>
      <c r="V135" s="103"/>
      <c r="W135" s="103"/>
      <c r="X135" s="103"/>
    </row>
  </sheetData>
  <phoneticPr fontId="4" type="noConversion"/>
  <conditionalFormatting sqref="C73:L73">
    <cfRule type="cellIs" dxfId="1" priority="1" operator="notEqual">
      <formula>0</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87010-227C-40BD-A910-15F75672717B}">
  <dimension ref="A1:J59"/>
  <sheetViews>
    <sheetView workbookViewId="0"/>
  </sheetViews>
  <sheetFormatPr defaultColWidth="8.83203125" defaultRowHeight="14"/>
  <sheetData>
    <row r="1" spans="1:9">
      <c r="A1" s="460" t="s">
        <v>15</v>
      </c>
    </row>
    <row r="2" spans="1:9">
      <c r="A2" s="590"/>
      <c r="B2" s="591" t="s">
        <v>16</v>
      </c>
      <c r="C2" s="591" t="s">
        <v>16</v>
      </c>
      <c r="D2" s="591" t="s">
        <v>16</v>
      </c>
      <c r="E2" s="591" t="s">
        <v>2148</v>
      </c>
      <c r="F2" s="591" t="s">
        <v>2148</v>
      </c>
      <c r="G2" s="591" t="s">
        <v>2149</v>
      </c>
      <c r="H2" s="591" t="s">
        <v>2150</v>
      </c>
      <c r="I2" s="592" t="s">
        <v>24</v>
      </c>
    </row>
    <row r="3" spans="1:9">
      <c r="A3" s="593" t="s">
        <v>7</v>
      </c>
      <c r="B3" s="594" t="s">
        <v>148</v>
      </c>
      <c r="C3" s="594" t="s">
        <v>1777</v>
      </c>
      <c r="D3" s="594" t="s">
        <v>21</v>
      </c>
      <c r="E3" s="594" t="s">
        <v>148</v>
      </c>
      <c r="F3" s="594" t="s">
        <v>21</v>
      </c>
      <c r="G3" s="594" t="s">
        <v>21</v>
      </c>
      <c r="H3" s="594" t="s">
        <v>21</v>
      </c>
      <c r="I3" s="594" t="s">
        <v>2151</v>
      </c>
    </row>
    <row r="4" spans="1:9">
      <c r="A4" s="595" t="s">
        <v>2152</v>
      </c>
      <c r="B4" s="596">
        <v>0</v>
      </c>
      <c r="C4" s="596">
        <v>345</v>
      </c>
      <c r="D4" s="596">
        <v>0</v>
      </c>
      <c r="E4" s="596">
        <v>0</v>
      </c>
      <c r="F4" s="596">
        <v>0</v>
      </c>
      <c r="G4" s="596">
        <v>0</v>
      </c>
      <c r="H4" s="596">
        <v>0</v>
      </c>
      <c r="I4" s="597">
        <v>345</v>
      </c>
    </row>
    <row r="5" spans="1:9">
      <c r="A5" s="595" t="s">
        <v>2153</v>
      </c>
      <c r="B5" s="596">
        <v>0</v>
      </c>
      <c r="C5" s="598">
        <v>2760</v>
      </c>
      <c r="D5" s="596">
        <v>0</v>
      </c>
      <c r="E5" s="596">
        <v>0</v>
      </c>
      <c r="F5" s="596">
        <v>0</v>
      </c>
      <c r="G5" s="596">
        <v>0</v>
      </c>
      <c r="H5" s="596">
        <v>0</v>
      </c>
      <c r="I5" s="599">
        <v>2760</v>
      </c>
    </row>
    <row r="6" spans="1:9">
      <c r="A6" s="595" t="s">
        <v>2154</v>
      </c>
      <c r="B6" s="596">
        <v>0</v>
      </c>
      <c r="C6" s="598">
        <v>5050</v>
      </c>
      <c r="D6" s="596">
        <v>0</v>
      </c>
      <c r="E6" s="596">
        <v>0</v>
      </c>
      <c r="F6" s="596">
        <v>0</v>
      </c>
      <c r="G6" s="596">
        <v>0</v>
      </c>
      <c r="H6" s="596">
        <v>0</v>
      </c>
      <c r="I6" s="599">
        <v>5050</v>
      </c>
    </row>
    <row r="7" spans="1:9">
      <c r="A7" s="595" t="s">
        <v>2155</v>
      </c>
      <c r="B7" s="596">
        <v>0</v>
      </c>
      <c r="C7" s="598">
        <v>5450</v>
      </c>
      <c r="D7" s="596">
        <v>0</v>
      </c>
      <c r="E7" s="596">
        <v>0</v>
      </c>
      <c r="F7" s="596">
        <v>0</v>
      </c>
      <c r="G7" s="596">
        <v>0</v>
      </c>
      <c r="H7" s="596">
        <v>0</v>
      </c>
      <c r="I7" s="599">
        <v>5450</v>
      </c>
    </row>
    <row r="8" spans="1:9">
      <c r="A8" s="595" t="s">
        <v>2156</v>
      </c>
      <c r="B8" s="596">
        <v>0</v>
      </c>
      <c r="C8" s="598">
        <v>6100</v>
      </c>
      <c r="D8" s="596">
        <v>0</v>
      </c>
      <c r="E8" s="596">
        <v>0</v>
      </c>
      <c r="F8" s="596">
        <v>0</v>
      </c>
      <c r="G8" s="596">
        <v>0</v>
      </c>
      <c r="H8" s="596">
        <v>0</v>
      </c>
      <c r="I8" s="599">
        <v>6100</v>
      </c>
    </row>
    <row r="9" spans="1:9">
      <c r="A9" s="595" t="s">
        <v>2157</v>
      </c>
      <c r="B9" s="596">
        <v>0</v>
      </c>
      <c r="C9" s="598">
        <v>6587</v>
      </c>
      <c r="D9" s="596">
        <v>0</v>
      </c>
      <c r="E9" s="596">
        <v>0</v>
      </c>
      <c r="F9" s="596">
        <v>0</v>
      </c>
      <c r="G9" s="596">
        <v>0</v>
      </c>
      <c r="H9" s="596">
        <v>0</v>
      </c>
      <c r="I9" s="599">
        <v>6587</v>
      </c>
    </row>
    <row r="10" spans="1:9">
      <c r="A10" s="595" t="s">
        <v>2158</v>
      </c>
      <c r="B10" s="596">
        <v>0</v>
      </c>
      <c r="C10" s="598">
        <v>7535</v>
      </c>
      <c r="D10" s="596">
        <v>0</v>
      </c>
      <c r="E10" s="596">
        <v>0</v>
      </c>
      <c r="F10" s="596">
        <v>0</v>
      </c>
      <c r="G10" s="596">
        <v>0</v>
      </c>
      <c r="H10" s="596">
        <v>0</v>
      </c>
      <c r="I10" s="599">
        <v>7535</v>
      </c>
    </row>
    <row r="11" spans="1:9">
      <c r="A11" s="595" t="s">
        <v>2159</v>
      </c>
      <c r="B11" s="596">
        <v>0</v>
      </c>
      <c r="C11" s="598">
        <v>8763</v>
      </c>
      <c r="D11" s="596">
        <v>0</v>
      </c>
      <c r="E11" s="596">
        <v>0</v>
      </c>
      <c r="F11" s="596">
        <v>0</v>
      </c>
      <c r="G11" s="596">
        <v>0</v>
      </c>
      <c r="H11" s="596">
        <v>0</v>
      </c>
      <c r="I11" s="599">
        <v>8763</v>
      </c>
    </row>
    <row r="12" spans="1:9">
      <c r="A12" s="595" t="s">
        <v>2160</v>
      </c>
      <c r="B12" s="596">
        <v>0</v>
      </c>
      <c r="C12" s="598">
        <v>7200</v>
      </c>
      <c r="D12" s="596">
        <v>0</v>
      </c>
      <c r="E12" s="596">
        <v>0</v>
      </c>
      <c r="F12" s="596">
        <v>0</v>
      </c>
      <c r="G12" s="596">
        <v>0</v>
      </c>
      <c r="H12" s="596">
        <v>0</v>
      </c>
      <c r="I12" s="599">
        <v>7200</v>
      </c>
    </row>
    <row r="13" spans="1:9">
      <c r="A13" s="595" t="s">
        <v>2161</v>
      </c>
      <c r="B13" s="596">
        <v>0</v>
      </c>
      <c r="C13" s="598">
        <v>11627</v>
      </c>
      <c r="D13" s="596">
        <v>0</v>
      </c>
      <c r="E13" s="596">
        <v>0</v>
      </c>
      <c r="F13" s="596">
        <v>0</v>
      </c>
      <c r="G13" s="596">
        <v>0</v>
      </c>
      <c r="H13" s="596">
        <v>0</v>
      </c>
      <c r="I13" s="599">
        <v>11627</v>
      </c>
    </row>
    <row r="14" spans="1:9">
      <c r="A14" s="595" t="s">
        <v>2162</v>
      </c>
      <c r="B14" s="596">
        <v>0</v>
      </c>
      <c r="C14" s="598">
        <v>11160</v>
      </c>
      <c r="D14" s="596">
        <v>0</v>
      </c>
      <c r="E14" s="596">
        <v>0</v>
      </c>
      <c r="F14" s="596">
        <v>0</v>
      </c>
      <c r="G14" s="596">
        <v>0</v>
      </c>
      <c r="H14" s="596">
        <v>0</v>
      </c>
      <c r="I14" s="599">
        <v>11160</v>
      </c>
    </row>
    <row r="15" spans="1:9">
      <c r="A15" s="595" t="s">
        <v>2163</v>
      </c>
      <c r="B15" s="596">
        <v>0</v>
      </c>
      <c r="C15" s="598">
        <v>12807</v>
      </c>
      <c r="D15" s="596">
        <v>0</v>
      </c>
      <c r="E15" s="596">
        <v>0</v>
      </c>
      <c r="F15" s="596">
        <v>0</v>
      </c>
      <c r="G15" s="596">
        <v>0</v>
      </c>
      <c r="H15" s="596">
        <v>0</v>
      </c>
      <c r="I15" s="599">
        <v>12807</v>
      </c>
    </row>
    <row r="16" spans="1:9">
      <c r="A16" s="595" t="s">
        <v>2164</v>
      </c>
      <c r="B16" s="596">
        <v>0</v>
      </c>
      <c r="C16" s="598">
        <v>13091</v>
      </c>
      <c r="D16" s="596">
        <v>0</v>
      </c>
      <c r="E16" s="596">
        <v>0</v>
      </c>
      <c r="F16" s="596">
        <v>0</v>
      </c>
      <c r="G16" s="596">
        <v>0</v>
      </c>
      <c r="H16" s="596">
        <v>0</v>
      </c>
      <c r="I16" s="599">
        <v>13091</v>
      </c>
    </row>
    <row r="17" spans="1:9">
      <c r="A17" s="595" t="s">
        <v>2165</v>
      </c>
      <c r="B17" s="596">
        <v>0</v>
      </c>
      <c r="C17" s="598">
        <v>14037</v>
      </c>
      <c r="D17" s="596">
        <v>0</v>
      </c>
      <c r="E17" s="596">
        <v>0</v>
      </c>
      <c r="F17" s="596">
        <v>0</v>
      </c>
      <c r="G17" s="596">
        <v>0</v>
      </c>
      <c r="H17" s="596">
        <v>0</v>
      </c>
      <c r="I17" s="599">
        <v>14037</v>
      </c>
    </row>
    <row r="18" spans="1:9">
      <c r="A18" s="595" t="s">
        <v>2166</v>
      </c>
      <c r="B18" s="596">
        <v>0</v>
      </c>
      <c r="C18" s="598">
        <v>15510</v>
      </c>
      <c r="D18" s="596">
        <v>0</v>
      </c>
      <c r="E18" s="596">
        <v>0</v>
      </c>
      <c r="F18" s="596">
        <v>0</v>
      </c>
      <c r="G18" s="596">
        <v>0</v>
      </c>
      <c r="H18" s="596">
        <v>0</v>
      </c>
      <c r="I18" s="599">
        <v>15510</v>
      </c>
    </row>
    <row r="19" spans="1:9">
      <c r="A19" s="595" t="s">
        <v>2167</v>
      </c>
      <c r="B19" s="596">
        <v>0</v>
      </c>
      <c r="C19" s="598">
        <v>18345</v>
      </c>
      <c r="D19" s="596">
        <v>0</v>
      </c>
      <c r="E19" s="596">
        <v>0</v>
      </c>
      <c r="F19" s="596">
        <v>0</v>
      </c>
      <c r="G19" s="596">
        <v>0</v>
      </c>
      <c r="H19" s="596">
        <v>0</v>
      </c>
      <c r="I19" s="599">
        <v>18345</v>
      </c>
    </row>
    <row r="20" spans="1:9">
      <c r="A20" s="595" t="s">
        <v>2168</v>
      </c>
      <c r="B20" s="596">
        <v>0</v>
      </c>
      <c r="C20" s="598">
        <v>25185</v>
      </c>
      <c r="D20" s="596">
        <v>0</v>
      </c>
      <c r="E20" s="596">
        <v>0</v>
      </c>
      <c r="F20" s="596">
        <v>0</v>
      </c>
      <c r="G20" s="596">
        <v>0</v>
      </c>
      <c r="H20" s="596">
        <v>0</v>
      </c>
      <c r="I20" s="599">
        <v>25185</v>
      </c>
    </row>
    <row r="21" spans="1:9">
      <c r="A21" s="595" t="s">
        <v>2169</v>
      </c>
      <c r="B21" s="596">
        <v>0</v>
      </c>
      <c r="C21" s="598">
        <v>24882</v>
      </c>
      <c r="D21" s="596">
        <v>0</v>
      </c>
      <c r="E21" s="596">
        <v>0</v>
      </c>
      <c r="F21" s="596">
        <v>0</v>
      </c>
      <c r="G21" s="596">
        <v>0</v>
      </c>
      <c r="H21" s="596">
        <v>0</v>
      </c>
      <c r="I21" s="599">
        <v>24882</v>
      </c>
    </row>
    <row r="22" spans="1:9">
      <c r="A22" s="595" t="s">
        <v>2170</v>
      </c>
      <c r="B22" s="596">
        <v>0</v>
      </c>
      <c r="C22" s="598">
        <v>25418</v>
      </c>
      <c r="D22" s="596">
        <v>0</v>
      </c>
      <c r="E22" s="596">
        <v>0</v>
      </c>
      <c r="F22" s="596">
        <v>0</v>
      </c>
      <c r="G22" s="596">
        <v>0</v>
      </c>
      <c r="H22" s="596">
        <v>0</v>
      </c>
      <c r="I22" s="599">
        <v>25418</v>
      </c>
    </row>
    <row r="23" spans="1:9">
      <c r="A23" s="595" t="s">
        <v>2171</v>
      </c>
      <c r="B23" s="596">
        <v>0</v>
      </c>
      <c r="C23" s="598">
        <v>25708</v>
      </c>
      <c r="D23" s="596">
        <v>0</v>
      </c>
      <c r="E23" s="596">
        <v>0</v>
      </c>
      <c r="F23" s="596">
        <v>0</v>
      </c>
      <c r="G23" s="596">
        <v>0</v>
      </c>
      <c r="H23" s="596">
        <v>0</v>
      </c>
      <c r="I23" s="599">
        <v>25708</v>
      </c>
    </row>
    <row r="24" spans="1:9">
      <c r="A24" s="595" t="s">
        <v>2172</v>
      </c>
      <c r="B24" s="596">
        <v>260</v>
      </c>
      <c r="C24" s="598">
        <v>25076</v>
      </c>
      <c r="D24" s="596">
        <v>0</v>
      </c>
      <c r="E24" s="596">
        <v>0</v>
      </c>
      <c r="F24" s="596">
        <v>0</v>
      </c>
      <c r="G24" s="596">
        <v>0</v>
      </c>
      <c r="H24" s="596">
        <v>0</v>
      </c>
      <c r="I24" s="599">
        <v>25336</v>
      </c>
    </row>
    <row r="25" spans="1:9">
      <c r="A25" s="595" t="s">
        <v>2173</v>
      </c>
      <c r="B25" s="598">
        <v>2425</v>
      </c>
      <c r="C25" s="598">
        <v>22140</v>
      </c>
      <c r="D25" s="596">
        <v>0</v>
      </c>
      <c r="E25" s="596">
        <v>0</v>
      </c>
      <c r="F25" s="596">
        <v>0</v>
      </c>
      <c r="G25" s="596">
        <v>0</v>
      </c>
      <c r="H25" s="596">
        <v>0</v>
      </c>
      <c r="I25" s="599">
        <v>24565</v>
      </c>
    </row>
    <row r="26" spans="1:9">
      <c r="A26" s="595" t="s">
        <v>2174</v>
      </c>
      <c r="B26" s="598">
        <v>9766</v>
      </c>
      <c r="C26" s="598">
        <v>24728</v>
      </c>
      <c r="D26" s="596">
        <v>0</v>
      </c>
      <c r="E26" s="596">
        <v>0</v>
      </c>
      <c r="F26" s="596">
        <v>0</v>
      </c>
      <c r="G26" s="596">
        <v>0</v>
      </c>
      <c r="H26" s="596">
        <v>0</v>
      </c>
      <c r="I26" s="599">
        <v>34494</v>
      </c>
    </row>
    <row r="27" spans="1:9">
      <c r="A27" s="595" t="s">
        <v>2175</v>
      </c>
      <c r="B27" s="598">
        <v>28578</v>
      </c>
      <c r="C27" s="598">
        <v>24761</v>
      </c>
      <c r="D27" s="596">
        <v>0</v>
      </c>
      <c r="E27" s="596">
        <v>0</v>
      </c>
      <c r="F27" s="596">
        <v>0</v>
      </c>
      <c r="G27" s="596">
        <v>0</v>
      </c>
      <c r="H27" s="596">
        <v>0</v>
      </c>
      <c r="I27" s="599">
        <v>53339</v>
      </c>
    </row>
    <row r="28" spans="1:9">
      <c r="A28" s="595" t="s">
        <v>2176</v>
      </c>
      <c r="B28" s="598">
        <v>53239</v>
      </c>
      <c r="C28" s="598">
        <v>26903</v>
      </c>
      <c r="D28" s="596">
        <v>0</v>
      </c>
      <c r="E28" s="596">
        <v>0</v>
      </c>
      <c r="F28" s="596">
        <v>0</v>
      </c>
      <c r="G28" s="596">
        <v>0</v>
      </c>
      <c r="H28" s="596">
        <v>0</v>
      </c>
      <c r="I28" s="599">
        <v>80142</v>
      </c>
    </row>
    <row r="29" spans="1:9">
      <c r="A29" s="595" t="s">
        <v>2177</v>
      </c>
      <c r="B29" s="598">
        <v>61394</v>
      </c>
      <c r="C29" s="598">
        <v>25161</v>
      </c>
      <c r="D29" s="596">
        <v>0</v>
      </c>
      <c r="E29" s="596">
        <v>0</v>
      </c>
      <c r="F29" s="596">
        <v>0</v>
      </c>
      <c r="G29" s="596">
        <v>0</v>
      </c>
      <c r="H29" s="596">
        <v>0</v>
      </c>
      <c r="I29" s="599">
        <v>86555</v>
      </c>
    </row>
    <row r="30" spans="1:9">
      <c r="A30" s="595" t="s">
        <v>2178</v>
      </c>
      <c r="B30" s="598">
        <v>62975</v>
      </c>
      <c r="C30" s="598">
        <v>14163</v>
      </c>
      <c r="D30" s="596">
        <v>0</v>
      </c>
      <c r="E30" s="596">
        <v>0</v>
      </c>
      <c r="F30" s="596">
        <v>0</v>
      </c>
      <c r="G30" s="596">
        <v>0</v>
      </c>
      <c r="H30" s="596">
        <v>0</v>
      </c>
      <c r="I30" s="599">
        <v>77138</v>
      </c>
    </row>
    <row r="31" spans="1:9">
      <c r="A31" s="595" t="s">
        <v>2179</v>
      </c>
      <c r="B31" s="598">
        <v>72531</v>
      </c>
      <c r="C31" s="598">
        <v>14517</v>
      </c>
      <c r="D31" s="596">
        <v>0</v>
      </c>
      <c r="E31" s="596">
        <v>0</v>
      </c>
      <c r="F31" s="596">
        <v>0</v>
      </c>
      <c r="G31" s="596">
        <v>0</v>
      </c>
      <c r="H31" s="596">
        <v>0</v>
      </c>
      <c r="I31" s="599">
        <v>87048</v>
      </c>
    </row>
    <row r="32" spans="1:9">
      <c r="A32" s="595" t="s">
        <v>2180</v>
      </c>
      <c r="B32" s="598">
        <v>79837</v>
      </c>
      <c r="C32" s="598">
        <v>16318</v>
      </c>
      <c r="D32" s="596">
        <v>0</v>
      </c>
      <c r="E32" s="596">
        <v>0</v>
      </c>
      <c r="F32" s="596">
        <v>0</v>
      </c>
      <c r="G32" s="596">
        <v>0</v>
      </c>
      <c r="H32" s="596">
        <v>0</v>
      </c>
      <c r="I32" s="599">
        <v>96155</v>
      </c>
    </row>
    <row r="33" spans="1:9">
      <c r="A33" s="595" t="s">
        <v>2181</v>
      </c>
      <c r="B33" s="598">
        <v>86958</v>
      </c>
      <c r="C33" s="598">
        <v>17933</v>
      </c>
      <c r="D33" s="596">
        <v>0</v>
      </c>
      <c r="E33" s="596">
        <v>0</v>
      </c>
      <c r="F33" s="596">
        <v>0</v>
      </c>
      <c r="G33" s="596">
        <v>0</v>
      </c>
      <c r="H33" s="596">
        <v>0</v>
      </c>
      <c r="I33" s="599">
        <v>104891</v>
      </c>
    </row>
    <row r="34" spans="1:9">
      <c r="A34" s="595" t="s">
        <v>2182</v>
      </c>
      <c r="B34" s="598">
        <v>67851</v>
      </c>
      <c r="C34" s="598">
        <v>15390</v>
      </c>
      <c r="D34" s="598">
        <v>2750</v>
      </c>
      <c r="E34" s="598">
        <v>16681</v>
      </c>
      <c r="F34" s="596">
        <v>0</v>
      </c>
      <c r="G34" s="596">
        <v>0</v>
      </c>
      <c r="H34" s="596">
        <v>0</v>
      </c>
      <c r="I34" s="599">
        <v>102672</v>
      </c>
    </row>
    <row r="35" spans="1:9">
      <c r="A35" s="595" t="s">
        <v>2183</v>
      </c>
      <c r="B35" s="598">
        <v>29551</v>
      </c>
      <c r="C35" s="598">
        <v>6326</v>
      </c>
      <c r="D35" s="598">
        <v>13277</v>
      </c>
      <c r="E35" s="598">
        <v>33118</v>
      </c>
      <c r="F35" s="596">
        <v>0</v>
      </c>
      <c r="G35" s="596">
        <v>0</v>
      </c>
      <c r="H35" s="596">
        <v>0</v>
      </c>
      <c r="I35" s="599">
        <v>82272</v>
      </c>
    </row>
    <row r="36" spans="1:9">
      <c r="A36" s="595" t="s">
        <v>2184</v>
      </c>
      <c r="B36" s="598">
        <v>58229</v>
      </c>
      <c r="C36" s="598">
        <v>16992</v>
      </c>
      <c r="D36" s="598">
        <v>32318</v>
      </c>
      <c r="E36" s="598">
        <v>37497</v>
      </c>
      <c r="F36" s="596">
        <v>0</v>
      </c>
      <c r="G36" s="596">
        <v>0</v>
      </c>
      <c r="H36" s="596">
        <v>0</v>
      </c>
      <c r="I36" s="599">
        <v>145036</v>
      </c>
    </row>
    <row r="37" spans="1:9">
      <c r="A37" s="595" t="s">
        <v>2185</v>
      </c>
      <c r="B37" s="598">
        <v>58073</v>
      </c>
      <c r="C37" s="598">
        <v>16097</v>
      </c>
      <c r="D37" s="598">
        <v>38551</v>
      </c>
      <c r="E37" s="598">
        <v>67036</v>
      </c>
      <c r="F37" s="596">
        <v>0</v>
      </c>
      <c r="G37" s="596">
        <v>0</v>
      </c>
      <c r="H37" s="596">
        <v>0</v>
      </c>
      <c r="I37" s="599">
        <v>179757</v>
      </c>
    </row>
    <row r="38" spans="1:9">
      <c r="A38" s="595" t="s">
        <v>2186</v>
      </c>
      <c r="B38" s="598">
        <v>55046</v>
      </c>
      <c r="C38" s="596">
        <v>0</v>
      </c>
      <c r="D38" s="598">
        <v>46050</v>
      </c>
      <c r="E38" s="598">
        <v>61408</v>
      </c>
      <c r="F38" s="598">
        <v>17834</v>
      </c>
      <c r="G38" s="596">
        <v>0</v>
      </c>
      <c r="H38" s="596">
        <v>0</v>
      </c>
      <c r="I38" s="599">
        <v>180338</v>
      </c>
    </row>
    <row r="39" spans="1:9">
      <c r="A39" s="595" t="s">
        <v>2187</v>
      </c>
      <c r="B39" s="598">
        <v>52506</v>
      </c>
      <c r="C39" s="598">
        <v>2340</v>
      </c>
      <c r="D39" s="598">
        <v>53324</v>
      </c>
      <c r="E39" s="598">
        <v>65946</v>
      </c>
      <c r="F39" s="598">
        <v>32305</v>
      </c>
      <c r="G39" s="596">
        <v>0</v>
      </c>
      <c r="H39" s="596">
        <v>0</v>
      </c>
      <c r="I39" s="599">
        <v>206421</v>
      </c>
    </row>
    <row r="40" spans="1:9">
      <c r="A40" s="595" t="s">
        <v>2188</v>
      </c>
      <c r="B40" s="598">
        <v>50653</v>
      </c>
      <c r="C40" s="598">
        <v>8941</v>
      </c>
      <c r="D40" s="598">
        <v>49165</v>
      </c>
      <c r="E40" s="598">
        <v>67590</v>
      </c>
      <c r="F40" s="598">
        <v>61474</v>
      </c>
      <c r="G40" s="596">
        <v>0</v>
      </c>
      <c r="H40" s="596">
        <v>0</v>
      </c>
      <c r="I40" s="599">
        <v>237823</v>
      </c>
    </row>
    <row r="41" spans="1:9">
      <c r="A41" s="595" t="s">
        <v>2189</v>
      </c>
      <c r="B41" s="598">
        <v>55337</v>
      </c>
      <c r="C41" s="598">
        <v>13109</v>
      </c>
      <c r="D41" s="598">
        <v>58164</v>
      </c>
      <c r="E41" s="598">
        <v>84914</v>
      </c>
      <c r="F41" s="598">
        <v>94316</v>
      </c>
      <c r="G41" s="596">
        <v>0</v>
      </c>
      <c r="H41" s="596">
        <v>0</v>
      </c>
      <c r="I41" s="599">
        <v>305840</v>
      </c>
    </row>
    <row r="42" spans="1:9">
      <c r="A42" s="595" t="s">
        <v>2190</v>
      </c>
      <c r="B42" s="598">
        <v>55400</v>
      </c>
      <c r="C42" s="598">
        <v>14218</v>
      </c>
      <c r="D42" s="598">
        <v>56522</v>
      </c>
      <c r="E42" s="598">
        <v>75456</v>
      </c>
      <c r="F42" s="598">
        <v>103431</v>
      </c>
      <c r="G42" s="596">
        <v>350</v>
      </c>
      <c r="H42" s="596">
        <v>30</v>
      </c>
      <c r="I42" s="599">
        <v>305407</v>
      </c>
    </row>
    <row r="43" spans="1:9">
      <c r="A43" s="595" t="s">
        <v>2191</v>
      </c>
      <c r="B43" s="598">
        <v>57295</v>
      </c>
      <c r="C43" s="598">
        <v>16411</v>
      </c>
      <c r="D43" s="598">
        <v>60200</v>
      </c>
      <c r="E43" s="598">
        <v>39504</v>
      </c>
      <c r="F43" s="598">
        <v>75725</v>
      </c>
      <c r="G43" s="598">
        <v>7495</v>
      </c>
      <c r="H43" s="598">
        <v>1950</v>
      </c>
      <c r="I43" s="599">
        <v>258580</v>
      </c>
    </row>
    <row r="44" spans="1:9">
      <c r="A44" s="595" t="s">
        <v>2192</v>
      </c>
      <c r="B44" s="598">
        <v>60000</v>
      </c>
      <c r="C44" s="598">
        <v>19935</v>
      </c>
      <c r="D44" s="598">
        <v>63317</v>
      </c>
      <c r="E44" s="598">
        <v>61402</v>
      </c>
      <c r="F44" s="598">
        <v>136010</v>
      </c>
      <c r="G44" s="598">
        <v>15800</v>
      </c>
      <c r="H44" s="598">
        <v>9459</v>
      </c>
      <c r="I44" s="599">
        <v>365923</v>
      </c>
    </row>
    <row r="45" spans="1:9">
      <c r="A45" s="595" t="s">
        <v>2193</v>
      </c>
      <c r="B45" s="598">
        <v>63800</v>
      </c>
      <c r="C45" s="598">
        <v>20613</v>
      </c>
      <c r="D45" s="598">
        <v>61605</v>
      </c>
      <c r="E45" s="598">
        <v>85846</v>
      </c>
      <c r="F45" s="598">
        <v>147837</v>
      </c>
      <c r="G45" s="598">
        <v>30000</v>
      </c>
      <c r="H45" s="598">
        <v>30000</v>
      </c>
      <c r="I45" s="599">
        <v>439701</v>
      </c>
    </row>
    <row r="46" spans="1:9">
      <c r="A46" s="600" t="s">
        <v>24</v>
      </c>
      <c r="B46" s="599">
        <v>1121704</v>
      </c>
      <c r="C46" s="599">
        <v>609632</v>
      </c>
      <c r="D46" s="599">
        <v>535243</v>
      </c>
      <c r="E46" s="599">
        <v>696398</v>
      </c>
      <c r="F46" s="599">
        <v>668932</v>
      </c>
      <c r="G46" s="599">
        <v>53645</v>
      </c>
      <c r="H46" s="599">
        <v>41439</v>
      </c>
      <c r="I46" s="599">
        <v>3726993</v>
      </c>
    </row>
    <row r="48" spans="1:9">
      <c r="A48" s="64" t="s">
        <v>2194</v>
      </c>
    </row>
    <row r="50" spans="1:10" ht="26">
      <c r="A50" s="590"/>
      <c r="B50" s="592" t="s">
        <v>2195</v>
      </c>
      <c r="C50" s="592" t="s">
        <v>2196</v>
      </c>
      <c r="D50" s="591" t="s">
        <v>2149</v>
      </c>
      <c r="E50" s="591" t="s">
        <v>2150</v>
      </c>
      <c r="F50" s="591" t="s">
        <v>16</v>
      </c>
      <c r="G50" s="591" t="s">
        <v>16</v>
      </c>
      <c r="H50" s="591" t="s">
        <v>16</v>
      </c>
      <c r="I50" s="591" t="s">
        <v>2148</v>
      </c>
      <c r="J50" s="591" t="s">
        <v>2148</v>
      </c>
    </row>
    <row r="51" spans="1:10">
      <c r="A51" s="593"/>
      <c r="B51" s="594" t="s">
        <v>2151</v>
      </c>
      <c r="C51" s="594" t="s">
        <v>2151</v>
      </c>
      <c r="D51" s="594" t="s">
        <v>21</v>
      </c>
      <c r="E51" s="594" t="s">
        <v>21</v>
      </c>
      <c r="F51" s="594" t="s">
        <v>148</v>
      </c>
      <c r="G51" s="594" t="s">
        <v>1777</v>
      </c>
      <c r="H51" s="594" t="s">
        <v>21</v>
      </c>
      <c r="I51" s="594" t="s">
        <v>148</v>
      </c>
      <c r="J51" s="594" t="s">
        <v>21</v>
      </c>
    </row>
    <row r="52" spans="1:10">
      <c r="A52" s="595" t="s">
        <v>2186</v>
      </c>
      <c r="B52" s="601">
        <f t="shared" ref="B52:B59" si="0">F52+G52+H52</f>
        <v>101096</v>
      </c>
      <c r="C52" s="601">
        <f t="shared" ref="C52:C59" si="1">I52+J52</f>
        <v>79242</v>
      </c>
      <c r="D52" s="596">
        <v>0</v>
      </c>
      <c r="E52" s="596">
        <v>0</v>
      </c>
      <c r="F52" s="598">
        <v>55046</v>
      </c>
      <c r="G52" s="596">
        <v>0</v>
      </c>
      <c r="H52" s="598">
        <v>46050</v>
      </c>
      <c r="I52" s="598">
        <v>61408</v>
      </c>
      <c r="J52" s="598">
        <v>17834</v>
      </c>
    </row>
    <row r="53" spans="1:10">
      <c r="A53" s="595" t="s">
        <v>2187</v>
      </c>
      <c r="B53" s="601">
        <f t="shared" si="0"/>
        <v>108170</v>
      </c>
      <c r="C53" s="601">
        <f t="shared" si="1"/>
        <v>98251</v>
      </c>
      <c r="D53" s="596">
        <v>0</v>
      </c>
      <c r="E53" s="596">
        <v>0</v>
      </c>
      <c r="F53" s="598">
        <v>52506</v>
      </c>
      <c r="G53" s="598">
        <v>2340</v>
      </c>
      <c r="H53" s="598">
        <v>53324</v>
      </c>
      <c r="I53" s="598">
        <v>65946</v>
      </c>
      <c r="J53" s="598">
        <v>32305</v>
      </c>
    </row>
    <row r="54" spans="1:10">
      <c r="A54" s="595" t="s">
        <v>2188</v>
      </c>
      <c r="B54" s="601">
        <f t="shared" si="0"/>
        <v>108759</v>
      </c>
      <c r="C54" s="601">
        <f t="shared" si="1"/>
        <v>129064</v>
      </c>
      <c r="D54" s="596">
        <v>0</v>
      </c>
      <c r="E54" s="596">
        <v>0</v>
      </c>
      <c r="F54" s="598">
        <v>50653</v>
      </c>
      <c r="G54" s="598">
        <v>8941</v>
      </c>
      <c r="H54" s="598">
        <v>49165</v>
      </c>
      <c r="I54" s="598">
        <v>67590</v>
      </c>
      <c r="J54" s="598">
        <v>61474</v>
      </c>
    </row>
    <row r="55" spans="1:10">
      <c r="A55" s="595" t="s">
        <v>2189</v>
      </c>
      <c r="B55" s="601">
        <f t="shared" si="0"/>
        <v>126610</v>
      </c>
      <c r="C55" s="601">
        <f t="shared" si="1"/>
        <v>179230</v>
      </c>
      <c r="D55" s="596">
        <v>0</v>
      </c>
      <c r="E55" s="596">
        <v>0</v>
      </c>
      <c r="F55" s="598">
        <v>55337</v>
      </c>
      <c r="G55" s="598">
        <v>13109</v>
      </c>
      <c r="H55" s="598">
        <v>58164</v>
      </c>
      <c r="I55" s="598">
        <v>84914</v>
      </c>
      <c r="J55" s="598">
        <v>94316</v>
      </c>
    </row>
    <row r="56" spans="1:10">
      <c r="A56" s="595" t="s">
        <v>2190</v>
      </c>
      <c r="B56" s="601">
        <f t="shared" si="0"/>
        <v>126140</v>
      </c>
      <c r="C56" s="601">
        <f t="shared" si="1"/>
        <v>178887</v>
      </c>
      <c r="D56" s="596">
        <v>350</v>
      </c>
      <c r="E56" s="596">
        <v>30</v>
      </c>
      <c r="F56" s="598">
        <v>55400</v>
      </c>
      <c r="G56" s="598">
        <v>14218</v>
      </c>
      <c r="H56" s="598">
        <v>56522</v>
      </c>
      <c r="I56" s="598">
        <v>75456</v>
      </c>
      <c r="J56" s="598">
        <v>103431</v>
      </c>
    </row>
    <row r="57" spans="1:10">
      <c r="A57" s="595" t="s">
        <v>2191</v>
      </c>
      <c r="B57" s="601">
        <f t="shared" si="0"/>
        <v>133906</v>
      </c>
      <c r="C57" s="601">
        <f t="shared" si="1"/>
        <v>115229</v>
      </c>
      <c r="D57" s="598">
        <v>7495</v>
      </c>
      <c r="E57" s="598">
        <v>1950</v>
      </c>
      <c r="F57" s="598">
        <v>57295</v>
      </c>
      <c r="G57" s="598">
        <v>16411</v>
      </c>
      <c r="H57" s="598">
        <v>60200</v>
      </c>
      <c r="I57" s="598">
        <v>39504</v>
      </c>
      <c r="J57" s="598">
        <v>75725</v>
      </c>
    </row>
    <row r="58" spans="1:10">
      <c r="A58" s="595" t="s">
        <v>2192</v>
      </c>
      <c r="B58" s="601">
        <f t="shared" si="0"/>
        <v>143252</v>
      </c>
      <c r="C58" s="601">
        <f t="shared" si="1"/>
        <v>197412</v>
      </c>
      <c r="D58" s="598">
        <v>15800</v>
      </c>
      <c r="E58" s="598">
        <v>9459</v>
      </c>
      <c r="F58" s="598">
        <v>60000</v>
      </c>
      <c r="G58" s="598">
        <v>19935</v>
      </c>
      <c r="H58" s="598">
        <v>63317</v>
      </c>
      <c r="I58" s="598">
        <v>61402</v>
      </c>
      <c r="J58" s="598">
        <v>136010</v>
      </c>
    </row>
    <row r="59" spans="1:10">
      <c r="A59" s="595" t="s">
        <v>2193</v>
      </c>
      <c r="B59" s="601">
        <f t="shared" si="0"/>
        <v>146018</v>
      </c>
      <c r="C59" s="601">
        <f t="shared" si="1"/>
        <v>233683</v>
      </c>
      <c r="D59" s="598">
        <v>30000</v>
      </c>
      <c r="E59" s="598">
        <v>30000</v>
      </c>
      <c r="F59" s="598">
        <v>63800</v>
      </c>
      <c r="G59" s="598">
        <v>20613</v>
      </c>
      <c r="H59" s="598">
        <v>61605</v>
      </c>
      <c r="I59" s="598">
        <v>85846</v>
      </c>
      <c r="J59" s="598">
        <v>147837</v>
      </c>
    </row>
  </sheetData>
  <phoneticPr fontId="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A019D-D59E-4145-BC32-7280A2097B85}">
  <dimension ref="A1:V458"/>
  <sheetViews>
    <sheetView workbookViewId="0">
      <pane xSplit="1" ySplit="1" topLeftCell="N5" activePane="bottomRight" state="frozen"/>
      <selection pane="topRight"/>
      <selection pane="bottomLeft"/>
      <selection pane="bottomRight" activeCell="N5" sqref="N5"/>
    </sheetView>
  </sheetViews>
  <sheetFormatPr defaultColWidth="8.83203125" defaultRowHeight="14"/>
  <cols>
    <col min="1" max="1" width="13.75" customWidth="1"/>
    <col min="2" max="2" width="9" customWidth="1"/>
    <col min="3" max="3" width="9.1640625" customWidth="1"/>
    <col min="4" max="4" width="7.75" customWidth="1"/>
    <col min="5" max="5" width="8.1640625" customWidth="1"/>
    <col min="6" max="6" width="9" customWidth="1"/>
    <col min="7" max="7" width="10.75" bestFit="1" customWidth="1"/>
    <col min="8" max="8" width="10.75" customWidth="1"/>
    <col min="9" max="9" width="12" bestFit="1" customWidth="1"/>
    <col min="10" max="10" width="12.4140625" customWidth="1"/>
    <col min="11" max="11" width="11.1640625" customWidth="1"/>
    <col min="12" max="12" width="13.4140625" customWidth="1"/>
    <col min="13" max="13" width="13.83203125" customWidth="1"/>
    <col min="14" max="14" width="12.75" customWidth="1"/>
    <col min="15" max="17" width="17.1640625" bestFit="1" customWidth="1"/>
    <col min="18" max="19" width="11.75" customWidth="1"/>
    <col min="20" max="20" width="10" customWidth="1"/>
  </cols>
  <sheetData>
    <row r="1" spans="1:20" s="457" customFormat="1" ht="22.5">
      <c r="A1" s="457" t="s">
        <v>15</v>
      </c>
    </row>
    <row r="2" spans="1:20" s="420" customFormat="1" ht="19">
      <c r="A2" s="420" t="s">
        <v>2197</v>
      </c>
    </row>
    <row r="3" spans="1:20" s="421" customFormat="1">
      <c r="A3" s="421" t="s">
        <v>21</v>
      </c>
    </row>
    <row r="4" spans="1:20" s="400" customFormat="1" ht="46.5" customHeight="1">
      <c r="A4" s="527" t="s">
        <v>0</v>
      </c>
      <c r="B4" s="527" t="s">
        <v>2018</v>
      </c>
      <c r="C4" s="527" t="s">
        <v>2019</v>
      </c>
      <c r="D4" s="527" t="s">
        <v>2020</v>
      </c>
      <c r="E4" s="527" t="s">
        <v>2021</v>
      </c>
      <c r="F4" s="527" t="s">
        <v>2022</v>
      </c>
      <c r="G4" s="527" t="s">
        <v>1840</v>
      </c>
      <c r="H4" s="527" t="s">
        <v>2023</v>
      </c>
      <c r="I4" s="527" t="s">
        <v>2024</v>
      </c>
      <c r="J4" s="527" t="s">
        <v>2025</v>
      </c>
      <c r="K4" s="527" t="s">
        <v>2026</v>
      </c>
      <c r="L4" s="527" t="s">
        <v>2027</v>
      </c>
      <c r="M4" s="527" t="s">
        <v>2028</v>
      </c>
      <c r="N4" s="527" t="s">
        <v>2029</v>
      </c>
      <c r="O4" s="527" t="s">
        <v>2030</v>
      </c>
      <c r="P4" s="527" t="s">
        <v>2031</v>
      </c>
      <c r="Q4" s="527" t="s">
        <v>2032</v>
      </c>
      <c r="R4" s="527" t="s">
        <v>2033</v>
      </c>
      <c r="S4" s="527" t="s">
        <v>2034</v>
      </c>
      <c r="T4" s="527" t="s">
        <v>2035</v>
      </c>
    </row>
    <row r="5" spans="1:20" s="64" customFormat="1">
      <c r="A5" s="391" t="s">
        <v>15</v>
      </c>
      <c r="B5" s="392" t="s">
        <v>21</v>
      </c>
      <c r="C5" s="320" t="s">
        <v>2198</v>
      </c>
      <c r="D5" s="389" t="s">
        <v>2199</v>
      </c>
      <c r="E5" s="389" t="s">
        <v>2200</v>
      </c>
      <c r="F5" s="399" t="s">
        <v>2060</v>
      </c>
      <c r="G5" s="398">
        <v>42777</v>
      </c>
      <c r="H5" s="390" t="s">
        <v>2201</v>
      </c>
      <c r="I5" s="398">
        <v>0</v>
      </c>
      <c r="J5" s="398">
        <v>200131</v>
      </c>
      <c r="K5" s="398">
        <v>133666</v>
      </c>
      <c r="L5" s="401">
        <v>0</v>
      </c>
      <c r="M5" s="401">
        <v>8.107429281637471E-2</v>
      </c>
      <c r="N5" s="401">
        <v>9.6423418744228995E-2</v>
      </c>
      <c r="O5" s="401">
        <v>8.107429281637471E-2</v>
      </c>
      <c r="P5" s="401">
        <v>1.561997646428144E-2</v>
      </c>
      <c r="Q5" s="401">
        <v>9.6694269280656206E-2</v>
      </c>
      <c r="R5" s="436">
        <f>(SUM(Q6:Q12))/2.5</f>
        <v>-2.6489803583339903E-2</v>
      </c>
      <c r="S5" s="436">
        <f>T5+R5</f>
        <v>1.218790412892258E-2</v>
      </c>
      <c r="T5" s="364">
        <f>Q5/2.5</f>
        <v>3.8677707712262484E-2</v>
      </c>
    </row>
    <row r="6" spans="1:20">
      <c r="A6" s="441" t="s">
        <v>2202</v>
      </c>
      <c r="B6" s="320" t="s">
        <v>2203</v>
      </c>
      <c r="C6" s="320" t="s">
        <v>2198</v>
      </c>
      <c r="D6" s="428" t="s">
        <v>2199</v>
      </c>
      <c r="E6" s="428" t="s">
        <v>2200</v>
      </c>
      <c r="F6" s="528" t="s">
        <v>2043</v>
      </c>
      <c r="G6" s="397">
        <v>46410.239999999998</v>
      </c>
      <c r="H6" s="428" t="s">
        <v>2204</v>
      </c>
      <c r="I6" s="397">
        <v>135694</v>
      </c>
      <c r="J6" s="397">
        <v>128961</v>
      </c>
      <c r="K6" s="397">
        <v>70493</v>
      </c>
      <c r="L6" s="401">
        <v>6.3731356462372879E-2</v>
      </c>
      <c r="M6" s="401">
        <v>5.2242890286324957E-2</v>
      </c>
      <c r="N6" s="401">
        <v>5.0851944829178208E-2</v>
      </c>
      <c r="O6" s="401">
        <v>-6.5177467469847497E-3</v>
      </c>
      <c r="P6" s="401">
        <v>-1.2481038454851476E-3</v>
      </c>
      <c r="Q6" s="401">
        <v>-7.7658505924698973E-3</v>
      </c>
      <c r="R6" s="401"/>
      <c r="S6" s="401"/>
      <c r="T6" s="364">
        <f>Q6/2.5</f>
        <v>-3.1063402369879587E-3</v>
      </c>
    </row>
    <row r="7" spans="1:20">
      <c r="A7" s="441" t="s">
        <v>2205</v>
      </c>
      <c r="B7" s="320" t="s">
        <v>2206</v>
      </c>
      <c r="C7" s="320" t="s">
        <v>2198</v>
      </c>
      <c r="D7" s="428" t="s">
        <v>2199</v>
      </c>
      <c r="E7" s="428" t="s">
        <v>2200</v>
      </c>
      <c r="F7" s="528" t="s">
        <v>2043</v>
      </c>
      <c r="G7" s="397">
        <v>47817.050399999993</v>
      </c>
      <c r="H7" s="428" t="s">
        <v>2204</v>
      </c>
      <c r="I7" s="397">
        <v>62091</v>
      </c>
      <c r="J7" s="397">
        <v>52977</v>
      </c>
      <c r="K7" s="397">
        <v>20545</v>
      </c>
      <c r="L7" s="401">
        <v>2.9162259599578425E-2</v>
      </c>
      <c r="M7" s="401">
        <v>2.1461306896648113E-2</v>
      </c>
      <c r="N7" s="401">
        <v>1.4820665974145891E-2</v>
      </c>
      <c r="O7" s="401">
        <v>-5.4264457971720491E-3</v>
      </c>
      <c r="P7" s="401">
        <v>-6.5990101093493184E-3</v>
      </c>
      <c r="Q7" s="401">
        <v>-1.2025455906521368E-2</v>
      </c>
      <c r="R7" s="401"/>
      <c r="S7" s="401"/>
      <c r="T7" s="364">
        <f>Q7/2.5</f>
        <v>-4.810182362608547E-3</v>
      </c>
    </row>
    <row r="8" spans="1:20">
      <c r="A8" s="441" t="s">
        <v>2207</v>
      </c>
      <c r="B8" s="320" t="s">
        <v>2208</v>
      </c>
      <c r="C8" s="320" t="s">
        <v>2198</v>
      </c>
      <c r="D8" s="428" t="s">
        <v>2199</v>
      </c>
      <c r="E8" s="428" t="s">
        <v>2200</v>
      </c>
      <c r="F8" s="528" t="s">
        <v>2043</v>
      </c>
      <c r="G8" s="397">
        <v>47860.56</v>
      </c>
      <c r="H8" s="428" t="s">
        <v>2204</v>
      </c>
      <c r="I8" s="397">
        <v>160900</v>
      </c>
      <c r="J8" s="397">
        <v>140049</v>
      </c>
      <c r="K8" s="397">
        <v>73053</v>
      </c>
      <c r="L8" s="401">
        <v>7.5569850212948222E-2</v>
      </c>
      <c r="M8" s="401">
        <v>5.6734706940156511E-2</v>
      </c>
      <c r="N8" s="401">
        <v>5.2698666897506928E-2</v>
      </c>
      <c r="O8" s="401">
        <v>-1.2941081957359456E-2</v>
      </c>
      <c r="P8" s="401">
        <v>-3.8880110432210624E-3</v>
      </c>
      <c r="Q8" s="401">
        <v>-1.6829093000580518E-2</v>
      </c>
      <c r="R8" s="401"/>
      <c r="S8" s="401"/>
      <c r="T8" s="364">
        <f>Q8/2.5</f>
        <v>-6.7316372002322071E-3</v>
      </c>
    </row>
    <row r="9" spans="1:20">
      <c r="A9" s="320" t="s">
        <v>2209</v>
      </c>
      <c r="B9" s="320" t="s">
        <v>2210</v>
      </c>
      <c r="C9" s="320" t="s">
        <v>2198</v>
      </c>
      <c r="D9" s="428" t="s">
        <v>2199</v>
      </c>
      <c r="E9" s="428" t="s">
        <v>2200</v>
      </c>
      <c r="F9" s="428" t="s">
        <v>2043</v>
      </c>
      <c r="G9" s="397">
        <v>43211.40731556106</v>
      </c>
      <c r="H9" s="529" t="s">
        <v>2201</v>
      </c>
      <c r="I9" s="397">
        <v>16716</v>
      </c>
      <c r="J9" s="397">
        <v>6052</v>
      </c>
      <c r="K9" s="397">
        <v>2113</v>
      </c>
      <c r="L9" s="401">
        <v>7.8509982359207114E-3</v>
      </c>
      <c r="M9" s="401">
        <v>2.2256530209370995E-3</v>
      </c>
      <c r="N9" s="401">
        <v>1.6577216066481994E-3</v>
      </c>
      <c r="O9" s="401">
        <v>-4.7869583436502237E-3</v>
      </c>
      <c r="P9" s="401">
        <v>-9.2315353224895207E-4</v>
      </c>
      <c r="Q9" s="401">
        <v>-5.7101118758991756E-3</v>
      </c>
      <c r="R9" s="401"/>
      <c r="S9" s="401"/>
      <c r="T9" s="364">
        <f>Q9/2.5</f>
        <v>-2.2840447503596701E-3</v>
      </c>
    </row>
    <row r="10" spans="1:20" s="396" customFormat="1">
      <c r="A10" s="393" t="s">
        <v>2046</v>
      </c>
      <c r="B10" s="394" t="s">
        <v>2211</v>
      </c>
      <c r="C10" s="320" t="s">
        <v>2036</v>
      </c>
      <c r="D10" s="395" t="s">
        <v>2199</v>
      </c>
      <c r="E10" s="395" t="s">
        <v>2200</v>
      </c>
      <c r="F10" s="395" t="s">
        <v>2043</v>
      </c>
      <c r="G10" s="397">
        <v>40123</v>
      </c>
      <c r="H10" s="529" t="s">
        <v>2212</v>
      </c>
      <c r="I10" s="402">
        <v>95304</v>
      </c>
      <c r="J10" s="402">
        <v>107733</v>
      </c>
      <c r="K10" s="402">
        <v>48360</v>
      </c>
      <c r="L10" s="401">
        <v>4.4761398413267983E-2</v>
      </c>
      <c r="M10" s="401">
        <v>4.3643297580017573E-2</v>
      </c>
      <c r="N10" s="401">
        <v>3.4885734072022161E-2</v>
      </c>
      <c r="O10" s="401">
        <v>2.3730590151396294E-3</v>
      </c>
      <c r="P10" s="401">
        <v>-8.6595705109608831E-3</v>
      </c>
      <c r="Q10" s="401">
        <v>-6.2865114958212537E-3</v>
      </c>
      <c r="R10" s="401"/>
      <c r="S10" s="401"/>
      <c r="T10" s="364">
        <f t="shared" ref="T10" si="0">Q10/2.5</f>
        <v>-2.5146045983285015E-3</v>
      </c>
    </row>
    <row r="11" spans="1:20">
      <c r="A11" s="441" t="s">
        <v>2213</v>
      </c>
      <c r="B11" s="320" t="s">
        <v>2214</v>
      </c>
      <c r="C11" s="320" t="s">
        <v>2198</v>
      </c>
      <c r="D11" s="528" t="s">
        <v>2199</v>
      </c>
      <c r="E11" s="528" t="s">
        <v>2200</v>
      </c>
      <c r="F11" s="428" t="s">
        <v>2043</v>
      </c>
      <c r="G11" s="397">
        <f>300000/6.5</f>
        <v>46153.846153846156</v>
      </c>
      <c r="H11" s="529" t="s">
        <v>2204</v>
      </c>
      <c r="I11" s="402">
        <v>60937</v>
      </c>
      <c r="J11" s="402">
        <v>58837</v>
      </c>
      <c r="K11" s="402">
        <v>27052</v>
      </c>
      <c r="L11" s="412">
        <v>2.8620260798175427E-2</v>
      </c>
      <c r="M11" s="412">
        <v>2.3835228757349131E-2</v>
      </c>
      <c r="N11" s="412">
        <v>1.9514658356417358E-2</v>
      </c>
      <c r="O11" s="412">
        <v>-2.5527982659444073E-3</v>
      </c>
      <c r="P11" s="412">
        <v>-4.2657543017634893E-3</v>
      </c>
      <c r="Q11" s="412">
        <v>-6.8185525677078966E-3</v>
      </c>
      <c r="R11" s="412"/>
      <c r="S11" s="412"/>
      <c r="T11" s="364">
        <f>Q11/2.5</f>
        <v>-2.7274210270831585E-3</v>
      </c>
    </row>
    <row r="12" spans="1:20">
      <c r="A12" s="320" t="s">
        <v>2215</v>
      </c>
      <c r="B12" s="320" t="s">
        <v>2216</v>
      </c>
      <c r="C12" s="320" t="s">
        <v>2198</v>
      </c>
      <c r="D12" s="528" t="s">
        <v>2199</v>
      </c>
      <c r="E12" s="528" t="s">
        <v>2200</v>
      </c>
      <c r="F12" s="428" t="s">
        <v>2043</v>
      </c>
      <c r="G12" s="397">
        <v>48270</v>
      </c>
      <c r="H12" s="529" t="s">
        <v>2217</v>
      </c>
      <c r="I12" s="402">
        <v>144648</v>
      </c>
      <c r="J12" s="402">
        <v>133190</v>
      </c>
      <c r="K12" s="402">
        <v>71674</v>
      </c>
      <c r="L12" s="412">
        <v>6.7936778704801346E-2</v>
      </c>
      <c r="M12" s="412">
        <v>5.3956084066001511E-2</v>
      </c>
      <c r="N12" s="412">
        <v>5.1703889658356414E-2</v>
      </c>
      <c r="O12" s="412">
        <v>-8.6819738112383221E-3</v>
      </c>
      <c r="P12" s="412">
        <v>-2.106959708111325E-3</v>
      </c>
      <c r="Q12" s="412">
        <v>-1.0788933519349647E-2</v>
      </c>
      <c r="R12" s="412"/>
      <c r="S12" s="412"/>
      <c r="T12" s="364">
        <f>Q12/2.5</f>
        <v>-4.3155734077398589E-3</v>
      </c>
    </row>
    <row r="13" spans="1:20">
      <c r="A13" t="s">
        <v>24</v>
      </c>
      <c r="I13" s="403">
        <f t="shared" ref="I13:Q13" si="1">SUM(I5:I12)</f>
        <v>676290</v>
      </c>
      <c r="J13" s="403">
        <f t="shared" si="1"/>
        <v>827930</v>
      </c>
      <c r="K13" s="403">
        <f t="shared" si="1"/>
        <v>446956</v>
      </c>
      <c r="L13" s="364">
        <f t="shared" si="1"/>
        <v>0.31763290242706499</v>
      </c>
      <c r="M13" s="364">
        <f t="shared" si="1"/>
        <v>0.33517346036380957</v>
      </c>
      <c r="N13" s="364">
        <f t="shared" si="1"/>
        <v>0.32255670013850418</v>
      </c>
      <c r="O13" s="364">
        <f t="shared" si="1"/>
        <v>4.2540346909165139E-2</v>
      </c>
      <c r="P13" s="364">
        <f t="shared" si="1"/>
        <v>-1.2070586586858736E-2</v>
      </c>
      <c r="Q13" s="364">
        <f t="shared" si="1"/>
        <v>3.0469760322306458E-2</v>
      </c>
      <c r="R13" s="364"/>
      <c r="S13" s="364"/>
    </row>
    <row r="14" spans="1:20">
      <c r="A14" s="64" t="s">
        <v>2218</v>
      </c>
    </row>
    <row r="15" spans="1:20">
      <c r="A15" t="s">
        <v>2219</v>
      </c>
      <c r="B15">
        <v>2020</v>
      </c>
      <c r="C15">
        <v>2021</v>
      </c>
      <c r="D15" t="s">
        <v>14</v>
      </c>
      <c r="E15" t="s">
        <v>11</v>
      </c>
      <c r="F15" t="s">
        <v>12</v>
      </c>
      <c r="G15" t="s">
        <v>13</v>
      </c>
      <c r="H15" t="s">
        <v>2220</v>
      </c>
      <c r="I15" t="s">
        <v>2221</v>
      </c>
      <c r="J15" t="s">
        <v>2222</v>
      </c>
      <c r="K15" t="s">
        <v>2223</v>
      </c>
      <c r="L15" t="s">
        <v>2224</v>
      </c>
      <c r="M15" t="s">
        <v>2225</v>
      </c>
      <c r="N15" t="s">
        <v>2226</v>
      </c>
    </row>
    <row r="16" spans="1:20">
      <c r="A16" t="s">
        <v>2227</v>
      </c>
      <c r="B16" s="405">
        <v>2129156</v>
      </c>
      <c r="C16" s="405">
        <v>2468489</v>
      </c>
      <c r="D16" s="279">
        <f>AVERAGE(B16:C16)</f>
        <v>2298822.5</v>
      </c>
      <c r="E16" s="279">
        <f>AVERAGE(C16:D16)</f>
        <v>2383655.75</v>
      </c>
      <c r="F16" s="279">
        <f t="shared" ref="F16:L16" si="2">AVERAGE(D16:E16)</f>
        <v>2341239.125</v>
      </c>
      <c r="G16" s="279">
        <f t="shared" si="2"/>
        <v>2362447.4375</v>
      </c>
      <c r="H16" s="279">
        <f t="shared" si="2"/>
        <v>2351843.28125</v>
      </c>
      <c r="I16" s="279">
        <f>AVERAGE(G16:H16)</f>
        <v>2357145.359375</v>
      </c>
      <c r="J16" s="279">
        <f t="shared" si="2"/>
        <v>2354494.3203125</v>
      </c>
      <c r="K16" s="279">
        <f t="shared" si="2"/>
        <v>2355819.83984375</v>
      </c>
      <c r="L16" s="279">
        <f t="shared" si="2"/>
        <v>2355157.080078125</v>
      </c>
      <c r="N16" t="s">
        <v>162</v>
      </c>
    </row>
    <row r="17" spans="1:20">
      <c r="A17" s="64" t="s">
        <v>2228</v>
      </c>
    </row>
    <row r="18" spans="1:20">
      <c r="A18" s="320" t="s">
        <v>21</v>
      </c>
      <c r="B18" s="401">
        <v>0</v>
      </c>
      <c r="C18" s="401">
        <v>8.107429281637471E-2</v>
      </c>
      <c r="D18" s="296">
        <f t="shared" ref="D18:L18" si="3">C18+$N18</f>
        <v>0.10097104417949314</v>
      </c>
      <c r="E18" s="296">
        <f t="shared" si="3"/>
        <v>0.12086779554261157</v>
      </c>
      <c r="F18" s="296">
        <f t="shared" si="3"/>
        <v>0.14076454690572998</v>
      </c>
      <c r="G18" s="296">
        <f t="shared" si="3"/>
        <v>0.1606612982688484</v>
      </c>
      <c r="H18" s="296">
        <f t="shared" si="3"/>
        <v>0.18055804963196681</v>
      </c>
      <c r="I18" s="296">
        <f t="shared" si="3"/>
        <v>0.20045480099508522</v>
      </c>
      <c r="J18" s="296">
        <f t="shared" si="3"/>
        <v>0.22035155235820364</v>
      </c>
      <c r="K18" s="296">
        <f t="shared" si="3"/>
        <v>0.24024830372132205</v>
      </c>
      <c r="L18" s="296">
        <f t="shared" si="3"/>
        <v>0.26014505508444047</v>
      </c>
      <c r="M18" s="419"/>
      <c r="N18" s="364">
        <f>-SUM(N19:N25)</f>
        <v>1.9896751363118428E-2</v>
      </c>
      <c r="O18" t="s">
        <v>2229</v>
      </c>
    </row>
    <row r="19" spans="1:20">
      <c r="A19" s="320" t="s">
        <v>2203</v>
      </c>
      <c r="B19" s="401">
        <v>6.3731356462372879E-2</v>
      </c>
      <c r="C19" s="401">
        <v>5.2242890286324957E-2</v>
      </c>
      <c r="D19" s="296">
        <f t="shared" ref="D19:L19" si="4">C19+$N19</f>
        <v>4.9136550049337001E-2</v>
      </c>
      <c r="E19" s="296">
        <f t="shared" si="4"/>
        <v>4.6030209812349045E-2</v>
      </c>
      <c r="F19" s="296">
        <f t="shared" si="4"/>
        <v>4.2923869575361089E-2</v>
      </c>
      <c r="G19" s="296">
        <f t="shared" si="4"/>
        <v>3.9817529338373132E-2</v>
      </c>
      <c r="H19" s="296">
        <f t="shared" si="4"/>
        <v>3.6711189101385176E-2</v>
      </c>
      <c r="I19" s="296">
        <f t="shared" si="4"/>
        <v>3.360484886439722E-2</v>
      </c>
      <c r="J19" s="296">
        <f t="shared" si="4"/>
        <v>3.0498508627409261E-2</v>
      </c>
      <c r="K19" s="296">
        <f t="shared" si="4"/>
        <v>2.7392168390421301E-2</v>
      </c>
      <c r="L19" s="296">
        <f t="shared" si="4"/>
        <v>2.4285828153433341E-2</v>
      </c>
      <c r="M19" s="419">
        <v>1</v>
      </c>
      <c r="N19" s="406">
        <f t="shared" ref="N19:N25" si="5">T6*M19</f>
        <v>-3.1063402369879587E-3</v>
      </c>
    </row>
    <row r="20" spans="1:20">
      <c r="A20" s="320" t="s">
        <v>2206</v>
      </c>
      <c r="B20" s="401">
        <v>2.9162259599578425E-2</v>
      </c>
      <c r="C20" s="401">
        <v>2.1461306896648113E-2</v>
      </c>
      <c r="D20" s="296">
        <f t="shared" ref="D20:L20" si="6">C20+$N20</f>
        <v>1.9296724833474267E-2</v>
      </c>
      <c r="E20" s="296">
        <f t="shared" si="6"/>
        <v>1.713214277030042E-2</v>
      </c>
      <c r="F20" s="296">
        <f t="shared" si="6"/>
        <v>1.4967560707126574E-2</v>
      </c>
      <c r="G20" s="296">
        <f t="shared" si="6"/>
        <v>1.2802978643952728E-2</v>
      </c>
      <c r="H20" s="296">
        <f t="shared" si="6"/>
        <v>1.0638396580778881E-2</v>
      </c>
      <c r="I20" s="296">
        <f t="shared" si="6"/>
        <v>8.4738145176050349E-3</v>
      </c>
      <c r="J20" s="296">
        <f t="shared" si="6"/>
        <v>6.3092324544311885E-3</v>
      </c>
      <c r="K20" s="296">
        <f t="shared" si="6"/>
        <v>4.1446503912573422E-3</v>
      </c>
      <c r="L20" s="296">
        <f t="shared" si="6"/>
        <v>1.9800683280834959E-3</v>
      </c>
      <c r="M20" s="419">
        <v>0.45</v>
      </c>
      <c r="N20" s="406">
        <f t="shared" si="5"/>
        <v>-2.1645820631738463E-3</v>
      </c>
    </row>
    <row r="21" spans="1:20">
      <c r="A21" s="320" t="s">
        <v>2208</v>
      </c>
      <c r="B21" s="401">
        <v>7.5569850212948222E-2</v>
      </c>
      <c r="C21" s="401">
        <v>5.6734706940156511E-2</v>
      </c>
      <c r="D21" s="296">
        <f t="shared" ref="D21:L21" si="7">C21+$N21</f>
        <v>5.1349397179970745E-2</v>
      </c>
      <c r="E21" s="296">
        <f t="shared" si="7"/>
        <v>4.5964087419784978E-2</v>
      </c>
      <c r="F21" s="296">
        <f t="shared" si="7"/>
        <v>4.0578777659599212E-2</v>
      </c>
      <c r="G21" s="296">
        <f t="shared" si="7"/>
        <v>3.5193467899413446E-2</v>
      </c>
      <c r="H21" s="296">
        <f t="shared" si="7"/>
        <v>2.9808158139227679E-2</v>
      </c>
      <c r="I21" s="296">
        <f t="shared" si="7"/>
        <v>2.4422848379041913E-2</v>
      </c>
      <c r="J21" s="296">
        <f t="shared" si="7"/>
        <v>1.9037538618856147E-2</v>
      </c>
      <c r="K21" s="296">
        <f t="shared" si="7"/>
        <v>1.365222885867038E-2</v>
      </c>
      <c r="L21" s="296">
        <f t="shared" si="7"/>
        <v>8.2669190984846139E-3</v>
      </c>
      <c r="M21" s="419">
        <v>0.8</v>
      </c>
      <c r="N21" s="406">
        <f t="shared" si="5"/>
        <v>-5.3853097601857663E-3</v>
      </c>
    </row>
    <row r="22" spans="1:20">
      <c r="A22" s="320" t="s">
        <v>2210</v>
      </c>
      <c r="B22" s="401">
        <v>7.8509982359207114E-3</v>
      </c>
      <c r="C22" s="401">
        <v>2.2256530209370995E-3</v>
      </c>
      <c r="D22" s="296">
        <f t="shared" ref="D22:L22" si="8">C22+$N22</f>
        <v>1.9972485459011325E-3</v>
      </c>
      <c r="E22" s="296">
        <f t="shared" si="8"/>
        <v>1.7688440708651656E-3</v>
      </c>
      <c r="F22" s="296">
        <f t="shared" si="8"/>
        <v>1.5404395958291987E-3</v>
      </c>
      <c r="G22" s="296">
        <f t="shared" si="8"/>
        <v>1.3120351207932318E-3</v>
      </c>
      <c r="H22" s="296">
        <f t="shared" si="8"/>
        <v>1.0836306457572649E-3</v>
      </c>
      <c r="I22" s="296">
        <f t="shared" si="8"/>
        <v>8.5522617072129783E-4</v>
      </c>
      <c r="J22" s="296">
        <f t="shared" si="8"/>
        <v>6.268216956853308E-4</v>
      </c>
      <c r="K22" s="296">
        <f t="shared" si="8"/>
        <v>3.9841722064936377E-4</v>
      </c>
      <c r="L22" s="296">
        <f t="shared" si="8"/>
        <v>1.7001274561339675E-4</v>
      </c>
      <c r="M22" s="419">
        <v>0.1</v>
      </c>
      <c r="N22" s="406">
        <f t="shared" si="5"/>
        <v>-2.2840447503596703E-4</v>
      </c>
    </row>
    <row r="23" spans="1:20">
      <c r="A23" s="394" t="s">
        <v>2211</v>
      </c>
      <c r="B23" s="401">
        <v>4.4761398413267983E-2</v>
      </c>
      <c r="C23" s="401">
        <v>4.3643297580017573E-2</v>
      </c>
      <c r="D23" s="296">
        <f t="shared" ref="D23:L23" si="9">C23+$N23</f>
        <v>4.1128692981689072E-2</v>
      </c>
      <c r="E23" s="296">
        <f t="shared" si="9"/>
        <v>3.861408838336057E-2</v>
      </c>
      <c r="F23" s="296">
        <f t="shared" si="9"/>
        <v>3.6099483785032069E-2</v>
      </c>
      <c r="G23" s="296">
        <f t="shared" si="9"/>
        <v>3.3584879186703567E-2</v>
      </c>
      <c r="H23" s="296">
        <f t="shared" si="9"/>
        <v>3.1070274588375066E-2</v>
      </c>
      <c r="I23" s="296">
        <f t="shared" si="9"/>
        <v>2.8555669990046564E-2</v>
      </c>
      <c r="J23" s="296">
        <f t="shared" si="9"/>
        <v>2.6041065391718063E-2</v>
      </c>
      <c r="K23" s="296">
        <f t="shared" si="9"/>
        <v>2.3526460793389561E-2</v>
      </c>
      <c r="L23" s="296">
        <f t="shared" si="9"/>
        <v>2.101185619506106E-2</v>
      </c>
      <c r="M23" s="419">
        <v>1</v>
      </c>
      <c r="N23" s="406">
        <f t="shared" si="5"/>
        <v>-2.5146045983285015E-3</v>
      </c>
    </row>
    <row r="24" spans="1:20">
      <c r="A24" s="320" t="s">
        <v>2214</v>
      </c>
      <c r="B24" s="412">
        <v>2.8620260798175427E-2</v>
      </c>
      <c r="C24" s="412">
        <v>2.3835228757349131E-2</v>
      </c>
      <c r="D24" s="296">
        <f t="shared" ref="D24:L24" si="10">C24+$N24</f>
        <v>2.1653291935682606E-2</v>
      </c>
      <c r="E24" s="296">
        <f t="shared" si="10"/>
        <v>1.9471355114016081E-2</v>
      </c>
      <c r="F24" s="296">
        <f t="shared" si="10"/>
        <v>1.7289418292349555E-2</v>
      </c>
      <c r="G24" s="296">
        <f t="shared" si="10"/>
        <v>1.5107481470683028E-2</v>
      </c>
      <c r="H24" s="296">
        <f t="shared" si="10"/>
        <v>1.2925544649016501E-2</v>
      </c>
      <c r="I24" s="296">
        <f t="shared" si="10"/>
        <v>1.0743607827349974E-2</v>
      </c>
      <c r="J24" s="296">
        <f t="shared" si="10"/>
        <v>8.5616710056834466E-3</v>
      </c>
      <c r="K24" s="296">
        <f t="shared" si="10"/>
        <v>6.3797341840169195E-3</v>
      </c>
      <c r="L24" s="296">
        <f t="shared" si="10"/>
        <v>4.1977973623503924E-3</v>
      </c>
      <c r="M24" s="419">
        <v>0.8</v>
      </c>
      <c r="N24" s="406">
        <f t="shared" si="5"/>
        <v>-2.1819368216665267E-3</v>
      </c>
    </row>
    <row r="25" spans="1:20">
      <c r="A25" s="320" t="s">
        <v>2216</v>
      </c>
      <c r="B25" s="412">
        <v>6.7936778704801346E-2</v>
      </c>
      <c r="C25" s="412">
        <v>5.3956084066001511E-2</v>
      </c>
      <c r="D25" s="296">
        <f t="shared" ref="D25:L25" si="11">C25+$N25</f>
        <v>4.9640510658261652E-2</v>
      </c>
      <c r="E25" s="296">
        <f t="shared" si="11"/>
        <v>4.5324937250521793E-2</v>
      </c>
      <c r="F25" s="296">
        <f t="shared" si="11"/>
        <v>4.1009363842781935E-2</v>
      </c>
      <c r="G25" s="296">
        <f t="shared" si="11"/>
        <v>3.6693790435042076E-2</v>
      </c>
      <c r="H25" s="296">
        <f t="shared" si="11"/>
        <v>3.2378217027302217E-2</v>
      </c>
      <c r="I25" s="296">
        <f t="shared" si="11"/>
        <v>2.8062643619562358E-2</v>
      </c>
      <c r="J25" s="296">
        <f t="shared" si="11"/>
        <v>2.3747070211822499E-2</v>
      </c>
      <c r="K25" s="296">
        <f t="shared" si="11"/>
        <v>1.943149680408264E-2</v>
      </c>
      <c r="L25" s="296">
        <f t="shared" si="11"/>
        <v>1.5115923396342781E-2</v>
      </c>
      <c r="M25" s="419">
        <v>1</v>
      </c>
      <c r="N25" s="406">
        <f t="shared" si="5"/>
        <v>-4.3155734077398589E-3</v>
      </c>
    </row>
    <row r="26" spans="1:20">
      <c r="A26" s="64" t="s">
        <v>2036</v>
      </c>
      <c r="D26" s="296"/>
      <c r="E26" s="296"/>
      <c r="F26" s="296"/>
      <c r="G26" s="296"/>
      <c r="H26" s="296"/>
      <c r="I26" s="296"/>
      <c r="J26" s="296"/>
      <c r="K26" s="296"/>
      <c r="L26" s="296"/>
    </row>
    <row r="27" spans="1:20">
      <c r="A27" s="320" t="s">
        <v>21</v>
      </c>
      <c r="B27" s="85">
        <f>I5</f>
        <v>0</v>
      </c>
      <c r="C27" s="85">
        <f>J5</f>
        <v>200131</v>
      </c>
      <c r="D27" s="403">
        <f>D18*D16</f>
        <v>232114.50820831285</v>
      </c>
      <c r="E27" s="403">
        <f t="shared" ref="E27:L27" si="12">E18*E16</f>
        <v>288107.21583497041</v>
      </c>
      <c r="F27" s="403">
        <f t="shared" si="12"/>
        <v>329563.46462859272</v>
      </c>
      <c r="G27" s="403">
        <f t="shared" si="12"/>
        <v>379553.87240066408</v>
      </c>
      <c r="H27" s="403">
        <f t="shared" si="12"/>
        <v>424644.23590254516</v>
      </c>
      <c r="I27" s="403">
        <f t="shared" si="12"/>
        <v>472501.10393000429</v>
      </c>
      <c r="J27" s="403">
        <f t="shared" si="12"/>
        <v>518816.47849943291</v>
      </c>
      <c r="K27" s="403">
        <f t="shared" si="12"/>
        <v>565981.72039549751</v>
      </c>
      <c r="L27" s="403">
        <f t="shared" si="12"/>
        <v>612682.46832943382</v>
      </c>
      <c r="M27" t="s">
        <v>2230</v>
      </c>
    </row>
    <row r="29" spans="1:20" s="421" customFormat="1">
      <c r="A29" s="421" t="s">
        <v>148</v>
      </c>
    </row>
    <row r="30" spans="1:20" s="407" customFormat="1" ht="42">
      <c r="A30" s="530" t="s">
        <v>0</v>
      </c>
      <c r="B30" s="530" t="s">
        <v>2018</v>
      </c>
      <c r="C30" s="530" t="s">
        <v>2019</v>
      </c>
      <c r="D30" s="530" t="s">
        <v>2020</v>
      </c>
      <c r="E30" s="530" t="s">
        <v>2021</v>
      </c>
      <c r="F30" s="530" t="s">
        <v>2022</v>
      </c>
      <c r="G30" s="530" t="s">
        <v>2231</v>
      </c>
      <c r="H30" s="530" t="s">
        <v>2023</v>
      </c>
      <c r="I30" s="531" t="s">
        <v>2024</v>
      </c>
      <c r="J30" s="531" t="s">
        <v>2025</v>
      </c>
      <c r="K30" s="531" t="s">
        <v>2026</v>
      </c>
      <c r="L30" s="531" t="s">
        <v>2027</v>
      </c>
      <c r="M30" s="531" t="s">
        <v>2028</v>
      </c>
      <c r="N30" s="531" t="s">
        <v>2029</v>
      </c>
      <c r="O30" s="531" t="s">
        <v>2030</v>
      </c>
      <c r="P30" s="531" t="s">
        <v>2031</v>
      </c>
      <c r="Q30" s="531" t="s">
        <v>2032</v>
      </c>
      <c r="R30" s="527" t="s">
        <v>2033</v>
      </c>
      <c r="S30" s="527" t="s">
        <v>2034</v>
      </c>
      <c r="T30" s="527" t="s">
        <v>2035</v>
      </c>
    </row>
    <row r="31" spans="1:20" s="64" customFormat="1">
      <c r="A31" s="391" t="s">
        <v>15</v>
      </c>
      <c r="B31" s="392" t="s">
        <v>148</v>
      </c>
      <c r="C31" s="320" t="s">
        <v>2198</v>
      </c>
      <c r="D31" s="409" t="s">
        <v>2037</v>
      </c>
      <c r="E31" s="409" t="s">
        <v>2200</v>
      </c>
      <c r="F31" s="389" t="s">
        <v>2060</v>
      </c>
      <c r="G31" s="413">
        <v>41177</v>
      </c>
      <c r="H31" s="418" t="s">
        <v>2212</v>
      </c>
      <c r="I31" s="414">
        <v>135449</v>
      </c>
      <c r="J31" s="414">
        <v>272972</v>
      </c>
      <c r="K31" s="414">
        <v>115718</v>
      </c>
      <c r="L31" s="412">
        <v>6.0919241942251998E-2</v>
      </c>
      <c r="M31" s="412">
        <v>0.11281443015636526</v>
      </c>
      <c r="N31" s="412">
        <v>9.7959923100300605E-2</v>
      </c>
      <c r="O31" s="412">
        <v>5.1895188214113264E-2</v>
      </c>
      <c r="P31" s="412">
        <v>-1.4854507056064656E-2</v>
      </c>
      <c r="Q31" s="412">
        <v>3.7040681158048608E-2</v>
      </c>
      <c r="R31" s="436">
        <f>(SUM(Q32:Q43))/2.5</f>
        <v>-6.1750727763696623E-3</v>
      </c>
      <c r="S31" s="436">
        <f>T31+R31</f>
        <v>8.6411996868497806E-3</v>
      </c>
      <c r="T31" s="364">
        <f>Q31/2.5</f>
        <v>1.4816272463219444E-2</v>
      </c>
    </row>
    <row r="32" spans="1:20">
      <c r="A32" s="393" t="s">
        <v>2232</v>
      </c>
      <c r="B32" s="394" t="s">
        <v>2233</v>
      </c>
      <c r="C32" s="320" t="s">
        <v>2198</v>
      </c>
      <c r="D32" s="528" t="s">
        <v>2037</v>
      </c>
      <c r="E32" s="395" t="s">
        <v>2200</v>
      </c>
      <c r="F32" s="395" t="s">
        <v>2043</v>
      </c>
      <c r="G32" s="410">
        <v>47720</v>
      </c>
      <c r="H32" s="417" t="s">
        <v>2204</v>
      </c>
      <c r="I32" s="411">
        <v>153132</v>
      </c>
      <c r="J32" s="411">
        <v>126021</v>
      </c>
      <c r="K32" s="411">
        <v>65791</v>
      </c>
      <c r="L32" s="412">
        <v>6.8872308818086023E-2</v>
      </c>
      <c r="M32" s="412">
        <v>5.2082218332778846E-2</v>
      </c>
      <c r="N32" s="412">
        <v>5.5694717336040006E-2</v>
      </c>
      <c r="O32" s="412">
        <v>-1.6790090485307177E-2</v>
      </c>
      <c r="P32" s="412">
        <v>3.6124990032611604E-3</v>
      </c>
      <c r="Q32" s="412">
        <v>-1.3177591482046017E-2</v>
      </c>
      <c r="R32" s="412"/>
      <c r="S32" s="412"/>
      <c r="T32" s="364">
        <f>Q32/2.5</f>
        <v>-5.271036592818407E-3</v>
      </c>
    </row>
    <row r="33" spans="1:21" s="64" customFormat="1">
      <c r="A33" s="441" t="s">
        <v>2055</v>
      </c>
      <c r="B33" s="320" t="s">
        <v>2234</v>
      </c>
      <c r="C33" s="320" t="s">
        <v>2036</v>
      </c>
      <c r="D33" s="528" t="s">
        <v>2037</v>
      </c>
      <c r="E33" s="528" t="s">
        <v>2200</v>
      </c>
      <c r="F33" s="528" t="s">
        <v>2039</v>
      </c>
      <c r="G33" s="410">
        <v>39673.46</v>
      </c>
      <c r="H33" s="417" t="s">
        <v>2235</v>
      </c>
      <c r="I33" s="415">
        <v>113</v>
      </c>
      <c r="J33" s="415">
        <v>5654</v>
      </c>
      <c r="K33" s="415">
        <v>0</v>
      </c>
      <c r="L33" s="412">
        <v>5.085778632708668E-5</v>
      </c>
      <c r="M33" s="412">
        <v>2.3366967604885819E-3</v>
      </c>
      <c r="N33" s="412">
        <v>0</v>
      </c>
      <c r="O33" s="412">
        <v>2.2858389741614951E-3</v>
      </c>
      <c r="P33" s="412">
        <v>-2.3366967604885819E-3</v>
      </c>
      <c r="Q33" s="412">
        <v>-5.085778632708668E-5</v>
      </c>
      <c r="R33" s="412"/>
      <c r="S33" s="412"/>
      <c r="T33" s="364">
        <f t="shared" ref="T33:T43" si="13">Q33/2.5</f>
        <v>-2.0343114530834671E-5</v>
      </c>
    </row>
    <row r="34" spans="1:21" s="64" customFormat="1">
      <c r="A34" s="391" t="s">
        <v>2236</v>
      </c>
      <c r="B34" s="320" t="s">
        <v>2237</v>
      </c>
      <c r="C34" s="320" t="s">
        <v>2036</v>
      </c>
      <c r="D34" s="409" t="s">
        <v>2037</v>
      </c>
      <c r="E34" s="409" t="s">
        <v>2200</v>
      </c>
      <c r="F34" s="409" t="s">
        <v>2039</v>
      </c>
      <c r="G34" s="413">
        <v>39363.39</v>
      </c>
      <c r="H34" s="418" t="s">
        <v>2235</v>
      </c>
      <c r="I34" s="414">
        <v>5645</v>
      </c>
      <c r="J34" s="414">
        <v>10276</v>
      </c>
      <c r="K34" s="414">
        <v>4804</v>
      </c>
      <c r="L34" s="412">
        <v>2.5388826847301386E-3</v>
      </c>
      <c r="M34" s="412">
        <v>4.2468864362894708E-3</v>
      </c>
      <c r="N34" s="412">
        <v>4.0667784663910899E-3</v>
      </c>
      <c r="O34" s="412">
        <v>1.7080037515593322E-3</v>
      </c>
      <c r="P34" s="412">
        <v>-1.8010796989838089E-4</v>
      </c>
      <c r="Q34" s="412">
        <v>1.5278957816609513E-3</v>
      </c>
      <c r="R34" s="412"/>
      <c r="S34" s="412"/>
      <c r="T34" s="364">
        <f t="shared" si="13"/>
        <v>6.1115831266438049E-4</v>
      </c>
    </row>
    <row r="35" spans="1:21">
      <c r="A35" s="441" t="s">
        <v>2236</v>
      </c>
      <c r="B35" s="320" t="s">
        <v>2238</v>
      </c>
      <c r="C35" s="320" t="s">
        <v>2036</v>
      </c>
      <c r="D35" s="528" t="s">
        <v>2037</v>
      </c>
      <c r="E35" s="528" t="s">
        <v>2200</v>
      </c>
      <c r="F35" s="428" t="s">
        <v>2043</v>
      </c>
      <c r="G35" s="410">
        <v>38743.25</v>
      </c>
      <c r="H35" s="417" t="s">
        <v>2235</v>
      </c>
      <c r="I35" s="415">
        <v>28435</v>
      </c>
      <c r="J35" s="415">
        <v>21081</v>
      </c>
      <c r="K35" s="415">
        <v>11630</v>
      </c>
      <c r="L35" s="412">
        <v>1.2797709329298315E-2</v>
      </c>
      <c r="M35" s="412">
        <v>8.7123990816872655E-3</v>
      </c>
      <c r="N35" s="412">
        <v>9.8452609417419585E-3</v>
      </c>
      <c r="O35" s="412">
        <v>-4.0853102476110497E-3</v>
      </c>
      <c r="P35" s="412">
        <v>1.132861860054693E-3</v>
      </c>
      <c r="Q35" s="412">
        <v>-2.9524483875563567E-3</v>
      </c>
      <c r="R35" s="412"/>
      <c r="S35" s="412"/>
      <c r="T35" s="364">
        <f t="shared" si="13"/>
        <v>-1.1809793550225426E-3</v>
      </c>
    </row>
    <row r="36" spans="1:21" s="64" customFormat="1">
      <c r="A36" s="391" t="s">
        <v>2057</v>
      </c>
      <c r="B36" s="320" t="s">
        <v>2239</v>
      </c>
      <c r="C36" s="320" t="s">
        <v>2036</v>
      </c>
      <c r="D36" s="409" t="s">
        <v>2037</v>
      </c>
      <c r="E36" s="409" t="s">
        <v>2200</v>
      </c>
      <c r="F36" s="409" t="s">
        <v>2039</v>
      </c>
      <c r="G36" s="413">
        <v>37813.040000000001</v>
      </c>
      <c r="H36" s="418" t="s">
        <v>2240</v>
      </c>
      <c r="I36" s="414">
        <v>16923</v>
      </c>
      <c r="J36" s="414">
        <v>9888</v>
      </c>
      <c r="K36" s="414">
        <v>5440</v>
      </c>
      <c r="L36" s="412">
        <v>7.6165160886131665E-3</v>
      </c>
      <c r="M36" s="412">
        <v>4.0865329974727801E-3</v>
      </c>
      <c r="N36" s="412">
        <v>4.6051779469541065E-3</v>
      </c>
      <c r="O36" s="412">
        <v>-3.5299830911403865E-3</v>
      </c>
      <c r="P36" s="412">
        <v>5.1864494948132642E-4</v>
      </c>
      <c r="Q36" s="412">
        <v>-3.01133814165906E-3</v>
      </c>
      <c r="R36" s="412"/>
      <c r="S36" s="412"/>
      <c r="T36" s="364">
        <f t="shared" si="13"/>
        <v>-1.204535256663624E-3</v>
      </c>
    </row>
    <row r="37" spans="1:21">
      <c r="A37" s="320" t="s">
        <v>2241</v>
      </c>
      <c r="B37" s="320" t="s">
        <v>2242</v>
      </c>
      <c r="C37" s="320" t="s">
        <v>2198</v>
      </c>
      <c r="D37" s="528" t="s">
        <v>2037</v>
      </c>
      <c r="E37" s="428" t="s">
        <v>2200</v>
      </c>
      <c r="F37" s="428" t="s">
        <v>2043</v>
      </c>
      <c r="G37" s="410">
        <v>37321.760694358338</v>
      </c>
      <c r="H37" s="417" t="s">
        <v>2240</v>
      </c>
      <c r="I37" s="415">
        <v>0</v>
      </c>
      <c r="J37" s="415">
        <v>0</v>
      </c>
      <c r="K37" s="415">
        <v>1947</v>
      </c>
      <c r="L37" s="412">
        <v>0</v>
      </c>
      <c r="M37" s="412">
        <v>0</v>
      </c>
      <c r="N37" s="412">
        <v>1.6482135041764054E-3</v>
      </c>
      <c r="O37" s="412">
        <v>0</v>
      </c>
      <c r="P37" s="412">
        <v>1.6482135041764054E-3</v>
      </c>
      <c r="Q37" s="412">
        <v>1.6482135041764054E-3</v>
      </c>
      <c r="R37" s="412"/>
      <c r="S37" s="412"/>
      <c r="T37" s="364">
        <f t="shared" si="13"/>
        <v>6.5928540167056217E-4</v>
      </c>
      <c r="U37" s="412"/>
    </row>
    <row r="38" spans="1:21">
      <c r="A38" s="392" t="s">
        <v>2243</v>
      </c>
      <c r="B38" s="320" t="s">
        <v>215</v>
      </c>
      <c r="C38" s="320" t="s">
        <v>2198</v>
      </c>
      <c r="D38" s="409" t="s">
        <v>2037</v>
      </c>
      <c r="E38" s="409" t="s">
        <v>2200</v>
      </c>
      <c r="F38" s="389" t="s">
        <v>2060</v>
      </c>
      <c r="G38" s="416">
        <v>37193</v>
      </c>
      <c r="H38" s="418" t="s">
        <v>2240</v>
      </c>
      <c r="I38" s="414">
        <v>15315</v>
      </c>
      <c r="J38" s="414">
        <v>60569</v>
      </c>
      <c r="K38" s="414">
        <v>35410</v>
      </c>
      <c r="L38" s="412">
        <v>6.892805288489668E-3</v>
      </c>
      <c r="M38" s="412">
        <v>2.5032081019814807E-2</v>
      </c>
      <c r="N38" s="412">
        <v>2.9975983658390607E-2</v>
      </c>
      <c r="O38" s="412">
        <v>1.8139275731325139E-2</v>
      </c>
      <c r="P38" s="412">
        <v>4.9439026385757999E-3</v>
      </c>
      <c r="Q38" s="412">
        <v>2.3083178369900939E-2</v>
      </c>
      <c r="R38" s="412"/>
      <c r="S38" s="412"/>
      <c r="T38" s="364">
        <f t="shared" si="13"/>
        <v>9.2332713479603753E-3</v>
      </c>
    </row>
    <row r="39" spans="1:21">
      <c r="A39" s="320" t="s">
        <v>2244</v>
      </c>
      <c r="B39" s="320" t="s">
        <v>2245</v>
      </c>
      <c r="C39" s="320" t="s">
        <v>2198</v>
      </c>
      <c r="D39" s="528" t="s">
        <v>2037</v>
      </c>
      <c r="E39" s="428" t="s">
        <v>2200</v>
      </c>
      <c r="F39" s="428" t="s">
        <v>2043</v>
      </c>
      <c r="G39" s="410">
        <v>37182.269063856169</v>
      </c>
      <c r="H39" s="417" t="s">
        <v>2240</v>
      </c>
      <c r="I39" s="415">
        <v>26348</v>
      </c>
      <c r="J39" s="415">
        <v>26129</v>
      </c>
      <c r="K39" s="415">
        <v>11394</v>
      </c>
      <c r="L39" s="412">
        <v>1.1858415523416635E-2</v>
      </c>
      <c r="M39" s="412">
        <v>1.0798646914539469E-2</v>
      </c>
      <c r="N39" s="412">
        <v>9.6454774866902744E-3</v>
      </c>
      <c r="O39" s="412">
        <v>-1.0597686088771666E-3</v>
      </c>
      <c r="P39" s="412">
        <v>-1.1531694278491943E-3</v>
      </c>
      <c r="Q39" s="412">
        <v>-2.2129380367263609E-3</v>
      </c>
      <c r="R39" s="412"/>
      <c r="S39" s="412"/>
      <c r="T39" s="364">
        <f t="shared" si="13"/>
        <v>-8.851752146905444E-4</v>
      </c>
    </row>
    <row r="40" spans="1:21">
      <c r="A40" s="320" t="s">
        <v>2205</v>
      </c>
      <c r="B40" s="320" t="s">
        <v>2246</v>
      </c>
      <c r="C40" s="320" t="s">
        <v>2198</v>
      </c>
      <c r="D40" s="528" t="s">
        <v>2037</v>
      </c>
      <c r="E40" s="528" t="s">
        <v>2200</v>
      </c>
      <c r="F40" s="428" t="s">
        <v>2043</v>
      </c>
      <c r="G40" s="410">
        <v>37161.89</v>
      </c>
      <c r="H40" s="417" t="s">
        <v>2240</v>
      </c>
      <c r="I40" s="415">
        <v>16662</v>
      </c>
      <c r="J40" s="415">
        <v>14809</v>
      </c>
      <c r="K40" s="415">
        <v>4558</v>
      </c>
      <c r="L40" s="412">
        <v>7.499048104264763E-3</v>
      </c>
      <c r="M40" s="412">
        <v>6.1202940088566343E-3</v>
      </c>
      <c r="N40" s="412">
        <v>3.8585296107016211E-3</v>
      </c>
      <c r="O40" s="412">
        <v>-1.3787540954081287E-3</v>
      </c>
      <c r="P40" s="412">
        <v>-2.2617643981550132E-3</v>
      </c>
      <c r="Q40" s="412">
        <v>-3.6405184935631419E-3</v>
      </c>
      <c r="R40" s="412"/>
      <c r="S40" s="412"/>
      <c r="T40" s="364">
        <f t="shared" si="13"/>
        <v>-1.4562073974252567E-3</v>
      </c>
    </row>
    <row r="41" spans="1:21">
      <c r="A41" s="320" t="s">
        <v>2202</v>
      </c>
      <c r="B41" s="320" t="s">
        <v>2247</v>
      </c>
      <c r="C41" s="320" t="s">
        <v>2198</v>
      </c>
      <c r="D41" s="528" t="s">
        <v>2037</v>
      </c>
      <c r="E41" s="428" t="s">
        <v>2200</v>
      </c>
      <c r="F41" s="428" t="s">
        <v>2043</v>
      </c>
      <c r="G41" s="410">
        <v>36252</v>
      </c>
      <c r="H41" s="417" t="s">
        <v>2240</v>
      </c>
      <c r="I41" s="415">
        <v>156164</v>
      </c>
      <c r="J41" s="415">
        <v>173000</v>
      </c>
      <c r="K41" s="415">
        <v>82143</v>
      </c>
      <c r="L41" s="412">
        <v>7.0235974415978272E-2</v>
      </c>
      <c r="M41" s="412">
        <v>7.1497796173421418E-2</v>
      </c>
      <c r="N41" s="412">
        <v>6.9537340458943234E-2</v>
      </c>
      <c r="O41" s="412">
        <v>1.2618217574431462E-3</v>
      </c>
      <c r="P41" s="412">
        <v>-1.9604557144781848E-3</v>
      </c>
      <c r="Q41" s="412">
        <v>-6.9863395703503861E-4</v>
      </c>
      <c r="R41" s="412"/>
      <c r="S41" s="412"/>
      <c r="T41" s="364">
        <f t="shared" si="13"/>
        <v>-2.7945358281401546E-4</v>
      </c>
    </row>
    <row r="42" spans="1:21">
      <c r="A42" s="394" t="s">
        <v>2236</v>
      </c>
      <c r="B42" s="394" t="s">
        <v>2248</v>
      </c>
      <c r="C42" s="320" t="s">
        <v>2036</v>
      </c>
      <c r="D42" s="528" t="s">
        <v>2037</v>
      </c>
      <c r="E42" s="395" t="s">
        <v>2200</v>
      </c>
      <c r="F42" s="395" t="s">
        <v>2043</v>
      </c>
      <c r="G42" s="410">
        <v>36170</v>
      </c>
      <c r="H42" s="417" t="s">
        <v>2240</v>
      </c>
      <c r="I42" s="411">
        <v>164685</v>
      </c>
      <c r="J42" s="411">
        <v>137064</v>
      </c>
      <c r="K42" s="411">
        <v>71211</v>
      </c>
      <c r="L42" s="412">
        <v>7.4119597710409463E-2</v>
      </c>
      <c r="M42" s="412">
        <v>5.6646092108172445E-2</v>
      </c>
      <c r="N42" s="412">
        <v>6.0282964481718541E-2</v>
      </c>
      <c r="O42" s="412">
        <v>-1.7473505602237017E-2</v>
      </c>
      <c r="P42" s="412">
        <v>3.6368723735460962E-3</v>
      </c>
      <c r="Q42" s="412">
        <v>-1.3836633228690921E-2</v>
      </c>
      <c r="R42" s="412"/>
      <c r="S42" s="412"/>
      <c r="T42" s="364">
        <f t="shared" si="13"/>
        <v>-5.5346532914763687E-3</v>
      </c>
    </row>
    <row r="43" spans="1:21" s="396" customFormat="1">
      <c r="A43" s="441" t="s">
        <v>2205</v>
      </c>
      <c r="B43" s="394" t="s">
        <v>2249</v>
      </c>
      <c r="C43" s="320" t="s">
        <v>2198</v>
      </c>
      <c r="D43" s="528" t="s">
        <v>2037</v>
      </c>
      <c r="E43" s="395" t="s">
        <v>2200</v>
      </c>
      <c r="F43" s="395" t="s">
        <v>2043</v>
      </c>
      <c r="G43" s="410">
        <v>43363</v>
      </c>
      <c r="H43" s="529" t="s">
        <v>2201</v>
      </c>
      <c r="I43" s="402">
        <v>45026</v>
      </c>
      <c r="J43" s="402">
        <v>62098</v>
      </c>
      <c r="K43" s="411">
        <v>26382</v>
      </c>
      <c r="L43" s="412">
        <v>2.1147346648155419E-2</v>
      </c>
      <c r="M43" s="412">
        <v>2.5156279813278486E-2</v>
      </c>
      <c r="N43" s="412">
        <v>1.9031336565096951E-2</v>
      </c>
      <c r="O43" s="412">
        <v>4.0089331651230672E-3</v>
      </c>
      <c r="P43" s="412">
        <v>-6.1249432481815351E-3</v>
      </c>
      <c r="Q43" s="412">
        <v>-2.1160100830584679E-3</v>
      </c>
      <c r="R43" s="412"/>
      <c r="S43" s="412"/>
      <c r="T43" s="364">
        <f t="shared" si="13"/>
        <v>-8.4640403322338719E-4</v>
      </c>
    </row>
    <row r="44" spans="1:21">
      <c r="A44" t="s">
        <v>24</v>
      </c>
      <c r="I44" s="403">
        <f>SUM(I31:I43)</f>
        <v>763897</v>
      </c>
      <c r="J44" s="403">
        <f t="shared" ref="J44:K44" si="14">SUM(J31:J43)</f>
        <v>919561</v>
      </c>
      <c r="K44" s="403">
        <f t="shared" si="14"/>
        <v>436428</v>
      </c>
      <c r="L44" s="364">
        <f>SUM(L31:L43)</f>
        <v>0.34454870434002094</v>
      </c>
      <c r="M44" s="364">
        <f t="shared" ref="M44:P44" si="15">SUM(M31:M43)</f>
        <v>0.37953035380316552</v>
      </c>
      <c r="N44" s="364">
        <f t="shared" si="15"/>
        <v>0.36615170355714544</v>
      </c>
      <c r="O44" s="364">
        <f t="shared" si="15"/>
        <v>3.4981649463144512E-2</v>
      </c>
      <c r="P44" s="364">
        <f t="shared" si="15"/>
        <v>-1.3378650246020064E-2</v>
      </c>
      <c r="Q44" s="364">
        <f>SUM(Q31:Q43)</f>
        <v>2.1602999217124445E-2</v>
      </c>
      <c r="R44" s="364"/>
      <c r="S44" s="364"/>
    </row>
    <row r="45" spans="1:21">
      <c r="A45" s="64" t="s">
        <v>2218</v>
      </c>
      <c r="J45">
        <f>J31/I31-1</f>
        <v>1.015312036264572</v>
      </c>
    </row>
    <row r="46" spans="1:21">
      <c r="A46" t="s">
        <v>2250</v>
      </c>
      <c r="B46">
        <v>2020</v>
      </c>
      <c r="C46">
        <v>2021</v>
      </c>
      <c r="D46" t="s">
        <v>14</v>
      </c>
      <c r="E46" t="s">
        <v>11</v>
      </c>
      <c r="F46" t="s">
        <v>12</v>
      </c>
      <c r="G46" t="s">
        <v>13</v>
      </c>
      <c r="H46" t="s">
        <v>2220</v>
      </c>
      <c r="I46" t="s">
        <v>2221</v>
      </c>
      <c r="J46" t="s">
        <v>2222</v>
      </c>
      <c r="K46" t="s">
        <v>2223</v>
      </c>
      <c r="L46" t="s">
        <v>2224</v>
      </c>
      <c r="M46" t="s">
        <v>2225</v>
      </c>
      <c r="N46" t="s">
        <v>2226</v>
      </c>
    </row>
    <row r="47" spans="1:21">
      <c r="A47" t="s">
        <v>2227</v>
      </c>
      <c r="B47" s="408">
        <v>2223419</v>
      </c>
      <c r="C47" s="408">
        <v>2419655</v>
      </c>
      <c r="D47" s="279">
        <f>AVERAGE(B47:C47)</f>
        <v>2321537</v>
      </c>
      <c r="E47" s="279">
        <f>AVERAGE(C47:D47)</f>
        <v>2370596</v>
      </c>
      <c r="F47" s="279">
        <f>AVERAGE(D47:E47)</f>
        <v>2346066.5</v>
      </c>
      <c r="G47" s="279">
        <f t="shared" ref="G47" si="16">AVERAGE(E47:F47)</f>
        <v>2358331.25</v>
      </c>
      <c r="H47" s="279">
        <f t="shared" ref="H47" si="17">AVERAGE(F47:G47)</f>
        <v>2352198.875</v>
      </c>
      <c r="I47" s="279">
        <f t="shared" ref="I47" si="18">AVERAGE(G47:H47)</f>
        <v>2355265.0625</v>
      </c>
      <c r="J47" s="279">
        <f t="shared" ref="J47" si="19">AVERAGE(H47:I47)</f>
        <v>2353731.96875</v>
      </c>
      <c r="K47" s="279">
        <f t="shared" ref="K47" si="20">AVERAGE(I47:J47)</f>
        <v>2354498.515625</v>
      </c>
      <c r="L47" s="279">
        <f t="shared" ref="L47" si="21">AVERAGE(J47:K47)</f>
        <v>2354115.2421875</v>
      </c>
      <c r="N47" t="s">
        <v>162</v>
      </c>
    </row>
    <row r="48" spans="1:21">
      <c r="A48" s="64" t="s">
        <v>2228</v>
      </c>
    </row>
    <row r="49" spans="1:15">
      <c r="A49" s="392" t="s">
        <v>148</v>
      </c>
      <c r="B49" s="404">
        <f>L31</f>
        <v>6.0919241942251998E-2</v>
      </c>
      <c r="C49" s="404">
        <f>M31</f>
        <v>0.11281443015636526</v>
      </c>
      <c r="D49" s="296">
        <f t="shared" ref="D49:L49" si="22">C49+$N49</f>
        <v>0.12153259009192455</v>
      </c>
      <c r="E49" s="296">
        <f t="shared" si="22"/>
        <v>0.13025075002748385</v>
      </c>
      <c r="F49" s="296">
        <f t="shared" si="22"/>
        <v>0.13896890996304315</v>
      </c>
      <c r="G49" s="296">
        <f t="shared" si="22"/>
        <v>0.14768706989860245</v>
      </c>
      <c r="H49" s="296">
        <f t="shared" si="22"/>
        <v>0.15640522983416175</v>
      </c>
      <c r="I49" s="296">
        <f t="shared" si="22"/>
        <v>0.16512338976972105</v>
      </c>
      <c r="J49" s="296">
        <f t="shared" si="22"/>
        <v>0.17384154970528035</v>
      </c>
      <c r="K49" s="296">
        <f t="shared" si="22"/>
        <v>0.18255970964083965</v>
      </c>
      <c r="L49" s="296">
        <f t="shared" si="22"/>
        <v>0.19127786957639895</v>
      </c>
      <c r="N49" s="364">
        <f>-SUM(N50:N61)</f>
        <v>8.7181599355592894E-3</v>
      </c>
      <c r="O49" t="s">
        <v>2229</v>
      </c>
    </row>
    <row r="50" spans="1:15">
      <c r="A50" s="394" t="s">
        <v>2233</v>
      </c>
      <c r="B50" s="404">
        <f t="shared" ref="B50:C50" si="23">L32</f>
        <v>6.8872308818086023E-2</v>
      </c>
      <c r="C50" s="404">
        <f t="shared" si="23"/>
        <v>5.2082218332778846E-2</v>
      </c>
      <c r="D50" s="296">
        <f t="shared" ref="D50:L50" si="24">C50+$N50</f>
        <v>4.681118173996044E-2</v>
      </c>
      <c r="E50" s="296">
        <f t="shared" si="24"/>
        <v>4.1540145147142035E-2</v>
      </c>
      <c r="F50" s="296">
        <f t="shared" si="24"/>
        <v>3.626910855432363E-2</v>
      </c>
      <c r="G50" s="296">
        <f t="shared" si="24"/>
        <v>3.0998071961505225E-2</v>
      </c>
      <c r="H50" s="296">
        <f t="shared" si="24"/>
        <v>2.5727035368686819E-2</v>
      </c>
      <c r="I50" s="296">
        <f t="shared" si="24"/>
        <v>2.0455998775868414E-2</v>
      </c>
      <c r="J50" s="296">
        <f t="shared" si="24"/>
        <v>1.5184962183050007E-2</v>
      </c>
      <c r="K50" s="296">
        <f t="shared" si="24"/>
        <v>9.9139255902316002E-3</v>
      </c>
      <c r="L50" s="296">
        <f t="shared" si="24"/>
        <v>4.6428889974131932E-3</v>
      </c>
      <c r="M50" s="419">
        <v>1</v>
      </c>
      <c r="N50" s="406">
        <f t="shared" ref="N50:N61" si="25">T32*M50</f>
        <v>-5.271036592818407E-3</v>
      </c>
    </row>
    <row r="51" spans="1:15">
      <c r="A51" s="320" t="s">
        <v>2234</v>
      </c>
      <c r="B51" s="404">
        <f t="shared" ref="B51:C51" si="26">L33</f>
        <v>5.085778632708668E-5</v>
      </c>
      <c r="C51" s="404">
        <f t="shared" si="26"/>
        <v>2.3366967604885819E-3</v>
      </c>
      <c r="D51" s="296">
        <f t="shared" ref="D51:L51" si="27">C51+$N51</f>
        <v>2.3163536459577471E-3</v>
      </c>
      <c r="E51" s="296">
        <f t="shared" si="27"/>
        <v>2.2960105314269123E-3</v>
      </c>
      <c r="F51" s="296">
        <f t="shared" si="27"/>
        <v>2.2756674168960774E-3</v>
      </c>
      <c r="G51" s="296">
        <f t="shared" si="27"/>
        <v>2.2553243023652426E-3</v>
      </c>
      <c r="H51" s="296">
        <f t="shared" si="27"/>
        <v>2.2349811878344078E-3</v>
      </c>
      <c r="I51" s="296">
        <f t="shared" si="27"/>
        <v>2.214638073303573E-3</v>
      </c>
      <c r="J51" s="296">
        <f t="shared" si="27"/>
        <v>2.1942949587727381E-3</v>
      </c>
      <c r="K51" s="296">
        <f t="shared" si="27"/>
        <v>2.1739518442419033E-3</v>
      </c>
      <c r="L51" s="296">
        <f t="shared" si="27"/>
        <v>2.1536087297110685E-3</v>
      </c>
      <c r="M51" s="419">
        <v>1</v>
      </c>
      <c r="N51" s="406">
        <f t="shared" si="25"/>
        <v>-2.0343114530834671E-5</v>
      </c>
    </row>
    <row r="52" spans="1:15">
      <c r="A52" s="320" t="s">
        <v>2237</v>
      </c>
      <c r="B52" s="404">
        <f t="shared" ref="B52:C52" si="28">L34</f>
        <v>2.5388826847301386E-3</v>
      </c>
      <c r="C52" s="404">
        <f t="shared" si="28"/>
        <v>4.2468864362894708E-3</v>
      </c>
      <c r="D52" s="296">
        <f t="shared" ref="D52:L52" si="29">C52+$N52</f>
        <v>4.8580447489538509E-3</v>
      </c>
      <c r="E52" s="296">
        <f t="shared" si="29"/>
        <v>5.4692030616182311E-3</v>
      </c>
      <c r="F52" s="296">
        <f t="shared" si="29"/>
        <v>6.0803613742826113E-3</v>
      </c>
      <c r="G52" s="296">
        <f t="shared" si="29"/>
        <v>6.6915196869469914E-3</v>
      </c>
      <c r="H52" s="296">
        <f t="shared" si="29"/>
        <v>7.3026779996113716E-3</v>
      </c>
      <c r="I52" s="296">
        <f t="shared" si="29"/>
        <v>7.9138363122757526E-3</v>
      </c>
      <c r="J52" s="296">
        <f t="shared" si="29"/>
        <v>8.5249946249401336E-3</v>
      </c>
      <c r="K52" s="296">
        <f t="shared" si="29"/>
        <v>9.1361529376045147E-3</v>
      </c>
      <c r="L52" s="296">
        <f t="shared" si="29"/>
        <v>9.7473112502688957E-3</v>
      </c>
      <c r="M52" s="419">
        <v>1</v>
      </c>
      <c r="N52" s="406">
        <f t="shared" si="25"/>
        <v>6.1115831266438049E-4</v>
      </c>
    </row>
    <row r="53" spans="1:15">
      <c r="A53" s="320" t="s">
        <v>2238</v>
      </c>
      <c r="B53" s="404">
        <f t="shared" ref="B53:C53" si="30">L35</f>
        <v>1.2797709329298315E-2</v>
      </c>
      <c r="C53" s="404">
        <f t="shared" si="30"/>
        <v>8.7123990816872655E-3</v>
      </c>
      <c r="D53" s="296">
        <f t="shared" ref="D53:L53" si="31">C53+$N53</f>
        <v>7.7676155976692312E-3</v>
      </c>
      <c r="E53" s="296">
        <f t="shared" si="31"/>
        <v>6.822832113651197E-3</v>
      </c>
      <c r="F53" s="296">
        <f t="shared" si="31"/>
        <v>5.8780486296331627E-3</v>
      </c>
      <c r="G53" s="296">
        <f t="shared" si="31"/>
        <v>4.9332651456151285E-3</v>
      </c>
      <c r="H53" s="296">
        <f t="shared" si="31"/>
        <v>3.9884816615970943E-3</v>
      </c>
      <c r="I53" s="296">
        <f t="shared" si="31"/>
        <v>3.04369817757906E-3</v>
      </c>
      <c r="J53" s="296">
        <f t="shared" si="31"/>
        <v>2.0989146935610258E-3</v>
      </c>
      <c r="K53" s="296">
        <f t="shared" si="31"/>
        <v>1.1541312095429915E-3</v>
      </c>
      <c r="L53" s="296">
        <f t="shared" si="31"/>
        <v>2.0934772552495741E-4</v>
      </c>
      <c r="M53" s="419">
        <v>0.8</v>
      </c>
      <c r="N53" s="406">
        <f t="shared" si="25"/>
        <v>-9.4478348401803413E-4</v>
      </c>
    </row>
    <row r="54" spans="1:15">
      <c r="A54" s="320" t="s">
        <v>2239</v>
      </c>
      <c r="B54" s="404">
        <f t="shared" ref="B54:C54" si="32">L36</f>
        <v>7.6165160886131665E-3</v>
      </c>
      <c r="C54" s="404">
        <f t="shared" si="32"/>
        <v>4.0865329974727801E-3</v>
      </c>
      <c r="D54" s="296">
        <f t="shared" ref="D54:L54" si="33">C54+$N54</f>
        <v>3.8456259461400553E-3</v>
      </c>
      <c r="E54" s="296">
        <f t="shared" si="33"/>
        <v>3.6047188948073305E-3</v>
      </c>
      <c r="F54" s="296">
        <f t="shared" si="33"/>
        <v>3.3638118434746057E-3</v>
      </c>
      <c r="G54" s="296">
        <f t="shared" si="33"/>
        <v>3.1229047921418809E-3</v>
      </c>
      <c r="H54" s="296">
        <f t="shared" si="33"/>
        <v>2.8819977408091561E-3</v>
      </c>
      <c r="I54" s="296">
        <f t="shared" si="33"/>
        <v>2.6410906894764313E-3</v>
      </c>
      <c r="J54" s="296">
        <f t="shared" si="33"/>
        <v>2.4001836381437065E-3</v>
      </c>
      <c r="K54" s="296">
        <f t="shared" si="33"/>
        <v>2.1592765868109817E-3</v>
      </c>
      <c r="L54" s="296">
        <f t="shared" si="33"/>
        <v>1.9183695354782569E-3</v>
      </c>
      <c r="M54" s="419">
        <v>0.2</v>
      </c>
      <c r="N54" s="406">
        <f t="shared" si="25"/>
        <v>-2.409070513327248E-4</v>
      </c>
    </row>
    <row r="55" spans="1:15">
      <c r="A55" s="320" t="s">
        <v>2242</v>
      </c>
      <c r="B55" s="404">
        <f t="shared" ref="B55:C55" si="34">L37</f>
        <v>0</v>
      </c>
      <c r="C55" s="404">
        <f t="shared" si="34"/>
        <v>0</v>
      </c>
      <c r="D55" s="296">
        <f t="shared" ref="D55:L55" si="35">C55+$N55</f>
        <v>6.5928540167056217E-4</v>
      </c>
      <c r="E55" s="296">
        <f t="shared" si="35"/>
        <v>1.3185708033411243E-3</v>
      </c>
      <c r="F55" s="296">
        <f t="shared" si="35"/>
        <v>1.9778562050116865E-3</v>
      </c>
      <c r="G55" s="296">
        <f t="shared" si="35"/>
        <v>2.6371416066822487E-3</v>
      </c>
      <c r="H55" s="296">
        <f t="shared" si="35"/>
        <v>3.2964270083528108E-3</v>
      </c>
      <c r="I55" s="296">
        <f t="shared" si="35"/>
        <v>3.955712410023373E-3</v>
      </c>
      <c r="J55" s="296">
        <f t="shared" si="35"/>
        <v>4.6149978116939352E-3</v>
      </c>
      <c r="K55" s="296">
        <f t="shared" si="35"/>
        <v>5.2742832133644973E-3</v>
      </c>
      <c r="L55" s="296">
        <f t="shared" si="35"/>
        <v>5.9335686150350595E-3</v>
      </c>
      <c r="M55" s="419">
        <v>1</v>
      </c>
      <c r="N55" s="406">
        <f t="shared" si="25"/>
        <v>6.5928540167056217E-4</v>
      </c>
    </row>
    <row r="56" spans="1:15">
      <c r="A56" s="392" t="s">
        <v>215</v>
      </c>
      <c r="B56" s="404">
        <f t="shared" ref="B56:C56" si="36">L38</f>
        <v>6.892805288489668E-3</v>
      </c>
      <c r="C56" s="404">
        <f t="shared" si="36"/>
        <v>2.5032081019814807E-2</v>
      </c>
      <c r="D56" s="296">
        <f t="shared" ref="D56:L56" si="37">C56+$N56</f>
        <v>2.9648716693794996E-2</v>
      </c>
      <c r="E56" s="296">
        <f t="shared" si="37"/>
        <v>3.4265352367775184E-2</v>
      </c>
      <c r="F56" s="296">
        <f t="shared" si="37"/>
        <v>3.8881988041755369E-2</v>
      </c>
      <c r="G56" s="296">
        <f t="shared" si="37"/>
        <v>4.3498623715735554E-2</v>
      </c>
      <c r="H56" s="296">
        <f t="shared" si="37"/>
        <v>4.8115259389715739E-2</v>
      </c>
      <c r="I56" s="296">
        <f t="shared" si="37"/>
        <v>5.2731895063695924E-2</v>
      </c>
      <c r="J56" s="296">
        <f t="shared" si="37"/>
        <v>5.7348530737676109E-2</v>
      </c>
      <c r="K56" s="296">
        <f t="shared" si="37"/>
        <v>6.1965166411656294E-2</v>
      </c>
      <c r="L56" s="296">
        <f t="shared" si="37"/>
        <v>6.658180208563648E-2</v>
      </c>
      <c r="M56" s="419">
        <v>0.5</v>
      </c>
      <c r="N56" s="406">
        <f t="shared" si="25"/>
        <v>4.6166356739801876E-3</v>
      </c>
    </row>
    <row r="57" spans="1:15">
      <c r="A57" s="320" t="s">
        <v>2245</v>
      </c>
      <c r="B57" s="404">
        <f t="shared" ref="B57:C57" si="38">L39</f>
        <v>1.1858415523416635E-2</v>
      </c>
      <c r="C57" s="404">
        <f t="shared" si="38"/>
        <v>1.0798646914539469E-2</v>
      </c>
      <c r="D57" s="296">
        <f t="shared" ref="D57:L57" si="39">C57+$N57</f>
        <v>9.9134716998489237E-3</v>
      </c>
      <c r="E57" s="296">
        <f t="shared" si="39"/>
        <v>9.0282964851583786E-3</v>
      </c>
      <c r="F57" s="296">
        <f t="shared" si="39"/>
        <v>8.1431212704678336E-3</v>
      </c>
      <c r="G57" s="296">
        <f t="shared" si="39"/>
        <v>7.2579460557772894E-3</v>
      </c>
      <c r="H57" s="296">
        <f t="shared" si="39"/>
        <v>6.3727708410867452E-3</v>
      </c>
      <c r="I57" s="296">
        <f t="shared" si="39"/>
        <v>5.487595626396201E-3</v>
      </c>
      <c r="J57" s="296">
        <f t="shared" si="39"/>
        <v>4.6024204117056568E-3</v>
      </c>
      <c r="K57" s="296">
        <f t="shared" si="39"/>
        <v>3.7172451970151127E-3</v>
      </c>
      <c r="L57" s="296">
        <f t="shared" si="39"/>
        <v>2.8320699823245685E-3</v>
      </c>
      <c r="M57" s="419">
        <v>1</v>
      </c>
      <c r="N57" s="406">
        <f t="shared" si="25"/>
        <v>-8.851752146905444E-4</v>
      </c>
    </row>
    <row r="58" spans="1:15">
      <c r="A58" s="320" t="s">
        <v>2246</v>
      </c>
      <c r="B58" s="404">
        <f t="shared" ref="B58:C58" si="40">L40</f>
        <v>7.499048104264763E-3</v>
      </c>
      <c r="C58" s="404">
        <f t="shared" si="40"/>
        <v>6.1202940088566343E-3</v>
      </c>
      <c r="D58" s="296">
        <f t="shared" ref="D58:L58" si="41">C58+$N58</f>
        <v>5.5378110498865317E-3</v>
      </c>
      <c r="E58" s="296">
        <f t="shared" si="41"/>
        <v>4.9553280909164291E-3</v>
      </c>
      <c r="F58" s="296">
        <f t="shared" si="41"/>
        <v>4.3728451319463265E-3</v>
      </c>
      <c r="G58" s="296">
        <f t="shared" si="41"/>
        <v>3.7903621729762239E-3</v>
      </c>
      <c r="H58" s="296">
        <f t="shared" si="41"/>
        <v>3.2078792140061213E-3</v>
      </c>
      <c r="I58" s="296">
        <f t="shared" si="41"/>
        <v>2.6253962550360187E-3</v>
      </c>
      <c r="J58" s="296">
        <f t="shared" si="41"/>
        <v>2.0429132960659161E-3</v>
      </c>
      <c r="K58" s="296">
        <f t="shared" si="41"/>
        <v>1.4604303370958135E-3</v>
      </c>
      <c r="L58" s="296">
        <f t="shared" si="41"/>
        <v>8.7794737812571077E-4</v>
      </c>
      <c r="M58" s="419">
        <v>0.4</v>
      </c>
      <c r="N58" s="406">
        <f t="shared" si="25"/>
        <v>-5.8248295897010271E-4</v>
      </c>
    </row>
    <row r="59" spans="1:15">
      <c r="A59" s="320" t="s">
        <v>2247</v>
      </c>
      <c r="B59" s="404">
        <f t="shared" ref="B59:C59" si="42">L41</f>
        <v>7.0235974415978272E-2</v>
      </c>
      <c r="C59" s="404">
        <f t="shared" si="42"/>
        <v>7.1497796173421418E-2</v>
      </c>
      <c r="D59" s="296">
        <f t="shared" ref="D59:L59" si="43">C59+$N59</f>
        <v>7.12183425906074E-2</v>
      </c>
      <c r="E59" s="296">
        <f t="shared" si="43"/>
        <v>7.0938889007793382E-2</v>
      </c>
      <c r="F59" s="296">
        <f t="shared" si="43"/>
        <v>7.0659435424979364E-2</v>
      </c>
      <c r="G59" s="296">
        <f t="shared" si="43"/>
        <v>7.0379981842165346E-2</v>
      </c>
      <c r="H59" s="296">
        <f t="shared" si="43"/>
        <v>7.0100528259351327E-2</v>
      </c>
      <c r="I59" s="296">
        <f t="shared" si="43"/>
        <v>6.9821074676537309E-2</v>
      </c>
      <c r="J59" s="296">
        <f t="shared" si="43"/>
        <v>6.9541621093723291E-2</v>
      </c>
      <c r="K59" s="296">
        <f t="shared" si="43"/>
        <v>6.9262167510909273E-2</v>
      </c>
      <c r="L59" s="296">
        <f t="shared" si="43"/>
        <v>6.8982713928095254E-2</v>
      </c>
      <c r="M59" s="419">
        <v>1</v>
      </c>
      <c r="N59" s="406">
        <f t="shared" si="25"/>
        <v>-2.7945358281401546E-4</v>
      </c>
    </row>
    <row r="60" spans="1:15">
      <c r="A60" s="394" t="s">
        <v>2248</v>
      </c>
      <c r="B60" s="404">
        <f t="shared" ref="B60:C60" si="44">L42</f>
        <v>7.4119597710409463E-2</v>
      </c>
      <c r="C60" s="404">
        <f t="shared" si="44"/>
        <v>5.6646092108172445E-2</v>
      </c>
      <c r="D60" s="296">
        <f t="shared" ref="D60:L60" si="45">C60+$N60</f>
        <v>5.1111438816696074E-2</v>
      </c>
      <c r="E60" s="296">
        <f t="shared" si="45"/>
        <v>4.5576785525219703E-2</v>
      </c>
      <c r="F60" s="296">
        <f t="shared" si="45"/>
        <v>4.0042132233743331E-2</v>
      </c>
      <c r="G60" s="296">
        <f t="shared" si="45"/>
        <v>3.450747894226696E-2</v>
      </c>
      <c r="H60" s="296">
        <f t="shared" si="45"/>
        <v>2.8972825650790592E-2</v>
      </c>
      <c r="I60" s="296">
        <f t="shared" si="45"/>
        <v>2.3438172359314224E-2</v>
      </c>
      <c r="J60" s="296">
        <f t="shared" si="45"/>
        <v>1.7903519067837857E-2</v>
      </c>
      <c r="K60" s="296">
        <f t="shared" si="45"/>
        <v>1.2368865776361489E-2</v>
      </c>
      <c r="L60" s="296">
        <f t="shared" si="45"/>
        <v>6.83421248488512E-3</v>
      </c>
      <c r="M60" s="419">
        <v>1</v>
      </c>
      <c r="N60" s="406">
        <f t="shared" si="25"/>
        <v>-5.5346532914763687E-3</v>
      </c>
    </row>
    <row r="61" spans="1:15">
      <c r="A61" s="394" t="s">
        <v>2249</v>
      </c>
      <c r="B61" s="404">
        <f t="shared" ref="B61" si="46">L43</f>
        <v>2.1147346648155419E-2</v>
      </c>
      <c r="C61" s="404">
        <f t="shared" ref="C61" si="47">M43</f>
        <v>2.5156279813278486E-2</v>
      </c>
      <c r="D61" s="296">
        <f t="shared" ref="D61:L61" si="48">C61+$N61</f>
        <v>2.4309875780055099E-2</v>
      </c>
      <c r="E61" s="296">
        <f t="shared" si="48"/>
        <v>2.3463471746831711E-2</v>
      </c>
      <c r="F61" s="296">
        <f t="shared" si="48"/>
        <v>2.2617067713608323E-2</v>
      </c>
      <c r="G61" s="296">
        <f t="shared" si="48"/>
        <v>2.1770663680384935E-2</v>
      </c>
      <c r="H61" s="296">
        <f t="shared" si="48"/>
        <v>2.0924259647161547E-2</v>
      </c>
      <c r="I61" s="296">
        <f t="shared" si="48"/>
        <v>2.0077855613938159E-2</v>
      </c>
      <c r="J61" s="296">
        <f t="shared" si="48"/>
        <v>1.9231451580714772E-2</v>
      </c>
      <c r="K61" s="296">
        <f t="shared" si="48"/>
        <v>1.8385047547491384E-2</v>
      </c>
      <c r="L61" s="296">
        <f t="shared" si="48"/>
        <v>1.7538643514267996E-2</v>
      </c>
      <c r="M61" s="419">
        <v>1</v>
      </c>
      <c r="N61" s="406">
        <f t="shared" si="25"/>
        <v>-8.4640403322338719E-4</v>
      </c>
    </row>
    <row r="62" spans="1:15">
      <c r="A62" s="64" t="s">
        <v>2036</v>
      </c>
      <c r="D62" s="296"/>
      <c r="E62" s="296"/>
      <c r="F62" s="296"/>
      <c r="G62" s="296"/>
      <c r="H62" s="296"/>
      <c r="I62" s="296"/>
      <c r="J62" s="296"/>
      <c r="K62" s="296"/>
      <c r="L62" s="296"/>
    </row>
    <row r="63" spans="1:15">
      <c r="A63" s="320" t="s">
        <v>148</v>
      </c>
      <c r="B63" s="85">
        <f>B47*B49</f>
        <v>135449</v>
      </c>
      <c r="C63" s="85">
        <f>J31</f>
        <v>272972</v>
      </c>
      <c r="D63" s="403">
        <f>D49*D47</f>
        <v>282142.40460423625</v>
      </c>
      <c r="E63" s="403">
        <f t="shared" ref="E63:L63" si="49">E49*E47</f>
        <v>308771.90701215313</v>
      </c>
      <c r="F63" s="403">
        <f t="shared" si="49"/>
        <v>326030.30420581176</v>
      </c>
      <c r="G63" s="403">
        <f t="shared" si="49"/>
        <v>348295.03216280846</v>
      </c>
      <c r="H63" s="403">
        <f t="shared" si="49"/>
        <v>367896.2056600317</v>
      </c>
      <c r="I63" s="403">
        <f t="shared" si="49"/>
        <v>388909.35092619387</v>
      </c>
      <c r="J63" s="403">
        <f t="shared" si="49"/>
        <v>409176.41303836048</v>
      </c>
      <c r="K63" s="403">
        <f t="shared" si="49"/>
        <v>429836.56536228798</v>
      </c>
      <c r="L63" s="403">
        <f t="shared" si="49"/>
        <v>450290.14826295344</v>
      </c>
      <c r="M63" t="s">
        <v>2230</v>
      </c>
    </row>
    <row r="65" spans="1:21" s="421" customFormat="1">
      <c r="A65" s="421" t="s">
        <v>2251</v>
      </c>
    </row>
    <row r="66" spans="1:21" s="400" customFormat="1" ht="46.5" customHeight="1">
      <c r="A66" s="527" t="s">
        <v>0</v>
      </c>
      <c r="B66" s="527" t="s">
        <v>2018</v>
      </c>
      <c r="C66" s="527" t="s">
        <v>2019</v>
      </c>
      <c r="D66" s="527" t="s">
        <v>2020</v>
      </c>
      <c r="E66" s="527" t="s">
        <v>2021</v>
      </c>
      <c r="F66" s="527" t="s">
        <v>2022</v>
      </c>
      <c r="G66" s="527" t="s">
        <v>1840</v>
      </c>
      <c r="H66" s="527" t="s">
        <v>2023</v>
      </c>
      <c r="I66" s="527" t="s">
        <v>2024</v>
      </c>
      <c r="J66" s="527" t="s">
        <v>2025</v>
      </c>
      <c r="K66" s="527" t="s">
        <v>2026</v>
      </c>
      <c r="L66" s="527" t="s">
        <v>2027</v>
      </c>
      <c r="M66" s="527" t="s">
        <v>2028</v>
      </c>
      <c r="N66" s="527" t="s">
        <v>2029</v>
      </c>
      <c r="O66" s="527" t="s">
        <v>2030</v>
      </c>
      <c r="P66" s="527" t="s">
        <v>2031</v>
      </c>
      <c r="Q66" s="527" t="s">
        <v>2032</v>
      </c>
      <c r="R66" s="527"/>
      <c r="S66" s="527"/>
      <c r="T66" s="527" t="s">
        <v>2035</v>
      </c>
      <c r="U66" s="527"/>
    </row>
    <row r="67" spans="1:21" s="64" customFormat="1">
      <c r="A67" s="391" t="s">
        <v>15</v>
      </c>
      <c r="B67" s="392" t="s">
        <v>2251</v>
      </c>
      <c r="C67" s="320" t="s">
        <v>2252</v>
      </c>
      <c r="D67" s="409" t="s">
        <v>2037</v>
      </c>
      <c r="E67" s="389" t="s">
        <v>2253</v>
      </c>
      <c r="F67" s="399" t="s">
        <v>2060</v>
      </c>
      <c r="G67" s="413">
        <v>133277</v>
      </c>
      <c r="H67" s="390" t="s">
        <v>2254</v>
      </c>
      <c r="I67" s="397">
        <v>3786</v>
      </c>
      <c r="J67" s="397">
        <v>5036</v>
      </c>
      <c r="K67" s="398">
        <v>3949.2000000000007</v>
      </c>
      <c r="L67" s="445">
        <v>3.1170909785492107E-3</v>
      </c>
      <c r="M67" s="445">
        <v>4.1462414601093041E-3</v>
      </c>
      <c r="N67" s="412">
        <v>1.9835434721396619E-3</v>
      </c>
      <c r="O67" s="412">
        <v>1.0291504815600934E-3</v>
      </c>
      <c r="P67" s="412">
        <v>-2.1626979879696422E-3</v>
      </c>
      <c r="Q67" s="412">
        <v>-1.1335475064095488E-3</v>
      </c>
      <c r="R67" s="412"/>
      <c r="S67" s="412"/>
      <c r="T67" s="444">
        <f>Q67/2.5</f>
        <v>-4.5341900256381954E-4</v>
      </c>
      <c r="U67" s="444"/>
    </row>
    <row r="68" spans="1:21">
      <c r="A68" s="441" t="s">
        <v>2255</v>
      </c>
      <c r="B68" s="320" t="s">
        <v>2256</v>
      </c>
      <c r="C68" s="320" t="s">
        <v>2252</v>
      </c>
      <c r="D68" s="528" t="s">
        <v>2037</v>
      </c>
      <c r="E68" s="428" t="s">
        <v>2253</v>
      </c>
      <c r="F68" s="428" t="s">
        <v>2043</v>
      </c>
      <c r="G68" s="410">
        <v>130664</v>
      </c>
      <c r="H68" s="529" t="s">
        <v>2257</v>
      </c>
      <c r="I68" s="397">
        <v>15624</v>
      </c>
      <c r="J68" s="397">
        <v>9678</v>
      </c>
      <c r="K68" s="397">
        <v>4019</v>
      </c>
      <c r="L68" s="404">
        <v>1.2863557699115919E-2</v>
      </c>
      <c r="M68" s="404">
        <v>7.9680946884308664E-3</v>
      </c>
      <c r="N68" s="404">
        <v>3.3089246283120122E-3</v>
      </c>
      <c r="O68" s="404">
        <v>-4.8954630106850527E-3</v>
      </c>
      <c r="P68" s="404">
        <v>-4.6591700601188541E-3</v>
      </c>
      <c r="Q68" s="404">
        <v>-9.5546330708039078E-3</v>
      </c>
      <c r="R68" s="412"/>
      <c r="S68" s="412"/>
      <c r="T68" s="444">
        <f t="shared" ref="T68:T70" si="50">Q68/2.5</f>
        <v>-3.8218532283215631E-3</v>
      </c>
    </row>
    <row r="69" spans="1:21">
      <c r="A69" s="441" t="s">
        <v>2202</v>
      </c>
      <c r="B69" s="320" t="s">
        <v>2258</v>
      </c>
      <c r="C69" s="320" t="s">
        <v>2198</v>
      </c>
      <c r="D69" s="528" t="s">
        <v>2037</v>
      </c>
      <c r="E69" s="428" t="s">
        <v>2259</v>
      </c>
      <c r="F69" s="428" t="s">
        <v>2043</v>
      </c>
      <c r="G69" s="410">
        <v>128369</v>
      </c>
      <c r="H69" s="529" t="s">
        <v>2260</v>
      </c>
      <c r="I69" s="397">
        <v>24171</v>
      </c>
      <c r="J69" s="397">
        <v>22287</v>
      </c>
      <c r="K69" s="397">
        <v>6963</v>
      </c>
      <c r="L69" s="404">
        <v>1.9900477031831211E-2</v>
      </c>
      <c r="M69" s="404">
        <v>1.749947588728161E-2</v>
      </c>
      <c r="N69" s="404">
        <v>1.1267774294975217E-2</v>
      </c>
      <c r="O69" s="404">
        <v>-2.4010011445496013E-3</v>
      </c>
      <c r="P69" s="404">
        <v>-6.2317015923063924E-3</v>
      </c>
      <c r="Q69" s="404">
        <v>-8.6327027368559937E-3</v>
      </c>
      <c r="R69" s="412"/>
      <c r="S69" s="412"/>
      <c r="T69" s="444">
        <f>Q69/2.5</f>
        <v>-3.4530810947423973E-3</v>
      </c>
    </row>
    <row r="70" spans="1:21">
      <c r="A70" t="s">
        <v>2261</v>
      </c>
      <c r="B70" t="s">
        <v>2262</v>
      </c>
      <c r="C70" t="s">
        <v>2198</v>
      </c>
      <c r="D70" t="s">
        <v>2037</v>
      </c>
      <c r="E70" t="s">
        <v>2259</v>
      </c>
      <c r="F70" t="s">
        <v>2043</v>
      </c>
      <c r="G70">
        <f>962000*P78</f>
        <v>149143.67000000001</v>
      </c>
      <c r="H70" t="s">
        <v>2263</v>
      </c>
      <c r="I70">
        <v>1033</v>
      </c>
      <c r="J70">
        <v>1260</v>
      </c>
      <c r="K70" s="397">
        <v>383</v>
      </c>
      <c r="L70" s="404">
        <v>8.5048995796126116E-4</v>
      </c>
      <c r="M70" s="404">
        <v>9.8933636729819311E-4</v>
      </c>
      <c r="N70" s="404">
        <v>6.1978422446869283E-4</v>
      </c>
      <c r="O70" s="404">
        <v>1.3884640933693195E-4</v>
      </c>
      <c r="P70" s="404">
        <v>-3.6955214282950028E-4</v>
      </c>
      <c r="Q70" s="404">
        <v>-2.3070573349256833E-4</v>
      </c>
      <c r="T70" s="60">
        <f t="shared" si="50"/>
        <v>-9.2282293397027331E-5</v>
      </c>
    </row>
    <row r="71" spans="1:21">
      <c r="A71" s="441" t="s">
        <v>2264</v>
      </c>
      <c r="B71" s="320" t="s">
        <v>2265</v>
      </c>
      <c r="C71" s="320" t="s">
        <v>2252</v>
      </c>
      <c r="D71" s="528" t="s">
        <v>2037</v>
      </c>
      <c r="E71" s="428" t="s">
        <v>2259</v>
      </c>
      <c r="F71" s="428" t="s">
        <v>2043</v>
      </c>
      <c r="G71" s="410">
        <v>125733</v>
      </c>
      <c r="H71" s="529" t="s">
        <v>2266</v>
      </c>
      <c r="I71" s="397">
        <v>5278</v>
      </c>
      <c r="J71" s="532">
        <v>5222</v>
      </c>
      <c r="K71" s="397">
        <v>896</v>
      </c>
      <c r="L71" s="404">
        <v>4.345484993339338E-3</v>
      </c>
      <c r="M71" s="404">
        <v>4.299379051765446E-3</v>
      </c>
      <c r="N71" s="404">
        <v>7.3769506518227485E-4</v>
      </c>
      <c r="O71" s="404">
        <v>-4.6105941573892049E-5</v>
      </c>
      <c r="P71" s="404">
        <v>-3.561683986583171E-3</v>
      </c>
      <c r="Q71" s="404">
        <v>-3.6077899281570631E-3</v>
      </c>
      <c r="R71" s="412"/>
      <c r="S71" s="412"/>
      <c r="T71" s="444">
        <f>Q71/2.5</f>
        <v>-1.4431159712628252E-3</v>
      </c>
    </row>
    <row r="72" spans="1:21">
      <c r="A72" s="441" t="s">
        <v>2267</v>
      </c>
      <c r="B72" s="320" t="s">
        <v>2268</v>
      </c>
      <c r="C72" s="320" t="s">
        <v>2198</v>
      </c>
      <c r="D72" s="533" t="s">
        <v>2037</v>
      </c>
      <c r="E72" s="428" t="s">
        <v>2259</v>
      </c>
      <c r="F72" s="395" t="s">
        <v>2043</v>
      </c>
      <c r="G72" s="410">
        <f>917800*P78</f>
        <v>142291.12299999999</v>
      </c>
      <c r="H72" s="529" t="s">
        <v>2269</v>
      </c>
      <c r="I72" s="397">
        <v>23926</v>
      </c>
      <c r="J72" s="397">
        <v>23456</v>
      </c>
      <c r="K72" s="397">
        <v>12550</v>
      </c>
      <c r="L72" s="404">
        <v>1.9698763537445433E-2</v>
      </c>
      <c r="M72" s="404">
        <v>1.8417360183608268E-2</v>
      </c>
      <c r="N72" s="404">
        <v>2.0308856441467609E-2</v>
      </c>
      <c r="O72" s="296">
        <v>-1.2814033538371648E-3</v>
      </c>
      <c r="P72" s="296">
        <v>1.891496257859341E-3</v>
      </c>
      <c r="Q72" s="296">
        <v>6.1009290402217614E-4</v>
      </c>
      <c r="R72" s="444"/>
      <c r="S72" s="444"/>
      <c r="T72" s="444">
        <f>Q72/2.5</f>
        <v>2.4403716160887045E-4</v>
      </c>
    </row>
    <row r="73" spans="1:21">
      <c r="A73" t="s">
        <v>2270</v>
      </c>
      <c r="B73" t="s">
        <v>2271</v>
      </c>
      <c r="C73" t="s">
        <v>2252</v>
      </c>
      <c r="D73" t="s">
        <v>2037</v>
      </c>
      <c r="E73" t="s">
        <v>2259</v>
      </c>
      <c r="F73" t="s">
        <v>2043</v>
      </c>
      <c r="G73">
        <f>973000*P78</f>
        <v>150849.05499999999</v>
      </c>
      <c r="H73" t="s">
        <v>2272</v>
      </c>
      <c r="I73">
        <v>13635</v>
      </c>
      <c r="J73">
        <v>16319</v>
      </c>
      <c r="K73">
        <v>9738</v>
      </c>
      <c r="L73" s="404">
        <v>1.1225973452857498E-2</v>
      </c>
      <c r="M73" s="404">
        <v>1.2813476331697788E-2</v>
      </c>
      <c r="N73" s="404">
        <v>1.5758378010120446E-2</v>
      </c>
      <c r="O73" s="461">
        <v>1.5875028788402898E-3</v>
      </c>
      <c r="P73" s="461">
        <v>2.9449016784226581E-3</v>
      </c>
      <c r="Q73" s="461">
        <v>4.5324045572629479E-3</v>
      </c>
      <c r="T73" s="60">
        <f>Q73/2.5</f>
        <v>1.8129618229051792E-3</v>
      </c>
    </row>
    <row r="74" spans="1:21">
      <c r="A74" t="s">
        <v>2273</v>
      </c>
      <c r="B74" t="s">
        <v>2274</v>
      </c>
      <c r="C74" t="s">
        <v>2275</v>
      </c>
      <c r="D74" t="s">
        <v>2037</v>
      </c>
      <c r="E74" t="s">
        <v>2259</v>
      </c>
      <c r="F74" t="s">
        <v>2060</v>
      </c>
      <c r="G74">
        <f>888000*P78</f>
        <v>137671.08000000002</v>
      </c>
      <c r="H74" t="s">
        <v>2276</v>
      </c>
      <c r="I74">
        <v>1440</v>
      </c>
      <c r="J74">
        <v>7315</v>
      </c>
      <c r="K74">
        <v>1681</v>
      </c>
      <c r="L74" s="404">
        <v>1.1855813547572275E-3</v>
      </c>
      <c r="M74" s="404">
        <v>5.7436472434811764E-3</v>
      </c>
      <c r="N74" s="404">
        <v>2.7202539982555422E-3</v>
      </c>
      <c r="O74">
        <v>4.5580658887239486E-3</v>
      </c>
      <c r="P74">
        <v>-3.0233932452256342E-3</v>
      </c>
      <c r="Q74">
        <v>1.5346726434983147E-3</v>
      </c>
      <c r="T74" s="60">
        <f>Q74/2.5</f>
        <v>6.1386905739932592E-4</v>
      </c>
    </row>
    <row r="76" spans="1:21">
      <c r="A76" t="s">
        <v>24</v>
      </c>
      <c r="I76" s="403">
        <f>SUM(I67:I74)</f>
        <v>88893</v>
      </c>
      <c r="J76" s="403">
        <f t="shared" ref="J76:K76" si="51">SUM(J67:J74)</f>
        <v>90573</v>
      </c>
      <c r="K76" s="403">
        <f t="shared" si="51"/>
        <v>40179.199999999997</v>
      </c>
      <c r="L76" s="364">
        <f>SUM(L67:L74)</f>
        <v>7.3187419005857096E-2</v>
      </c>
      <c r="M76" s="364">
        <f t="shared" ref="M76:N76" si="52">SUM(M67:M74)</f>
        <v>7.187701121367264E-2</v>
      </c>
      <c r="N76" s="364">
        <f t="shared" si="52"/>
        <v>5.6705210134921455E-2</v>
      </c>
      <c r="O76" s="364">
        <f>SUM(O67:O70)</f>
        <v>-6.1284672643376285E-3</v>
      </c>
      <c r="P76" s="364">
        <f>SUM(P67:P70)</f>
        <v>-1.342312178322439E-2</v>
      </c>
      <c r="Q76" s="364">
        <f>SUM(Q67:Q70)</f>
        <v>-1.9551589047562018E-2</v>
      </c>
      <c r="R76" s="364"/>
      <c r="S76" s="364"/>
      <c r="T76" s="364">
        <f>SUM(T67:T70)</f>
        <v>-7.8206356190248082E-3</v>
      </c>
    </row>
    <row r="77" spans="1:21">
      <c r="A77" s="64" t="s">
        <v>2218</v>
      </c>
      <c r="I77">
        <f t="shared" ref="I77:Q77" si="53">SUM(I67:I75)</f>
        <v>88893</v>
      </c>
      <c r="J77">
        <f t="shared" si="53"/>
        <v>90573</v>
      </c>
      <c r="K77">
        <f t="shared" si="53"/>
        <v>40179.199999999997</v>
      </c>
      <c r="L77">
        <f t="shared" si="53"/>
        <v>7.3187419005857096E-2</v>
      </c>
      <c r="M77">
        <f t="shared" si="53"/>
        <v>7.187701121367264E-2</v>
      </c>
      <c r="N77">
        <f t="shared" si="53"/>
        <v>5.6705210134921455E-2</v>
      </c>
      <c r="O77">
        <f t="shared" si="53"/>
        <v>-1.3104077921844469E-3</v>
      </c>
      <c r="P77">
        <f t="shared" si="53"/>
        <v>-1.5171801078751195E-2</v>
      </c>
      <c r="Q77">
        <f t="shared" si="53"/>
        <v>-1.6482208870935641E-2</v>
      </c>
      <c r="T77">
        <f>SUM(T67:T75)</f>
        <v>-6.5928835483742574E-3</v>
      </c>
    </row>
    <row r="78" spans="1:21">
      <c r="A78" t="s">
        <v>2277</v>
      </c>
      <c r="B78">
        <v>2020</v>
      </c>
      <c r="C78">
        <v>2021</v>
      </c>
      <c r="D78" t="s">
        <v>14</v>
      </c>
      <c r="E78" t="s">
        <v>11</v>
      </c>
      <c r="F78" t="s">
        <v>12</v>
      </c>
      <c r="G78" t="s">
        <v>13</v>
      </c>
      <c r="H78" t="s">
        <v>2220</v>
      </c>
      <c r="I78" t="s">
        <v>2221</v>
      </c>
      <c r="J78" t="s">
        <v>2222</v>
      </c>
      <c r="K78" t="s">
        <v>2223</v>
      </c>
      <c r="L78" t="s">
        <v>2224</v>
      </c>
      <c r="M78" t="s">
        <v>2225</v>
      </c>
      <c r="N78" t="s">
        <v>2226</v>
      </c>
      <c r="P78" s="320">
        <v>0.15503500000000001</v>
      </c>
    </row>
    <row r="79" spans="1:21">
      <c r="A79" t="s">
        <v>2278</v>
      </c>
      <c r="B79" s="405">
        <v>709338</v>
      </c>
      <c r="C79" s="405">
        <v>784972</v>
      </c>
      <c r="D79" s="279">
        <f>AVERAGE(B79:C79)</f>
        <v>747155</v>
      </c>
      <c r="E79" s="279">
        <f>AVERAGE(C79:D79)</f>
        <v>766063.5</v>
      </c>
      <c r="F79" s="279">
        <f t="shared" ref="F79:L79" si="54">AVERAGE(D79:E79)</f>
        <v>756609.25</v>
      </c>
      <c r="G79" s="279">
        <f t="shared" si="54"/>
        <v>761336.375</v>
      </c>
      <c r="H79" s="279">
        <f t="shared" si="54"/>
        <v>758972.8125</v>
      </c>
      <c r="I79" s="279">
        <f t="shared" si="54"/>
        <v>760154.59375</v>
      </c>
      <c r="J79" s="279">
        <f t="shared" si="54"/>
        <v>759563.703125</v>
      </c>
      <c r="K79" s="279">
        <f t="shared" si="54"/>
        <v>759859.1484375</v>
      </c>
      <c r="L79" s="279">
        <f t="shared" si="54"/>
        <v>759711.42578125</v>
      </c>
      <c r="N79" t="s">
        <v>162</v>
      </c>
    </row>
    <row r="80" spans="1:21">
      <c r="A80" t="s">
        <v>2279</v>
      </c>
      <c r="B80" s="405">
        <v>505256</v>
      </c>
      <c r="C80" s="405">
        <v>488609</v>
      </c>
      <c r="D80" s="279">
        <f>AVERAGE(B80:C80)</f>
        <v>496932.5</v>
      </c>
      <c r="E80" s="279">
        <f>AVERAGE(C80:D80)</f>
        <v>492770.75</v>
      </c>
      <c r="F80" s="279">
        <f t="shared" ref="F80:L80" si="55">AVERAGE(D80:E80)</f>
        <v>494851.625</v>
      </c>
      <c r="G80" s="279">
        <f t="shared" si="55"/>
        <v>493811.1875</v>
      </c>
      <c r="H80" s="279">
        <f t="shared" si="55"/>
        <v>494331.40625</v>
      </c>
      <c r="I80" s="279">
        <f t="shared" si="55"/>
        <v>494071.296875</v>
      </c>
      <c r="J80" s="279">
        <f t="shared" si="55"/>
        <v>494201.3515625</v>
      </c>
      <c r="K80" s="279">
        <f t="shared" si="55"/>
        <v>494136.32421875</v>
      </c>
      <c r="L80" s="279">
        <f t="shared" si="55"/>
        <v>494168.837890625</v>
      </c>
      <c r="P80" s="320"/>
    </row>
    <row r="81" spans="1:20">
      <c r="A81" t="s">
        <v>2280</v>
      </c>
      <c r="B81" s="470">
        <f t="shared" ref="B81:L81" si="56">SUM(B79:B80)</f>
        <v>1214594</v>
      </c>
      <c r="C81" s="470">
        <f t="shared" si="56"/>
        <v>1273581</v>
      </c>
      <c r="D81" s="470">
        <f t="shared" si="56"/>
        <v>1244087.5</v>
      </c>
      <c r="E81" s="470">
        <f t="shared" si="56"/>
        <v>1258834.25</v>
      </c>
      <c r="F81" s="470">
        <f t="shared" si="56"/>
        <v>1251460.875</v>
      </c>
      <c r="G81" s="470">
        <f t="shared" si="56"/>
        <v>1255147.5625</v>
      </c>
      <c r="H81" s="470">
        <f t="shared" si="56"/>
        <v>1253304.21875</v>
      </c>
      <c r="I81" s="470">
        <f t="shared" si="56"/>
        <v>1254225.890625</v>
      </c>
      <c r="J81" s="470">
        <f t="shared" si="56"/>
        <v>1253765.0546875</v>
      </c>
      <c r="K81" s="470">
        <f t="shared" si="56"/>
        <v>1253995.47265625</v>
      </c>
      <c r="L81" s="470">
        <f t="shared" si="56"/>
        <v>1253880.263671875</v>
      </c>
      <c r="P81" s="320"/>
    </row>
    <row r="82" spans="1:20">
      <c r="A82" s="64" t="s">
        <v>2228</v>
      </c>
    </row>
    <row r="83" spans="1:20" s="64" customFormat="1">
      <c r="A83" s="392" t="s">
        <v>2251</v>
      </c>
      <c r="B83" s="445">
        <v>3.1170909785492107E-3</v>
      </c>
      <c r="C83" s="445">
        <v>4.1462414601093041E-3</v>
      </c>
      <c r="D83" s="444">
        <f t="shared" ref="D83:D90" si="57">C83+N83</f>
        <v>5.7852970858973778E-3</v>
      </c>
      <c r="E83" s="444">
        <f t="shared" ref="E83:E90" si="58">D83+N83</f>
        <v>7.4243527116854514E-3</v>
      </c>
      <c r="F83" s="444">
        <f t="shared" ref="F83:F90" si="59">E83+N83</f>
        <v>9.063408337473525E-3</v>
      </c>
      <c r="G83" s="444">
        <f t="shared" ref="G83:G90" si="60">F83+N83</f>
        <v>1.07024639632616E-2</v>
      </c>
      <c r="H83" s="444">
        <f t="shared" ref="H83:H90" si="61">G83+N83</f>
        <v>1.2341519589049674E-2</v>
      </c>
      <c r="I83" s="444">
        <f t="shared" ref="I83:I90" si="62">H83+N83</f>
        <v>1.3980575214837749E-2</v>
      </c>
      <c r="J83" s="444">
        <f t="shared" ref="J83:J90" si="63">I83+N83</f>
        <v>1.5619630840625823E-2</v>
      </c>
      <c r="K83" s="444">
        <f t="shared" ref="K83:K90" si="64">J83+N83</f>
        <v>1.7258686466413896E-2</v>
      </c>
      <c r="L83" s="444">
        <f t="shared" ref="L83:L90" si="65">K83+N83</f>
        <v>1.889774209220197E-2</v>
      </c>
      <c r="M83" s="449"/>
      <c r="N83" s="450">
        <f>-SUM(N84:N90)</f>
        <v>1.6390556257880739E-3</v>
      </c>
    </row>
    <row r="84" spans="1:20">
      <c r="A84" s="320" t="s">
        <v>2256</v>
      </c>
      <c r="B84" s="404">
        <v>1.2863557699115919E-2</v>
      </c>
      <c r="C84" s="404">
        <v>7.9680946884308664E-3</v>
      </c>
      <c r="D84" s="296">
        <f t="shared" si="57"/>
        <v>7.2037240427665541E-3</v>
      </c>
      <c r="E84" s="296">
        <f t="shared" si="58"/>
        <v>6.4393533971022418E-3</v>
      </c>
      <c r="F84" s="296">
        <f t="shared" si="59"/>
        <v>5.6749827514379295E-3</v>
      </c>
      <c r="G84" s="296">
        <f t="shared" si="60"/>
        <v>4.9106121057736173E-3</v>
      </c>
      <c r="H84" s="296">
        <f t="shared" si="61"/>
        <v>4.146241460109305E-3</v>
      </c>
      <c r="I84" s="296">
        <f t="shared" si="62"/>
        <v>3.3818708144449923E-3</v>
      </c>
      <c r="J84" s="296">
        <f t="shared" si="63"/>
        <v>2.6175001687806796E-3</v>
      </c>
      <c r="K84" s="296">
        <f t="shared" si="64"/>
        <v>1.8531295231163669E-3</v>
      </c>
      <c r="L84" s="296">
        <f t="shared" si="65"/>
        <v>1.0887588774520542E-3</v>
      </c>
      <c r="M84" s="419">
        <v>0.2</v>
      </c>
      <c r="N84" s="406">
        <f t="shared" ref="N84:N90" si="66">T68*M84</f>
        <v>-7.6437064566431271E-4</v>
      </c>
    </row>
    <row r="85" spans="1:20">
      <c r="A85" s="320" t="s">
        <v>2258</v>
      </c>
      <c r="B85" s="404">
        <v>1.9900477031831211E-2</v>
      </c>
      <c r="C85" s="404">
        <v>1.749947588728161E-2</v>
      </c>
      <c r="D85" s="296">
        <f t="shared" si="57"/>
        <v>1.634844885570081E-2</v>
      </c>
      <c r="E85" s="296">
        <f t="shared" si="58"/>
        <v>1.5197421824120011E-2</v>
      </c>
      <c r="F85" s="296">
        <f t="shared" si="59"/>
        <v>1.4046394792539212E-2</v>
      </c>
      <c r="G85" s="296">
        <f t="shared" si="60"/>
        <v>1.2895367760958412E-2</v>
      </c>
      <c r="H85" s="296">
        <f t="shared" si="61"/>
        <v>1.1744340729377613E-2</v>
      </c>
      <c r="I85" s="296">
        <f t="shared" si="62"/>
        <v>1.0593313697796813E-2</v>
      </c>
      <c r="J85" s="296">
        <f t="shared" si="63"/>
        <v>9.442286666216014E-3</v>
      </c>
      <c r="K85" s="296">
        <f t="shared" si="64"/>
        <v>8.2912596346352146E-3</v>
      </c>
      <c r="L85" s="296">
        <f t="shared" si="65"/>
        <v>7.1402326030544153E-3</v>
      </c>
      <c r="M85" s="446">
        <v>0.33333333333333331</v>
      </c>
      <c r="N85" s="406">
        <f t="shared" si="66"/>
        <v>-1.151027031580799E-3</v>
      </c>
    </row>
    <row r="86" spans="1:20">
      <c r="A86" s="320" t="s">
        <v>2262</v>
      </c>
      <c r="B86" s="404">
        <v>8.5048995796126116E-4</v>
      </c>
      <c r="C86" s="404">
        <v>9.8933636729819311E-4</v>
      </c>
      <c r="D86" s="296">
        <f t="shared" si="57"/>
        <v>8.9705407390116578E-4</v>
      </c>
      <c r="E86" s="296">
        <f t="shared" si="58"/>
        <v>8.0477178050413845E-4</v>
      </c>
      <c r="F86" s="296">
        <f t="shared" si="59"/>
        <v>7.1248948710711112E-4</v>
      </c>
      <c r="G86" s="296">
        <f t="shared" si="60"/>
        <v>6.2020719371008379E-4</v>
      </c>
      <c r="H86" s="296">
        <f t="shared" si="61"/>
        <v>5.2792490031305646E-4</v>
      </c>
      <c r="I86" s="296">
        <f t="shared" si="62"/>
        <v>4.3564260691602913E-4</v>
      </c>
      <c r="J86" s="296">
        <f t="shared" si="63"/>
        <v>3.4336031351900179E-4</v>
      </c>
      <c r="K86" s="296">
        <f t="shared" si="64"/>
        <v>2.5107802012197446E-4</v>
      </c>
      <c r="L86" s="296">
        <f t="shared" si="65"/>
        <v>1.5879572672494713E-4</v>
      </c>
      <c r="M86" s="419">
        <v>1</v>
      </c>
      <c r="N86" s="406">
        <f t="shared" si="66"/>
        <v>-9.2282293397027331E-5</v>
      </c>
    </row>
    <row r="87" spans="1:20">
      <c r="A87" s="320" t="s">
        <v>2265</v>
      </c>
      <c r="B87" s="404">
        <v>4.345484993339338E-3</v>
      </c>
      <c r="C87" s="404">
        <v>4.299379051765446E-3</v>
      </c>
      <c r="D87" s="296">
        <f t="shared" si="57"/>
        <v>3.9386000589497396E-3</v>
      </c>
      <c r="E87" s="296">
        <f t="shared" si="58"/>
        <v>3.5778210661340333E-3</v>
      </c>
      <c r="F87" s="296">
        <f t="shared" si="59"/>
        <v>3.2170420733183269E-3</v>
      </c>
      <c r="G87" s="296">
        <f t="shared" si="60"/>
        <v>2.8562630805026206E-3</v>
      </c>
      <c r="H87" s="296">
        <f t="shared" si="61"/>
        <v>2.4954840876869142E-3</v>
      </c>
      <c r="I87" s="296">
        <f t="shared" si="62"/>
        <v>2.1347050948712079E-3</v>
      </c>
      <c r="J87" s="296">
        <f t="shared" si="63"/>
        <v>1.7739261020555015E-3</v>
      </c>
      <c r="K87" s="296">
        <f t="shared" si="64"/>
        <v>1.4131471092397952E-3</v>
      </c>
      <c r="L87" s="296">
        <f t="shared" si="65"/>
        <v>1.0523681164240888E-3</v>
      </c>
      <c r="M87" s="419">
        <v>0.25</v>
      </c>
      <c r="N87" s="406">
        <f t="shared" si="66"/>
        <v>-3.607789928157063E-4</v>
      </c>
    </row>
    <row r="88" spans="1:20">
      <c r="A88" s="320" t="s">
        <v>2268</v>
      </c>
      <c r="B88" s="404">
        <v>1.9698763537445433E-2</v>
      </c>
      <c r="C88" s="404">
        <v>1.8417360183608268E-2</v>
      </c>
      <c r="D88" s="296">
        <f t="shared" si="57"/>
        <v>1.8661397345217139E-2</v>
      </c>
      <c r="E88" s="296">
        <f t="shared" si="58"/>
        <v>1.890543450682601E-2</v>
      </c>
      <c r="F88" s="296">
        <f t="shared" si="59"/>
        <v>1.9149471668434882E-2</v>
      </c>
      <c r="G88" s="296">
        <f t="shared" si="60"/>
        <v>1.9393508830043753E-2</v>
      </c>
      <c r="H88" s="296">
        <f t="shared" si="61"/>
        <v>1.9637545991652624E-2</v>
      </c>
      <c r="I88" s="296">
        <f t="shared" si="62"/>
        <v>1.9881583153261495E-2</v>
      </c>
      <c r="J88" s="296">
        <f t="shared" si="63"/>
        <v>2.0125620314870366E-2</v>
      </c>
      <c r="K88" s="296">
        <f t="shared" si="64"/>
        <v>2.0369657476479237E-2</v>
      </c>
      <c r="L88" s="296">
        <f t="shared" si="65"/>
        <v>2.0613694638088109E-2</v>
      </c>
      <c r="M88" s="419">
        <v>1</v>
      </c>
      <c r="N88" s="406">
        <f t="shared" si="66"/>
        <v>2.4403716160887045E-4</v>
      </c>
    </row>
    <row r="89" spans="1:20">
      <c r="A89" s="320" t="s">
        <v>2271</v>
      </c>
      <c r="B89" s="404">
        <v>1.1225973452857498E-2</v>
      </c>
      <c r="C89" s="404">
        <v>1.2813476331697788E-2</v>
      </c>
      <c r="D89" s="296">
        <f t="shared" si="57"/>
        <v>1.3176068696278824E-2</v>
      </c>
      <c r="E89" s="296">
        <f t="shared" si="58"/>
        <v>1.3538661060859859E-2</v>
      </c>
      <c r="F89" s="296">
        <f t="shared" si="59"/>
        <v>1.3901253425440895E-2</v>
      </c>
      <c r="G89" s="296">
        <f t="shared" si="60"/>
        <v>1.4263845790021931E-2</v>
      </c>
      <c r="H89" s="296">
        <f t="shared" si="61"/>
        <v>1.4626438154602966E-2</v>
      </c>
      <c r="I89" s="296">
        <f t="shared" si="62"/>
        <v>1.4989030519184002E-2</v>
      </c>
      <c r="J89" s="296">
        <f t="shared" si="63"/>
        <v>1.5351622883765037E-2</v>
      </c>
      <c r="K89" s="296">
        <f t="shared" si="64"/>
        <v>1.5714215248346073E-2</v>
      </c>
      <c r="L89" s="296">
        <f t="shared" si="65"/>
        <v>1.607680761292711E-2</v>
      </c>
      <c r="M89" s="419">
        <v>0.2</v>
      </c>
      <c r="N89" s="406">
        <f t="shared" si="66"/>
        <v>3.6259236458103584E-4</v>
      </c>
    </row>
    <row r="90" spans="1:20">
      <c r="A90" s="320" t="s">
        <v>2274</v>
      </c>
      <c r="B90" s="404">
        <v>1.1855813547572275E-3</v>
      </c>
      <c r="C90" s="404">
        <v>5.7436472434811764E-3</v>
      </c>
      <c r="D90" s="296">
        <f t="shared" si="57"/>
        <v>5.8664210549610419E-3</v>
      </c>
      <c r="E90" s="296">
        <f t="shared" si="58"/>
        <v>5.9891948664409075E-3</v>
      </c>
      <c r="F90" s="296">
        <f t="shared" si="59"/>
        <v>6.1119686779207731E-3</v>
      </c>
      <c r="G90" s="296">
        <f t="shared" si="60"/>
        <v>6.2347424894006387E-3</v>
      </c>
      <c r="H90" s="296">
        <f t="shared" si="61"/>
        <v>6.3575163008805042E-3</v>
      </c>
      <c r="I90" s="296">
        <f t="shared" si="62"/>
        <v>6.4802901123603698E-3</v>
      </c>
      <c r="J90" s="296">
        <f t="shared" si="63"/>
        <v>6.6030639238402354E-3</v>
      </c>
      <c r="K90" s="296">
        <f t="shared" si="64"/>
        <v>6.725837735320101E-3</v>
      </c>
      <c r="L90" s="296">
        <f t="shared" si="65"/>
        <v>6.8486115467999665E-3</v>
      </c>
      <c r="M90" s="419">
        <v>0.2</v>
      </c>
      <c r="N90" s="406">
        <f t="shared" si="66"/>
        <v>1.2277381147986519E-4</v>
      </c>
    </row>
    <row r="91" spans="1:20">
      <c r="A91" s="64" t="s">
        <v>2036</v>
      </c>
    </row>
    <row r="92" spans="1:20">
      <c r="A92" s="320" t="s">
        <v>2251</v>
      </c>
      <c r="B92" s="85">
        <v>3786</v>
      </c>
      <c r="C92" s="85">
        <v>5036</v>
      </c>
      <c r="D92" s="75">
        <f t="shared" ref="D92:L92" si="67">D81*D83</f>
        <v>7197.4157883513535</v>
      </c>
      <c r="E92" s="75">
        <f t="shared" si="67"/>
        <v>9346.0294775500206</v>
      </c>
      <c r="F92" s="75">
        <f t="shared" si="67"/>
        <v>11342.500928496913</v>
      </c>
      <c r="G92" s="75">
        <f t="shared" si="67"/>
        <v>13433.171556231886</v>
      </c>
      <c r="H92" s="75">
        <f t="shared" si="67"/>
        <v>15467.678566741723</v>
      </c>
      <c r="I92" s="75">
        <f t="shared" si="67"/>
        <v>17534.799400279677</v>
      </c>
      <c r="J92" s="75">
        <f t="shared" si="67"/>
        <v>19583.347315095798</v>
      </c>
      <c r="K92" s="75">
        <f t="shared" si="67"/>
        <v>21642.31469287672</v>
      </c>
      <c r="L92" s="75">
        <f t="shared" si="67"/>
        <v>23695.505837373297</v>
      </c>
    </row>
    <row r="94" spans="1:20" s="421" customFormat="1">
      <c r="A94" s="421" t="s">
        <v>2281</v>
      </c>
    </row>
    <row r="95" spans="1:20" s="400" customFormat="1" ht="46.5" customHeight="1">
      <c r="A95" s="527" t="s">
        <v>0</v>
      </c>
      <c r="B95" s="527" t="s">
        <v>2018</v>
      </c>
      <c r="C95" s="527" t="s">
        <v>2019</v>
      </c>
      <c r="D95" s="527" t="s">
        <v>2020</v>
      </c>
      <c r="E95" s="527" t="s">
        <v>2021</v>
      </c>
      <c r="F95" s="527" t="s">
        <v>2022</v>
      </c>
      <c r="G95" s="527" t="s">
        <v>1840</v>
      </c>
      <c r="H95" s="527" t="s">
        <v>2023</v>
      </c>
      <c r="I95" s="527" t="s">
        <v>2024</v>
      </c>
      <c r="J95" s="527" t="s">
        <v>2025</v>
      </c>
      <c r="K95" s="527" t="s">
        <v>2026</v>
      </c>
      <c r="L95" s="527" t="s">
        <v>2027</v>
      </c>
      <c r="M95" s="527" t="s">
        <v>2028</v>
      </c>
      <c r="N95" s="527" t="s">
        <v>2029</v>
      </c>
      <c r="O95" s="527" t="s">
        <v>2030</v>
      </c>
      <c r="P95" s="527" t="s">
        <v>2031</v>
      </c>
      <c r="Q95" s="527" t="s">
        <v>2032</v>
      </c>
      <c r="R95" s="527"/>
      <c r="S95" s="527"/>
      <c r="T95" s="527" t="s">
        <v>2035</v>
      </c>
    </row>
    <row r="96" spans="1:20" s="64" customFormat="1">
      <c r="A96" s="64" t="s">
        <v>15</v>
      </c>
      <c r="B96" s="64" t="s">
        <v>2281</v>
      </c>
      <c r="C96" s="64" t="s">
        <v>2252</v>
      </c>
      <c r="D96" s="64" t="s">
        <v>2199</v>
      </c>
      <c r="E96" s="64" t="s">
        <v>2253</v>
      </c>
      <c r="F96" s="64" t="s">
        <v>2060</v>
      </c>
      <c r="G96" s="414">
        <v>119792</v>
      </c>
      <c r="H96" s="534" t="s">
        <v>2282</v>
      </c>
      <c r="I96" s="414">
        <v>4565</v>
      </c>
      <c r="J96" s="414">
        <v>2302</v>
      </c>
      <c r="K96" s="535">
        <v>1823</v>
      </c>
      <c r="L96" s="430">
        <v>1.375895160706966E-2</v>
      </c>
      <c r="M96" s="430">
        <v>4.669863758449167E-3</v>
      </c>
      <c r="N96" s="412">
        <v>6.6445521816790015E-3</v>
      </c>
      <c r="O96" s="412">
        <v>-9.0890878486204925E-3</v>
      </c>
      <c r="P96" s="412">
        <v>1.9746884232298345E-3</v>
      </c>
      <c r="Q96" s="412">
        <v>-7.1143994253906589E-3</v>
      </c>
      <c r="R96" s="412"/>
      <c r="S96" s="412"/>
      <c r="T96" s="444">
        <f>Q96/2.5</f>
        <v>-2.8457597701562636E-3</v>
      </c>
    </row>
    <row r="97" spans="1:20">
      <c r="A97" t="s">
        <v>2244</v>
      </c>
      <c r="B97" t="s">
        <v>2283</v>
      </c>
      <c r="C97" t="s">
        <v>2252</v>
      </c>
      <c r="D97" t="s">
        <v>2199</v>
      </c>
      <c r="E97" t="s">
        <v>2253</v>
      </c>
      <c r="F97" t="s">
        <v>2039</v>
      </c>
      <c r="G97" s="415">
        <v>138741</v>
      </c>
      <c r="H97" s="448" t="s">
        <v>2284</v>
      </c>
      <c r="I97" s="415">
        <v>0</v>
      </c>
      <c r="J97" s="415">
        <v>1830</v>
      </c>
      <c r="K97" s="415">
        <v>460</v>
      </c>
      <c r="L97" s="431">
        <v>0</v>
      </c>
      <c r="M97" s="431">
        <v>3.7123591129287472E-3</v>
      </c>
      <c r="N97" s="404">
        <v>1.7786851649923825E-3</v>
      </c>
      <c r="O97" s="404">
        <v>3.7123591129287472E-3</v>
      </c>
      <c r="P97" s="404">
        <v>-1.9336739479363647E-3</v>
      </c>
      <c r="Q97" s="404">
        <v>1.7786851649923799E-3</v>
      </c>
      <c r="R97" s="404"/>
      <c r="S97" s="404"/>
      <c r="T97" s="296">
        <f t="shared" ref="T97:T104" si="68">Q97/2.5</f>
        <v>7.1147406599695196E-4</v>
      </c>
    </row>
    <row r="98" spans="1:20">
      <c r="A98" t="s">
        <v>2255</v>
      </c>
      <c r="B98" t="s">
        <v>2285</v>
      </c>
      <c r="C98" t="s">
        <v>2252</v>
      </c>
      <c r="D98" t="s">
        <v>2199</v>
      </c>
      <c r="E98" t="s">
        <v>2253</v>
      </c>
      <c r="F98" t="s">
        <v>2043</v>
      </c>
      <c r="G98" s="415">
        <v>119191</v>
      </c>
      <c r="H98" s="448" t="s">
        <v>2282</v>
      </c>
      <c r="I98" s="415">
        <v>5022</v>
      </c>
      <c r="J98" s="415">
        <v>2897</v>
      </c>
      <c r="K98" s="415">
        <v>552</v>
      </c>
      <c r="L98" s="431">
        <v>1.5136353772333808E-2</v>
      </c>
      <c r="M98" s="431">
        <v>5.8768876230352899E-3</v>
      </c>
      <c r="N98" s="404">
        <v>2.1669578189098477E-3</v>
      </c>
      <c r="O98" s="404">
        <v>-9.2594661492985189E-3</v>
      </c>
      <c r="P98" s="404">
        <v>-3.7099298041254423E-3</v>
      </c>
      <c r="Q98" s="404">
        <v>-1.2969395953423959E-2</v>
      </c>
      <c r="R98" s="404"/>
      <c r="S98" s="404"/>
      <c r="T98" s="296">
        <f t="shared" si="68"/>
        <v>-5.1877583813695841E-3</v>
      </c>
    </row>
    <row r="99" spans="1:20">
      <c r="A99" t="s">
        <v>2202</v>
      </c>
      <c r="B99" t="s">
        <v>2286</v>
      </c>
      <c r="C99" t="s">
        <v>2252</v>
      </c>
      <c r="D99" t="s">
        <v>2199</v>
      </c>
      <c r="E99" t="s">
        <v>2253</v>
      </c>
      <c r="F99" t="s">
        <v>2043</v>
      </c>
      <c r="G99" s="415">
        <v>118896</v>
      </c>
      <c r="H99" s="448" t="s">
        <v>2282</v>
      </c>
      <c r="I99" s="415">
        <v>4950</v>
      </c>
      <c r="J99" s="415">
        <v>3034</v>
      </c>
      <c r="K99" s="415">
        <v>972</v>
      </c>
      <c r="L99" s="431">
        <v>1.491934511609963E-2</v>
      </c>
      <c r="M99" s="431">
        <v>6.1548074036206655E-3</v>
      </c>
      <c r="N99" s="404">
        <v>3.7584390877665129E-3</v>
      </c>
      <c r="O99" s="404">
        <v>-8.764537712478964E-3</v>
      </c>
      <c r="P99" s="404">
        <v>-2.3963683158541526E-3</v>
      </c>
      <c r="Q99" s="404">
        <v>-1.1160906028333117E-2</v>
      </c>
      <c r="R99" s="404"/>
      <c r="S99" s="404"/>
      <c r="T99" s="296">
        <f t="shared" si="68"/>
        <v>-4.4643624113332465E-3</v>
      </c>
    </row>
    <row r="100" spans="1:20">
      <c r="A100" t="s">
        <v>2207</v>
      </c>
      <c r="B100" t="s">
        <v>2287</v>
      </c>
      <c r="C100" t="s">
        <v>2252</v>
      </c>
      <c r="D100" t="s">
        <v>2199</v>
      </c>
      <c r="E100" t="s">
        <v>2253</v>
      </c>
      <c r="F100" t="s">
        <v>2043</v>
      </c>
      <c r="G100" s="415">
        <v>108522</v>
      </c>
      <c r="H100" s="448" t="s">
        <v>2288</v>
      </c>
      <c r="I100" s="415">
        <v>36161</v>
      </c>
      <c r="J100" s="415">
        <v>47786</v>
      </c>
      <c r="K100" s="415">
        <v>24473</v>
      </c>
      <c r="L100" s="404">
        <v>0.10898958358450075</v>
      </c>
      <c r="M100" s="404">
        <v>9.693923091279405E-2</v>
      </c>
      <c r="N100" s="404">
        <v>9.6072388953225896E-2</v>
      </c>
      <c r="O100" s="404">
        <v>-1.2050352671706704E-2</v>
      </c>
      <c r="P100" s="404">
        <v>-8.6684195956815424E-4</v>
      </c>
      <c r="Q100" s="404">
        <v>-1.2917194631274859E-2</v>
      </c>
      <c r="R100" s="404"/>
      <c r="S100" s="404"/>
      <c r="T100" s="296">
        <f t="shared" si="68"/>
        <v>-5.1668778525099431E-3</v>
      </c>
    </row>
    <row r="101" spans="1:20">
      <c r="A101" t="s">
        <v>2289</v>
      </c>
      <c r="B101" t="s">
        <v>2290</v>
      </c>
      <c r="C101" t="s">
        <v>2252</v>
      </c>
      <c r="D101" t="s">
        <v>2199</v>
      </c>
      <c r="E101" t="s">
        <v>2253</v>
      </c>
      <c r="F101" t="s">
        <v>2043</v>
      </c>
      <c r="G101" s="415">
        <v>112866</v>
      </c>
      <c r="H101" s="448" t="s">
        <v>2291</v>
      </c>
      <c r="I101" s="415">
        <v>2416</v>
      </c>
      <c r="J101" s="415">
        <v>3280</v>
      </c>
      <c r="K101" s="415">
        <v>4218</v>
      </c>
      <c r="L101" s="431">
        <v>7.2818460203023655E-3</v>
      </c>
      <c r="M101" s="431">
        <v>6.6538458417520711E-3</v>
      </c>
      <c r="N101" s="404">
        <v>1.6558384203191553E-2</v>
      </c>
      <c r="O101" s="404">
        <v>-6.2800017855029443E-4</v>
      </c>
      <c r="P101" s="404">
        <v>9.9045383614394817E-3</v>
      </c>
      <c r="Q101" s="404">
        <v>9.2765381828891873E-3</v>
      </c>
      <c r="R101" s="404"/>
      <c r="S101" s="404"/>
      <c r="T101" s="296">
        <f t="shared" si="68"/>
        <v>3.7106152731556747E-3</v>
      </c>
    </row>
    <row r="102" spans="1:20">
      <c r="A102" t="s">
        <v>2207</v>
      </c>
      <c r="B102" t="s">
        <v>2292</v>
      </c>
      <c r="C102" t="s">
        <v>2252</v>
      </c>
      <c r="D102" t="s">
        <v>2199</v>
      </c>
      <c r="E102" t="s">
        <v>2253</v>
      </c>
      <c r="F102" t="s">
        <v>2043</v>
      </c>
      <c r="G102" s="415">
        <f>1068000*0.155035</f>
        <v>165577.38</v>
      </c>
      <c r="H102" s="448" t="s">
        <v>2293</v>
      </c>
      <c r="I102" s="536">
        <f>8230*12/9</f>
        <v>10973.333333333334</v>
      </c>
      <c r="J102" s="536">
        <f>6785*2</f>
        <v>13570</v>
      </c>
      <c r="K102" s="415">
        <v>9188</v>
      </c>
      <c r="L102" s="431">
        <v>3.3073726681616157E-2</v>
      </c>
      <c r="M102" s="431">
        <v>2.7528258558712076E-2</v>
      </c>
      <c r="N102" s="404">
        <v>3.6068855869825507E-2</v>
      </c>
      <c r="O102" s="404">
        <v>-5.5454681229040806E-3</v>
      </c>
      <c r="P102" s="404">
        <v>8.5405973111134306E-3</v>
      </c>
      <c r="Q102" s="404">
        <v>2.99512918820935E-3</v>
      </c>
      <c r="R102" s="404"/>
      <c r="S102" s="404"/>
      <c r="T102" s="296">
        <f t="shared" si="68"/>
        <v>1.1980516752837401E-3</v>
      </c>
    </row>
    <row r="103" spans="1:20">
      <c r="A103" t="s">
        <v>2273</v>
      </c>
      <c r="B103" t="s">
        <v>2294</v>
      </c>
      <c r="C103" t="s">
        <v>2252</v>
      </c>
      <c r="D103" t="s">
        <v>2199</v>
      </c>
      <c r="E103" t="s">
        <v>2253</v>
      </c>
      <c r="F103" t="s">
        <v>2043</v>
      </c>
      <c r="G103" s="415">
        <f>913000*P78</f>
        <v>141546.95500000002</v>
      </c>
      <c r="H103" s="448" t="s">
        <v>2295</v>
      </c>
      <c r="I103" s="415">
        <v>35893</v>
      </c>
      <c r="J103" s="415">
        <v>30051</v>
      </c>
      <c r="K103" s="415">
        <v>16315</v>
      </c>
      <c r="L103" s="431">
        <v>0.10818182914185133</v>
      </c>
      <c r="M103" s="431">
        <v>6.0961805301979116E-2</v>
      </c>
      <c r="N103" s="404">
        <v>6.404695075274304E-2</v>
      </c>
      <c r="O103" s="404">
        <v>-4.7220023839872213E-2</v>
      </c>
      <c r="P103" s="404">
        <v>3.0851454507639237E-3</v>
      </c>
      <c r="Q103" s="404">
        <v>-4.413487838910829E-2</v>
      </c>
      <c r="R103" s="404"/>
      <c r="S103" s="404"/>
      <c r="T103" s="296">
        <f t="shared" si="68"/>
        <v>-1.7653951355643314E-2</v>
      </c>
    </row>
    <row r="104" spans="1:20">
      <c r="A104" t="s">
        <v>2202</v>
      </c>
      <c r="B104" t="s">
        <v>2296</v>
      </c>
      <c r="C104" t="s">
        <v>2252</v>
      </c>
      <c r="D104" t="s">
        <v>2199</v>
      </c>
      <c r="E104" t="s">
        <v>2253</v>
      </c>
      <c r="F104" t="s">
        <v>2043</v>
      </c>
      <c r="G104" s="415">
        <f>699900*P78</f>
        <v>108508.99650000001</v>
      </c>
      <c r="H104" s="448" t="s">
        <v>2288</v>
      </c>
      <c r="I104" s="461">
        <v>48538</v>
      </c>
      <c r="J104" s="415">
        <v>50217</v>
      </c>
      <c r="K104" s="415">
        <v>12828</v>
      </c>
      <c r="L104" s="431">
        <v>0.14629397439297856</v>
      </c>
      <c r="M104" s="431">
        <v>0.10187078555953163</v>
      </c>
      <c r="N104" s="404">
        <v>5.0358215400317978E-2</v>
      </c>
      <c r="O104" s="404">
        <v>-4.4423188833446925E-2</v>
      </c>
      <c r="P104" s="404">
        <v>-5.1512570159213657E-2</v>
      </c>
      <c r="Q104" s="444">
        <v>-9.5935758992660575E-2</v>
      </c>
      <c r="R104" s="444"/>
      <c r="S104" s="444"/>
      <c r="T104" s="296">
        <f t="shared" si="68"/>
        <v>-3.837430359706423E-2</v>
      </c>
    </row>
    <row r="105" spans="1:20">
      <c r="A105" t="s">
        <v>24</v>
      </c>
      <c r="I105" s="403">
        <f>SUM(I96:I104)</f>
        <v>148518.33333333334</v>
      </c>
      <c r="J105" s="403">
        <f t="shared" ref="J105:K105" si="69">SUM(J96:J104)</f>
        <v>154967</v>
      </c>
      <c r="K105" s="403">
        <f t="shared" si="69"/>
        <v>70829</v>
      </c>
      <c r="L105" s="364">
        <f>SUM(L96:L104)</f>
        <v>0.44763561031675225</v>
      </c>
      <c r="M105" s="364">
        <f t="shared" ref="M105:Q105" si="70">SUM(M96:M104)</f>
        <v>0.31436784407280283</v>
      </c>
      <c r="N105" s="364">
        <f t="shared" si="70"/>
        <v>0.27745342943265172</v>
      </c>
      <c r="O105" s="364">
        <f t="shared" si="70"/>
        <v>-0.13326776624394945</v>
      </c>
      <c r="P105" s="364">
        <f t="shared" si="70"/>
        <v>-3.6914414640151098E-2</v>
      </c>
      <c r="Q105" s="364">
        <f t="shared" si="70"/>
        <v>-0.17018218088410053</v>
      </c>
      <c r="R105" s="364"/>
      <c r="S105" s="364"/>
      <c r="T105" s="364">
        <f>SUM(T96:T104)</f>
        <v>-6.8072872353640207E-2</v>
      </c>
    </row>
    <row r="106" spans="1:20">
      <c r="A106" s="64" t="s">
        <v>2218</v>
      </c>
      <c r="C106">
        <f>C108/B108-1</f>
        <v>0.48574976490728905</v>
      </c>
      <c r="J106">
        <f>J100/I100-1</f>
        <v>0.3214789414009569</v>
      </c>
      <c r="K106">
        <f>J104/I104-1</f>
        <v>3.4591454118422682E-2</v>
      </c>
    </row>
    <row r="107" spans="1:20">
      <c r="A107" t="s">
        <v>2297</v>
      </c>
      <c r="B107">
        <v>2020</v>
      </c>
      <c r="C107">
        <v>2021</v>
      </c>
      <c r="D107" t="s">
        <v>14</v>
      </c>
      <c r="E107" t="s">
        <v>11</v>
      </c>
      <c r="F107" t="s">
        <v>12</v>
      </c>
      <c r="G107" t="s">
        <v>13</v>
      </c>
      <c r="H107" t="s">
        <v>2220</v>
      </c>
      <c r="I107" t="s">
        <v>2221</v>
      </c>
      <c r="J107" t="s">
        <v>2222</v>
      </c>
      <c r="K107" t="s">
        <v>2223</v>
      </c>
      <c r="L107" t="s">
        <v>2224</v>
      </c>
      <c r="M107" t="s">
        <v>2225</v>
      </c>
      <c r="N107" t="s">
        <v>2226</v>
      </c>
    </row>
    <row r="108" spans="1:20">
      <c r="A108" t="s">
        <v>2227</v>
      </c>
      <c r="B108" s="402">
        <v>331784</v>
      </c>
      <c r="C108" s="402">
        <v>492948</v>
      </c>
      <c r="D108" s="279">
        <f>AVERAGE(B108:C108)</f>
        <v>412366</v>
      </c>
      <c r="E108" s="279">
        <f>AVERAGE(C108:D108)</f>
        <v>452657</v>
      </c>
      <c r="F108" s="279">
        <f t="shared" ref="F108" si="71">AVERAGE(D108:E108)</f>
        <v>432511.5</v>
      </c>
      <c r="G108" s="279">
        <f>AVERAGE(E108:F108)</f>
        <v>442584.25</v>
      </c>
      <c r="H108" s="279">
        <f t="shared" ref="H108" si="72">AVERAGE(F108:G108)</f>
        <v>437547.875</v>
      </c>
      <c r="I108" s="279">
        <f t="shared" ref="I108" si="73">AVERAGE(G108:H108)</f>
        <v>440066.0625</v>
      </c>
      <c r="J108" s="279">
        <f t="shared" ref="J108" si="74">AVERAGE(H108:I108)</f>
        <v>438806.96875</v>
      </c>
      <c r="K108" s="279">
        <f t="shared" ref="K108" si="75">AVERAGE(I108:J108)</f>
        <v>439436.515625</v>
      </c>
      <c r="L108" s="279">
        <f>AVERAGE(J108:K108)</f>
        <v>439121.7421875</v>
      </c>
      <c r="N108" t="s">
        <v>162</v>
      </c>
    </row>
    <row r="109" spans="1:20">
      <c r="A109" s="64" t="s">
        <v>2228</v>
      </c>
    </row>
    <row r="110" spans="1:20" s="64" customFormat="1">
      <c r="A110" s="64" t="s">
        <v>2281</v>
      </c>
      <c r="B110" s="430">
        <v>1.375895160706966E-2</v>
      </c>
      <c r="C110" s="430">
        <v>4.669863758449167E-3</v>
      </c>
      <c r="D110" s="444">
        <f>C110+N110</f>
        <v>1.8916281870120458E-2</v>
      </c>
      <c r="E110" s="444">
        <f>D110+N110</f>
        <v>3.3162699981791749E-2</v>
      </c>
      <c r="F110" s="444">
        <f>E110+N110</f>
        <v>4.7409118093463043E-2</v>
      </c>
      <c r="G110" s="444">
        <f>F110+N110</f>
        <v>6.1655536205134337E-2</v>
      </c>
      <c r="H110" s="444">
        <f>G110+N110</f>
        <v>7.5901954316805631E-2</v>
      </c>
      <c r="I110" s="444">
        <f>H110+N110</f>
        <v>9.0148372428476925E-2</v>
      </c>
      <c r="J110" s="444">
        <f>I110+N110</f>
        <v>0.10439479054014822</v>
      </c>
      <c r="K110" s="444">
        <f>J110+N110</f>
        <v>0.11864120865181951</v>
      </c>
      <c r="L110" s="444">
        <f>K110+N110</f>
        <v>0.13288762676349081</v>
      </c>
      <c r="M110" s="449"/>
      <c r="N110" s="450">
        <f>-SUM(N111:N118)</f>
        <v>1.4246418111671291E-2</v>
      </c>
    </row>
    <row r="111" spans="1:20">
      <c r="A111" t="s">
        <v>2283</v>
      </c>
      <c r="B111" s="431">
        <v>0</v>
      </c>
      <c r="C111" s="431">
        <v>3.7123591129287472E-3</v>
      </c>
      <c r="D111" s="296">
        <f t="shared" ref="D111:D117" si="76">C111+N111</f>
        <v>4.4238331789256992E-3</v>
      </c>
      <c r="E111" s="296">
        <f t="shared" ref="E111:E118" si="77">D111+N111</f>
        <v>5.1353072449226512E-3</v>
      </c>
      <c r="F111" s="296">
        <f t="shared" ref="F111:F118" si="78">E111+N111</f>
        <v>5.8467813109196031E-3</v>
      </c>
      <c r="G111" s="296">
        <f t="shared" ref="G111:G118" si="79">F111+N111</f>
        <v>6.5582553769165551E-3</v>
      </c>
      <c r="H111" s="296">
        <f t="shared" ref="H111:H118" si="80">G111+N111</f>
        <v>7.269729442913507E-3</v>
      </c>
      <c r="I111" s="296">
        <f t="shared" ref="I111:I118" si="81">H111+N111</f>
        <v>7.9812035089104581E-3</v>
      </c>
      <c r="J111" s="296">
        <f t="shared" ref="J111:J118" si="82">I111+N111</f>
        <v>8.6926775749074092E-3</v>
      </c>
      <c r="K111" s="296">
        <f t="shared" ref="K111:K118" si="83">J111+N111</f>
        <v>9.4041516409043603E-3</v>
      </c>
      <c r="L111" s="296">
        <f>K111+N111</f>
        <v>1.0115625706901311E-2</v>
      </c>
      <c r="M111" s="419">
        <v>1</v>
      </c>
      <c r="N111" s="406">
        <f>M111*T97</f>
        <v>7.1147406599695196E-4</v>
      </c>
    </row>
    <row r="112" spans="1:20">
      <c r="A112" t="s">
        <v>2285</v>
      </c>
      <c r="B112" s="431">
        <v>1.5136353772333808E-2</v>
      </c>
      <c r="C112" s="431">
        <v>5.8768876230352899E-3</v>
      </c>
      <c r="D112" s="296">
        <f t="shared" si="76"/>
        <v>5.300470025105336E-3</v>
      </c>
      <c r="E112" s="296">
        <f t="shared" si="77"/>
        <v>4.7240524271753822E-3</v>
      </c>
      <c r="F112" s="296">
        <f t="shared" si="78"/>
        <v>4.1476348292454283E-3</v>
      </c>
      <c r="G112" s="296">
        <f t="shared" si="79"/>
        <v>3.5712172313154744E-3</v>
      </c>
      <c r="H112" s="296">
        <f t="shared" si="80"/>
        <v>2.9947996333855205E-3</v>
      </c>
      <c r="I112" s="296">
        <f t="shared" si="81"/>
        <v>2.4183820354555666E-3</v>
      </c>
      <c r="J112" s="296">
        <f t="shared" si="82"/>
        <v>1.8419644375256127E-3</v>
      </c>
      <c r="K112" s="296">
        <f t="shared" si="83"/>
        <v>1.2655468395956588E-3</v>
      </c>
      <c r="L112" s="296">
        <f t="shared" ref="L112:L118" si="84">K112+N112</f>
        <v>6.8912924166570505E-4</v>
      </c>
      <c r="M112" s="419">
        <v>0.1111111111111111</v>
      </c>
      <c r="N112" s="406">
        <f>M112*T98</f>
        <v>-5.7641759792995378E-4</v>
      </c>
    </row>
    <row r="113" spans="1:22">
      <c r="A113" t="s">
        <v>2286</v>
      </c>
      <c r="B113" s="431">
        <v>1.491934511609963E-2</v>
      </c>
      <c r="C113" s="431">
        <v>6.1548074036206655E-3</v>
      </c>
      <c r="D113" s="296">
        <f t="shared" si="76"/>
        <v>5.6587671356947492E-3</v>
      </c>
      <c r="E113" s="296">
        <f t="shared" si="77"/>
        <v>5.1627268677688328E-3</v>
      </c>
      <c r="F113" s="296">
        <f t="shared" si="78"/>
        <v>4.6666865998429164E-3</v>
      </c>
      <c r="G113" s="296">
        <f t="shared" si="79"/>
        <v>4.170646331917E-3</v>
      </c>
      <c r="H113" s="296">
        <f t="shared" si="80"/>
        <v>3.6746060639910837E-3</v>
      </c>
      <c r="I113" s="296">
        <f t="shared" si="81"/>
        <v>3.1785657960651673E-3</v>
      </c>
      <c r="J113" s="296">
        <f t="shared" si="82"/>
        <v>2.6825255281392509E-3</v>
      </c>
      <c r="K113" s="296">
        <f t="shared" si="83"/>
        <v>2.1864852602133346E-3</v>
      </c>
      <c r="L113" s="296">
        <f t="shared" si="84"/>
        <v>1.6904449922874182E-3</v>
      </c>
      <c r="M113" s="419">
        <v>0.1111111111111111</v>
      </c>
      <c r="N113" s="406">
        <f>M113*T99</f>
        <v>-4.9604026792591626E-4</v>
      </c>
    </row>
    <row r="114" spans="1:22">
      <c r="A114" t="s">
        <v>2287</v>
      </c>
      <c r="B114" s="404">
        <v>0.10898958358450075</v>
      </c>
      <c r="C114" s="404">
        <v>9.693923091279405E-2</v>
      </c>
      <c r="D114" s="296">
        <f t="shared" si="76"/>
        <v>9.383910420128809E-2</v>
      </c>
      <c r="E114" s="296">
        <f t="shared" si="77"/>
        <v>9.073897748978213E-2</v>
      </c>
      <c r="F114" s="296">
        <f t="shared" si="78"/>
        <v>8.763885077827617E-2</v>
      </c>
      <c r="G114" s="296">
        <f t="shared" si="79"/>
        <v>8.453872406677021E-2</v>
      </c>
      <c r="H114" s="296">
        <f t="shared" si="80"/>
        <v>8.143859735526425E-2</v>
      </c>
      <c r="I114" s="296">
        <f t="shared" si="81"/>
        <v>7.833847064375829E-2</v>
      </c>
      <c r="J114" s="296">
        <f t="shared" si="82"/>
        <v>7.523834393225233E-2</v>
      </c>
      <c r="K114" s="296">
        <f t="shared" si="83"/>
        <v>7.213821722074637E-2</v>
      </c>
      <c r="L114" s="296">
        <f t="shared" si="84"/>
        <v>6.903809050924041E-2</v>
      </c>
      <c r="M114" s="419">
        <v>0.6</v>
      </c>
      <c r="N114" s="406">
        <f>M114*T100</f>
        <v>-3.1001267115059656E-3</v>
      </c>
    </row>
    <row r="115" spans="1:22">
      <c r="A115" t="s">
        <v>2290</v>
      </c>
      <c r="B115" s="431">
        <v>7.2818460203023655E-3</v>
      </c>
      <c r="C115" s="431">
        <v>6.6538458417520711E-3</v>
      </c>
      <c r="D115" s="296">
        <f t="shared" si="76"/>
        <v>7.8907175994706296E-3</v>
      </c>
      <c r="E115" s="296">
        <f t="shared" si="77"/>
        <v>9.1275893571891881E-3</v>
      </c>
      <c r="F115" s="296">
        <f t="shared" si="78"/>
        <v>1.0364461114907747E-2</v>
      </c>
      <c r="G115" s="296">
        <f t="shared" si="79"/>
        <v>1.1601332872626305E-2</v>
      </c>
      <c r="H115" s="296">
        <f t="shared" si="80"/>
        <v>1.2838204630344864E-2</v>
      </c>
      <c r="I115" s="296">
        <f t="shared" si="81"/>
        <v>1.4075076388063422E-2</v>
      </c>
      <c r="J115" s="296">
        <f t="shared" si="82"/>
        <v>1.5311948145781981E-2</v>
      </c>
      <c r="K115" s="296">
        <f t="shared" si="83"/>
        <v>1.6548819903500538E-2</v>
      </c>
      <c r="L115" s="296">
        <f t="shared" si="84"/>
        <v>1.7785691661219096E-2</v>
      </c>
      <c r="M115" s="419">
        <v>0.33333333333333331</v>
      </c>
      <c r="N115" s="406">
        <f>M115*T101</f>
        <v>1.2368717577185581E-3</v>
      </c>
    </row>
    <row r="116" spans="1:22">
      <c r="A116" t="s">
        <v>2292</v>
      </c>
      <c r="B116" s="431">
        <v>3.3073726681616157E-2</v>
      </c>
      <c r="C116" s="431">
        <v>2.7528258558712076E-2</v>
      </c>
      <c r="D116" s="296">
        <f>C116+N116</f>
        <v>2.5006265507905891E-2</v>
      </c>
      <c r="E116" s="296">
        <f t="shared" si="77"/>
        <v>2.2484272457099705E-2</v>
      </c>
      <c r="F116" s="296">
        <f t="shared" si="78"/>
        <v>1.9962279406293519E-2</v>
      </c>
      <c r="G116" s="296">
        <f t="shared" si="79"/>
        <v>1.7440286355487333E-2</v>
      </c>
      <c r="H116" s="296">
        <f t="shared" si="80"/>
        <v>1.4918293304681146E-2</v>
      </c>
      <c r="I116" s="296">
        <f t="shared" si="81"/>
        <v>1.2396300253874958E-2</v>
      </c>
      <c r="J116" s="296">
        <f t="shared" si="82"/>
        <v>9.8743072030687707E-3</v>
      </c>
      <c r="K116" s="296">
        <f t="shared" si="83"/>
        <v>7.3523141522625832E-3</v>
      </c>
      <c r="L116" s="296">
        <f t="shared" si="84"/>
        <v>4.8303211014563956E-3</v>
      </c>
      <c r="M116" s="419">
        <v>0.14285714285714285</v>
      </c>
      <c r="N116" s="406">
        <f>M116*T103</f>
        <v>-2.5219930508061875E-3</v>
      </c>
    </row>
    <row r="117" spans="1:22">
      <c r="A117" t="s">
        <v>2294</v>
      </c>
      <c r="B117" s="431">
        <v>0.108181829141851</v>
      </c>
      <c r="C117" s="431">
        <v>6.0961805301979116E-2</v>
      </c>
      <c r="D117" s="296">
        <f t="shared" si="76"/>
        <v>5.6697993791194203E-2</v>
      </c>
      <c r="E117" s="296">
        <f t="shared" si="77"/>
        <v>5.2434182280409289E-2</v>
      </c>
      <c r="F117" s="296">
        <f t="shared" si="78"/>
        <v>4.8170370769624375E-2</v>
      </c>
      <c r="G117" s="296">
        <f t="shared" si="79"/>
        <v>4.3906559258839462E-2</v>
      </c>
      <c r="H117" s="296">
        <f t="shared" si="80"/>
        <v>3.9642747748054548E-2</v>
      </c>
      <c r="I117" s="296">
        <f t="shared" si="81"/>
        <v>3.5378936237269634E-2</v>
      </c>
      <c r="J117" s="296">
        <f t="shared" si="82"/>
        <v>3.1115124726484721E-2</v>
      </c>
      <c r="K117" s="296">
        <f t="shared" si="83"/>
        <v>2.6851313215699807E-2</v>
      </c>
      <c r="L117" s="296">
        <f t="shared" si="84"/>
        <v>2.2587501704914893E-2</v>
      </c>
      <c r="M117" s="419">
        <v>0.1111111111111111</v>
      </c>
      <c r="N117" s="406">
        <f t="shared" ref="N117:N118" si="85">M117*T104</f>
        <v>-4.2638115107849145E-3</v>
      </c>
    </row>
    <row r="118" spans="1:22">
      <c r="A118" t="s">
        <v>2296</v>
      </c>
      <c r="B118" s="431">
        <v>0.14629397439297856</v>
      </c>
      <c r="C118" s="431">
        <v>0.10187078555953163</v>
      </c>
      <c r="D118" s="296">
        <f>C118+N118</f>
        <v>9.6634410763097769E-2</v>
      </c>
      <c r="E118" s="296">
        <f t="shared" si="77"/>
        <v>9.1398035966663904E-2</v>
      </c>
      <c r="F118" s="296">
        <f t="shared" si="78"/>
        <v>8.6161661170230039E-2</v>
      </c>
      <c r="G118" s="296">
        <f t="shared" si="79"/>
        <v>8.0925286373796174E-2</v>
      </c>
      <c r="H118" s="296">
        <f t="shared" si="80"/>
        <v>7.5688911577362308E-2</v>
      </c>
      <c r="I118" s="296">
        <f t="shared" si="81"/>
        <v>7.0452536780928443E-2</v>
      </c>
      <c r="J118" s="296">
        <f t="shared" si="82"/>
        <v>6.5216161984494578E-2</v>
      </c>
      <c r="K118" s="296">
        <f t="shared" si="83"/>
        <v>5.9979787188060713E-2</v>
      </c>
      <c r="L118" s="296">
        <f t="shared" si="84"/>
        <v>5.4743412391626847E-2</v>
      </c>
      <c r="M118" s="419">
        <v>7.6923076923076927E-2</v>
      </c>
      <c r="N118" s="406">
        <f t="shared" si="85"/>
        <v>-5.2363747964338627E-3</v>
      </c>
    </row>
    <row r="119" spans="1:22">
      <c r="A119" s="64" t="s">
        <v>2036</v>
      </c>
    </row>
    <row r="120" spans="1:22">
      <c r="A120" s="320" t="s">
        <v>2281</v>
      </c>
      <c r="B120" s="415">
        <v>4565</v>
      </c>
      <c r="C120" s="415">
        <v>2302</v>
      </c>
      <c r="D120" s="75">
        <f>D110*D108</f>
        <v>7800.4314896540927</v>
      </c>
      <c r="E120" s="75">
        <f t="shared" ref="E120:L120" si="86">E110*E108</f>
        <v>15011.328285657908</v>
      </c>
      <c r="F120" s="75">
        <f t="shared" si="86"/>
        <v>20504.988780280841</v>
      </c>
      <c r="G120" s="75">
        <f t="shared" si="86"/>
        <v>27287.769249697227</v>
      </c>
      <c r="H120" s="75">
        <f t="shared" si="86"/>
        <v>33210.738819665377</v>
      </c>
      <c r="I120" s="75">
        <f t="shared" si="86"/>
        <v>39671.239295383406</v>
      </c>
      <c r="J120" s="75">
        <f t="shared" si="86"/>
        <v>45809.161590213618</v>
      </c>
      <c r="K120" s="75">
        <f t="shared" si="86"/>
        <v>52135.279339494169</v>
      </c>
      <c r="L120" s="75">
        <f t="shared" si="86"/>
        <v>58353.846179546337</v>
      </c>
    </row>
    <row r="123" spans="1:22" s="420" customFormat="1" ht="19">
      <c r="A123" s="420" t="s">
        <v>1772</v>
      </c>
    </row>
    <row r="124" spans="1:22" s="421" customFormat="1">
      <c r="A124" s="421" t="s">
        <v>21</v>
      </c>
    </row>
    <row r="125" spans="1:22" s="400" customFormat="1" ht="46.5" customHeight="1">
      <c r="A125" s="527" t="s">
        <v>0</v>
      </c>
      <c r="B125" s="527" t="s">
        <v>2018</v>
      </c>
      <c r="C125" s="527" t="s">
        <v>2019</v>
      </c>
      <c r="D125" s="527" t="s">
        <v>2020</v>
      </c>
      <c r="E125" s="527" t="s">
        <v>2021</v>
      </c>
      <c r="F125" s="527" t="s">
        <v>2022</v>
      </c>
      <c r="G125" s="527" t="s">
        <v>1840</v>
      </c>
      <c r="H125" s="527" t="s">
        <v>2023</v>
      </c>
      <c r="I125" s="527" t="s">
        <v>2024</v>
      </c>
      <c r="J125" s="527" t="s">
        <v>2025</v>
      </c>
      <c r="K125" s="527" t="s">
        <v>2298</v>
      </c>
      <c r="L125" s="527" t="s">
        <v>2027</v>
      </c>
      <c r="M125" s="527" t="s">
        <v>2028</v>
      </c>
      <c r="N125" s="527" t="s">
        <v>2299</v>
      </c>
      <c r="O125" s="527" t="s">
        <v>2030</v>
      </c>
      <c r="P125" s="527" t="s">
        <v>2031</v>
      </c>
      <c r="Q125" s="527" t="s">
        <v>2032</v>
      </c>
      <c r="R125" s="527" t="s">
        <v>2033</v>
      </c>
      <c r="S125" s="527" t="s">
        <v>2034</v>
      </c>
      <c r="T125" s="527" t="s">
        <v>2035</v>
      </c>
      <c r="U125" s="527"/>
      <c r="V125" s="527"/>
    </row>
    <row r="126" spans="1:22" s="64" customFormat="1">
      <c r="A126" s="391" t="s">
        <v>15</v>
      </c>
      <c r="B126" s="392" t="s">
        <v>21</v>
      </c>
      <c r="C126" s="392" t="s">
        <v>2252</v>
      </c>
      <c r="D126" s="442" t="s">
        <v>2199</v>
      </c>
      <c r="E126" s="442" t="s">
        <v>2300</v>
      </c>
      <c r="F126" s="456" t="s">
        <v>2060</v>
      </c>
      <c r="G126" s="414">
        <f>54990/0.727099</f>
        <v>75629.315952848236</v>
      </c>
      <c r="H126" s="392" t="s">
        <v>2301</v>
      </c>
      <c r="I126" s="413">
        <v>0</v>
      </c>
      <c r="J126" s="413">
        <v>27687</v>
      </c>
      <c r="K126" s="413">
        <v>45047</v>
      </c>
      <c r="L126" s="430">
        <v>0</v>
      </c>
      <c r="M126" s="430">
        <v>1.8660667287183672E-2</v>
      </c>
      <c r="N126" s="430">
        <v>5.920568412419696E-2</v>
      </c>
      <c r="O126" s="430">
        <v>1.8660667287183672E-2</v>
      </c>
      <c r="P126" s="430">
        <v>4.0545016837013288E-2</v>
      </c>
      <c r="Q126" s="430">
        <v>5.920568412419696E-2</v>
      </c>
      <c r="R126" s="436">
        <f>SUM(Q127:Q156)/2.5</f>
        <v>-2.6979539559898607E-2</v>
      </c>
      <c r="S126" s="436">
        <f>T126+R126</f>
        <v>-3.2972659102198237E-3</v>
      </c>
      <c r="T126" s="436">
        <f>Q126/2.5</f>
        <v>2.3682273649678783E-2</v>
      </c>
      <c r="V126" s="354"/>
    </row>
    <row r="127" spans="1:22">
      <c r="A127" s="441" t="s">
        <v>2261</v>
      </c>
      <c r="B127" s="429" t="s">
        <v>2302</v>
      </c>
      <c r="C127" s="320" t="s">
        <v>2198</v>
      </c>
      <c r="D127" s="533" t="s">
        <v>2199</v>
      </c>
      <c r="E127" s="533" t="s">
        <v>2300</v>
      </c>
      <c r="F127" s="537" t="s">
        <v>2060</v>
      </c>
      <c r="G127" s="415">
        <f>58850/0.727099</f>
        <v>80938.084084835762</v>
      </c>
      <c r="H127" s="320" t="s">
        <v>2303</v>
      </c>
      <c r="I127" s="410">
        <v>0</v>
      </c>
      <c r="J127" s="410">
        <v>146</v>
      </c>
      <c r="K127" s="410">
        <v>8756</v>
      </c>
      <c r="L127" s="431">
        <v>0</v>
      </c>
      <c r="M127" s="431">
        <v>9.8402045144971146E-5</v>
      </c>
      <c r="N127" s="431">
        <v>1.1508090887106101E-2</v>
      </c>
      <c r="O127" s="431">
        <v>9.8402045144971146E-5</v>
      </c>
      <c r="P127" s="431">
        <v>1.1409688841961129E-2</v>
      </c>
      <c r="Q127" s="431">
        <v>1.1508090887106101E-2</v>
      </c>
      <c r="R127" s="431"/>
      <c r="S127" s="431"/>
      <c r="T127" s="437">
        <f>Q127/2.5</f>
        <v>4.6032363548424403E-3</v>
      </c>
      <c r="U127" s="439"/>
      <c r="V127" s="60"/>
    </row>
    <row r="128" spans="1:22">
      <c r="A128" s="441" t="s">
        <v>2273</v>
      </c>
      <c r="B128" s="429" t="s">
        <v>2304</v>
      </c>
      <c r="C128" s="320" t="s">
        <v>2252</v>
      </c>
      <c r="D128" s="533" t="s">
        <v>2199</v>
      </c>
      <c r="E128" s="533" t="s">
        <v>2300</v>
      </c>
      <c r="F128" s="395" t="s">
        <v>2043</v>
      </c>
      <c r="G128" s="415">
        <f>55265/0.727099</f>
        <v>76007.531299039052</v>
      </c>
      <c r="H128" s="320" t="s">
        <v>2301</v>
      </c>
      <c r="I128" s="410">
        <v>16865</v>
      </c>
      <c r="J128" s="410">
        <v>15757</v>
      </c>
      <c r="K128" s="410">
        <v>9843</v>
      </c>
      <c r="L128" s="431">
        <v>1.3175451863703407E-2</v>
      </c>
      <c r="M128" s="431">
        <v>1.0620007022940482E-2</v>
      </c>
      <c r="N128" s="431">
        <v>1.2936744929395312E-2</v>
      </c>
      <c r="O128" s="431">
        <v>-2.555444840762925E-3</v>
      </c>
      <c r="P128" s="431">
        <v>2.3167379064548306E-3</v>
      </c>
      <c r="Q128" s="431">
        <v>-2.3870693430809442E-4</v>
      </c>
      <c r="R128" s="431"/>
      <c r="S128" s="431"/>
      <c r="T128" s="437">
        <f t="shared" ref="T128:T156" si="87">Q128/2.5</f>
        <v>-9.5482773723237774E-5</v>
      </c>
      <c r="U128" s="439"/>
      <c r="V128" s="60"/>
    </row>
    <row r="129" spans="1:22">
      <c r="A129" s="441" t="s">
        <v>2305</v>
      </c>
      <c r="B129" s="320" t="s">
        <v>2306</v>
      </c>
      <c r="C129" s="320" t="s">
        <v>2198</v>
      </c>
      <c r="D129" s="533" t="s">
        <v>2199</v>
      </c>
      <c r="E129" s="533" t="s">
        <v>2300</v>
      </c>
      <c r="F129" s="537" t="s">
        <v>2060</v>
      </c>
      <c r="G129" s="415">
        <f>57400/0.727099</f>
        <v>78943.857714011436</v>
      </c>
      <c r="H129" s="320" t="s">
        <v>2307</v>
      </c>
      <c r="I129" s="410">
        <v>0</v>
      </c>
      <c r="J129" s="410">
        <v>1152</v>
      </c>
      <c r="K129" s="410">
        <v>3805</v>
      </c>
      <c r="L129" s="431">
        <v>0</v>
      </c>
      <c r="M129" s="431">
        <v>7.7643257539045725E-4</v>
      </c>
      <c r="N129" s="431">
        <v>5.0009463025855088E-3</v>
      </c>
      <c r="O129" s="431">
        <v>7.7643257539045725E-4</v>
      </c>
      <c r="P129" s="431">
        <v>4.2245137271950516E-3</v>
      </c>
      <c r="Q129" s="431">
        <v>5.0009463025855088E-3</v>
      </c>
      <c r="R129" s="431"/>
      <c r="S129" s="431"/>
      <c r="T129" s="437">
        <f t="shared" si="87"/>
        <v>2.0003785210342033E-3</v>
      </c>
      <c r="U129" s="439"/>
      <c r="V129" s="60"/>
    </row>
    <row r="130" spans="1:22">
      <c r="A130" s="441" t="s">
        <v>2267</v>
      </c>
      <c r="B130" s="429" t="s">
        <v>2308</v>
      </c>
      <c r="C130" s="320" t="s">
        <v>2198</v>
      </c>
      <c r="D130" s="533" t="s">
        <v>2199</v>
      </c>
      <c r="E130" s="533" t="s">
        <v>2300</v>
      </c>
      <c r="F130" s="537" t="s">
        <v>2060</v>
      </c>
      <c r="G130" s="415">
        <f>53610/0.727099</f>
        <v>73731.362579236113</v>
      </c>
      <c r="H130" s="320" t="s">
        <v>2309</v>
      </c>
      <c r="I130" s="410">
        <v>0</v>
      </c>
      <c r="J130" s="410">
        <v>0</v>
      </c>
      <c r="K130" s="410">
        <v>6509</v>
      </c>
      <c r="L130" s="431">
        <v>0</v>
      </c>
      <c r="M130" s="431">
        <v>0</v>
      </c>
      <c r="N130" s="431">
        <v>8.5548382348302442E-3</v>
      </c>
      <c r="O130" s="431">
        <v>0</v>
      </c>
      <c r="P130" s="431">
        <v>8.5548382348302442E-3</v>
      </c>
      <c r="Q130" s="431">
        <v>8.5548382348302442E-3</v>
      </c>
      <c r="R130" s="431"/>
      <c r="S130" s="431"/>
      <c r="T130" s="437">
        <f t="shared" si="87"/>
        <v>3.4219352939320975E-3</v>
      </c>
      <c r="U130" s="439"/>
      <c r="V130" s="60"/>
    </row>
    <row r="131" spans="1:22">
      <c r="A131" s="441" t="s">
        <v>2310</v>
      </c>
      <c r="B131" s="429" t="s">
        <v>2311</v>
      </c>
      <c r="C131" s="320" t="s">
        <v>2198</v>
      </c>
      <c r="D131" s="533" t="s">
        <v>2199</v>
      </c>
      <c r="E131" s="533" t="s">
        <v>2300</v>
      </c>
      <c r="F131" s="537" t="s">
        <v>2060</v>
      </c>
      <c r="G131" s="415">
        <f>62011/0.727099</f>
        <v>85285.497573232802</v>
      </c>
      <c r="H131" s="320" t="s">
        <v>2312</v>
      </c>
      <c r="I131" s="410">
        <v>13444</v>
      </c>
      <c r="J131" s="410">
        <v>8079</v>
      </c>
      <c r="K131" s="410">
        <v>3603</v>
      </c>
      <c r="L131" s="431">
        <v>1.0502862428439289E-2</v>
      </c>
      <c r="M131" s="431">
        <v>5.4451378268919309E-3</v>
      </c>
      <c r="N131" s="431">
        <v>4.7354558549843858E-3</v>
      </c>
      <c r="O131" s="431">
        <v>-5.0577246015473584E-3</v>
      </c>
      <c r="P131" s="431">
        <v>-7.096819719075451E-4</v>
      </c>
      <c r="Q131" s="431">
        <v>-5.7674065734549034E-3</v>
      </c>
      <c r="R131" s="431"/>
      <c r="S131" s="431"/>
      <c r="T131" s="437">
        <f t="shared" si="87"/>
        <v>-2.3069626293819616E-3</v>
      </c>
      <c r="U131" s="439"/>
      <c r="V131" s="60"/>
    </row>
    <row r="132" spans="1:22">
      <c r="A132" s="441" t="s">
        <v>2313</v>
      </c>
      <c r="B132" s="429" t="s">
        <v>2314</v>
      </c>
      <c r="C132" s="320" t="s">
        <v>2198</v>
      </c>
      <c r="D132" s="533" t="s">
        <v>2199</v>
      </c>
      <c r="E132" s="533" t="s">
        <v>2300</v>
      </c>
      <c r="F132" s="395" t="s">
        <v>2043</v>
      </c>
      <c r="G132" s="415">
        <f>47579/0.727099</f>
        <v>65436.756205138496</v>
      </c>
      <c r="H132" s="320" t="s">
        <v>2315</v>
      </c>
      <c r="I132" s="410">
        <v>7262</v>
      </c>
      <c r="J132" s="410">
        <v>8723</v>
      </c>
      <c r="K132" s="410">
        <v>4469</v>
      </c>
      <c r="L132" s="431">
        <v>5.6732956676083099E-3</v>
      </c>
      <c r="M132" s="431">
        <v>5.8791852041067353E-3</v>
      </c>
      <c r="N132" s="431">
        <v>5.8736475758882105E-3</v>
      </c>
      <c r="O132" s="431">
        <v>2.0588953649842544E-4</v>
      </c>
      <c r="P132" s="431">
        <v>-5.5376282185248468E-6</v>
      </c>
      <c r="Q132" s="431">
        <v>2.003519082799006E-4</v>
      </c>
      <c r="R132" s="431"/>
      <c r="S132" s="431"/>
      <c r="T132" s="437">
        <f t="shared" si="87"/>
        <v>8.0140763311960245E-5</v>
      </c>
      <c r="U132" s="439"/>
      <c r="V132" s="60"/>
    </row>
    <row r="133" spans="1:22">
      <c r="A133" s="320" t="s">
        <v>2261</v>
      </c>
      <c r="B133" s="320" t="s">
        <v>2316</v>
      </c>
      <c r="C133" s="320" t="s">
        <v>2198</v>
      </c>
      <c r="D133" s="533" t="s">
        <v>2199</v>
      </c>
      <c r="E133" s="533" t="s">
        <v>2300</v>
      </c>
      <c r="F133" s="395" t="s">
        <v>2043</v>
      </c>
      <c r="G133" s="415">
        <f>45324/0.727099</f>
        <v>62335.390366373766</v>
      </c>
      <c r="H133" s="320" t="s">
        <v>2317</v>
      </c>
      <c r="I133" s="410">
        <v>16981</v>
      </c>
      <c r="J133" s="410">
        <v>15151</v>
      </c>
      <c r="K133" s="410">
        <v>6798</v>
      </c>
      <c r="L133" s="431">
        <v>1.3266074598135046E-2</v>
      </c>
      <c r="M133" s="431">
        <v>1.0211571136927795E-2</v>
      </c>
      <c r="N133" s="431">
        <v>8.9346735781803653E-3</v>
      </c>
      <c r="O133" s="431">
        <v>-3.0545034612072513E-3</v>
      </c>
      <c r="P133" s="431">
        <v>-1.2768975587474293E-3</v>
      </c>
      <c r="Q133" s="431">
        <v>-4.3314010199546806E-3</v>
      </c>
      <c r="R133" s="431"/>
      <c r="S133" s="431"/>
      <c r="T133" s="437">
        <f t="shared" si="87"/>
        <v>-1.7325604079818722E-3</v>
      </c>
      <c r="U133" s="439"/>
      <c r="V133" s="60"/>
    </row>
    <row r="134" spans="1:22">
      <c r="A134" s="441" t="s">
        <v>2267</v>
      </c>
      <c r="B134" s="429" t="s">
        <v>2208</v>
      </c>
      <c r="C134" s="320" t="s">
        <v>2198</v>
      </c>
      <c r="D134" s="533" t="s">
        <v>2199</v>
      </c>
      <c r="E134" s="533" t="s">
        <v>2300</v>
      </c>
      <c r="F134" s="395" t="s">
        <v>2043</v>
      </c>
      <c r="G134" s="415">
        <f>42493/0.727099</f>
        <v>58441.835293405711</v>
      </c>
      <c r="H134" s="320" t="s">
        <v>2318</v>
      </c>
      <c r="I134" s="410">
        <v>99160</v>
      </c>
      <c r="J134" s="410">
        <v>50580</v>
      </c>
      <c r="K134" s="410">
        <v>32601</v>
      </c>
      <c r="L134" s="431">
        <v>7.7466813329666762E-2</v>
      </c>
      <c r="M134" s="431">
        <v>3.4090242763237265E-2</v>
      </c>
      <c r="N134" s="431">
        <v>4.2847792486357471E-2</v>
      </c>
      <c r="O134" s="431">
        <v>-4.3376570566429497E-2</v>
      </c>
      <c r="P134" s="431">
        <v>8.757549723120206E-3</v>
      </c>
      <c r="Q134" s="431">
        <v>-3.4619020843309291E-2</v>
      </c>
      <c r="R134" s="431"/>
      <c r="S134" s="431"/>
      <c r="T134" s="437">
        <f t="shared" si="87"/>
        <v>-1.3847608337323717E-2</v>
      </c>
      <c r="U134" s="439"/>
      <c r="V134" s="60"/>
    </row>
    <row r="135" spans="1:22">
      <c r="A135" s="441" t="s">
        <v>2310</v>
      </c>
      <c r="B135" s="429" t="s">
        <v>2319</v>
      </c>
      <c r="C135" s="320" t="s">
        <v>2198</v>
      </c>
      <c r="D135" s="533" t="s">
        <v>2199</v>
      </c>
      <c r="E135" s="533" t="s">
        <v>2300</v>
      </c>
      <c r="F135" s="395" t="s">
        <v>2043</v>
      </c>
      <c r="G135" s="415">
        <f>42506/0.727099</f>
        <v>58459.71456431655</v>
      </c>
      <c r="H135" s="320" t="s">
        <v>2318</v>
      </c>
      <c r="I135" s="410">
        <v>11026</v>
      </c>
      <c r="J135" s="410">
        <v>12055</v>
      </c>
      <c r="K135" s="410">
        <v>4820</v>
      </c>
      <c r="L135" s="431">
        <v>8.6138471538211546E-3</v>
      </c>
      <c r="M135" s="431">
        <v>8.12490859056594E-3</v>
      </c>
      <c r="N135" s="431">
        <v>6.3349700863238245E-3</v>
      </c>
      <c r="O135" s="431">
        <v>-4.8893856325521456E-4</v>
      </c>
      <c r="P135" s="431">
        <v>-1.7899385042421155E-3</v>
      </c>
      <c r="Q135" s="431">
        <v>-2.2788770674973301E-3</v>
      </c>
      <c r="R135" s="431"/>
      <c r="S135" s="431"/>
      <c r="T135" s="437">
        <f t="shared" si="87"/>
        <v>-9.1155082699893202E-4</v>
      </c>
      <c r="U135" s="439"/>
      <c r="V135" s="60"/>
    </row>
    <row r="136" spans="1:22">
      <c r="A136" s="394" t="s">
        <v>2320</v>
      </c>
      <c r="B136" s="394" t="s">
        <v>2321</v>
      </c>
      <c r="C136" s="320" t="s">
        <v>2198</v>
      </c>
      <c r="D136" s="533" t="s">
        <v>2199</v>
      </c>
      <c r="E136" s="533" t="s">
        <v>2300</v>
      </c>
      <c r="F136" s="395" t="s">
        <v>2043</v>
      </c>
      <c r="G136" s="415">
        <f>43740/0.727099</f>
        <v>60156.869972314635</v>
      </c>
      <c r="H136" s="320" t="s">
        <v>2322</v>
      </c>
      <c r="I136" s="410">
        <v>17438</v>
      </c>
      <c r="J136" s="410">
        <v>16650</v>
      </c>
      <c r="K136" s="410">
        <v>8910</v>
      </c>
      <c r="L136" s="431">
        <v>1.3623096922576936E-2</v>
      </c>
      <c r="M136" s="431">
        <v>1.1221877066190203E-2</v>
      </c>
      <c r="N136" s="431">
        <v>1.1710494495673294E-2</v>
      </c>
      <c r="O136" s="431">
        <v>-2.4012198563867337E-3</v>
      </c>
      <c r="P136" s="431">
        <v>4.8861742948309167E-4</v>
      </c>
      <c r="Q136" s="431">
        <v>-1.912602426903642E-3</v>
      </c>
      <c r="R136" s="431"/>
      <c r="S136" s="431"/>
      <c r="T136" s="437">
        <f t="shared" si="87"/>
        <v>-7.6504097076145682E-4</v>
      </c>
      <c r="U136" s="439"/>
      <c r="V136" s="60"/>
    </row>
    <row r="137" spans="1:22">
      <c r="A137" s="394" t="s">
        <v>2323</v>
      </c>
      <c r="B137" s="394" t="s">
        <v>2324</v>
      </c>
      <c r="C137" s="320" t="s">
        <v>2198</v>
      </c>
      <c r="D137" s="533" t="s">
        <v>2199</v>
      </c>
      <c r="E137" s="533" t="s">
        <v>2300</v>
      </c>
      <c r="F137" s="395" t="s">
        <v>2043</v>
      </c>
      <c r="G137" s="415">
        <f>42321/0.727099</f>
        <v>58205.278785969997</v>
      </c>
      <c r="H137" s="320" t="s">
        <v>2318</v>
      </c>
      <c r="I137" s="410">
        <v>53523</v>
      </c>
      <c r="J137" s="410">
        <v>61094</v>
      </c>
      <c r="K137" s="410">
        <v>16018</v>
      </c>
      <c r="L137" s="431">
        <v>4.1813798405039876E-2</v>
      </c>
      <c r="M137" s="431">
        <v>4.1176537986896355E-2</v>
      </c>
      <c r="N137" s="431">
        <v>2.1052603909281126E-2</v>
      </c>
      <c r="O137" s="431">
        <v>-6.3726041814352041E-4</v>
      </c>
      <c r="P137" s="431">
        <v>-2.012393407761523E-2</v>
      </c>
      <c r="Q137" s="431">
        <v>-2.076119449575875E-2</v>
      </c>
      <c r="R137" s="431"/>
      <c r="S137" s="431"/>
      <c r="T137" s="437">
        <f t="shared" si="87"/>
        <v>-8.3044777983035008E-3</v>
      </c>
      <c r="U137" s="439"/>
      <c r="V137" s="60"/>
    </row>
    <row r="138" spans="1:22">
      <c r="A138" s="394" t="s">
        <v>2325</v>
      </c>
      <c r="B138" s="394" t="s">
        <v>2326</v>
      </c>
      <c r="C138" s="320" t="s">
        <v>2198</v>
      </c>
      <c r="D138" s="533" t="s">
        <v>2199</v>
      </c>
      <c r="E138" s="533" t="s">
        <v>2300</v>
      </c>
      <c r="F138" s="395" t="s">
        <v>2043</v>
      </c>
      <c r="G138" s="415">
        <f>43773/0.727099</f>
        <v>60202.255813857533</v>
      </c>
      <c r="H138" s="320" t="s">
        <v>2322</v>
      </c>
      <c r="I138" s="410">
        <v>12784</v>
      </c>
      <c r="J138" s="410">
        <v>11212</v>
      </c>
      <c r="K138" s="410">
        <v>5379</v>
      </c>
      <c r="L138" s="431">
        <v>9.9872503187420306E-3</v>
      </c>
      <c r="M138" s="431">
        <v>7.556737877845319E-3</v>
      </c>
      <c r="N138" s="431">
        <v>7.0696688992398036E-3</v>
      </c>
      <c r="O138" s="431">
        <v>-2.4305124408967116E-3</v>
      </c>
      <c r="P138" s="431">
        <v>-4.8706897860551542E-4</v>
      </c>
      <c r="Q138" s="431">
        <v>-2.917581419502227E-3</v>
      </c>
      <c r="R138" s="431"/>
      <c r="S138" s="431"/>
      <c r="T138" s="437">
        <f t="shared" si="87"/>
        <v>-1.1670325678008909E-3</v>
      </c>
      <c r="U138" s="439"/>
      <c r="V138" s="60"/>
    </row>
    <row r="139" spans="1:22">
      <c r="A139" s="394" t="s">
        <v>2244</v>
      </c>
      <c r="B139" s="394" t="s">
        <v>2214</v>
      </c>
      <c r="C139" s="320" t="s">
        <v>2198</v>
      </c>
      <c r="D139" s="533" t="s">
        <v>2199</v>
      </c>
      <c r="E139" s="533" t="s">
        <v>2300</v>
      </c>
      <c r="F139" s="395" t="s">
        <v>2043</v>
      </c>
      <c r="G139" s="415">
        <f>39731/0.727099</f>
        <v>54643.177889118262</v>
      </c>
      <c r="H139" s="320" t="s">
        <v>2327</v>
      </c>
      <c r="I139" s="410">
        <v>70533</v>
      </c>
      <c r="J139" s="410">
        <v>73165</v>
      </c>
      <c r="K139" s="410">
        <v>33338</v>
      </c>
      <c r="L139" s="431">
        <v>5.510252868678283E-2</v>
      </c>
      <c r="M139" s="431">
        <v>4.9312230363231603E-2</v>
      </c>
      <c r="N139" s="431">
        <v>4.3816438327357606E-2</v>
      </c>
      <c r="O139" s="431">
        <v>-5.7902983235512268E-3</v>
      </c>
      <c r="P139" s="431">
        <v>-5.4957920358739976E-3</v>
      </c>
      <c r="Q139" s="431">
        <v>-1.1286090359425224E-2</v>
      </c>
      <c r="R139" s="431"/>
      <c r="S139" s="431"/>
      <c r="T139" s="437">
        <f t="shared" si="87"/>
        <v>-4.5144361437700897E-3</v>
      </c>
      <c r="U139" s="439"/>
      <c r="V139" s="60"/>
    </row>
    <row r="140" spans="1:22">
      <c r="A140" s="320" t="s">
        <v>2261</v>
      </c>
      <c r="B140" s="320" t="s">
        <v>2203</v>
      </c>
      <c r="C140" s="320" t="s">
        <v>2198</v>
      </c>
      <c r="D140" s="533" t="s">
        <v>2199</v>
      </c>
      <c r="E140" s="533" t="s">
        <v>2300</v>
      </c>
      <c r="F140" s="395" t="s">
        <v>2043</v>
      </c>
      <c r="G140" s="415">
        <f>40459/0.727099</f>
        <v>55644.417060125234</v>
      </c>
      <c r="H140" s="320" t="s">
        <v>2327</v>
      </c>
      <c r="I140" s="410">
        <v>61740</v>
      </c>
      <c r="J140" s="410">
        <v>81466</v>
      </c>
      <c r="K140" s="410">
        <v>32145</v>
      </c>
      <c r="L140" s="431">
        <v>4.823316917077073E-2</v>
      </c>
      <c r="M140" s="431">
        <v>5.4906993217672735E-2</v>
      </c>
      <c r="N140" s="431">
        <v>4.2248467515535133E-2</v>
      </c>
      <c r="O140" s="431">
        <v>6.6738240469020049E-3</v>
      </c>
      <c r="P140" s="431">
        <v>-1.2658525702137602E-2</v>
      </c>
      <c r="Q140" s="431">
        <v>-5.9847016552355969E-3</v>
      </c>
      <c r="R140" s="431"/>
      <c r="S140" s="431"/>
      <c r="T140" s="437">
        <f t="shared" si="87"/>
        <v>-2.3938806620942389E-3</v>
      </c>
      <c r="U140" s="439"/>
      <c r="V140" s="60"/>
    </row>
    <row r="141" spans="1:22">
      <c r="A141" s="320" t="s">
        <v>2328</v>
      </c>
      <c r="B141" s="320" t="s">
        <v>2329</v>
      </c>
      <c r="C141" s="394" t="s">
        <v>2036</v>
      </c>
      <c r="D141" s="428" t="s">
        <v>2199</v>
      </c>
      <c r="E141" s="428" t="s">
        <v>2300</v>
      </c>
      <c r="F141" s="537" t="s">
        <v>2060</v>
      </c>
      <c r="G141" s="415">
        <f>49950*1.182779</f>
        <v>59079.811050000004</v>
      </c>
      <c r="H141" s="320" t="s">
        <v>2318</v>
      </c>
      <c r="I141" s="410">
        <v>4984</v>
      </c>
      <c r="J141" s="410">
        <v>53605</v>
      </c>
      <c r="K141" s="410">
        <v>22651</v>
      </c>
      <c r="L141" s="431">
        <v>3.8936526586835331E-3</v>
      </c>
      <c r="M141" s="431">
        <v>3.6129052260247797E-2</v>
      </c>
      <c r="N141" s="431">
        <v>2.9770416478282356E-2</v>
      </c>
      <c r="O141" s="431">
        <v>3.2235399601564262E-2</v>
      </c>
      <c r="P141" s="431">
        <v>-6.3586357819654417E-3</v>
      </c>
      <c r="Q141" s="431">
        <v>2.5876763819598823E-2</v>
      </c>
      <c r="R141" s="431"/>
      <c r="S141" s="431"/>
      <c r="T141" s="437">
        <f t="shared" si="87"/>
        <v>1.0350705527839529E-2</v>
      </c>
      <c r="U141" s="439"/>
      <c r="V141" s="60"/>
    </row>
    <row r="142" spans="1:22">
      <c r="A142" s="394" t="s">
        <v>2330</v>
      </c>
      <c r="B142" s="394" t="s">
        <v>2331</v>
      </c>
      <c r="C142" s="394" t="s">
        <v>2036</v>
      </c>
      <c r="D142" s="428" t="s">
        <v>2199</v>
      </c>
      <c r="E142" s="428" t="s">
        <v>2300</v>
      </c>
      <c r="F142" s="537" t="s">
        <v>2060</v>
      </c>
      <c r="G142" s="415">
        <f>41330/0.727099</f>
        <v>56842.328211151435</v>
      </c>
      <c r="H142" s="320" t="s">
        <v>2332</v>
      </c>
      <c r="I142" s="410">
        <v>185</v>
      </c>
      <c r="J142" s="410">
        <v>23054</v>
      </c>
      <c r="K142" s="410">
        <v>11560</v>
      </c>
      <c r="L142" s="431">
        <v>1.4452763680907979E-4</v>
      </c>
      <c r="M142" s="431">
        <v>1.5538087320357294E-2</v>
      </c>
      <c r="N142" s="431">
        <v>1.5193413734004858E-2</v>
      </c>
      <c r="O142" s="431">
        <v>1.5393559683548214E-2</v>
      </c>
      <c r="P142" s="431">
        <v>-3.4467358635243556E-4</v>
      </c>
      <c r="Q142" s="431">
        <v>1.5048886097195778E-2</v>
      </c>
      <c r="R142" s="431"/>
      <c r="S142" s="431"/>
      <c r="T142" s="437">
        <f t="shared" si="87"/>
        <v>6.0195544388783112E-3</v>
      </c>
      <c r="U142" s="439"/>
      <c r="V142" s="60"/>
    </row>
    <row r="143" spans="1:22">
      <c r="A143" s="441" t="s">
        <v>2267</v>
      </c>
      <c r="B143" s="429" t="s">
        <v>2333</v>
      </c>
      <c r="C143" s="320" t="s">
        <v>2198</v>
      </c>
      <c r="D143" s="533" t="s">
        <v>2199</v>
      </c>
      <c r="E143" s="533" t="s">
        <v>2300</v>
      </c>
      <c r="F143" s="537" t="s">
        <v>2060</v>
      </c>
      <c r="G143" s="415">
        <f>65233/0.727099</f>
        <v>89716.806102057628</v>
      </c>
      <c r="H143" s="320" t="s">
        <v>2334</v>
      </c>
      <c r="I143" s="410">
        <v>14645</v>
      </c>
      <c r="J143" s="410">
        <v>18233</v>
      </c>
      <c r="K143" s="410">
        <v>6042</v>
      </c>
      <c r="L143" s="431">
        <v>1.144112022199445E-2</v>
      </c>
      <c r="M143" s="431">
        <v>1.22887978707415E-2</v>
      </c>
      <c r="N143" s="431">
        <v>7.9410558633959648E-3</v>
      </c>
      <c r="O143" s="431">
        <v>8.4767764874705068E-4</v>
      </c>
      <c r="P143" s="431">
        <v>-4.3477420073455356E-3</v>
      </c>
      <c r="Q143" s="431">
        <v>-3.5000643585984849E-3</v>
      </c>
      <c r="R143" s="431"/>
      <c r="S143" s="431"/>
      <c r="T143" s="437">
        <f t="shared" si="87"/>
        <v>-1.4000257434393939E-3</v>
      </c>
      <c r="U143" s="439"/>
      <c r="V143" s="60"/>
    </row>
    <row r="144" spans="1:22">
      <c r="A144" s="394" t="s">
        <v>2335</v>
      </c>
      <c r="B144" s="394" t="s">
        <v>2336</v>
      </c>
      <c r="C144" s="394" t="s">
        <v>2036</v>
      </c>
      <c r="D144" s="428" t="s">
        <v>2199</v>
      </c>
      <c r="E144" s="428" t="s">
        <v>2300</v>
      </c>
      <c r="F144" s="428" t="s">
        <v>2039</v>
      </c>
      <c r="G144" s="415">
        <f>45599/0.727099</f>
        <v>62713.605712564582</v>
      </c>
      <c r="H144" s="320" t="s">
        <v>2317</v>
      </c>
      <c r="I144" s="410">
        <v>1953</v>
      </c>
      <c r="J144" s="410">
        <v>2179</v>
      </c>
      <c r="K144" s="410">
        <v>1122</v>
      </c>
      <c r="L144" s="431">
        <v>1.5257431064223395E-3</v>
      </c>
      <c r="M144" s="431">
        <v>1.4686168244581652E-3</v>
      </c>
      <c r="N144" s="431">
        <v>1.4746548624181186E-3</v>
      </c>
      <c r="O144" s="431">
        <v>-5.712628196417424E-5</v>
      </c>
      <c r="P144" s="431">
        <v>6.0380379599534167E-6</v>
      </c>
      <c r="Q144" s="431">
        <v>-5.1088244004220823E-5</v>
      </c>
      <c r="R144" s="431"/>
      <c r="S144" s="431"/>
      <c r="T144" s="437">
        <f t="shared" si="87"/>
        <v>-2.0435297601688329E-5</v>
      </c>
      <c r="U144" s="439"/>
      <c r="V144" s="60"/>
    </row>
    <row r="145" spans="1:22">
      <c r="A145" s="441" t="s">
        <v>2337</v>
      </c>
      <c r="B145" s="320" t="s">
        <v>2338</v>
      </c>
      <c r="C145" s="320" t="s">
        <v>2198</v>
      </c>
      <c r="D145" s="533" t="s">
        <v>2199</v>
      </c>
      <c r="E145" s="533" t="s">
        <v>2300</v>
      </c>
      <c r="F145" s="395" t="s">
        <v>2043</v>
      </c>
      <c r="G145" s="415">
        <f>39345/0.727099</f>
        <v>54112.301075919509</v>
      </c>
      <c r="H145" s="320" t="s">
        <v>2327</v>
      </c>
      <c r="I145" s="410">
        <v>21348</v>
      </c>
      <c r="J145" s="410">
        <v>15729</v>
      </c>
      <c r="K145" s="410">
        <v>5477</v>
      </c>
      <c r="L145" s="431">
        <v>1.6677708057298568E-2</v>
      </c>
      <c r="M145" s="431">
        <v>1.0601135397844186E-2</v>
      </c>
      <c r="N145" s="431">
        <v>7.1984711956007445E-3</v>
      </c>
      <c r="O145" s="431">
        <v>-6.0765726594543823E-3</v>
      </c>
      <c r="P145" s="431">
        <v>-3.4026642022434413E-3</v>
      </c>
      <c r="Q145" s="431">
        <v>-9.4792368616978227E-3</v>
      </c>
      <c r="R145" s="431"/>
      <c r="S145" s="431"/>
      <c r="T145" s="437">
        <f t="shared" si="87"/>
        <v>-3.7916947446791291E-3</v>
      </c>
      <c r="U145" s="439"/>
      <c r="V145" s="60"/>
    </row>
    <row r="146" spans="1:22">
      <c r="A146" s="320" t="s">
        <v>2323</v>
      </c>
      <c r="B146" s="320" t="s">
        <v>2339</v>
      </c>
      <c r="C146" s="320" t="s">
        <v>2198</v>
      </c>
      <c r="D146" s="533" t="s">
        <v>2199</v>
      </c>
      <c r="E146" s="533" t="s">
        <v>2340</v>
      </c>
      <c r="F146" s="395" t="s">
        <v>2043</v>
      </c>
      <c r="G146" s="415">
        <f>55226/0.727099</f>
        <v>75953.893486306537</v>
      </c>
      <c r="H146" s="320" t="s">
        <v>2301</v>
      </c>
      <c r="I146" s="410">
        <v>17413</v>
      </c>
      <c r="J146" s="410">
        <v>13576</v>
      </c>
      <c r="K146" s="410">
        <v>5874</v>
      </c>
      <c r="L146" s="431">
        <v>1.3603566160845978E-2</v>
      </c>
      <c r="M146" s="431">
        <v>9.1500422252611523E-3</v>
      </c>
      <c r="N146" s="431">
        <v>7.7202519267772088E-3</v>
      </c>
      <c r="O146" s="431">
        <v>-4.4535239355848258E-3</v>
      </c>
      <c r="P146" s="431">
        <v>-1.4297902984839435E-3</v>
      </c>
      <c r="Q146" s="431">
        <v>-5.8833142340687693E-3</v>
      </c>
      <c r="R146" s="431"/>
      <c r="S146" s="431"/>
      <c r="T146" s="437">
        <f t="shared" si="87"/>
        <v>-2.3533256936275077E-3</v>
      </c>
      <c r="U146" s="439"/>
      <c r="V146" s="60"/>
    </row>
    <row r="147" spans="1:22">
      <c r="A147" s="441" t="s">
        <v>2323</v>
      </c>
      <c r="B147" s="429" t="s">
        <v>2341</v>
      </c>
      <c r="C147" s="320" t="s">
        <v>2198</v>
      </c>
      <c r="D147" s="533" t="s">
        <v>2199</v>
      </c>
      <c r="E147" s="533" t="s">
        <v>2340</v>
      </c>
      <c r="F147" s="537" t="s">
        <v>2060</v>
      </c>
      <c r="G147" s="415">
        <f>58247/0.727099</f>
        <v>80108.760980279156</v>
      </c>
      <c r="H147" s="320" t="s">
        <v>2303</v>
      </c>
      <c r="I147" s="410">
        <v>26777</v>
      </c>
      <c r="J147" s="410">
        <v>20632</v>
      </c>
      <c r="K147" s="410">
        <v>9976</v>
      </c>
      <c r="L147" s="431">
        <v>2.0919008274793129E-2</v>
      </c>
      <c r="M147" s="431">
        <v>1.3905691749527703E-2</v>
      </c>
      <c r="N147" s="431">
        <v>1.3111548045885161E-2</v>
      </c>
      <c r="O147" s="431">
        <v>-7.0133165252654252E-3</v>
      </c>
      <c r="P147" s="431">
        <v>-7.9414370364254243E-4</v>
      </c>
      <c r="Q147" s="431">
        <v>-7.8074602289079677E-3</v>
      </c>
      <c r="R147" s="431"/>
      <c r="S147" s="431"/>
      <c r="T147" s="437">
        <f t="shared" si="87"/>
        <v>-3.1229840915631872E-3</v>
      </c>
      <c r="U147" s="439"/>
      <c r="V147" s="60"/>
    </row>
    <row r="148" spans="1:22">
      <c r="A148" s="320" t="s">
        <v>2261</v>
      </c>
      <c r="B148" s="320" t="s">
        <v>2296</v>
      </c>
      <c r="C148" s="320" t="s">
        <v>2198</v>
      </c>
      <c r="D148" s="533" t="s">
        <v>2199</v>
      </c>
      <c r="E148" s="533" t="s">
        <v>2340</v>
      </c>
      <c r="F148" s="395" t="s">
        <v>2043</v>
      </c>
      <c r="G148" s="415">
        <f>56904/0.727099</f>
        <v>78261.694762336352</v>
      </c>
      <c r="H148" s="320" t="s">
        <v>2307</v>
      </c>
      <c r="I148" s="410">
        <v>40961</v>
      </c>
      <c r="J148" s="410">
        <v>43103</v>
      </c>
      <c r="K148" s="410">
        <v>22601</v>
      </c>
      <c r="L148" s="431">
        <v>3.199998125046874E-2</v>
      </c>
      <c r="M148" s="431">
        <v>2.9050844875915693E-2</v>
      </c>
      <c r="N148" s="431">
        <v>2.9704701020955345E-2</v>
      </c>
      <c r="O148" s="431">
        <v>-2.9491363745530463E-3</v>
      </c>
      <c r="P148" s="431">
        <v>6.538561450396517E-4</v>
      </c>
      <c r="Q148" s="431">
        <v>-2.2952802295133946E-3</v>
      </c>
      <c r="R148" s="431"/>
      <c r="S148" s="431"/>
      <c r="T148" s="437">
        <f t="shared" si="87"/>
        <v>-9.1811209180535781E-4</v>
      </c>
      <c r="U148" s="439"/>
      <c r="V148" s="60"/>
    </row>
    <row r="149" spans="1:22">
      <c r="A149" s="320" t="s">
        <v>2261</v>
      </c>
      <c r="B149" s="320" t="s">
        <v>2286</v>
      </c>
      <c r="C149" s="320" t="s">
        <v>2198</v>
      </c>
      <c r="D149" s="533" t="s">
        <v>2199</v>
      </c>
      <c r="E149" s="533" t="s">
        <v>2340</v>
      </c>
      <c r="F149" s="395" t="s">
        <v>2043</v>
      </c>
      <c r="G149" s="415">
        <f>58190/0.727099</f>
        <v>80030.367253977791</v>
      </c>
      <c r="H149" s="320" t="s">
        <v>2303</v>
      </c>
      <c r="I149" s="410">
        <v>10460</v>
      </c>
      <c r="J149" s="410">
        <v>10183</v>
      </c>
      <c r="K149" s="410">
        <v>4994</v>
      </c>
      <c r="L149" s="431">
        <v>8.1716707082322947E-3</v>
      </c>
      <c r="M149" s="431">
        <v>6.8632056555564466E-3</v>
      </c>
      <c r="N149" s="431">
        <v>6.5636598778218216E-3</v>
      </c>
      <c r="O149" s="431">
        <v>-1.308465052675848E-3</v>
      </c>
      <c r="P149" s="431">
        <v>-2.9954577773462499E-4</v>
      </c>
      <c r="Q149" s="431">
        <v>-1.608010830410473E-3</v>
      </c>
      <c r="R149" s="431"/>
      <c r="S149" s="431"/>
      <c r="T149" s="437">
        <f t="shared" si="87"/>
        <v>-6.4320433216418925E-4</v>
      </c>
      <c r="U149" s="439"/>
      <c r="V149" s="60"/>
    </row>
    <row r="150" spans="1:22">
      <c r="A150" s="441" t="s">
        <v>2342</v>
      </c>
      <c r="B150" s="429" t="s">
        <v>2343</v>
      </c>
      <c r="C150" s="320" t="s">
        <v>2198</v>
      </c>
      <c r="D150" s="533" t="s">
        <v>2199</v>
      </c>
      <c r="E150" s="533" t="s">
        <v>2340</v>
      </c>
      <c r="F150" s="395" t="s">
        <v>2043</v>
      </c>
      <c r="G150" s="415">
        <f>56715/0.727099</f>
        <v>78001.757669863378</v>
      </c>
      <c r="H150" s="320" t="s">
        <v>2307</v>
      </c>
      <c r="I150" s="410">
        <v>0</v>
      </c>
      <c r="J150" s="410">
        <v>166</v>
      </c>
      <c r="K150" s="410">
        <v>140</v>
      </c>
      <c r="L150" s="431">
        <v>0</v>
      </c>
      <c r="M150" s="431">
        <v>1.1188177735661103E-4</v>
      </c>
      <c r="N150" s="431">
        <v>1.8400328051562976E-4</v>
      </c>
      <c r="O150" s="431">
        <v>1.1188177735661103E-4</v>
      </c>
      <c r="P150" s="431">
        <v>7.2121503159018732E-5</v>
      </c>
      <c r="Q150" s="431">
        <v>1.8400328051562976E-4</v>
      </c>
      <c r="R150" s="431"/>
      <c r="S150" s="431"/>
      <c r="T150" s="437">
        <f t="shared" si="87"/>
        <v>7.3601312206251902E-5</v>
      </c>
      <c r="U150" s="439"/>
      <c r="V150" s="60"/>
    </row>
    <row r="151" spans="1:22">
      <c r="A151" s="441" t="s">
        <v>2325</v>
      </c>
      <c r="B151" s="320" t="s">
        <v>2344</v>
      </c>
      <c r="C151" s="320" t="s">
        <v>2252</v>
      </c>
      <c r="D151" s="533" t="s">
        <v>2199</v>
      </c>
      <c r="E151" s="533" t="s">
        <v>2340</v>
      </c>
      <c r="F151" s="395" t="s">
        <v>2043</v>
      </c>
      <c r="G151" s="415">
        <f>54304/0.727099</f>
        <v>74685.840580168588</v>
      </c>
      <c r="H151" s="320" t="s">
        <v>2301</v>
      </c>
      <c r="I151" s="410">
        <v>8729</v>
      </c>
      <c r="J151" s="410">
        <v>14936</v>
      </c>
      <c r="K151" s="410">
        <v>8534</v>
      </c>
      <c r="L151" s="431">
        <v>6.8193607659808508E-3</v>
      </c>
      <c r="M151" s="431">
        <v>1.0066664015652664E-2</v>
      </c>
      <c r="N151" s="431">
        <v>1.1216314256574175E-2</v>
      </c>
      <c r="O151" s="431">
        <v>3.2473032496718136E-3</v>
      </c>
      <c r="P151" s="431">
        <v>1.1496502409215105E-3</v>
      </c>
      <c r="Q151" s="431">
        <v>4.3969534905933241E-3</v>
      </c>
      <c r="R151" s="431"/>
      <c r="S151" s="431"/>
      <c r="T151" s="437">
        <f t="shared" si="87"/>
        <v>1.7587813962373297E-3</v>
      </c>
      <c r="U151" s="439"/>
      <c r="V151" s="60"/>
    </row>
    <row r="152" spans="1:22">
      <c r="A152" s="429" t="s">
        <v>2328</v>
      </c>
      <c r="B152" s="429" t="s">
        <v>2345</v>
      </c>
      <c r="C152" s="394" t="s">
        <v>2036</v>
      </c>
      <c r="D152" s="533" t="s">
        <v>2199</v>
      </c>
      <c r="E152" s="533" t="s">
        <v>2340</v>
      </c>
      <c r="F152" s="395" t="s">
        <v>2043</v>
      </c>
      <c r="G152" s="415">
        <f>53692/0.727099</f>
        <v>73844.139518827549</v>
      </c>
      <c r="H152" s="320" t="s">
        <v>2309</v>
      </c>
      <c r="I152" s="410">
        <v>14275</v>
      </c>
      <c r="J152" s="410">
        <v>13087</v>
      </c>
      <c r="K152" s="410">
        <v>5081</v>
      </c>
      <c r="L152" s="431">
        <v>1.115206494837629E-2</v>
      </c>
      <c r="M152" s="431">
        <v>8.8204627726865582E-3</v>
      </c>
      <c r="N152" s="431">
        <v>6.6780047735708207E-3</v>
      </c>
      <c r="O152" s="431">
        <v>-2.3316021756897322E-3</v>
      </c>
      <c r="P152" s="431">
        <v>-2.1424579991157376E-3</v>
      </c>
      <c r="Q152" s="431">
        <v>-4.4740601748054698E-3</v>
      </c>
      <c r="R152" s="431"/>
      <c r="S152" s="431"/>
      <c r="T152" s="437">
        <f t="shared" si="87"/>
        <v>-1.7896240699221879E-3</v>
      </c>
      <c r="U152" s="439"/>
      <c r="V152" s="60"/>
    </row>
    <row r="153" spans="1:22">
      <c r="A153" s="441" t="s">
        <v>2325</v>
      </c>
      <c r="B153" s="320" t="s">
        <v>2346</v>
      </c>
      <c r="C153" s="320" t="s">
        <v>2198</v>
      </c>
      <c r="D153" s="533" t="s">
        <v>2199</v>
      </c>
      <c r="E153" s="533" t="s">
        <v>2340</v>
      </c>
      <c r="F153" s="395" t="s">
        <v>2043</v>
      </c>
      <c r="G153" s="415">
        <f>51342/0.727099</f>
        <v>70612.11746956053</v>
      </c>
      <c r="H153" s="320" t="s">
        <v>2347</v>
      </c>
      <c r="I153" s="410">
        <v>6493</v>
      </c>
      <c r="J153" s="410">
        <v>5107</v>
      </c>
      <c r="K153" s="410">
        <v>1902</v>
      </c>
      <c r="L153" s="431">
        <v>5.0725294367640807E-3</v>
      </c>
      <c r="M153" s="431">
        <v>3.4420496202422443E-3</v>
      </c>
      <c r="N153" s="431">
        <v>2.4998159967194846E-3</v>
      </c>
      <c r="O153" s="431">
        <v>-1.6304798165218365E-3</v>
      </c>
      <c r="P153" s="431">
        <v>-9.4223362352275969E-4</v>
      </c>
      <c r="Q153" s="431">
        <v>-2.5727134400445962E-3</v>
      </c>
      <c r="R153" s="431"/>
      <c r="S153" s="431"/>
      <c r="T153" s="437">
        <f t="shared" si="87"/>
        <v>-1.0290853760178385E-3</v>
      </c>
      <c r="U153" s="439"/>
      <c r="V153" s="60"/>
    </row>
    <row r="154" spans="1:22">
      <c r="A154" s="441" t="s">
        <v>2305</v>
      </c>
      <c r="B154" s="320" t="s">
        <v>2348</v>
      </c>
      <c r="C154" s="320" t="s">
        <v>2198</v>
      </c>
      <c r="D154" s="533" t="s">
        <v>2199</v>
      </c>
      <c r="E154" s="533" t="s">
        <v>2340</v>
      </c>
      <c r="F154" s="395" t="s">
        <v>2043</v>
      </c>
      <c r="G154" s="415">
        <f>52606/0.727099</f>
        <v>72350.532733506712</v>
      </c>
      <c r="H154" s="320" t="s">
        <v>2309</v>
      </c>
      <c r="I154" s="410">
        <v>24584</v>
      </c>
      <c r="J154" s="410">
        <v>29339</v>
      </c>
      <c r="K154" s="410">
        <v>13915</v>
      </c>
      <c r="L154" s="431">
        <v>1.9205769855753608E-2</v>
      </c>
      <c r="M154" s="431">
        <v>1.9774093167865128E-2</v>
      </c>
      <c r="N154" s="431">
        <v>1.8288611774107059E-2</v>
      </c>
      <c r="O154" s="431">
        <v>5.6832331211151971E-4</v>
      </c>
      <c r="P154" s="431">
        <v>-1.4854813937580681E-3</v>
      </c>
      <c r="Q154" s="431">
        <v>-9.1715808164654841E-4</v>
      </c>
      <c r="R154" s="431"/>
      <c r="S154" s="431"/>
      <c r="T154" s="437">
        <f t="shared" si="87"/>
        <v>-3.6686323265861935E-4</v>
      </c>
      <c r="U154" s="439"/>
      <c r="V154" s="60"/>
    </row>
    <row r="155" spans="1:22">
      <c r="A155" s="441" t="s">
        <v>2264</v>
      </c>
      <c r="B155" s="320" t="s">
        <v>2349</v>
      </c>
      <c r="C155" s="320" t="s">
        <v>2198</v>
      </c>
      <c r="D155" s="533" t="s">
        <v>2199</v>
      </c>
      <c r="E155" s="533" t="s">
        <v>2340</v>
      </c>
      <c r="F155" s="395" t="s">
        <v>2043</v>
      </c>
      <c r="G155" s="415">
        <f>48968/0.727099</f>
        <v>67347.087535535044</v>
      </c>
      <c r="H155" s="320" t="s">
        <v>2315</v>
      </c>
      <c r="I155" s="410">
        <v>5556</v>
      </c>
      <c r="J155" s="410">
        <v>5347</v>
      </c>
      <c r="K155" s="410">
        <v>2788</v>
      </c>
      <c r="L155" s="431">
        <v>4.3405164870878232E-3</v>
      </c>
      <c r="M155" s="431">
        <v>3.603806406781923E-3</v>
      </c>
      <c r="N155" s="431">
        <v>3.6642939005541129E-3</v>
      </c>
      <c r="O155" s="431">
        <v>-7.3671008030590018E-4</v>
      </c>
      <c r="P155" s="431">
        <v>6.048749377218993E-5</v>
      </c>
      <c r="Q155" s="431">
        <v>-6.7622258653371025E-4</v>
      </c>
      <c r="R155" s="431"/>
      <c r="S155" s="431"/>
      <c r="T155" s="437">
        <f t="shared" si="87"/>
        <v>-2.7048903461348412E-4</v>
      </c>
      <c r="U155" s="439"/>
      <c r="V155" s="60"/>
    </row>
    <row r="156" spans="1:22">
      <c r="A156" s="441" t="s">
        <v>2267</v>
      </c>
      <c r="B156" s="320" t="s">
        <v>2287</v>
      </c>
      <c r="C156" s="320" t="s">
        <v>2198</v>
      </c>
      <c r="D156" s="533" t="s">
        <v>2199</v>
      </c>
      <c r="E156" s="533" t="s">
        <v>2340</v>
      </c>
      <c r="F156" s="395" t="s">
        <v>2043</v>
      </c>
      <c r="G156" s="415">
        <f>62446/0.727099</f>
        <v>85883.7654844801</v>
      </c>
      <c r="H156" s="455" t="s">
        <v>2312</v>
      </c>
      <c r="I156" s="410">
        <v>39657</v>
      </c>
      <c r="J156" s="410">
        <v>36852</v>
      </c>
      <c r="K156" s="410">
        <v>16833</v>
      </c>
      <c r="L156" s="431">
        <v>3.0981256718582036E-2</v>
      </c>
      <c r="M156" s="431">
        <v>2.4837754573167649E-2</v>
      </c>
      <c r="N156" s="431">
        <v>2.2123765863711398E-2</v>
      </c>
      <c r="O156" s="431">
        <v>-6.1435021454143875E-3</v>
      </c>
      <c r="P156" s="431">
        <v>-2.7139887094562512E-3</v>
      </c>
      <c r="Q156" s="431">
        <v>-8.8574908548706387E-3</v>
      </c>
      <c r="R156" s="431"/>
      <c r="S156" s="431"/>
      <c r="T156" s="437">
        <f t="shared" si="87"/>
        <v>-3.5429963419482554E-3</v>
      </c>
      <c r="U156" s="439"/>
      <c r="V156" s="60"/>
    </row>
    <row r="157" spans="1:22">
      <c r="A157" s="320" t="s">
        <v>24</v>
      </c>
      <c r="B157" s="320"/>
      <c r="C157" s="320"/>
      <c r="D157" s="320"/>
      <c r="E157" s="320"/>
      <c r="F157" s="320"/>
      <c r="G157" s="320"/>
      <c r="H157" s="320"/>
      <c r="I157" s="538">
        <f t="shared" ref="I157:O157" si="88">SUM(I126:I156)</f>
        <v>618776</v>
      </c>
      <c r="J157" s="538">
        <f t="shared" si="88"/>
        <v>688045</v>
      </c>
      <c r="K157" s="538">
        <f t="shared" si="88"/>
        <v>361531</v>
      </c>
      <c r="L157" s="437">
        <f t="shared" si="88"/>
        <v>0.48340666483337913</v>
      </c>
      <c r="M157" s="437">
        <f t="shared" si="88"/>
        <v>0.46373311747788815</v>
      </c>
      <c r="N157" s="437">
        <f t="shared" si="88"/>
        <v>0.47516350005782965</v>
      </c>
      <c r="O157" s="437">
        <f t="shared" si="88"/>
        <v>-1.9673547355490997E-2</v>
      </c>
      <c r="P157" s="437">
        <f t="shared" ref="P157:Q157" si="89">SUM(P126:P156)</f>
        <v>1.1430382579941445E-2</v>
      </c>
      <c r="Q157" s="437">
        <f t="shared" si="89"/>
        <v>-8.2431647755495628E-3</v>
      </c>
      <c r="R157" s="437"/>
      <c r="S157" s="437"/>
      <c r="T157" s="320"/>
    </row>
    <row r="158" spans="1:22">
      <c r="A158" s="392" t="s">
        <v>2218</v>
      </c>
      <c r="C158" s="320"/>
      <c r="D158" s="320"/>
      <c r="E158" s="320"/>
      <c r="F158" s="320"/>
      <c r="G158" s="320"/>
      <c r="H158" s="320"/>
      <c r="I158" s="320"/>
      <c r="J158" s="320"/>
      <c r="K158" s="320"/>
      <c r="L158" s="320"/>
      <c r="M158" s="320"/>
      <c r="N158" s="320"/>
      <c r="O158" s="320"/>
      <c r="P158" s="320"/>
      <c r="Q158" s="320"/>
      <c r="R158" s="320"/>
      <c r="S158" s="320"/>
      <c r="T158" s="320"/>
    </row>
    <row r="159" spans="1:22">
      <c r="A159" s="320" t="s">
        <v>2227</v>
      </c>
      <c r="B159" s="320">
        <v>2020</v>
      </c>
      <c r="C159" s="320">
        <v>2021</v>
      </c>
      <c r="D159" s="320" t="s">
        <v>14</v>
      </c>
      <c r="E159" s="320" t="s">
        <v>11</v>
      </c>
      <c r="F159" s="320" t="s">
        <v>12</v>
      </c>
      <c r="G159" s="320" t="s">
        <v>13</v>
      </c>
      <c r="H159" s="320" t="s">
        <v>2220</v>
      </c>
      <c r="I159" s="320" t="s">
        <v>2221</v>
      </c>
      <c r="J159" s="320" t="s">
        <v>2222</v>
      </c>
      <c r="K159" s="320" t="s">
        <v>2223</v>
      </c>
      <c r="L159" s="320" t="s">
        <v>2224</v>
      </c>
      <c r="M159" s="320" t="s">
        <v>2225</v>
      </c>
      <c r="N159" s="320" t="s">
        <v>2226</v>
      </c>
      <c r="O159" s="320"/>
      <c r="P159" s="320"/>
      <c r="Q159" s="320"/>
      <c r="R159" s="320"/>
      <c r="S159" s="320"/>
      <c r="T159" s="320"/>
    </row>
    <row r="160" spans="1:22">
      <c r="A160" s="320" t="s">
        <v>2350</v>
      </c>
      <c r="B160" s="539">
        <v>959001</v>
      </c>
      <c r="C160" s="539">
        <v>1143536</v>
      </c>
      <c r="D160" s="438">
        <f>AVERAGE(B160:C160)</f>
        <v>1051268.5</v>
      </c>
      <c r="E160" s="438">
        <f t="shared" ref="E160:L162" si="90">AVERAGE(C160:D160)</f>
        <v>1097402.25</v>
      </c>
      <c r="F160" s="438">
        <f t="shared" si="90"/>
        <v>1074335.375</v>
      </c>
      <c r="G160" s="438">
        <f t="shared" si="90"/>
        <v>1085868.8125</v>
      </c>
      <c r="H160" s="438">
        <f t="shared" si="90"/>
        <v>1080102.09375</v>
      </c>
      <c r="I160" s="438">
        <f t="shared" si="90"/>
        <v>1082985.453125</v>
      </c>
      <c r="J160" s="438">
        <f t="shared" si="90"/>
        <v>1081543.7734375</v>
      </c>
      <c r="K160" s="438">
        <f t="shared" si="90"/>
        <v>1082264.61328125</v>
      </c>
      <c r="L160" s="438">
        <f t="shared" si="90"/>
        <v>1081904.193359375</v>
      </c>
      <c r="M160" s="320"/>
      <c r="N160" s="320" t="s">
        <v>162</v>
      </c>
      <c r="O160" s="320"/>
      <c r="P160" s="320"/>
      <c r="Q160" s="320"/>
      <c r="R160" s="320"/>
      <c r="S160" s="320"/>
      <c r="T160" s="320"/>
    </row>
    <row r="161" spans="1:20">
      <c r="A161" s="320" t="s">
        <v>2351</v>
      </c>
      <c r="B161" s="539">
        <v>321031</v>
      </c>
      <c r="C161" s="539">
        <v>340173</v>
      </c>
      <c r="D161" s="438">
        <f>AVERAGE(B161:C161)</f>
        <v>330602</v>
      </c>
      <c r="E161" s="438">
        <f t="shared" si="90"/>
        <v>335387.5</v>
      </c>
      <c r="F161" s="438">
        <f t="shared" si="90"/>
        <v>332994.75</v>
      </c>
      <c r="G161" s="438">
        <f t="shared" si="90"/>
        <v>334191.125</v>
      </c>
      <c r="H161" s="438">
        <f t="shared" si="90"/>
        <v>333592.9375</v>
      </c>
      <c r="I161" s="438">
        <f t="shared" si="90"/>
        <v>333892.03125</v>
      </c>
      <c r="J161" s="438">
        <f t="shared" si="90"/>
        <v>333742.484375</v>
      </c>
      <c r="K161" s="438">
        <f t="shared" si="90"/>
        <v>333817.2578125</v>
      </c>
      <c r="L161" s="438">
        <f t="shared" si="90"/>
        <v>333779.87109375</v>
      </c>
      <c r="M161" s="320"/>
      <c r="N161" s="320" t="s">
        <v>162</v>
      </c>
      <c r="O161" s="320"/>
      <c r="P161" s="320"/>
      <c r="Q161" s="320"/>
      <c r="R161" s="320"/>
      <c r="S161" s="320"/>
      <c r="T161" s="320"/>
    </row>
    <row r="162" spans="1:20">
      <c r="A162" s="320" t="s">
        <v>2352</v>
      </c>
      <c r="B162" s="540">
        <f>SUM(B160:B161)</f>
        <v>1280032</v>
      </c>
      <c r="C162" s="540">
        <f>SUM(C160:C161)</f>
        <v>1483709</v>
      </c>
      <c r="D162" s="438">
        <f>AVERAGE(B162:C162)</f>
        <v>1381870.5</v>
      </c>
      <c r="E162" s="438">
        <f t="shared" si="90"/>
        <v>1432789.75</v>
      </c>
      <c r="F162" s="438">
        <f t="shared" si="90"/>
        <v>1407330.125</v>
      </c>
      <c r="G162" s="438">
        <f t="shared" si="90"/>
        <v>1420059.9375</v>
      </c>
      <c r="H162" s="438">
        <f t="shared" si="90"/>
        <v>1413695.03125</v>
      </c>
      <c r="I162" s="438">
        <f t="shared" si="90"/>
        <v>1416877.484375</v>
      </c>
      <c r="J162" s="438">
        <f t="shared" si="90"/>
        <v>1415286.2578125</v>
      </c>
      <c r="K162" s="438">
        <f t="shared" si="90"/>
        <v>1416081.87109375</v>
      </c>
      <c r="L162" s="438">
        <f t="shared" si="90"/>
        <v>1415684.064453125</v>
      </c>
      <c r="M162" s="320"/>
      <c r="N162" s="320" t="s">
        <v>162</v>
      </c>
      <c r="O162" s="320"/>
      <c r="P162" s="320"/>
      <c r="Q162" s="320"/>
      <c r="R162" s="320"/>
      <c r="S162" s="320"/>
      <c r="T162" s="320"/>
    </row>
    <row r="163" spans="1:20">
      <c r="A163" s="392" t="s">
        <v>2228</v>
      </c>
      <c r="B163" s="320"/>
      <c r="C163" s="320"/>
      <c r="D163" s="452"/>
      <c r="E163" s="320"/>
      <c r="F163" s="320"/>
      <c r="G163" s="320"/>
      <c r="H163" s="320"/>
      <c r="I163" s="320"/>
      <c r="J163" s="320"/>
      <c r="K163" s="320"/>
      <c r="L163" s="320"/>
      <c r="M163" s="320"/>
      <c r="N163" s="320"/>
      <c r="O163" s="320"/>
      <c r="P163" s="320"/>
      <c r="Q163" s="320"/>
      <c r="R163" s="320"/>
      <c r="S163" s="320"/>
      <c r="T163" s="320"/>
    </row>
    <row r="164" spans="1:20">
      <c r="A164" s="392" t="s">
        <v>21</v>
      </c>
      <c r="B164" s="430">
        <v>0</v>
      </c>
      <c r="C164" s="430">
        <v>1.8660667287183672E-2</v>
      </c>
      <c r="D164" s="437">
        <f>N126+$N164/2</f>
        <v>7.2947988570649464E-2</v>
      </c>
      <c r="E164" s="437">
        <f>D164+$N164</f>
        <v>0.10043259746355447</v>
      </c>
      <c r="F164" s="437">
        <f t="shared" ref="F164:L164" si="91">E164+$N164</f>
        <v>0.12791720635645948</v>
      </c>
      <c r="G164" s="437">
        <f t="shared" si="91"/>
        <v>0.15540181524936447</v>
      </c>
      <c r="H164" s="437">
        <f t="shared" si="91"/>
        <v>0.18288642414226947</v>
      </c>
      <c r="I164" s="437">
        <f>H164+$N164</f>
        <v>0.21037103303517446</v>
      </c>
      <c r="J164" s="437">
        <f t="shared" si="91"/>
        <v>0.23785564192807945</v>
      </c>
      <c r="K164" s="437">
        <f t="shared" si="91"/>
        <v>0.26534025082098445</v>
      </c>
      <c r="L164" s="437">
        <f t="shared" si="91"/>
        <v>0.29282485971388944</v>
      </c>
      <c r="M164" s="320"/>
      <c r="N164" s="437">
        <f>-SUM(N165:N194)</f>
        <v>2.7484608892905004E-2</v>
      </c>
      <c r="O164" s="320"/>
      <c r="P164" s="320"/>
      <c r="Q164" s="320"/>
      <c r="R164" s="320"/>
      <c r="S164" s="320"/>
      <c r="T164" s="320"/>
    </row>
    <row r="165" spans="1:20">
      <c r="A165" s="429" t="s">
        <v>2302</v>
      </c>
      <c r="B165" s="431">
        <v>0</v>
      </c>
      <c r="C165" s="431">
        <v>9.8402045144971146E-5</v>
      </c>
      <c r="D165" s="437">
        <f>C165+$N165</f>
        <v>6.098727512385756E-4</v>
      </c>
      <c r="E165" s="437">
        <f t="shared" ref="E165:L165" si="92">D165+$N165</f>
        <v>1.1213434573321801E-3</v>
      </c>
      <c r="F165" s="437">
        <f t="shared" si="92"/>
        <v>1.6328141634257844E-3</v>
      </c>
      <c r="G165" s="437">
        <f t="shared" si="92"/>
        <v>2.144284869519389E-3</v>
      </c>
      <c r="H165" s="437">
        <f t="shared" si="92"/>
        <v>2.6557555756129936E-3</v>
      </c>
      <c r="I165" s="437">
        <f t="shared" si="92"/>
        <v>3.1672262817065981E-3</v>
      </c>
      <c r="J165" s="437">
        <f t="shared" si="92"/>
        <v>3.6786969878002027E-3</v>
      </c>
      <c r="K165" s="437">
        <f t="shared" si="92"/>
        <v>4.1901676938938068E-3</v>
      </c>
      <c r="L165" s="437">
        <f t="shared" si="92"/>
        <v>4.7016383999874114E-3</v>
      </c>
      <c r="M165" s="439">
        <v>0.1111111111111111</v>
      </c>
      <c r="N165" s="440">
        <f t="shared" ref="N165:N194" si="93">M165*T127</f>
        <v>5.1147070609360446E-4</v>
      </c>
      <c r="O165" s="320"/>
      <c r="P165" s="320"/>
      <c r="Q165" s="320"/>
      <c r="R165" s="320"/>
      <c r="S165" s="320"/>
      <c r="T165" s="320"/>
    </row>
    <row r="166" spans="1:20">
      <c r="A166" s="429" t="s">
        <v>2304</v>
      </c>
      <c r="B166" s="431">
        <v>1.3175451863703407E-2</v>
      </c>
      <c r="C166" s="431">
        <v>1.0620007022940482E-2</v>
      </c>
      <c r="D166" s="437">
        <f>C166+$N166</f>
        <v>1.0609397825860123E-2</v>
      </c>
      <c r="E166" s="437">
        <f t="shared" ref="E166:L166" si="94">D166+$N166</f>
        <v>1.0598788628779764E-2</v>
      </c>
      <c r="F166" s="437">
        <f t="shared" si="94"/>
        <v>1.0588179431699405E-2</v>
      </c>
      <c r="G166" s="437">
        <f t="shared" si="94"/>
        <v>1.0577570234619046E-2</v>
      </c>
      <c r="H166" s="437">
        <f t="shared" si="94"/>
        <v>1.0566961037538687E-2</v>
      </c>
      <c r="I166" s="437">
        <f t="shared" si="94"/>
        <v>1.0556351840458328E-2</v>
      </c>
      <c r="J166" s="437">
        <f t="shared" si="94"/>
        <v>1.0545742643377969E-2</v>
      </c>
      <c r="K166" s="437">
        <f t="shared" si="94"/>
        <v>1.053513344629761E-2</v>
      </c>
      <c r="L166" s="437">
        <f t="shared" si="94"/>
        <v>1.0524524249217251E-2</v>
      </c>
      <c r="M166" s="439">
        <v>0.1111111111111111</v>
      </c>
      <c r="N166" s="440">
        <f t="shared" si="93"/>
        <v>-1.0609197080359752E-5</v>
      </c>
      <c r="O166" s="320"/>
      <c r="P166" s="320"/>
      <c r="Q166" s="320"/>
      <c r="R166" s="320"/>
      <c r="S166" s="320"/>
      <c r="T166" s="320"/>
    </row>
    <row r="167" spans="1:20">
      <c r="A167" s="320" t="s">
        <v>2306</v>
      </c>
      <c r="B167" s="431">
        <v>0</v>
      </c>
      <c r="C167" s="431">
        <v>7.7643257539045725E-4</v>
      </c>
      <c r="D167" s="437">
        <f>C167+$N167</f>
        <v>9.9869685550536868E-4</v>
      </c>
      <c r="E167" s="437">
        <f t="shared" ref="D167:L182" si="95">D167+$N167</f>
        <v>1.2209611356202802E-3</v>
      </c>
      <c r="F167" s="437">
        <f t="shared" si="95"/>
        <v>1.4432254157351917E-3</v>
      </c>
      <c r="G167" s="437">
        <f t="shared" si="95"/>
        <v>1.6654896958501033E-3</v>
      </c>
      <c r="H167" s="437">
        <f t="shared" si="95"/>
        <v>1.8877539759650148E-3</v>
      </c>
      <c r="I167" s="437">
        <f t="shared" si="95"/>
        <v>2.1100182560799263E-3</v>
      </c>
      <c r="J167" s="437">
        <f t="shared" si="95"/>
        <v>2.3322825361948379E-3</v>
      </c>
      <c r="K167" s="437">
        <f t="shared" si="95"/>
        <v>2.5545468163097494E-3</v>
      </c>
      <c r="L167" s="437">
        <f t="shared" si="95"/>
        <v>2.7768110964246609E-3</v>
      </c>
      <c r="M167" s="439">
        <v>0.1111111111111111</v>
      </c>
      <c r="N167" s="440">
        <f t="shared" si="93"/>
        <v>2.2226428011491148E-4</v>
      </c>
      <c r="O167" s="320"/>
      <c r="P167" s="320"/>
      <c r="Q167" s="320"/>
      <c r="R167" s="320"/>
      <c r="S167" s="320"/>
      <c r="T167" s="320"/>
    </row>
    <row r="168" spans="1:20">
      <c r="A168" s="429" t="s">
        <v>2308</v>
      </c>
      <c r="B168" s="431">
        <v>0</v>
      </c>
      <c r="C168" s="431">
        <v>0</v>
      </c>
      <c r="D168" s="437">
        <f>C168+$N168</f>
        <v>3.8021503265912193E-4</v>
      </c>
      <c r="E168" s="437">
        <f t="shared" si="95"/>
        <v>7.6043006531824385E-4</v>
      </c>
      <c r="F168" s="437">
        <f t="shared" si="95"/>
        <v>1.1406450979773658E-3</v>
      </c>
      <c r="G168" s="437">
        <f t="shared" si="95"/>
        <v>1.5208601306364877E-3</v>
      </c>
      <c r="H168" s="437">
        <f t="shared" si="95"/>
        <v>1.9010751632956096E-3</v>
      </c>
      <c r="I168" s="437">
        <f t="shared" si="95"/>
        <v>2.2812901959547317E-3</v>
      </c>
      <c r="J168" s="437">
        <f t="shared" si="95"/>
        <v>2.6615052286138537E-3</v>
      </c>
      <c r="K168" s="437">
        <f t="shared" si="95"/>
        <v>3.0417202612729758E-3</v>
      </c>
      <c r="L168" s="437">
        <f t="shared" si="95"/>
        <v>3.4219352939320979E-3</v>
      </c>
      <c r="M168" s="439">
        <v>0.1111111111111111</v>
      </c>
      <c r="N168" s="440">
        <f t="shared" si="93"/>
        <v>3.8021503265912193E-4</v>
      </c>
      <c r="O168" s="320"/>
      <c r="P168" s="320"/>
      <c r="Q168" s="320"/>
      <c r="R168" s="320"/>
      <c r="S168" s="320"/>
      <c r="T168" s="320"/>
    </row>
    <row r="169" spans="1:20">
      <c r="A169" s="429" t="s">
        <v>2311</v>
      </c>
      <c r="B169" s="431">
        <v>1.0502862428439289E-2</v>
      </c>
      <c r="C169" s="431">
        <v>5.4451378268919309E-3</v>
      </c>
      <c r="D169" s="437">
        <f t="shared" si="95"/>
        <v>4.8453275432526208E-3</v>
      </c>
      <c r="E169" s="437">
        <f t="shared" si="95"/>
        <v>4.2455172596133108E-3</v>
      </c>
      <c r="F169" s="437">
        <f t="shared" si="95"/>
        <v>3.6457069759740007E-3</v>
      </c>
      <c r="G169" s="437">
        <f t="shared" si="95"/>
        <v>3.0458966923346906E-3</v>
      </c>
      <c r="H169" s="437">
        <f t="shared" si="95"/>
        <v>2.4460864086953806E-3</v>
      </c>
      <c r="I169" s="437">
        <f t="shared" si="95"/>
        <v>1.8462761250560705E-3</v>
      </c>
      <c r="J169" s="437">
        <f t="shared" si="95"/>
        <v>1.2464658414167605E-3</v>
      </c>
      <c r="K169" s="437">
        <f t="shared" si="95"/>
        <v>6.4665555777745042E-4</v>
      </c>
      <c r="L169" s="437">
        <f t="shared" si="95"/>
        <v>4.684527413814036E-5</v>
      </c>
      <c r="M169" s="439">
        <v>0.26</v>
      </c>
      <c r="N169" s="440">
        <f t="shared" si="93"/>
        <v>-5.9981028363931006E-4</v>
      </c>
      <c r="O169" s="320"/>
      <c r="P169" s="320"/>
      <c r="Q169" s="320"/>
      <c r="R169" s="320"/>
      <c r="S169" s="320"/>
      <c r="T169" s="320"/>
    </row>
    <row r="170" spans="1:20">
      <c r="A170" s="429" t="s">
        <v>2314</v>
      </c>
      <c r="B170" s="431">
        <v>5.6732956676083099E-3</v>
      </c>
      <c r="C170" s="431">
        <v>5.8791852041067353E-3</v>
      </c>
      <c r="D170" s="437">
        <f t="shared" si="95"/>
        <v>5.8880897333636198E-3</v>
      </c>
      <c r="E170" s="437">
        <f t="shared" si="95"/>
        <v>5.8969942626205044E-3</v>
      </c>
      <c r="F170" s="437">
        <f t="shared" si="95"/>
        <v>5.9058987918773889E-3</v>
      </c>
      <c r="G170" s="437">
        <f t="shared" si="95"/>
        <v>5.9148033211342734E-3</v>
      </c>
      <c r="H170" s="437">
        <f t="shared" si="95"/>
        <v>5.9237078503911579E-3</v>
      </c>
      <c r="I170" s="437">
        <f t="shared" si="95"/>
        <v>5.9326123796480425E-3</v>
      </c>
      <c r="J170" s="437">
        <f t="shared" si="95"/>
        <v>5.941516908904927E-3</v>
      </c>
      <c r="K170" s="437">
        <f t="shared" si="95"/>
        <v>5.9504214381618115E-3</v>
      </c>
      <c r="L170" s="437">
        <f t="shared" si="95"/>
        <v>5.9593259674186961E-3</v>
      </c>
      <c r="M170" s="439">
        <v>0.1111111111111111</v>
      </c>
      <c r="N170" s="440">
        <f t="shared" si="93"/>
        <v>8.9045292568844712E-6</v>
      </c>
      <c r="O170" s="320"/>
      <c r="P170" s="320"/>
      <c r="Q170" s="320"/>
      <c r="R170" s="320"/>
      <c r="S170" s="320"/>
      <c r="T170" s="320"/>
    </row>
    <row r="171" spans="1:20">
      <c r="A171" s="320" t="s">
        <v>2316</v>
      </c>
      <c r="B171" s="431">
        <v>1.3266074598135046E-2</v>
      </c>
      <c r="C171" s="431">
        <v>1.0211571136927795E-2</v>
      </c>
      <c r="D171" s="437">
        <f t="shared" si="95"/>
        <v>9.0854068717395771E-3</v>
      </c>
      <c r="E171" s="437">
        <f t="shared" si="95"/>
        <v>7.9592426065513595E-3</v>
      </c>
      <c r="F171" s="437">
        <f t="shared" si="95"/>
        <v>6.8330783413631429E-3</v>
      </c>
      <c r="G171" s="437">
        <f t="shared" si="95"/>
        <v>5.7069140761749262E-3</v>
      </c>
      <c r="H171" s="437">
        <f t="shared" si="95"/>
        <v>4.5807498109867095E-3</v>
      </c>
      <c r="I171" s="437">
        <f t="shared" si="95"/>
        <v>3.4545855457984928E-3</v>
      </c>
      <c r="J171" s="437">
        <f t="shared" si="95"/>
        <v>2.3284212806102761E-3</v>
      </c>
      <c r="K171" s="437">
        <f t="shared" si="95"/>
        <v>1.2022570154220592E-3</v>
      </c>
      <c r="L171" s="437">
        <f t="shared" si="95"/>
        <v>7.6092750233842325E-5</v>
      </c>
      <c r="M171" s="439">
        <v>0.65</v>
      </c>
      <c r="N171" s="440">
        <f t="shared" si="93"/>
        <v>-1.1261642651882169E-3</v>
      </c>
      <c r="O171" s="320"/>
      <c r="P171" s="320"/>
      <c r="Q171" s="320"/>
      <c r="R171" s="320"/>
      <c r="S171" s="320"/>
      <c r="T171" s="320"/>
    </row>
    <row r="172" spans="1:20">
      <c r="A172" s="429" t="s">
        <v>2208</v>
      </c>
      <c r="B172" s="431">
        <v>7.7466813329666762E-2</v>
      </c>
      <c r="C172" s="431">
        <v>3.4090242763237265E-2</v>
      </c>
      <c r="D172" s="437">
        <f t="shared" si="95"/>
        <v>3.035138851215986E-2</v>
      </c>
      <c r="E172" s="437">
        <f t="shared" si="95"/>
        <v>2.6612534261082454E-2</v>
      </c>
      <c r="F172" s="437">
        <f t="shared" si="95"/>
        <v>2.2873680010005049E-2</v>
      </c>
      <c r="G172" s="437">
        <f t="shared" si="95"/>
        <v>1.9134825758927644E-2</v>
      </c>
      <c r="H172" s="437">
        <f t="shared" si="95"/>
        <v>1.5395971507850241E-2</v>
      </c>
      <c r="I172" s="437">
        <f t="shared" si="95"/>
        <v>1.1657117256772837E-2</v>
      </c>
      <c r="J172" s="437">
        <f t="shared" si="95"/>
        <v>7.9182630056954337E-3</v>
      </c>
      <c r="K172" s="437">
        <f t="shared" si="95"/>
        <v>4.1794087546180303E-3</v>
      </c>
      <c r="L172" s="437">
        <f t="shared" si="95"/>
        <v>4.4055450354062642E-4</v>
      </c>
      <c r="M172" s="439">
        <v>0.27</v>
      </c>
      <c r="N172" s="440">
        <f t="shared" si="93"/>
        <v>-3.7388542510774039E-3</v>
      </c>
      <c r="O172" s="320"/>
      <c r="P172" s="320"/>
      <c r="Q172" s="320"/>
      <c r="R172" s="320"/>
      <c r="S172" s="320"/>
      <c r="T172" s="320"/>
    </row>
    <row r="173" spans="1:20">
      <c r="A173" s="429" t="s">
        <v>2319</v>
      </c>
      <c r="B173" s="431">
        <v>8.6138471538211546E-3</v>
      </c>
      <c r="C173" s="431">
        <v>8.12490859056594E-3</v>
      </c>
      <c r="D173" s="437">
        <f t="shared" si="95"/>
        <v>7.2224732718369974E-3</v>
      </c>
      <c r="E173" s="437">
        <f t="shared" si="95"/>
        <v>6.3200379531080549E-3</v>
      </c>
      <c r="F173" s="437">
        <f t="shared" si="95"/>
        <v>5.4176026343791123E-3</v>
      </c>
      <c r="G173" s="437">
        <f t="shared" si="95"/>
        <v>4.5151673156501697E-3</v>
      </c>
      <c r="H173" s="437">
        <f t="shared" si="95"/>
        <v>3.6127319969212271E-3</v>
      </c>
      <c r="I173" s="437">
        <f t="shared" si="95"/>
        <v>2.7102966781922845E-3</v>
      </c>
      <c r="J173" s="437">
        <f t="shared" si="95"/>
        <v>1.8078613594633419E-3</v>
      </c>
      <c r="K173" s="437">
        <f t="shared" si="95"/>
        <v>9.0542604073439923E-4</v>
      </c>
      <c r="L173" s="437">
        <f t="shared" si="95"/>
        <v>2.9907220054565305E-6</v>
      </c>
      <c r="M173" s="439">
        <v>0.99</v>
      </c>
      <c r="N173" s="440">
        <f t="shared" si="93"/>
        <v>-9.024353187289427E-4</v>
      </c>
      <c r="O173" s="320"/>
      <c r="P173" s="320"/>
      <c r="Q173" s="320"/>
      <c r="R173" s="320"/>
      <c r="S173" s="320"/>
      <c r="T173" s="320"/>
    </row>
    <row r="174" spans="1:20">
      <c r="A174" s="394" t="s">
        <v>2321</v>
      </c>
      <c r="B174" s="431">
        <v>1.3623096922576936E-2</v>
      </c>
      <c r="C174" s="431">
        <v>1.1221877066190203E-2</v>
      </c>
      <c r="D174" s="437">
        <f t="shared" si="95"/>
        <v>1.0456836095428745E-2</v>
      </c>
      <c r="E174" s="437">
        <f t="shared" si="95"/>
        <v>9.6917951246672882E-3</v>
      </c>
      <c r="F174" s="437">
        <f t="shared" si="95"/>
        <v>8.9267541539058311E-3</v>
      </c>
      <c r="G174" s="437">
        <f t="shared" si="95"/>
        <v>8.1617131831443739E-3</v>
      </c>
      <c r="H174" s="437">
        <f t="shared" si="95"/>
        <v>7.3966722123829168E-3</v>
      </c>
      <c r="I174" s="437">
        <f t="shared" si="95"/>
        <v>6.6316312416214596E-3</v>
      </c>
      <c r="J174" s="437">
        <f t="shared" si="95"/>
        <v>5.8665902708600025E-3</v>
      </c>
      <c r="K174" s="437">
        <f t="shared" si="95"/>
        <v>5.1015493000985453E-3</v>
      </c>
      <c r="L174" s="437">
        <f t="shared" si="95"/>
        <v>4.3365083293370882E-3</v>
      </c>
      <c r="M174" s="439">
        <v>1</v>
      </c>
      <c r="N174" s="440">
        <f t="shared" si="93"/>
        <v>-7.6504097076145682E-4</v>
      </c>
      <c r="O174" s="320"/>
      <c r="P174" s="320"/>
      <c r="Q174" s="320"/>
      <c r="R174" s="320"/>
      <c r="S174" s="320"/>
      <c r="T174" s="320"/>
    </row>
    <row r="175" spans="1:20">
      <c r="A175" s="394" t="s">
        <v>2324</v>
      </c>
      <c r="B175" s="431">
        <v>4.1813798405039876E-2</v>
      </c>
      <c r="C175" s="431">
        <v>4.1176537986896355E-2</v>
      </c>
      <c r="D175" s="437">
        <f t="shared" si="95"/>
        <v>3.6609075197829431E-2</v>
      </c>
      <c r="E175" s="437">
        <f t="shared" si="95"/>
        <v>3.2041612408762507E-2</v>
      </c>
      <c r="F175" s="437">
        <f t="shared" si="95"/>
        <v>2.7474149619695583E-2</v>
      </c>
      <c r="G175" s="437">
        <f t="shared" si="95"/>
        <v>2.2906686830628659E-2</v>
      </c>
      <c r="H175" s="437">
        <f t="shared" si="95"/>
        <v>1.8339224041561734E-2</v>
      </c>
      <c r="I175" s="437">
        <f t="shared" si="95"/>
        <v>1.3771761252494808E-2</v>
      </c>
      <c r="J175" s="437">
        <f t="shared" si="95"/>
        <v>9.2042984634278825E-3</v>
      </c>
      <c r="K175" s="437">
        <f t="shared" si="95"/>
        <v>4.6368356743609566E-3</v>
      </c>
      <c r="L175" s="437">
        <f t="shared" si="95"/>
        <v>6.9372885294030628E-5</v>
      </c>
      <c r="M175" s="439">
        <v>0.55000000000000004</v>
      </c>
      <c r="N175" s="440">
        <f t="shared" si="93"/>
        <v>-4.5674627890669259E-3</v>
      </c>
      <c r="O175" s="320"/>
      <c r="P175" s="320"/>
      <c r="Q175" s="320"/>
      <c r="R175" s="320"/>
      <c r="S175" s="320"/>
      <c r="T175" s="320"/>
    </row>
    <row r="176" spans="1:20">
      <c r="A176" s="394" t="s">
        <v>2326</v>
      </c>
      <c r="B176" s="431">
        <v>9.9872503187420306E-3</v>
      </c>
      <c r="C176" s="431">
        <v>7.556737877845319E-3</v>
      </c>
      <c r="D176" s="437">
        <f t="shared" si="95"/>
        <v>6.7164744290286772E-3</v>
      </c>
      <c r="E176" s="437">
        <f t="shared" si="95"/>
        <v>5.8762109802120363E-3</v>
      </c>
      <c r="F176" s="437">
        <f t="shared" si="95"/>
        <v>5.0359475313953954E-3</v>
      </c>
      <c r="G176" s="437">
        <f t="shared" si="95"/>
        <v>4.1956840825787545E-3</v>
      </c>
      <c r="H176" s="437">
        <f t="shared" si="95"/>
        <v>3.3554206337621131E-3</v>
      </c>
      <c r="I176" s="437">
        <f t="shared" si="95"/>
        <v>2.5151571849454718E-3</v>
      </c>
      <c r="J176" s="437">
        <f t="shared" si="95"/>
        <v>1.6748937361288304E-3</v>
      </c>
      <c r="K176" s="437">
        <f t="shared" si="95"/>
        <v>8.3463028731218906E-4</v>
      </c>
      <c r="L176" s="437">
        <f t="shared" si="95"/>
        <v>-5.6331615044522866E-6</v>
      </c>
      <c r="M176" s="439">
        <v>0.72</v>
      </c>
      <c r="N176" s="440">
        <f t="shared" si="93"/>
        <v>-8.4026344881664135E-4</v>
      </c>
      <c r="O176" s="320"/>
      <c r="P176" s="320"/>
      <c r="Q176" s="320"/>
      <c r="R176" s="320"/>
      <c r="S176" s="320"/>
      <c r="T176" s="320"/>
    </row>
    <row r="177" spans="1:20">
      <c r="A177" s="394" t="s">
        <v>2214</v>
      </c>
      <c r="B177" s="431">
        <v>5.510252868678283E-2</v>
      </c>
      <c r="C177" s="431">
        <v>4.9312230363231603E-2</v>
      </c>
      <c r="D177" s="437">
        <f t="shared" si="95"/>
        <v>4.4797794219461513E-2</v>
      </c>
      <c r="E177" s="437">
        <f t="shared" si="95"/>
        <v>4.0283358075691424E-2</v>
      </c>
      <c r="F177" s="437">
        <f t="shared" si="95"/>
        <v>3.5768921931921334E-2</v>
      </c>
      <c r="G177" s="437">
        <f t="shared" si="95"/>
        <v>3.1254485788151244E-2</v>
      </c>
      <c r="H177" s="437">
        <f t="shared" si="95"/>
        <v>2.6740049644381154E-2</v>
      </c>
      <c r="I177" s="437">
        <f t="shared" si="95"/>
        <v>2.2225613500611065E-2</v>
      </c>
      <c r="J177" s="437">
        <f t="shared" si="95"/>
        <v>1.7711177356840975E-2</v>
      </c>
      <c r="K177" s="437">
        <f t="shared" si="95"/>
        <v>1.3196741213070885E-2</v>
      </c>
      <c r="L177" s="437">
        <f t="shared" si="95"/>
        <v>8.6823050693007955E-3</v>
      </c>
      <c r="M177" s="439">
        <v>1</v>
      </c>
      <c r="N177" s="440">
        <f t="shared" si="93"/>
        <v>-4.5144361437700897E-3</v>
      </c>
      <c r="O177" s="320"/>
      <c r="P177" s="320"/>
      <c r="Q177" s="320"/>
      <c r="R177" s="320"/>
      <c r="S177" s="320"/>
      <c r="T177" s="320"/>
    </row>
    <row r="178" spans="1:20">
      <c r="A178" s="320" t="s">
        <v>2203</v>
      </c>
      <c r="B178" s="431">
        <v>4.823316917077073E-2</v>
      </c>
      <c r="C178" s="431">
        <v>5.4906993217672735E-2</v>
      </c>
      <c r="D178" s="437">
        <f t="shared" si="95"/>
        <v>5.2513112555578494E-2</v>
      </c>
      <c r="E178" s="437">
        <f t="shared" ref="E178:E194" si="96">D178+$N178</f>
        <v>5.0119231893484252E-2</v>
      </c>
      <c r="F178" s="437">
        <f t="shared" ref="F178:F194" si="97">E178+$N178</f>
        <v>4.7725351231390011E-2</v>
      </c>
      <c r="G178" s="437">
        <f t="shared" ref="G178:G194" si="98">F178+$N178</f>
        <v>4.5331470569295769E-2</v>
      </c>
      <c r="H178" s="437">
        <f t="shared" ref="H178:H194" si="99">G178+$N178</f>
        <v>4.2937589907201527E-2</v>
      </c>
      <c r="I178" s="437">
        <f t="shared" ref="I178:I194" si="100">H178+$N178</f>
        <v>4.0543709245107286E-2</v>
      </c>
      <c r="J178" s="437">
        <f t="shared" ref="J178:J194" si="101">I178+$N178</f>
        <v>3.8149828583013044E-2</v>
      </c>
      <c r="K178" s="437">
        <f t="shared" ref="K178:K194" si="102">J178+$N178</f>
        <v>3.5755947920918803E-2</v>
      </c>
      <c r="L178" s="437">
        <f t="shared" ref="L178:L194" si="103">K178+$N178</f>
        <v>3.3362067258824561E-2</v>
      </c>
      <c r="M178" s="439">
        <v>1</v>
      </c>
      <c r="N178" s="440">
        <f t="shared" si="93"/>
        <v>-2.3938806620942389E-3</v>
      </c>
      <c r="O178" s="320"/>
      <c r="P178" s="320"/>
      <c r="Q178" s="320"/>
      <c r="R178" s="320"/>
      <c r="S178" s="320"/>
      <c r="T178" s="320"/>
    </row>
    <row r="179" spans="1:20">
      <c r="A179" s="320" t="s">
        <v>2329</v>
      </c>
      <c r="B179" s="431">
        <v>3.8936526586835331E-3</v>
      </c>
      <c r="C179" s="431">
        <v>3.6129052260247797E-2</v>
      </c>
      <c r="D179" s="437">
        <f t="shared" si="95"/>
        <v>3.7267629868310143E-2</v>
      </c>
      <c r="E179" s="437">
        <f t="shared" si="96"/>
        <v>3.8406207476372488E-2</v>
      </c>
      <c r="F179" s="437">
        <f t="shared" si="97"/>
        <v>3.9544785084434833E-2</v>
      </c>
      <c r="G179" s="437">
        <f t="shared" si="98"/>
        <v>4.0683362692497178E-2</v>
      </c>
      <c r="H179" s="437">
        <f t="shared" si="99"/>
        <v>4.1821940300559524E-2</v>
      </c>
      <c r="I179" s="437">
        <f t="shared" si="100"/>
        <v>4.2960517908621869E-2</v>
      </c>
      <c r="J179" s="437">
        <f t="shared" si="101"/>
        <v>4.4099095516684214E-2</v>
      </c>
      <c r="K179" s="437">
        <f t="shared" si="102"/>
        <v>4.5237673124746559E-2</v>
      </c>
      <c r="L179" s="437">
        <f t="shared" si="103"/>
        <v>4.6376250732808905E-2</v>
      </c>
      <c r="M179" s="439">
        <v>0.11</v>
      </c>
      <c r="N179" s="440">
        <f t="shared" si="93"/>
        <v>1.1385776080623483E-3</v>
      </c>
      <c r="O179" s="320"/>
      <c r="P179" s="320"/>
      <c r="Q179" s="320"/>
      <c r="R179" s="320"/>
      <c r="S179" s="320"/>
      <c r="T179" s="320"/>
    </row>
    <row r="180" spans="1:20">
      <c r="A180" s="394" t="s">
        <v>2331</v>
      </c>
      <c r="B180" s="431">
        <v>1.4452763680907979E-4</v>
      </c>
      <c r="C180" s="431">
        <v>1.5538087320357294E-2</v>
      </c>
      <c r="D180" s="437">
        <f t="shared" si="95"/>
        <v>1.6200238308633909E-2</v>
      </c>
      <c r="E180" s="437">
        <f t="shared" si="96"/>
        <v>1.6862389296910522E-2</v>
      </c>
      <c r="F180" s="437">
        <f t="shared" si="97"/>
        <v>1.7524540285187136E-2</v>
      </c>
      <c r="G180" s="437">
        <f t="shared" si="98"/>
        <v>1.818669127346375E-2</v>
      </c>
      <c r="H180" s="437">
        <f t="shared" si="99"/>
        <v>1.8848842261740363E-2</v>
      </c>
      <c r="I180" s="437">
        <f t="shared" si="100"/>
        <v>1.9510993250016977E-2</v>
      </c>
      <c r="J180" s="437">
        <f t="shared" si="101"/>
        <v>2.017314423829359E-2</v>
      </c>
      <c r="K180" s="437">
        <f t="shared" si="102"/>
        <v>2.0835295226570204E-2</v>
      </c>
      <c r="L180" s="437">
        <f t="shared" si="103"/>
        <v>2.1497446214846817E-2</v>
      </c>
      <c r="M180" s="439">
        <v>0.11</v>
      </c>
      <c r="N180" s="440">
        <f t="shared" si="93"/>
        <v>6.6215098827661421E-4</v>
      </c>
      <c r="O180" s="320"/>
      <c r="P180" s="320"/>
      <c r="Q180" s="320"/>
      <c r="R180" s="320"/>
      <c r="S180" s="320"/>
      <c r="T180" s="320"/>
    </row>
    <row r="181" spans="1:20">
      <c r="A181" s="429" t="s">
        <v>2333</v>
      </c>
      <c r="B181" s="431">
        <v>1.144112022199445E-2</v>
      </c>
      <c r="C181" s="431">
        <v>1.22887978707415E-2</v>
      </c>
      <c r="D181" s="437">
        <f t="shared" si="95"/>
        <v>1.1028774701646045E-2</v>
      </c>
      <c r="E181" s="437">
        <f t="shared" si="96"/>
        <v>9.7687515325505896E-3</v>
      </c>
      <c r="F181" s="437">
        <f t="shared" si="97"/>
        <v>8.5087283634551342E-3</v>
      </c>
      <c r="G181" s="437">
        <f t="shared" si="98"/>
        <v>7.2487051943596796E-3</v>
      </c>
      <c r="H181" s="437">
        <f t="shared" si="99"/>
        <v>5.9886820252642251E-3</v>
      </c>
      <c r="I181" s="437">
        <f t="shared" si="100"/>
        <v>4.7286588561687706E-3</v>
      </c>
      <c r="J181" s="437">
        <f t="shared" si="101"/>
        <v>3.4686356870733161E-3</v>
      </c>
      <c r="K181" s="437">
        <f t="shared" si="102"/>
        <v>2.2086125179778615E-3</v>
      </c>
      <c r="L181" s="437">
        <f t="shared" si="103"/>
        <v>9.4858934888240702E-4</v>
      </c>
      <c r="M181" s="439">
        <v>0.9</v>
      </c>
      <c r="N181" s="440">
        <f t="shared" si="93"/>
        <v>-1.2600231690954545E-3</v>
      </c>
      <c r="O181" s="320"/>
      <c r="P181" s="320"/>
      <c r="Q181" s="320"/>
      <c r="R181" s="320"/>
      <c r="S181" s="320"/>
      <c r="T181" s="320"/>
    </row>
    <row r="182" spans="1:20">
      <c r="A182" s="394" t="s">
        <v>2336</v>
      </c>
      <c r="B182" s="431">
        <v>1.5257431064223395E-3</v>
      </c>
      <c r="C182" s="431">
        <v>1.4686168244581652E-3</v>
      </c>
      <c r="D182" s="437">
        <f t="shared" si="95"/>
        <v>1.4481815268564768E-3</v>
      </c>
      <c r="E182" s="437">
        <f t="shared" si="96"/>
        <v>1.4277462292547885E-3</v>
      </c>
      <c r="F182" s="437">
        <f t="shared" si="97"/>
        <v>1.4073109316531001E-3</v>
      </c>
      <c r="G182" s="437">
        <f t="shared" si="98"/>
        <v>1.3868756340514117E-3</v>
      </c>
      <c r="H182" s="437">
        <f t="shared" si="99"/>
        <v>1.3664403364497233E-3</v>
      </c>
      <c r="I182" s="437">
        <f t="shared" si="100"/>
        <v>1.346005038848035E-3</v>
      </c>
      <c r="J182" s="437">
        <f t="shared" si="101"/>
        <v>1.3255697412463466E-3</v>
      </c>
      <c r="K182" s="437">
        <f t="shared" si="102"/>
        <v>1.3051344436446582E-3</v>
      </c>
      <c r="L182" s="437">
        <f t="shared" si="103"/>
        <v>1.2846991460429699E-3</v>
      </c>
      <c r="M182" s="439">
        <v>1</v>
      </c>
      <c r="N182" s="440">
        <f t="shared" si="93"/>
        <v>-2.0435297601688329E-5</v>
      </c>
      <c r="O182" s="320"/>
      <c r="P182" s="320"/>
      <c r="Q182" s="320"/>
      <c r="R182" s="320"/>
      <c r="S182" s="320"/>
      <c r="T182" s="320"/>
    </row>
    <row r="183" spans="1:20">
      <c r="A183" s="320" t="s">
        <v>2338</v>
      </c>
      <c r="B183" s="431">
        <v>1.6677708057298568E-2</v>
      </c>
      <c r="C183" s="431">
        <v>1.0601135397844186E-2</v>
      </c>
      <c r="D183" s="437">
        <f t="shared" ref="D183:D194" si="104">C183+$N183</f>
        <v>9.4257100269936559E-3</v>
      </c>
      <c r="E183" s="437">
        <f t="shared" si="96"/>
        <v>8.250284656143126E-3</v>
      </c>
      <c r="F183" s="437">
        <f t="shared" si="97"/>
        <v>7.0748592852925962E-3</v>
      </c>
      <c r="G183" s="437">
        <f t="shared" si="98"/>
        <v>5.8994339144420663E-3</v>
      </c>
      <c r="H183" s="437">
        <f t="shared" si="99"/>
        <v>4.7240085435915364E-3</v>
      </c>
      <c r="I183" s="437">
        <f t="shared" si="100"/>
        <v>3.5485831727410065E-3</v>
      </c>
      <c r="J183" s="437">
        <f t="shared" si="101"/>
        <v>2.3731578018904766E-3</v>
      </c>
      <c r="K183" s="437">
        <f t="shared" si="102"/>
        <v>1.1977324310399465E-3</v>
      </c>
      <c r="L183" s="437">
        <f t="shared" si="103"/>
        <v>2.2307060189416441E-5</v>
      </c>
      <c r="M183" s="439">
        <v>0.31</v>
      </c>
      <c r="N183" s="440">
        <f t="shared" si="93"/>
        <v>-1.1754253708505301E-3</v>
      </c>
      <c r="O183" s="320"/>
      <c r="P183" s="320"/>
      <c r="Q183" s="320"/>
      <c r="R183" s="320"/>
      <c r="S183" s="320"/>
      <c r="T183" s="320"/>
    </row>
    <row r="184" spans="1:20">
      <c r="A184" s="320" t="s">
        <v>2339</v>
      </c>
      <c r="B184" s="431">
        <v>1.3603566160845978E-2</v>
      </c>
      <c r="C184" s="431">
        <v>9.1500422252611523E-3</v>
      </c>
      <c r="D184" s="437">
        <f t="shared" si="104"/>
        <v>8.1498788054694613E-3</v>
      </c>
      <c r="E184" s="437">
        <f t="shared" si="96"/>
        <v>7.1497153856777702E-3</v>
      </c>
      <c r="F184" s="437">
        <f t="shared" si="97"/>
        <v>6.1495519658860791E-3</v>
      </c>
      <c r="G184" s="437">
        <f t="shared" si="98"/>
        <v>5.149388546094388E-3</v>
      </c>
      <c r="H184" s="437">
        <f t="shared" si="99"/>
        <v>4.1492251263026969E-3</v>
      </c>
      <c r="I184" s="437">
        <f t="shared" si="100"/>
        <v>3.1490617065110063E-3</v>
      </c>
      <c r="J184" s="437">
        <f t="shared" si="101"/>
        <v>2.1488982867193156E-3</v>
      </c>
      <c r="K184" s="437">
        <f t="shared" si="102"/>
        <v>1.148734866927625E-3</v>
      </c>
      <c r="L184" s="437">
        <f t="shared" si="103"/>
        <v>1.485714471359343E-4</v>
      </c>
      <c r="M184" s="439">
        <v>0.42499999999999999</v>
      </c>
      <c r="N184" s="440">
        <f t="shared" si="93"/>
        <v>-1.0001634197916907E-3</v>
      </c>
      <c r="O184" s="320"/>
      <c r="P184" s="320"/>
      <c r="Q184" s="320"/>
      <c r="R184" s="320"/>
      <c r="S184" s="320"/>
      <c r="T184" s="320"/>
    </row>
    <row r="185" spans="1:20">
      <c r="A185" s="429" t="s">
        <v>2341</v>
      </c>
      <c r="B185" s="431">
        <v>2.0919008274793129E-2</v>
      </c>
      <c r="C185" s="431">
        <v>1.3905691749527703E-2</v>
      </c>
      <c r="D185" s="437">
        <f t="shared" si="104"/>
        <v>1.2531578749239901E-2</v>
      </c>
      <c r="E185" s="437">
        <f t="shared" si="96"/>
        <v>1.1157465748952098E-2</v>
      </c>
      <c r="F185" s="437">
        <f t="shared" si="97"/>
        <v>9.7833527486642959E-3</v>
      </c>
      <c r="G185" s="437">
        <f t="shared" si="98"/>
        <v>8.4092397483764934E-3</v>
      </c>
      <c r="H185" s="437">
        <f t="shared" si="99"/>
        <v>7.0351267480886909E-3</v>
      </c>
      <c r="I185" s="437">
        <f t="shared" si="100"/>
        <v>5.6610137478008884E-3</v>
      </c>
      <c r="J185" s="437">
        <f t="shared" si="101"/>
        <v>4.2869007475130859E-3</v>
      </c>
      <c r="K185" s="437">
        <f t="shared" si="102"/>
        <v>2.9127877472252834E-3</v>
      </c>
      <c r="L185" s="437">
        <f t="shared" si="103"/>
        <v>1.5386747469374809E-3</v>
      </c>
      <c r="M185" s="439">
        <v>0.44</v>
      </c>
      <c r="N185" s="440">
        <f t="shared" si="93"/>
        <v>-1.3741130002878025E-3</v>
      </c>
      <c r="O185" s="320"/>
      <c r="P185" s="320"/>
      <c r="Q185" s="320"/>
      <c r="R185" s="320"/>
      <c r="S185" s="320"/>
      <c r="T185" s="320"/>
    </row>
    <row r="186" spans="1:20">
      <c r="A186" s="320" t="s">
        <v>2296</v>
      </c>
      <c r="B186" s="431">
        <v>3.199998125046874E-2</v>
      </c>
      <c r="C186" s="431">
        <v>2.9050844875915693E-2</v>
      </c>
      <c r="D186" s="437">
        <f t="shared" si="104"/>
        <v>2.8132732784110336E-2</v>
      </c>
      <c r="E186" s="437">
        <f t="shared" si="96"/>
        <v>2.7214620692304979E-2</v>
      </c>
      <c r="F186" s="437">
        <f t="shared" si="97"/>
        <v>2.6296508600499622E-2</v>
      </c>
      <c r="G186" s="437">
        <f t="shared" si="98"/>
        <v>2.5378396508694265E-2</v>
      </c>
      <c r="H186" s="437">
        <f t="shared" si="99"/>
        <v>2.4460284416888908E-2</v>
      </c>
      <c r="I186" s="437">
        <f t="shared" si="100"/>
        <v>2.354217232508355E-2</v>
      </c>
      <c r="J186" s="437">
        <f t="shared" si="101"/>
        <v>2.2624060233278193E-2</v>
      </c>
      <c r="K186" s="437">
        <f t="shared" si="102"/>
        <v>2.1705948141472836E-2</v>
      </c>
      <c r="L186" s="437">
        <f t="shared" si="103"/>
        <v>2.0787836049667479E-2</v>
      </c>
      <c r="M186" s="439">
        <v>1</v>
      </c>
      <c r="N186" s="440">
        <f t="shared" si="93"/>
        <v>-9.1811209180535781E-4</v>
      </c>
      <c r="O186" s="320"/>
      <c r="P186" s="320"/>
      <c r="Q186" s="320"/>
      <c r="R186" s="320"/>
      <c r="S186" s="320"/>
      <c r="T186" s="320"/>
    </row>
    <row r="187" spans="1:20">
      <c r="A187" s="320" t="s">
        <v>2286</v>
      </c>
      <c r="B187" s="431">
        <v>8.1716707082322947E-3</v>
      </c>
      <c r="C187" s="431">
        <v>6.8632056555564466E-3</v>
      </c>
      <c r="D187" s="437">
        <f t="shared" si="104"/>
        <v>6.2200013233922576E-3</v>
      </c>
      <c r="E187" s="437">
        <f t="shared" si="96"/>
        <v>5.5767969912280686E-3</v>
      </c>
      <c r="F187" s="437">
        <f t="shared" si="97"/>
        <v>4.9335926590638795E-3</v>
      </c>
      <c r="G187" s="437">
        <f t="shared" si="98"/>
        <v>4.2903883268996905E-3</v>
      </c>
      <c r="H187" s="437">
        <f t="shared" si="99"/>
        <v>3.6471839947355015E-3</v>
      </c>
      <c r="I187" s="437">
        <f t="shared" si="100"/>
        <v>3.0039796625713124E-3</v>
      </c>
      <c r="J187" s="437">
        <f t="shared" si="101"/>
        <v>2.3607753304071234E-3</v>
      </c>
      <c r="K187" s="437">
        <f t="shared" si="102"/>
        <v>1.7175709982429341E-3</v>
      </c>
      <c r="L187" s="437">
        <f t="shared" si="103"/>
        <v>1.0743666660787449E-3</v>
      </c>
      <c r="M187" s="439">
        <v>1</v>
      </c>
      <c r="N187" s="440">
        <f t="shared" si="93"/>
        <v>-6.4320433216418925E-4</v>
      </c>
      <c r="O187" s="320"/>
      <c r="P187" s="320"/>
      <c r="Q187" s="320"/>
      <c r="R187" s="320"/>
      <c r="S187" s="320"/>
      <c r="T187" s="320"/>
    </row>
    <row r="188" spans="1:20">
      <c r="A188" s="429" t="s">
        <v>2343</v>
      </c>
      <c r="B188" s="431">
        <v>0</v>
      </c>
      <c r="C188" s="431">
        <v>1.1188177735661103E-4</v>
      </c>
      <c r="D188" s="437">
        <f t="shared" si="104"/>
        <v>1.2660203979786142E-4</v>
      </c>
      <c r="E188" s="437">
        <f t="shared" si="96"/>
        <v>1.4132230223911182E-4</v>
      </c>
      <c r="F188" s="437">
        <f t="shared" si="97"/>
        <v>1.5604256468036221E-4</v>
      </c>
      <c r="G188" s="437">
        <f t="shared" si="98"/>
        <v>1.707628271216126E-4</v>
      </c>
      <c r="H188" s="437">
        <f t="shared" si="99"/>
        <v>1.85483089562863E-4</v>
      </c>
      <c r="I188" s="437">
        <f t="shared" si="100"/>
        <v>2.0020335200411339E-4</v>
      </c>
      <c r="J188" s="437">
        <f t="shared" si="101"/>
        <v>2.1492361444536379E-4</v>
      </c>
      <c r="K188" s="437">
        <f t="shared" si="102"/>
        <v>2.2964387688661418E-4</v>
      </c>
      <c r="L188" s="437">
        <f t="shared" si="103"/>
        <v>2.4436413932786457E-4</v>
      </c>
      <c r="M188" s="439">
        <v>0.2</v>
      </c>
      <c r="N188" s="440">
        <f t="shared" si="93"/>
        <v>1.472026244125038E-5</v>
      </c>
      <c r="O188" s="320"/>
      <c r="P188" s="320"/>
      <c r="Q188" s="320"/>
      <c r="R188" s="320"/>
      <c r="S188" s="320"/>
      <c r="T188" s="320"/>
    </row>
    <row r="189" spans="1:20">
      <c r="A189" s="320" t="s">
        <v>2344</v>
      </c>
      <c r="B189" s="431">
        <v>6.8193607659808508E-3</v>
      </c>
      <c r="C189" s="431">
        <v>1.0066664015652664E-2</v>
      </c>
      <c r="D189" s="437">
        <f t="shared" si="104"/>
        <v>1.0260129969238771E-2</v>
      </c>
      <c r="E189" s="437">
        <f t="shared" si="96"/>
        <v>1.0453595922824877E-2</v>
      </c>
      <c r="F189" s="437">
        <f t="shared" si="97"/>
        <v>1.0647061876410983E-2</v>
      </c>
      <c r="G189" s="437">
        <f t="shared" si="98"/>
        <v>1.0840527829997089E-2</v>
      </c>
      <c r="H189" s="437">
        <f t="shared" si="99"/>
        <v>1.1033993783583195E-2</v>
      </c>
      <c r="I189" s="437">
        <f t="shared" si="100"/>
        <v>1.1227459737169302E-2</v>
      </c>
      <c r="J189" s="437">
        <f t="shared" si="101"/>
        <v>1.1420925690755408E-2</v>
      </c>
      <c r="K189" s="437">
        <f t="shared" si="102"/>
        <v>1.1614391644341514E-2</v>
      </c>
      <c r="L189" s="437">
        <f t="shared" si="103"/>
        <v>1.180785759792762E-2</v>
      </c>
      <c r="M189" s="439">
        <v>0.11</v>
      </c>
      <c r="N189" s="440">
        <f t="shared" si="93"/>
        <v>1.9346595358610627E-4</v>
      </c>
      <c r="O189" s="320"/>
      <c r="P189" s="320"/>
      <c r="Q189" s="320"/>
      <c r="R189" s="320"/>
      <c r="S189" s="320"/>
      <c r="T189" s="320"/>
    </row>
    <row r="190" spans="1:20">
      <c r="A190" s="429" t="s">
        <v>2345</v>
      </c>
      <c r="B190" s="431">
        <v>1.115206494837629E-2</v>
      </c>
      <c r="C190" s="431">
        <v>8.8204627726865582E-3</v>
      </c>
      <c r="D190" s="437">
        <f t="shared" si="104"/>
        <v>7.8361695342293557E-3</v>
      </c>
      <c r="E190" s="437">
        <f t="shared" si="96"/>
        <v>6.8518762957721522E-3</v>
      </c>
      <c r="F190" s="437">
        <f t="shared" si="97"/>
        <v>5.8675830573149488E-3</v>
      </c>
      <c r="G190" s="437">
        <f t="shared" si="98"/>
        <v>4.8832898188577454E-3</v>
      </c>
      <c r="H190" s="437">
        <f t="shared" si="99"/>
        <v>3.8989965804005419E-3</v>
      </c>
      <c r="I190" s="437">
        <f t="shared" si="100"/>
        <v>2.9147033419433385E-3</v>
      </c>
      <c r="J190" s="437">
        <f t="shared" si="101"/>
        <v>1.9304101034861351E-3</v>
      </c>
      <c r="K190" s="437">
        <f t="shared" si="102"/>
        <v>9.4611686502893162E-4</v>
      </c>
      <c r="L190" s="437">
        <f t="shared" si="103"/>
        <v>-3.817637342827182E-5</v>
      </c>
      <c r="M190" s="439">
        <v>0.55000000000000004</v>
      </c>
      <c r="N190" s="440">
        <f t="shared" si="93"/>
        <v>-9.8429323845720344E-4</v>
      </c>
      <c r="O190" s="320"/>
      <c r="P190" s="320"/>
      <c r="Q190" s="320"/>
      <c r="R190" s="320"/>
      <c r="S190" s="320"/>
      <c r="T190" s="320"/>
    </row>
    <row r="191" spans="1:20">
      <c r="A191" s="320" t="s">
        <v>2346</v>
      </c>
      <c r="B191" s="431">
        <v>5.0725294367640807E-3</v>
      </c>
      <c r="C191" s="431">
        <v>3.4420496202422443E-3</v>
      </c>
      <c r="D191" s="437">
        <f t="shared" si="104"/>
        <v>3.061288031115644E-3</v>
      </c>
      <c r="E191" s="437">
        <f t="shared" si="96"/>
        <v>2.6805264419890438E-3</v>
      </c>
      <c r="F191" s="437">
        <f t="shared" si="97"/>
        <v>2.2997648528624436E-3</v>
      </c>
      <c r="G191" s="437">
        <f t="shared" si="98"/>
        <v>1.9190032637358433E-3</v>
      </c>
      <c r="H191" s="437">
        <f t="shared" si="99"/>
        <v>1.5382416746092431E-3</v>
      </c>
      <c r="I191" s="437">
        <f t="shared" si="100"/>
        <v>1.1574800854826429E-3</v>
      </c>
      <c r="J191" s="437">
        <f t="shared" si="101"/>
        <v>7.7671849635604267E-4</v>
      </c>
      <c r="K191" s="437">
        <f t="shared" si="102"/>
        <v>3.9595690722944244E-4</v>
      </c>
      <c r="L191" s="437">
        <f t="shared" si="103"/>
        <v>1.519531810284221E-5</v>
      </c>
      <c r="M191" s="439">
        <v>0.37</v>
      </c>
      <c r="N191" s="440">
        <f t="shared" si="93"/>
        <v>-3.8076158912660023E-4</v>
      </c>
      <c r="O191" s="320"/>
      <c r="P191" s="320"/>
      <c r="Q191" s="320"/>
      <c r="R191" s="320"/>
      <c r="S191" s="320"/>
      <c r="T191" s="320"/>
    </row>
    <row r="192" spans="1:20">
      <c r="A192" s="320" t="s">
        <v>2348</v>
      </c>
      <c r="B192" s="431">
        <v>1.9205769855753608E-2</v>
      </c>
      <c r="C192" s="431">
        <v>1.9774093167865128E-2</v>
      </c>
      <c r="D192" s="437">
        <f t="shared" si="104"/>
        <v>1.9407229935206508E-2</v>
      </c>
      <c r="E192" s="437">
        <f t="shared" si="96"/>
        <v>1.9040366702547887E-2</v>
      </c>
      <c r="F192" s="437">
        <f t="shared" si="97"/>
        <v>1.8673503469889267E-2</v>
      </c>
      <c r="G192" s="437">
        <f t="shared" si="98"/>
        <v>1.8306640237230647E-2</v>
      </c>
      <c r="H192" s="437">
        <f t="shared" si="99"/>
        <v>1.7939777004572027E-2</v>
      </c>
      <c r="I192" s="437">
        <f t="shared" si="100"/>
        <v>1.7572913771913407E-2</v>
      </c>
      <c r="J192" s="437">
        <f t="shared" si="101"/>
        <v>1.7206050539254787E-2</v>
      </c>
      <c r="K192" s="437">
        <f t="shared" si="102"/>
        <v>1.6839187306596167E-2</v>
      </c>
      <c r="L192" s="437">
        <f t="shared" si="103"/>
        <v>1.6472324073937547E-2</v>
      </c>
      <c r="M192" s="439">
        <v>1</v>
      </c>
      <c r="N192" s="440">
        <f t="shared" si="93"/>
        <v>-3.6686323265861935E-4</v>
      </c>
      <c r="O192" s="320"/>
      <c r="P192" s="320"/>
      <c r="Q192" s="320"/>
      <c r="R192" s="320"/>
      <c r="S192" s="320"/>
      <c r="T192" s="320"/>
    </row>
    <row r="193" spans="1:22">
      <c r="A193" s="320" t="s">
        <v>2349</v>
      </c>
      <c r="B193" s="431">
        <v>4.3405164870878232E-3</v>
      </c>
      <c r="C193" s="431">
        <v>3.603806406781923E-3</v>
      </c>
      <c r="D193" s="437">
        <f t="shared" si="104"/>
        <v>3.333317372168439E-3</v>
      </c>
      <c r="E193" s="437">
        <f t="shared" si="96"/>
        <v>3.062828337554955E-3</v>
      </c>
      <c r="F193" s="437">
        <f t="shared" si="97"/>
        <v>2.792339302941471E-3</v>
      </c>
      <c r="G193" s="437">
        <f t="shared" si="98"/>
        <v>2.521850268327987E-3</v>
      </c>
      <c r="H193" s="437">
        <f t="shared" si="99"/>
        <v>2.2513612337145029E-3</v>
      </c>
      <c r="I193" s="437">
        <f t="shared" si="100"/>
        <v>1.9808721991010189E-3</v>
      </c>
      <c r="J193" s="437">
        <f t="shared" si="101"/>
        <v>1.7103831644875349E-3</v>
      </c>
      <c r="K193" s="437">
        <f t="shared" si="102"/>
        <v>1.4398941298740509E-3</v>
      </c>
      <c r="L193" s="437">
        <f t="shared" si="103"/>
        <v>1.1694050952605669E-3</v>
      </c>
      <c r="M193" s="439">
        <v>1</v>
      </c>
      <c r="N193" s="440">
        <f t="shared" si="93"/>
        <v>-2.7048903461348412E-4</v>
      </c>
      <c r="O193" s="320"/>
      <c r="P193" s="320"/>
      <c r="Q193" s="320"/>
      <c r="R193" s="320"/>
      <c r="S193" s="320"/>
      <c r="T193" s="320"/>
    </row>
    <row r="194" spans="1:22">
      <c r="A194" s="320" t="s">
        <v>2287</v>
      </c>
      <c r="B194" s="431">
        <v>3.0981256718582036E-2</v>
      </c>
      <c r="C194" s="431">
        <v>2.4837754573167649E-2</v>
      </c>
      <c r="D194" s="437">
        <f t="shared" si="104"/>
        <v>2.2074217426448009E-2</v>
      </c>
      <c r="E194" s="437">
        <f t="shared" si="96"/>
        <v>1.9310680279728369E-2</v>
      </c>
      <c r="F194" s="437">
        <f t="shared" si="97"/>
        <v>1.6547143133008729E-2</v>
      </c>
      <c r="G194" s="437">
        <f t="shared" si="98"/>
        <v>1.3783605986289089E-2</v>
      </c>
      <c r="H194" s="437">
        <f t="shared" si="99"/>
        <v>1.102006883956945E-2</v>
      </c>
      <c r="I194" s="437">
        <f t="shared" si="100"/>
        <v>8.2565316928498098E-3</v>
      </c>
      <c r="J194" s="437">
        <f t="shared" si="101"/>
        <v>5.4929945461301699E-3</v>
      </c>
      <c r="K194" s="437">
        <f t="shared" si="102"/>
        <v>2.7294573994105305E-3</v>
      </c>
      <c r="L194" s="437">
        <f t="shared" si="103"/>
        <v>-3.407974730910892E-5</v>
      </c>
      <c r="M194" s="439">
        <v>0.78</v>
      </c>
      <c r="N194" s="440">
        <f t="shared" si="93"/>
        <v>-2.7635371467196394E-3</v>
      </c>
      <c r="O194" s="320"/>
      <c r="P194" s="320"/>
      <c r="Q194" s="320"/>
      <c r="R194" s="320"/>
      <c r="S194" s="320"/>
      <c r="T194" s="320"/>
    </row>
    <row r="195" spans="1:22">
      <c r="A195" s="392" t="s">
        <v>2036</v>
      </c>
      <c r="B195" s="320"/>
      <c r="C195" s="320"/>
      <c r="D195" s="320"/>
      <c r="E195" s="320"/>
      <c r="F195" s="320"/>
      <c r="G195" s="320"/>
      <c r="H195" s="320"/>
      <c r="I195" s="320"/>
      <c r="J195" s="320"/>
      <c r="K195" s="320"/>
      <c r="L195" s="320"/>
      <c r="M195" s="320"/>
      <c r="N195" s="320"/>
      <c r="O195" s="320"/>
      <c r="P195" s="320"/>
      <c r="Q195" s="320"/>
      <c r="R195" s="320"/>
      <c r="S195" s="320"/>
      <c r="T195" s="320"/>
    </row>
    <row r="196" spans="1:22">
      <c r="A196" s="320" t="s">
        <v>21</v>
      </c>
      <c r="B196" s="415">
        <f>I126</f>
        <v>0</v>
      </c>
      <c r="C196" s="415">
        <f>J126</f>
        <v>27687</v>
      </c>
      <c r="D196" s="541">
        <f>D162*D164</f>
        <v>100804.67344011767</v>
      </c>
      <c r="E196" s="541">
        <f t="shared" ref="E196:L196" si="105">E162*E164</f>
        <v>143898.79621165685</v>
      </c>
      <c r="F196" s="541">
        <f t="shared" si="105"/>
        <v>180021.73801128691</v>
      </c>
      <c r="G196" s="541">
        <f t="shared" si="105"/>
        <v>220679.89205039907</v>
      </c>
      <c r="H196" s="541">
        <f t="shared" si="105"/>
        <v>258545.6290930064</v>
      </c>
      <c r="I196" s="541">
        <f t="shared" si="105"/>
        <v>298069.98007224803</v>
      </c>
      <c r="J196" s="541">
        <f t="shared" si="105"/>
        <v>336633.82136398152</v>
      </c>
      <c r="K196" s="541">
        <f t="shared" si="105"/>
        <v>375743.51885906461</v>
      </c>
      <c r="L196" s="541">
        <f t="shared" si="105"/>
        <v>414547.48757267516</v>
      </c>
      <c r="M196" s="320"/>
      <c r="N196" s="320"/>
      <c r="O196" s="320"/>
      <c r="P196" s="320"/>
      <c r="Q196" s="320"/>
      <c r="R196" s="320"/>
      <c r="S196" s="320"/>
      <c r="T196" s="320"/>
    </row>
    <row r="197" spans="1:22">
      <c r="A197" s="320"/>
      <c r="B197" s="415"/>
      <c r="C197" s="415"/>
      <c r="D197" s="541"/>
      <c r="E197" s="541"/>
      <c r="F197" s="541"/>
      <c r="G197" s="541"/>
      <c r="H197" s="541"/>
      <c r="I197" s="541"/>
      <c r="J197" s="541"/>
      <c r="K197" s="541"/>
      <c r="L197" s="541"/>
      <c r="M197" s="320"/>
      <c r="N197" s="320"/>
      <c r="O197" s="320"/>
      <c r="P197" s="320"/>
      <c r="Q197" s="320"/>
      <c r="R197" s="320"/>
      <c r="S197" s="320"/>
      <c r="T197" s="320"/>
    </row>
    <row r="198" spans="1:22" s="421" customFormat="1">
      <c r="A198" s="421" t="s">
        <v>148</v>
      </c>
    </row>
    <row r="199" spans="1:22" s="400" customFormat="1" ht="46.5" customHeight="1">
      <c r="A199" s="527" t="s">
        <v>0</v>
      </c>
      <c r="B199" s="527" t="s">
        <v>2018</v>
      </c>
      <c r="C199" s="527" t="s">
        <v>2019</v>
      </c>
      <c r="D199" s="527" t="s">
        <v>2020</v>
      </c>
      <c r="E199" s="527" t="s">
        <v>2021</v>
      </c>
      <c r="F199" s="527" t="s">
        <v>2022</v>
      </c>
      <c r="G199" s="527" t="s">
        <v>1840</v>
      </c>
      <c r="H199" s="527" t="s">
        <v>2023</v>
      </c>
      <c r="I199" s="527" t="s">
        <v>2024</v>
      </c>
      <c r="J199" s="527" t="s">
        <v>2025</v>
      </c>
      <c r="K199" s="527" t="s">
        <v>2298</v>
      </c>
      <c r="L199" s="527" t="s">
        <v>2027</v>
      </c>
      <c r="M199" s="527" t="s">
        <v>2028</v>
      </c>
      <c r="N199" s="527" t="s">
        <v>2299</v>
      </c>
      <c r="O199" s="527" t="s">
        <v>2030</v>
      </c>
      <c r="P199" s="527" t="s">
        <v>2031</v>
      </c>
      <c r="Q199" s="527" t="s">
        <v>2032</v>
      </c>
      <c r="R199" s="527" t="s">
        <v>2033</v>
      </c>
      <c r="S199" s="527" t="s">
        <v>2034</v>
      </c>
      <c r="T199" s="527" t="s">
        <v>2035</v>
      </c>
      <c r="U199" s="527"/>
      <c r="V199" s="527"/>
    </row>
    <row r="200" spans="1:22">
      <c r="A200" s="391" t="s">
        <v>15</v>
      </c>
      <c r="B200" s="392" t="s">
        <v>148</v>
      </c>
      <c r="C200" s="392" t="s">
        <v>2252</v>
      </c>
      <c r="D200" s="442" t="s">
        <v>2353</v>
      </c>
      <c r="E200" s="442" t="s">
        <v>2300</v>
      </c>
      <c r="F200" s="456" t="s">
        <v>2060</v>
      </c>
      <c r="G200" s="414">
        <f>48490/0.727099</f>
        <v>66689.680497428824</v>
      </c>
      <c r="H200" s="392" t="s">
        <v>2315</v>
      </c>
      <c r="I200" s="413">
        <v>85979</v>
      </c>
      <c r="J200" s="413">
        <v>140868</v>
      </c>
      <c r="K200" s="413">
        <v>40260</v>
      </c>
      <c r="L200" s="430">
        <v>8.3141786534509848E-2</v>
      </c>
      <c r="M200" s="430">
        <v>0.14742563988785151</v>
      </c>
      <c r="N200" s="430">
        <v>9.8995780507716069E-2</v>
      </c>
      <c r="O200" s="430">
        <v>6.4283853353341663E-2</v>
      </c>
      <c r="P200" s="430">
        <v>-4.8429859380135443E-2</v>
      </c>
      <c r="Q200" s="430">
        <v>1.5853993973206221E-2</v>
      </c>
      <c r="R200" s="436">
        <f>SUM(Q201:Q224)/2.5</f>
        <v>1.3675458199969501E-2</v>
      </c>
      <c r="S200" s="436">
        <f>T200+R200</f>
        <v>2.0017055789251989E-2</v>
      </c>
      <c r="T200" s="436">
        <f>Q200/2.5</f>
        <v>6.3415975892824883E-3</v>
      </c>
      <c r="V200" s="60"/>
    </row>
    <row r="201" spans="1:22">
      <c r="A201" s="320" t="s">
        <v>2354</v>
      </c>
      <c r="B201" s="429" t="s">
        <v>2355</v>
      </c>
      <c r="C201" s="394" t="s">
        <v>2198</v>
      </c>
      <c r="D201" s="395" t="s">
        <v>2353</v>
      </c>
      <c r="E201" s="395" t="s">
        <v>2300</v>
      </c>
      <c r="F201" s="395" t="s">
        <v>2356</v>
      </c>
      <c r="G201" s="415">
        <f>49995/0.727099</f>
        <v>68759.54993749132</v>
      </c>
      <c r="H201" s="320" t="s">
        <v>2357</v>
      </c>
      <c r="I201" s="410">
        <v>0</v>
      </c>
      <c r="J201" s="410">
        <v>0</v>
      </c>
      <c r="K201" s="410">
        <v>259</v>
      </c>
      <c r="L201" s="431">
        <v>0</v>
      </c>
      <c r="M201" s="431">
        <v>0</v>
      </c>
      <c r="N201" s="431">
        <v>6.368581011301158E-4</v>
      </c>
      <c r="O201" s="431">
        <v>0</v>
      </c>
      <c r="P201" s="431">
        <v>6.368581011301158E-4</v>
      </c>
      <c r="Q201" s="431">
        <v>6.368581011301158E-4</v>
      </c>
      <c r="R201" s="431"/>
      <c r="S201" s="431"/>
      <c r="T201" s="437">
        <f>Q201/2.5</f>
        <v>2.5474324045204633E-4</v>
      </c>
      <c r="U201" s="439"/>
      <c r="V201" s="60"/>
    </row>
    <row r="202" spans="1:22">
      <c r="A202" s="441" t="s">
        <v>2202</v>
      </c>
      <c r="B202" s="320" t="s">
        <v>2358</v>
      </c>
      <c r="C202" s="394" t="s">
        <v>2198</v>
      </c>
      <c r="D202" s="395" t="s">
        <v>2353</v>
      </c>
      <c r="E202" s="395" t="s">
        <v>2300</v>
      </c>
      <c r="F202" s="395" t="s">
        <v>2043</v>
      </c>
      <c r="G202" s="536">
        <f>30392/0.727099</f>
        <v>41798.984732477969</v>
      </c>
      <c r="H202" s="320" t="s">
        <v>2322</v>
      </c>
      <c r="I202" s="410">
        <v>118369</v>
      </c>
      <c r="J202" s="410">
        <v>113209</v>
      </c>
      <c r="K202" s="410">
        <v>44091</v>
      </c>
      <c r="L202" s="431">
        <v>0.11446295177082075</v>
      </c>
      <c r="M202" s="431">
        <v>0.11847906739688065</v>
      </c>
      <c r="N202" s="431">
        <v>0.10841587079894956</v>
      </c>
      <c r="O202" s="431">
        <v>4.016115626059899E-3</v>
      </c>
      <c r="P202" s="431">
        <v>-1.006319659793109E-2</v>
      </c>
      <c r="Q202" s="431">
        <v>-6.047080971871191E-3</v>
      </c>
      <c r="R202" s="431"/>
      <c r="S202" s="431"/>
      <c r="T202" s="437">
        <f t="shared" ref="T202:T224" si="106">Q202/2.5</f>
        <v>-2.4188323887484762E-3</v>
      </c>
      <c r="U202" s="439"/>
      <c r="V202" s="60"/>
    </row>
    <row r="203" spans="1:22">
      <c r="A203" s="441" t="s">
        <v>2267</v>
      </c>
      <c r="B203" s="320" t="s">
        <v>2359</v>
      </c>
      <c r="C203" s="394" t="s">
        <v>2198</v>
      </c>
      <c r="D203" s="395" t="s">
        <v>2353</v>
      </c>
      <c r="E203" s="395" t="s">
        <v>2300</v>
      </c>
      <c r="F203" s="395" t="s">
        <v>2043</v>
      </c>
      <c r="G203" s="415">
        <f>43500/0.727099</f>
        <v>59826.791124729913</v>
      </c>
      <c r="H203" s="320" t="s">
        <v>2318</v>
      </c>
      <c r="I203" s="410">
        <v>81909</v>
      </c>
      <c r="J203" s="410">
        <v>56927</v>
      </c>
      <c r="K203" s="410">
        <v>37427</v>
      </c>
      <c r="L203" s="431">
        <v>7.9206092106853615E-2</v>
      </c>
      <c r="M203" s="431">
        <v>5.9577046610271488E-2</v>
      </c>
      <c r="N203" s="431">
        <v>9.2029683980682786E-2</v>
      </c>
      <c r="O203" s="431">
        <v>-1.9629045496582127E-2</v>
      </c>
      <c r="P203" s="431">
        <v>3.2452637370411298E-2</v>
      </c>
      <c r="Q203" s="431">
        <v>1.2823591873829171E-2</v>
      </c>
      <c r="R203" s="431"/>
      <c r="S203" s="431"/>
      <c r="T203" s="437">
        <f t="shared" si="106"/>
        <v>5.1294367495316687E-3</v>
      </c>
      <c r="U203" s="439"/>
      <c r="V203" s="60"/>
    </row>
    <row r="204" spans="1:22">
      <c r="A204" s="441" t="s">
        <v>2202</v>
      </c>
      <c r="B204" s="320" t="s">
        <v>2360</v>
      </c>
      <c r="C204" s="394" t="s">
        <v>2198</v>
      </c>
      <c r="D204" s="395" t="s">
        <v>2353</v>
      </c>
      <c r="E204" s="395" t="s">
        <v>2300</v>
      </c>
      <c r="F204" s="537" t="s">
        <v>2060</v>
      </c>
      <c r="G204" s="415">
        <f>51905/0.727099</f>
        <v>71386.427432853015</v>
      </c>
      <c r="H204" s="320" t="s">
        <v>2347</v>
      </c>
      <c r="I204" s="410">
        <v>0</v>
      </c>
      <c r="J204" s="410">
        <v>762</v>
      </c>
      <c r="K204" s="410">
        <v>7670</v>
      </c>
      <c r="L204" s="431">
        <v>0</v>
      </c>
      <c r="M204" s="431">
        <v>7.9747236841967554E-4</v>
      </c>
      <c r="N204" s="431">
        <v>1.8859851875165975E-2</v>
      </c>
      <c r="O204" s="431">
        <v>7.9747236841967554E-4</v>
      </c>
      <c r="P204" s="431">
        <v>1.8062379506746298E-2</v>
      </c>
      <c r="Q204" s="431">
        <v>1.8859851875165975E-2</v>
      </c>
      <c r="R204" s="431"/>
      <c r="S204" s="431"/>
      <c r="T204" s="437">
        <f t="shared" si="106"/>
        <v>7.5439407500663899E-3</v>
      </c>
      <c r="U204" s="439"/>
      <c r="V204" s="60"/>
    </row>
    <row r="205" spans="1:22">
      <c r="A205" s="441" t="s">
        <v>2361</v>
      </c>
      <c r="B205" s="453">
        <v>2</v>
      </c>
      <c r="C205" s="394" t="s">
        <v>2198</v>
      </c>
      <c r="D205" s="395" t="s">
        <v>2353</v>
      </c>
      <c r="E205" s="395" t="s">
        <v>2300</v>
      </c>
      <c r="F205" s="537" t="s">
        <v>2060</v>
      </c>
      <c r="G205" s="415">
        <f>40900/0.727099</f>
        <v>56250.936942562148</v>
      </c>
      <c r="H205" s="320" t="s">
        <v>2332</v>
      </c>
      <c r="I205" s="410">
        <v>8746</v>
      </c>
      <c r="J205" s="410">
        <v>20949</v>
      </c>
      <c r="K205" s="410">
        <v>13361</v>
      </c>
      <c r="L205" s="431">
        <v>8.4573915145654543E-3</v>
      </c>
      <c r="M205" s="431">
        <v>2.1924210821553523E-2</v>
      </c>
      <c r="N205" s="431">
        <v>3.2853517718916897E-2</v>
      </c>
      <c r="O205" s="431">
        <v>1.3466819306988068E-2</v>
      </c>
      <c r="P205" s="431">
        <v>1.0929306897363374E-2</v>
      </c>
      <c r="Q205" s="431">
        <v>2.4396126204351443E-2</v>
      </c>
      <c r="R205" s="431"/>
      <c r="S205" s="431"/>
      <c r="T205" s="437">
        <f t="shared" si="106"/>
        <v>9.7584504817405764E-3</v>
      </c>
      <c r="U205" s="439"/>
      <c r="V205" s="60"/>
    </row>
    <row r="206" spans="1:22">
      <c r="A206" s="441" t="s">
        <v>2202</v>
      </c>
      <c r="B206" s="320" t="s">
        <v>2362</v>
      </c>
      <c r="C206" s="394" t="s">
        <v>2198</v>
      </c>
      <c r="D206" s="395" t="s">
        <v>2353</v>
      </c>
      <c r="E206" s="395" t="s">
        <v>2300</v>
      </c>
      <c r="F206" s="395" t="s">
        <v>2043</v>
      </c>
      <c r="G206" s="415">
        <f>37908/0.727099</f>
        <v>52135.953976006014</v>
      </c>
      <c r="H206" s="320" t="s">
        <v>2363</v>
      </c>
      <c r="I206" s="410">
        <v>18139</v>
      </c>
      <c r="J206" s="410">
        <v>33083</v>
      </c>
      <c r="K206" s="410">
        <v>20827</v>
      </c>
      <c r="L206" s="431">
        <v>1.7540432732986826E-2</v>
      </c>
      <c r="M206" s="431">
        <v>3.4623068719721956E-2</v>
      </c>
      <c r="N206" s="431">
        <v>5.121175163025838E-2</v>
      </c>
      <c r="O206" s="431">
        <v>1.708263598673513E-2</v>
      </c>
      <c r="P206" s="431">
        <v>1.6588682910536424E-2</v>
      </c>
      <c r="Q206" s="431">
        <v>3.3671318897271554E-2</v>
      </c>
      <c r="R206" s="431"/>
      <c r="S206" s="431"/>
      <c r="T206" s="437">
        <f t="shared" si="106"/>
        <v>1.3468527558908622E-2</v>
      </c>
      <c r="U206" s="439"/>
      <c r="V206" s="60"/>
    </row>
    <row r="207" spans="1:22">
      <c r="A207" s="441" t="s">
        <v>2244</v>
      </c>
      <c r="B207" s="454" t="s">
        <v>2245</v>
      </c>
      <c r="C207" s="394" t="s">
        <v>2198</v>
      </c>
      <c r="D207" s="395" t="s">
        <v>2353</v>
      </c>
      <c r="E207" s="395" t="s">
        <v>2300</v>
      </c>
      <c r="F207" s="395" t="s">
        <v>2043</v>
      </c>
      <c r="G207" s="415">
        <f>37518/0.727099</f>
        <v>51599.575848680848</v>
      </c>
      <c r="H207" s="320" t="s">
        <v>2364</v>
      </c>
      <c r="I207" s="410">
        <v>7200</v>
      </c>
      <c r="J207" s="410">
        <v>4521</v>
      </c>
      <c r="K207" s="410">
        <v>401</v>
      </c>
      <c r="L207" s="431">
        <v>6.9624078327088119E-3</v>
      </c>
      <c r="M207" s="431">
        <v>4.731460075623823E-3</v>
      </c>
      <c r="N207" s="431">
        <v>9.8602354653736066E-4</v>
      </c>
      <c r="O207" s="431">
        <v>-2.2309477570849889E-3</v>
      </c>
      <c r="P207" s="431">
        <v>-3.7454365290864626E-3</v>
      </c>
      <c r="Q207" s="431">
        <v>-5.9763842861714515E-3</v>
      </c>
      <c r="R207" s="431"/>
      <c r="S207" s="431"/>
      <c r="T207" s="437">
        <f t="shared" si="106"/>
        <v>-2.3905537144685808E-3</v>
      </c>
      <c r="U207" s="439"/>
      <c r="V207" s="60"/>
    </row>
    <row r="208" spans="1:22">
      <c r="A208" s="441" t="s">
        <v>2244</v>
      </c>
      <c r="B208" s="454" t="s">
        <v>2365</v>
      </c>
      <c r="C208" s="394" t="s">
        <v>2198</v>
      </c>
      <c r="D208" s="395" t="s">
        <v>2353</v>
      </c>
      <c r="E208" s="395" t="s">
        <v>2300</v>
      </c>
      <c r="F208" s="395" t="s">
        <v>2043</v>
      </c>
      <c r="G208" s="415">
        <f>36710/0.727099</f>
        <v>50488.310395145636</v>
      </c>
      <c r="H208" s="320" t="s">
        <v>2364</v>
      </c>
      <c r="I208" s="410">
        <v>50803</v>
      </c>
      <c r="J208" s="410">
        <v>42533</v>
      </c>
      <c r="K208" s="410">
        <v>13278</v>
      </c>
      <c r="L208" s="431">
        <v>4.9126556267375804E-2</v>
      </c>
      <c r="M208" s="431">
        <v>4.4512981950123438E-2</v>
      </c>
      <c r="N208" s="431">
        <v>3.2649428057164774E-2</v>
      </c>
      <c r="O208" s="431">
        <v>-4.6135743172523655E-3</v>
      </c>
      <c r="P208" s="431">
        <v>-1.1863553892958664E-2</v>
      </c>
      <c r="Q208" s="431">
        <v>-1.647712821021103E-2</v>
      </c>
      <c r="R208" s="431"/>
      <c r="S208" s="431"/>
      <c r="T208" s="437">
        <f t="shared" si="106"/>
        <v>-6.5908512840844122E-3</v>
      </c>
      <c r="U208" s="439"/>
      <c r="V208" s="60"/>
    </row>
    <row r="209" spans="1:22">
      <c r="A209" s="441" t="s">
        <v>2255</v>
      </c>
      <c r="B209" s="320" t="s">
        <v>2366</v>
      </c>
      <c r="C209" s="394" t="s">
        <v>2198</v>
      </c>
      <c r="D209" s="395" t="s">
        <v>2353</v>
      </c>
      <c r="E209" s="395" t="s">
        <v>2300</v>
      </c>
      <c r="F209" s="395" t="s">
        <v>2043</v>
      </c>
      <c r="G209" s="415">
        <f>38051/0.727099</f>
        <v>52332.625956025244</v>
      </c>
      <c r="H209" s="320" t="s">
        <v>2363</v>
      </c>
      <c r="I209" s="410">
        <v>28525</v>
      </c>
      <c r="J209" s="410">
        <v>26100</v>
      </c>
      <c r="K209" s="410">
        <v>11738</v>
      </c>
      <c r="L209" s="431">
        <v>2.7583706031669285E-2</v>
      </c>
      <c r="M209" s="431">
        <v>2.7314998445870778E-2</v>
      </c>
      <c r="N209" s="431">
        <v>2.886270421260733E-2</v>
      </c>
      <c r="O209" s="431">
        <v>-2.687075857985069E-4</v>
      </c>
      <c r="P209" s="431">
        <v>1.5477057667365526E-3</v>
      </c>
      <c r="Q209" s="431">
        <v>1.2789981809380457E-3</v>
      </c>
      <c r="R209" s="431"/>
      <c r="S209" s="431"/>
      <c r="T209" s="437">
        <f t="shared" si="106"/>
        <v>5.1159927237521825E-4</v>
      </c>
      <c r="U209" s="439"/>
      <c r="V209" s="60"/>
    </row>
    <row r="210" spans="1:22">
      <c r="A210" s="441" t="s">
        <v>2367</v>
      </c>
      <c r="B210" s="320" t="s">
        <v>2368</v>
      </c>
      <c r="C210" s="394" t="s">
        <v>2198</v>
      </c>
      <c r="D210" s="395" t="s">
        <v>2353</v>
      </c>
      <c r="E210" s="395" t="s">
        <v>2300</v>
      </c>
      <c r="F210" s="395" t="s">
        <v>2043</v>
      </c>
      <c r="G210" s="415">
        <f>35185/0.727099</f>
        <v>48390.93438445108</v>
      </c>
      <c r="H210" s="320" t="s">
        <v>2217</v>
      </c>
      <c r="I210" s="410">
        <v>7436</v>
      </c>
      <c r="J210" s="410">
        <v>6297</v>
      </c>
      <c r="K210" s="410">
        <v>2904</v>
      </c>
      <c r="L210" s="431">
        <v>7.1906200894476004E-3</v>
      </c>
      <c r="M210" s="431">
        <v>6.5901358319405473E-3</v>
      </c>
      <c r="N210" s="431">
        <v>7.1406792497368966E-3</v>
      </c>
      <c r="O210" s="431">
        <v>-6.0048425750705309E-4</v>
      </c>
      <c r="P210" s="431">
        <v>5.5054341779634929E-4</v>
      </c>
      <c r="Q210" s="431">
        <v>-4.9940839710703802E-5</v>
      </c>
      <c r="R210" s="431"/>
      <c r="S210" s="431"/>
      <c r="T210" s="437">
        <f t="shared" si="106"/>
        <v>-1.9976335884281522E-5</v>
      </c>
      <c r="U210" s="439"/>
      <c r="V210" s="60"/>
    </row>
    <row r="211" spans="1:22">
      <c r="A211" s="441" t="s">
        <v>2323</v>
      </c>
      <c r="B211" s="320" t="s">
        <v>2369</v>
      </c>
      <c r="C211" s="394" t="s">
        <v>2198</v>
      </c>
      <c r="D211" s="395" t="s">
        <v>2353</v>
      </c>
      <c r="E211" s="395" t="s">
        <v>2300</v>
      </c>
      <c r="F211" s="395" t="s">
        <v>2043</v>
      </c>
      <c r="G211" s="415">
        <f>33941/0.727099</f>
        <v>46680.025691136965</v>
      </c>
      <c r="H211" s="320" t="s">
        <v>2204</v>
      </c>
      <c r="I211" s="410">
        <v>77515</v>
      </c>
      <c r="J211" s="410">
        <v>59251</v>
      </c>
      <c r="K211" s="410">
        <v>27935</v>
      </c>
      <c r="L211" s="431">
        <v>7.4957089326725498E-2</v>
      </c>
      <c r="M211" s="431">
        <v>6.200923267878504E-2</v>
      </c>
      <c r="N211" s="431">
        <v>6.8689695193319633E-2</v>
      </c>
      <c r="O211" s="431">
        <v>-1.2947856647940459E-2</v>
      </c>
      <c r="P211" s="431">
        <v>6.6804625145345936E-3</v>
      </c>
      <c r="Q211" s="431">
        <v>-6.2673941334058653E-3</v>
      </c>
      <c r="R211" s="431"/>
      <c r="S211" s="431"/>
      <c r="T211" s="437">
        <f t="shared" si="106"/>
        <v>-2.5069576533623462E-3</v>
      </c>
      <c r="U211" s="439"/>
      <c r="V211" s="60"/>
    </row>
    <row r="212" spans="1:22">
      <c r="A212" s="441" t="s">
        <v>2342</v>
      </c>
      <c r="B212" s="320" t="s">
        <v>2370</v>
      </c>
      <c r="C212" s="320" t="s">
        <v>2252</v>
      </c>
      <c r="D212" s="395" t="s">
        <v>2353</v>
      </c>
      <c r="E212" s="395" t="s">
        <v>2300</v>
      </c>
      <c r="F212" s="395" t="s">
        <v>2043</v>
      </c>
      <c r="G212" s="415">
        <f>33400/0.727099</f>
        <v>45935.97295553975</v>
      </c>
      <c r="H212" s="320" t="s">
        <v>2371</v>
      </c>
      <c r="I212" s="410">
        <v>0</v>
      </c>
      <c r="J212" s="410">
        <v>96</v>
      </c>
      <c r="K212" s="410">
        <v>224</v>
      </c>
      <c r="L212" s="431">
        <v>0</v>
      </c>
      <c r="M212" s="431">
        <v>1.0046895980090401E-4</v>
      </c>
      <c r="N212" s="431">
        <v>5.5079619557199197E-4</v>
      </c>
      <c r="O212" s="431">
        <v>1.0046895980090401E-4</v>
      </c>
      <c r="P212" s="431">
        <v>4.5032723577108797E-4</v>
      </c>
      <c r="Q212" s="431">
        <v>5.5079619557199197E-4</v>
      </c>
      <c r="R212" s="431"/>
      <c r="S212" s="431"/>
      <c r="T212" s="437">
        <f t="shared" si="106"/>
        <v>2.2031847822879679E-4</v>
      </c>
      <c r="U212" s="439"/>
      <c r="V212" s="60"/>
    </row>
    <row r="213" spans="1:22">
      <c r="A213" s="441" t="s">
        <v>2372</v>
      </c>
      <c r="B213" s="320" t="s">
        <v>2373</v>
      </c>
      <c r="C213" s="320" t="s">
        <v>2036</v>
      </c>
      <c r="D213" s="395" t="s">
        <v>2353</v>
      </c>
      <c r="E213" s="395" t="s">
        <v>2300</v>
      </c>
      <c r="F213" s="395" t="s">
        <v>2043</v>
      </c>
      <c r="G213" s="415">
        <f>42905/0.727099</f>
        <v>59008.470648426141</v>
      </c>
      <c r="H213" s="320" t="s">
        <v>2318</v>
      </c>
      <c r="I213" s="410">
        <v>1387</v>
      </c>
      <c r="J213" s="410">
        <v>1142</v>
      </c>
      <c r="K213" s="410">
        <v>404</v>
      </c>
      <c r="L213" s="431">
        <v>1.3412305088843226E-3</v>
      </c>
      <c r="M213" s="431">
        <v>1.1951620009649207E-3</v>
      </c>
      <c r="N213" s="431">
        <v>9.9340028129948563E-4</v>
      </c>
      <c r="O213" s="431">
        <v>-1.4606850791940192E-4</v>
      </c>
      <c r="P213" s="431">
        <v>-2.0176171966543506E-4</v>
      </c>
      <c r="Q213" s="431">
        <v>-3.4783022758483697E-4</v>
      </c>
      <c r="R213" s="431"/>
      <c r="S213" s="431"/>
      <c r="T213" s="437">
        <f t="shared" si="106"/>
        <v>-1.3913209103393479E-4</v>
      </c>
      <c r="U213" s="439"/>
      <c r="V213" s="60"/>
    </row>
    <row r="214" spans="1:22">
      <c r="A214" s="441" t="s">
        <v>2264</v>
      </c>
      <c r="B214" s="320" t="s">
        <v>2374</v>
      </c>
      <c r="C214" s="394" t="s">
        <v>2198</v>
      </c>
      <c r="D214" s="395" t="s">
        <v>2353</v>
      </c>
      <c r="E214" s="395" t="s">
        <v>2300</v>
      </c>
      <c r="F214" s="395" t="s">
        <v>2043</v>
      </c>
      <c r="G214" s="415">
        <f>61781/0.727099</f>
        <v>84969.172010964117</v>
      </c>
      <c r="H214" s="320" t="s">
        <v>2312</v>
      </c>
      <c r="I214" s="410">
        <v>710</v>
      </c>
      <c r="J214" s="410">
        <v>96</v>
      </c>
      <c r="K214" s="410">
        <v>9</v>
      </c>
      <c r="L214" s="431">
        <v>6.8657077239211897E-4</v>
      </c>
      <c r="M214" s="431">
        <v>1.0046895980090401E-4</v>
      </c>
      <c r="N214" s="431">
        <v>2.2130204286374678E-5</v>
      </c>
      <c r="O214" s="431">
        <v>-5.8610181259121492E-4</v>
      </c>
      <c r="P214" s="431">
        <v>-7.8338755514529337E-5</v>
      </c>
      <c r="Q214" s="431">
        <v>-6.6444056810574428E-4</v>
      </c>
      <c r="R214" s="431"/>
      <c r="S214" s="431"/>
      <c r="T214" s="437">
        <f t="shared" si="106"/>
        <v>-2.6577622724229769E-4</v>
      </c>
      <c r="U214" s="439"/>
      <c r="V214" s="60"/>
    </row>
    <row r="215" spans="1:22">
      <c r="A215" s="441" t="s">
        <v>2264</v>
      </c>
      <c r="B215" s="320" t="s">
        <v>2375</v>
      </c>
      <c r="C215" s="394" t="s">
        <v>2198</v>
      </c>
      <c r="D215" s="395" t="s">
        <v>2353</v>
      </c>
      <c r="E215" s="395" t="s">
        <v>2300</v>
      </c>
      <c r="F215" s="395" t="s">
        <v>2043</v>
      </c>
      <c r="G215" s="415">
        <f>35750/0.727099</f>
        <v>49167.995004806769</v>
      </c>
      <c r="H215" s="320" t="s">
        <v>2217</v>
      </c>
      <c r="I215" s="410">
        <v>1855</v>
      </c>
      <c r="J215" s="410">
        <v>551</v>
      </c>
      <c r="K215" s="410">
        <v>4</v>
      </c>
      <c r="L215" s="431">
        <v>1.7937870180103953E-3</v>
      </c>
      <c r="M215" s="431">
        <v>5.7664996719060532E-4</v>
      </c>
      <c r="N215" s="431">
        <v>9.8356463494998568E-6</v>
      </c>
      <c r="O215" s="431">
        <v>-1.2171370508197899E-3</v>
      </c>
      <c r="P215" s="431">
        <v>-5.6681432084110543E-4</v>
      </c>
      <c r="Q215" s="431">
        <v>-1.7839513716608954E-3</v>
      </c>
      <c r="R215" s="431"/>
      <c r="S215" s="431"/>
      <c r="T215" s="437">
        <f t="shared" si="106"/>
        <v>-7.135805486643582E-4</v>
      </c>
      <c r="U215" s="439"/>
      <c r="V215" s="60"/>
    </row>
    <row r="216" spans="1:22">
      <c r="A216" s="320" t="s">
        <v>2261</v>
      </c>
      <c r="B216" s="429" t="s">
        <v>2376</v>
      </c>
      <c r="C216" s="394" t="s">
        <v>2198</v>
      </c>
      <c r="D216" s="395" t="s">
        <v>2353</v>
      </c>
      <c r="E216" s="395" t="s">
        <v>2340</v>
      </c>
      <c r="F216" s="395" t="s">
        <v>2043</v>
      </c>
      <c r="G216" s="415">
        <f>50081/0.727099</f>
        <v>68877.828191209177</v>
      </c>
      <c r="H216" s="320" t="s">
        <v>2357</v>
      </c>
      <c r="I216" s="410">
        <v>6346</v>
      </c>
      <c r="J216" s="410">
        <v>5235</v>
      </c>
      <c r="K216" s="410">
        <v>2650</v>
      </c>
      <c r="L216" s="431">
        <v>6.1365889036625165E-3</v>
      </c>
      <c r="M216" s="431">
        <v>5.4786979641430469E-3</v>
      </c>
      <c r="N216" s="431">
        <v>6.5161157065436555E-3</v>
      </c>
      <c r="O216" s="431">
        <v>-6.5789093951946955E-4</v>
      </c>
      <c r="P216" s="431">
        <v>1.0374177424006086E-3</v>
      </c>
      <c r="Q216" s="431">
        <v>3.79526802881139E-4</v>
      </c>
      <c r="R216" s="431"/>
      <c r="S216" s="431"/>
      <c r="T216" s="437">
        <f t="shared" si="106"/>
        <v>1.5181072115245559E-4</v>
      </c>
      <c r="U216" s="439"/>
      <c r="V216" s="60"/>
    </row>
    <row r="217" spans="1:22">
      <c r="A217" s="441" t="s">
        <v>2255</v>
      </c>
      <c r="B217" s="320" t="s">
        <v>2377</v>
      </c>
      <c r="C217" s="394" t="s">
        <v>2198</v>
      </c>
      <c r="D217" s="395" t="s">
        <v>2353</v>
      </c>
      <c r="E217" s="395" t="s">
        <v>2340</v>
      </c>
      <c r="F217" s="395" t="s">
        <v>2043</v>
      </c>
      <c r="G217" s="415">
        <f>49290/0.727099</f>
        <v>67789.943322711202</v>
      </c>
      <c r="H217" s="320" t="s">
        <v>2315</v>
      </c>
      <c r="I217" s="410">
        <v>5807</v>
      </c>
      <c r="J217" s="410">
        <v>4260</v>
      </c>
      <c r="K217" s="410">
        <v>2022</v>
      </c>
      <c r="L217" s="431">
        <v>5.6153753172972316E-3</v>
      </c>
      <c r="M217" s="431">
        <v>4.4583100911651154E-3</v>
      </c>
      <c r="N217" s="431">
        <v>4.971919229672178E-3</v>
      </c>
      <c r="O217" s="431">
        <v>-1.1570652261321162E-3</v>
      </c>
      <c r="P217" s="431">
        <v>5.1360913850706253E-4</v>
      </c>
      <c r="Q217" s="431">
        <v>-6.4345608762505363E-4</v>
      </c>
      <c r="R217" s="431"/>
      <c r="S217" s="431"/>
      <c r="T217" s="437">
        <f t="shared" si="106"/>
        <v>-2.5738243505002146E-4</v>
      </c>
      <c r="U217" s="439"/>
      <c r="V217" s="60"/>
    </row>
    <row r="218" spans="1:22">
      <c r="A218" s="441" t="s">
        <v>2244</v>
      </c>
      <c r="B218" s="454" t="s">
        <v>2378</v>
      </c>
      <c r="C218" s="394" t="s">
        <v>2198</v>
      </c>
      <c r="D218" s="395" t="s">
        <v>2353</v>
      </c>
      <c r="E218" s="395" t="s">
        <v>2340</v>
      </c>
      <c r="F218" s="395" t="s">
        <v>2043</v>
      </c>
      <c r="G218" s="415">
        <f>39501/0.727099</f>
        <v>54326.85232684957</v>
      </c>
      <c r="H218" s="320" t="s">
        <v>2327</v>
      </c>
      <c r="I218" s="410">
        <v>23578</v>
      </c>
      <c r="J218" s="410">
        <v>16645</v>
      </c>
      <c r="K218" s="410">
        <v>6900</v>
      </c>
      <c r="L218" s="431">
        <v>2.2799951649945607E-2</v>
      </c>
      <c r="M218" s="431">
        <v>1.7419852457146327E-2</v>
      </c>
      <c r="N218" s="431">
        <v>1.6966489952887253E-2</v>
      </c>
      <c r="O218" s="431">
        <v>-5.3800991927992793E-3</v>
      </c>
      <c r="P218" s="431">
        <v>-4.5336250425907429E-4</v>
      </c>
      <c r="Q218" s="431">
        <v>-5.8334616970583536E-3</v>
      </c>
      <c r="R218" s="431"/>
      <c r="S218" s="431"/>
      <c r="T218" s="437">
        <f t="shared" si="106"/>
        <v>-2.3333846788233413E-3</v>
      </c>
      <c r="U218" s="439"/>
      <c r="V218" s="60"/>
    </row>
    <row r="219" spans="1:22">
      <c r="A219" s="441" t="s">
        <v>2323</v>
      </c>
      <c r="B219" s="454" t="s">
        <v>2379</v>
      </c>
      <c r="C219" s="394" t="s">
        <v>2198</v>
      </c>
      <c r="D219" s="395" t="s">
        <v>2353</v>
      </c>
      <c r="E219" s="395" t="s">
        <v>2340</v>
      </c>
      <c r="F219" s="395" t="s">
        <v>2043</v>
      </c>
      <c r="G219" s="415">
        <f>39163/0.727099</f>
        <v>53861.991283167765</v>
      </c>
      <c r="H219" s="320" t="s">
        <v>2363</v>
      </c>
      <c r="I219" s="410">
        <v>55737</v>
      </c>
      <c r="J219" s="410">
        <v>50238</v>
      </c>
      <c r="K219" s="410">
        <v>20423</v>
      </c>
      <c r="L219" s="431">
        <v>5.3897739634957087E-2</v>
      </c>
      <c r="M219" s="431">
        <v>5.2576662525810579E-2</v>
      </c>
      <c r="N219" s="431">
        <v>5.0218351348958898E-2</v>
      </c>
      <c r="O219" s="431">
        <v>-1.3210771091465082E-3</v>
      </c>
      <c r="P219" s="431">
        <v>-2.358311176851681E-3</v>
      </c>
      <c r="Q219" s="431">
        <v>-3.6793882859981891E-3</v>
      </c>
      <c r="R219" s="431"/>
      <c r="S219" s="431"/>
      <c r="T219" s="437">
        <f t="shared" si="106"/>
        <v>-1.4717553143992756E-3</v>
      </c>
      <c r="U219" s="439"/>
      <c r="V219" s="60"/>
    </row>
    <row r="220" spans="1:22">
      <c r="A220" s="441" t="s">
        <v>2380</v>
      </c>
      <c r="B220" s="429" t="s">
        <v>2381</v>
      </c>
      <c r="C220" s="394" t="s">
        <v>2198</v>
      </c>
      <c r="D220" s="395" t="s">
        <v>2353</v>
      </c>
      <c r="E220" s="395" t="s">
        <v>2340</v>
      </c>
      <c r="F220" s="395" t="s">
        <v>2043</v>
      </c>
      <c r="G220" s="415">
        <f>38714/0.727099</f>
        <v>53244.468772478023</v>
      </c>
      <c r="H220" s="320" t="s">
        <v>2363</v>
      </c>
      <c r="I220" s="410">
        <v>70171</v>
      </c>
      <c r="J220" s="410">
        <v>53654</v>
      </c>
      <c r="K220" s="410">
        <v>22597</v>
      </c>
      <c r="L220" s="431">
        <v>6.7855433337362506E-2</v>
      </c>
      <c r="M220" s="431">
        <v>5.6151683012059417E-2</v>
      </c>
      <c r="N220" s="431">
        <v>5.5564025139912071E-2</v>
      </c>
      <c r="O220" s="431">
        <v>-1.1703750325303089E-2</v>
      </c>
      <c r="P220" s="431">
        <v>-5.8765787214734577E-4</v>
      </c>
      <c r="Q220" s="431">
        <v>-1.2291408197450435E-2</v>
      </c>
      <c r="R220" s="431"/>
      <c r="S220" s="431"/>
      <c r="T220" s="437">
        <f t="shared" si="106"/>
        <v>-4.9165632789801737E-3</v>
      </c>
      <c r="U220" s="439"/>
      <c r="V220" s="60"/>
    </row>
    <row r="221" spans="1:22">
      <c r="A221" s="441" t="s">
        <v>2202</v>
      </c>
      <c r="B221" s="320" t="s">
        <v>2382</v>
      </c>
      <c r="C221" s="394" t="s">
        <v>2198</v>
      </c>
      <c r="D221" s="395" t="s">
        <v>2353</v>
      </c>
      <c r="E221" s="395" t="s">
        <v>2340</v>
      </c>
      <c r="F221" s="395" t="s">
        <v>2043</v>
      </c>
      <c r="G221" s="415">
        <f>36127/0.727099</f>
        <v>49686.493861221097</v>
      </c>
      <c r="H221" s="320" t="s">
        <v>2364</v>
      </c>
      <c r="I221" s="410">
        <v>59814</v>
      </c>
      <c r="J221" s="410">
        <v>52936</v>
      </c>
      <c r="K221" s="410">
        <v>24515</v>
      </c>
      <c r="L221" s="431">
        <v>5.7840203070228455E-2</v>
      </c>
      <c r="M221" s="431">
        <v>5.5400258916881821E-2</v>
      </c>
      <c r="N221" s="431">
        <v>6.0280217564497252E-2</v>
      </c>
      <c r="O221" s="431">
        <v>-2.4399441533466334E-3</v>
      </c>
      <c r="P221" s="431">
        <v>4.8799586476154302E-3</v>
      </c>
      <c r="Q221" s="431">
        <v>2.4400144942687968E-3</v>
      </c>
      <c r="R221" s="431"/>
      <c r="S221" s="431"/>
      <c r="T221" s="437">
        <f t="shared" si="106"/>
        <v>9.760057977075187E-4</v>
      </c>
      <c r="U221" s="439"/>
      <c r="V221" s="60"/>
    </row>
    <row r="222" spans="1:22">
      <c r="A222" s="441" t="s">
        <v>2342</v>
      </c>
      <c r="B222" s="320" t="s">
        <v>2383</v>
      </c>
      <c r="C222" s="320" t="s">
        <v>2252</v>
      </c>
      <c r="D222" s="395" t="s">
        <v>2353</v>
      </c>
      <c r="E222" s="395" t="s">
        <v>2340</v>
      </c>
      <c r="F222" s="395" t="s">
        <v>2043</v>
      </c>
      <c r="G222" s="415">
        <f>37460/0.727099</f>
        <v>51519.806793847878</v>
      </c>
      <c r="H222" s="320" t="s">
        <v>2364</v>
      </c>
      <c r="I222" s="410">
        <v>0</v>
      </c>
      <c r="J222" s="410">
        <v>106</v>
      </c>
      <c r="K222" s="410">
        <v>116</v>
      </c>
      <c r="L222" s="431">
        <v>0</v>
      </c>
      <c r="M222" s="431">
        <v>1.1093447644683151E-4</v>
      </c>
      <c r="N222" s="431">
        <v>2.8523374413549587E-4</v>
      </c>
      <c r="O222" s="431">
        <v>1.1093447644683151E-4</v>
      </c>
      <c r="P222" s="431">
        <v>1.7429926768866436E-4</v>
      </c>
      <c r="Q222" s="431">
        <v>2.8523374413549587E-4</v>
      </c>
      <c r="R222" s="431"/>
      <c r="S222" s="431"/>
      <c r="T222" s="437">
        <f t="shared" si="106"/>
        <v>1.1409349765419835E-4</v>
      </c>
      <c r="U222" s="439"/>
      <c r="V222" s="60"/>
    </row>
    <row r="223" spans="1:22">
      <c r="A223" s="441" t="s">
        <v>2267</v>
      </c>
      <c r="B223" s="320" t="s">
        <v>2384</v>
      </c>
      <c r="C223" s="394" t="s">
        <v>2198</v>
      </c>
      <c r="D223" s="395" t="s">
        <v>2353</v>
      </c>
      <c r="E223" s="395" t="s">
        <v>2340</v>
      </c>
      <c r="F223" s="395" t="s">
        <v>2043</v>
      </c>
      <c r="G223" s="415">
        <f>54078/0.727099</f>
        <v>74375.016332026309</v>
      </c>
      <c r="H223" s="320" t="s">
        <v>2301</v>
      </c>
      <c r="I223" s="410">
        <v>3895</v>
      </c>
      <c r="J223" s="410">
        <v>2155</v>
      </c>
      <c r="K223" s="410">
        <v>1403</v>
      </c>
      <c r="L223" s="431">
        <v>3.7664692372778919E-3</v>
      </c>
      <c r="M223" s="431">
        <v>2.2553188371973766E-3</v>
      </c>
      <c r="N223" s="431">
        <v>3.4498529570870752E-3</v>
      </c>
      <c r="O223" s="431">
        <v>-1.5111504000805153E-3</v>
      </c>
      <c r="P223" s="431">
        <v>1.1945341198896986E-3</v>
      </c>
      <c r="Q223" s="431">
        <v>-3.1661628019081676E-4</v>
      </c>
      <c r="R223" s="431"/>
      <c r="S223" s="431"/>
      <c r="T223" s="437">
        <f t="shared" si="106"/>
        <v>-1.2664651207632672E-4</v>
      </c>
      <c r="U223" s="439"/>
      <c r="V223" s="60"/>
    </row>
    <row r="224" spans="1:22">
      <c r="A224" s="320" t="s">
        <v>2261</v>
      </c>
      <c r="B224" s="429" t="s">
        <v>2385</v>
      </c>
      <c r="C224" s="394" t="s">
        <v>2198</v>
      </c>
      <c r="D224" s="395" t="s">
        <v>2353</v>
      </c>
      <c r="E224" s="395" t="s">
        <v>2340</v>
      </c>
      <c r="F224" s="395" t="s">
        <v>2043</v>
      </c>
      <c r="G224" s="415">
        <f>44645/0.727099</f>
        <v>61401.542293415332</v>
      </c>
      <c r="H224" s="320" t="s">
        <v>2322</v>
      </c>
      <c r="I224" s="410">
        <v>2060</v>
      </c>
      <c r="J224" s="410">
        <v>1231</v>
      </c>
      <c r="K224" s="410">
        <v>503</v>
      </c>
      <c r="L224" s="431">
        <v>1.9920222410250211E-3</v>
      </c>
      <c r="M224" s="431">
        <v>1.2883050991136754E-3</v>
      </c>
      <c r="N224" s="431">
        <v>1.236832528449607E-3</v>
      </c>
      <c r="O224" s="431">
        <v>-7.0371714191134571E-4</v>
      </c>
      <c r="P224" s="431">
        <v>-5.1472570664068407E-5</v>
      </c>
      <c r="Q224" s="431">
        <v>-7.5518971257541412E-4</v>
      </c>
      <c r="R224" s="431"/>
      <c r="S224" s="431"/>
      <c r="T224" s="437">
        <f t="shared" si="106"/>
        <v>-3.0207588503016565E-4</v>
      </c>
      <c r="U224" s="439"/>
      <c r="V224" s="60"/>
    </row>
    <row r="225" spans="1:20">
      <c r="A225" s="320" t="s">
        <v>24</v>
      </c>
      <c r="B225" s="415"/>
      <c r="C225" s="415"/>
      <c r="D225" s="541"/>
      <c r="E225" s="541"/>
      <c r="F225" s="541"/>
      <c r="G225" s="541"/>
      <c r="H225" s="541"/>
      <c r="I225" s="541">
        <f>SUM(I200:I224)</f>
        <v>715981</v>
      </c>
      <c r="J225" s="541">
        <f t="shared" ref="J225:K225" si="107">SUM(J200:J224)</f>
        <v>692845</v>
      </c>
      <c r="K225" s="541">
        <f t="shared" si="107"/>
        <v>301921</v>
      </c>
      <c r="L225" s="437">
        <f>SUM(L200:L224)</f>
        <v>0.69235440589870678</v>
      </c>
      <c r="M225" s="437">
        <f t="shared" ref="M225:N225" si="108">SUM(M200:M224)</f>
        <v>0.72509808805476395</v>
      </c>
      <c r="N225" s="437">
        <f t="shared" si="108"/>
        <v>0.74239704537183671</v>
      </c>
      <c r="O225" s="437">
        <f>SUM(O200:O224)</f>
        <v>3.2743682156057323E-2</v>
      </c>
      <c r="P225" s="437">
        <f t="shared" ref="P225" si="109">SUM(P200:P224)</f>
        <v>1.729895731707266E-2</v>
      </c>
      <c r="Q225" s="437">
        <f t="shared" ref="Q225" si="110">SUM(Q200:Q224)</f>
        <v>5.0042639473129966E-2</v>
      </c>
      <c r="R225" s="437"/>
      <c r="S225" s="437"/>
      <c r="T225" s="320"/>
    </row>
    <row r="226" spans="1:20">
      <c r="A226" s="392" t="s">
        <v>2218</v>
      </c>
      <c r="B226" s="415"/>
      <c r="C226" s="415"/>
      <c r="D226" s="541"/>
      <c r="E226" s="541"/>
      <c r="F226" s="541"/>
      <c r="G226" s="541"/>
      <c r="H226" s="541"/>
      <c r="I226" s="541"/>
      <c r="J226" s="541"/>
      <c r="K226" s="541"/>
      <c r="L226" s="541"/>
      <c r="M226" s="320"/>
      <c r="N226" s="320"/>
      <c r="O226" s="320"/>
      <c r="P226" s="320"/>
      <c r="Q226" s="320"/>
      <c r="R226" s="320"/>
      <c r="S226" s="320"/>
      <c r="T226" s="320"/>
    </row>
    <row r="227" spans="1:20">
      <c r="A227" s="320" t="s">
        <v>2227</v>
      </c>
      <c r="B227" s="320">
        <v>2020</v>
      </c>
      <c r="C227" s="320">
        <v>2021</v>
      </c>
      <c r="D227" s="320" t="s">
        <v>14</v>
      </c>
      <c r="E227" s="320" t="s">
        <v>11</v>
      </c>
      <c r="F227" s="320" t="s">
        <v>12</v>
      </c>
      <c r="G227" s="320" t="s">
        <v>13</v>
      </c>
      <c r="H227" s="320" t="s">
        <v>2220</v>
      </c>
      <c r="I227" s="320" t="s">
        <v>2221</v>
      </c>
      <c r="J227" s="320" t="s">
        <v>2222</v>
      </c>
      <c r="K227" s="320" t="s">
        <v>2223</v>
      </c>
      <c r="L227" s="320" t="s">
        <v>2224</v>
      </c>
      <c r="M227" s="320" t="s">
        <v>2225</v>
      </c>
      <c r="N227" s="320" t="s">
        <v>2226</v>
      </c>
      <c r="O227" s="320"/>
      <c r="P227" s="320"/>
      <c r="Q227" s="320"/>
      <c r="R227" s="320"/>
      <c r="S227" s="320"/>
      <c r="T227" s="320"/>
    </row>
    <row r="228" spans="1:20">
      <c r="A228" s="320" t="s">
        <v>2386</v>
      </c>
      <c r="B228" s="539">
        <v>787815</v>
      </c>
      <c r="C228" s="539">
        <v>742941</v>
      </c>
      <c r="D228" s="443">
        <f>AVERAGE(B228:C228)</f>
        <v>765378</v>
      </c>
      <c r="E228" s="443">
        <f>AVERAGE(C228:D228)</f>
        <v>754159.5</v>
      </c>
      <c r="F228" s="443">
        <f t="shared" ref="F228:L230" si="111">AVERAGE(D228:E228)</f>
        <v>759768.75</v>
      </c>
      <c r="G228" s="443">
        <f t="shared" si="111"/>
        <v>756964.125</v>
      </c>
      <c r="H228" s="443">
        <f t="shared" si="111"/>
        <v>758366.4375</v>
      </c>
      <c r="I228" s="443">
        <f t="shared" si="111"/>
        <v>757665.28125</v>
      </c>
      <c r="J228" s="443">
        <f t="shared" si="111"/>
        <v>758015.859375</v>
      </c>
      <c r="K228" s="443">
        <f t="shared" si="111"/>
        <v>757840.5703125</v>
      </c>
      <c r="L228" s="443">
        <f t="shared" si="111"/>
        <v>757928.21484375</v>
      </c>
      <c r="M228" s="320"/>
      <c r="N228" s="320" t="s">
        <v>162</v>
      </c>
      <c r="O228" s="320"/>
      <c r="P228" s="320"/>
      <c r="Q228" s="320"/>
      <c r="R228" s="320"/>
      <c r="S228" s="320"/>
      <c r="T228" s="320"/>
    </row>
    <row r="229" spans="1:20">
      <c r="A229" s="320" t="s">
        <v>2387</v>
      </c>
      <c r="B229" s="539">
        <v>246310</v>
      </c>
      <c r="C229" s="539">
        <v>212578</v>
      </c>
      <c r="D229" s="443">
        <f>AVERAGE(B229:C229)</f>
        <v>229444</v>
      </c>
      <c r="E229" s="443">
        <f>AVERAGE(C229:D229)</f>
        <v>221011</v>
      </c>
      <c r="F229" s="443">
        <f t="shared" si="111"/>
        <v>225227.5</v>
      </c>
      <c r="G229" s="443">
        <f t="shared" si="111"/>
        <v>223119.25</v>
      </c>
      <c r="H229" s="443">
        <f t="shared" si="111"/>
        <v>224173.375</v>
      </c>
      <c r="I229" s="443">
        <f t="shared" si="111"/>
        <v>223646.3125</v>
      </c>
      <c r="J229" s="443">
        <f t="shared" si="111"/>
        <v>223909.84375</v>
      </c>
      <c r="K229" s="443">
        <f t="shared" si="111"/>
        <v>223778.078125</v>
      </c>
      <c r="L229" s="443">
        <f t="shared" si="111"/>
        <v>223843.9609375</v>
      </c>
      <c r="M229" s="320"/>
      <c r="N229" s="320" t="s">
        <v>162</v>
      </c>
      <c r="O229" s="320"/>
      <c r="P229" s="320"/>
      <c r="Q229" s="320"/>
      <c r="R229" s="320"/>
      <c r="S229" s="320"/>
      <c r="T229" s="320"/>
    </row>
    <row r="230" spans="1:20">
      <c r="A230" s="320" t="s">
        <v>2352</v>
      </c>
      <c r="B230" s="541">
        <f>SUM(B228:B229)</f>
        <v>1034125</v>
      </c>
      <c r="C230" s="541">
        <f>SUM(C228:C229)</f>
        <v>955519</v>
      </c>
      <c r="D230" s="443">
        <f>AVERAGE(B230:C230)</f>
        <v>994822</v>
      </c>
      <c r="E230" s="443">
        <f t="shared" ref="E230" si="112">AVERAGE(C230:D230)</f>
        <v>975170.5</v>
      </c>
      <c r="F230" s="443">
        <f t="shared" si="111"/>
        <v>984996.25</v>
      </c>
      <c r="G230" s="443">
        <f t="shared" si="111"/>
        <v>980083.375</v>
      </c>
      <c r="H230" s="443">
        <f t="shared" si="111"/>
        <v>982539.8125</v>
      </c>
      <c r="I230" s="443">
        <f t="shared" si="111"/>
        <v>981311.59375</v>
      </c>
      <c r="J230" s="443">
        <f t="shared" si="111"/>
        <v>981925.703125</v>
      </c>
      <c r="K230" s="443">
        <f t="shared" si="111"/>
        <v>981618.6484375</v>
      </c>
      <c r="L230" s="443">
        <f t="shared" si="111"/>
        <v>981772.17578125</v>
      </c>
      <c r="M230" s="320"/>
      <c r="N230" s="320" t="s">
        <v>162</v>
      </c>
      <c r="O230" s="320"/>
      <c r="P230" s="320"/>
      <c r="Q230" s="320"/>
      <c r="R230" s="320"/>
      <c r="S230" s="320"/>
      <c r="T230" s="320"/>
    </row>
    <row r="231" spans="1:20">
      <c r="A231" s="392" t="s">
        <v>2228</v>
      </c>
      <c r="B231" s="415"/>
      <c r="C231" s="415"/>
      <c r="D231" s="437"/>
      <c r="E231" s="541"/>
      <c r="F231" s="541"/>
      <c r="G231" s="541"/>
      <c r="H231" s="541"/>
      <c r="I231" s="541"/>
      <c r="J231" s="541"/>
      <c r="K231" s="541"/>
      <c r="L231" s="541"/>
      <c r="M231" s="320"/>
      <c r="N231" s="320"/>
      <c r="O231" s="320"/>
      <c r="P231" s="320"/>
      <c r="Q231" s="320"/>
      <c r="R231" s="320"/>
      <c r="S231" s="320"/>
      <c r="T231" s="320"/>
    </row>
    <row r="232" spans="1:20">
      <c r="A232" s="392" t="s">
        <v>148</v>
      </c>
      <c r="B232" s="430">
        <v>8.3141786534509848E-2</v>
      </c>
      <c r="C232" s="430">
        <v>0.14742563988785151</v>
      </c>
      <c r="D232" s="437">
        <f t="shared" ref="D232:D239" si="113">C232+$N232</f>
        <v>0.16436412088591307</v>
      </c>
      <c r="E232" s="437">
        <f t="shared" ref="E232:L232" si="114">D232+$N232</f>
        <v>0.18130260188397462</v>
      </c>
      <c r="F232" s="437">
        <f t="shared" si="114"/>
        <v>0.19824108288203618</v>
      </c>
      <c r="G232" s="437">
        <f t="shared" si="114"/>
        <v>0.21517956388009774</v>
      </c>
      <c r="H232" s="437">
        <f t="shared" si="114"/>
        <v>0.23211804487815929</v>
      </c>
      <c r="I232" s="437">
        <f t="shared" si="114"/>
        <v>0.24905652587622085</v>
      </c>
      <c r="J232" s="437">
        <f t="shared" si="114"/>
        <v>0.2659950068742824</v>
      </c>
      <c r="K232" s="437">
        <f t="shared" si="114"/>
        <v>0.28293348787234396</v>
      </c>
      <c r="L232" s="437">
        <f t="shared" si="114"/>
        <v>0.29987196887040551</v>
      </c>
      <c r="M232" s="320"/>
      <c r="N232" s="437">
        <f>-SUM(N233:N256)</f>
        <v>1.6938480998061563E-2</v>
      </c>
      <c r="O232" s="320"/>
      <c r="P232" s="320"/>
      <c r="Q232" s="320"/>
      <c r="R232" s="320"/>
      <c r="S232" s="320"/>
      <c r="T232" s="320"/>
    </row>
    <row r="233" spans="1:20">
      <c r="A233" s="429" t="s">
        <v>2355</v>
      </c>
      <c r="B233" s="431">
        <v>0</v>
      </c>
      <c r="C233" s="431">
        <v>0</v>
      </c>
      <c r="D233" s="437">
        <f t="shared" si="113"/>
        <v>2.8304804494671813E-5</v>
      </c>
      <c r="E233" s="437">
        <f t="shared" ref="E233:L239" si="115">D233+$N233</f>
        <v>5.6609608989343626E-5</v>
      </c>
      <c r="F233" s="437">
        <f t="shared" si="115"/>
        <v>8.491441348401544E-5</v>
      </c>
      <c r="G233" s="437">
        <f t="shared" si="115"/>
        <v>1.1321921797868725E-4</v>
      </c>
      <c r="H233" s="437">
        <f t="shared" si="115"/>
        <v>1.4152402247335908E-4</v>
      </c>
      <c r="I233" s="437">
        <f t="shared" si="115"/>
        <v>1.6982882696803091E-4</v>
      </c>
      <c r="J233" s="437">
        <f t="shared" si="115"/>
        <v>1.9813363146270273E-4</v>
      </c>
      <c r="K233" s="437">
        <f t="shared" si="115"/>
        <v>2.2643843595737456E-4</v>
      </c>
      <c r="L233" s="437">
        <f t="shared" si="115"/>
        <v>2.5474324045204639E-4</v>
      </c>
      <c r="M233" s="439">
        <v>0.1111111111111111</v>
      </c>
      <c r="N233" s="440">
        <f t="shared" ref="N233:N256" si="116">M233*T201</f>
        <v>2.8304804494671813E-5</v>
      </c>
      <c r="O233" s="320"/>
      <c r="P233" s="320"/>
      <c r="Q233" s="320"/>
      <c r="R233" s="320"/>
      <c r="S233" s="320"/>
      <c r="T233" s="320"/>
    </row>
    <row r="234" spans="1:20">
      <c r="A234" s="320" t="s">
        <v>2358</v>
      </c>
      <c r="B234" s="431">
        <v>0.11446295177082075</v>
      </c>
      <c r="C234" s="431">
        <v>0.11847906739688065</v>
      </c>
      <c r="D234" s="437">
        <f t="shared" si="113"/>
        <v>0.11606023500813217</v>
      </c>
      <c r="E234" s="437">
        <f t="shared" si="115"/>
        <v>0.1136414026193837</v>
      </c>
      <c r="F234" s="437">
        <f t="shared" si="115"/>
        <v>0.11122257023063523</v>
      </c>
      <c r="G234" s="437">
        <f t="shared" si="115"/>
        <v>0.10880373784188675</v>
      </c>
      <c r="H234" s="437">
        <f t="shared" si="115"/>
        <v>0.10638490545313828</v>
      </c>
      <c r="I234" s="437">
        <f t="shared" si="115"/>
        <v>0.10396607306438981</v>
      </c>
      <c r="J234" s="437">
        <f t="shared" si="115"/>
        <v>0.10154724067564133</v>
      </c>
      <c r="K234" s="437">
        <f t="shared" si="115"/>
        <v>9.9128408286892858E-2</v>
      </c>
      <c r="L234" s="437">
        <f t="shared" si="115"/>
        <v>9.6709575898144384E-2</v>
      </c>
      <c r="M234" s="439">
        <v>1</v>
      </c>
      <c r="N234" s="440">
        <f t="shared" si="116"/>
        <v>-2.4188323887484762E-3</v>
      </c>
      <c r="O234" s="320"/>
      <c r="P234" s="320"/>
      <c r="Q234" s="320"/>
      <c r="R234" s="320"/>
      <c r="S234" s="320"/>
      <c r="T234" s="320"/>
    </row>
    <row r="235" spans="1:20">
      <c r="A235" s="320" t="s">
        <v>2359</v>
      </c>
      <c r="B235" s="431">
        <v>7.9206092106853615E-2</v>
      </c>
      <c r="C235" s="431">
        <v>5.9577046610271488E-2</v>
      </c>
      <c r="D235" s="437">
        <f t="shared" si="113"/>
        <v>6.0146984026886119E-2</v>
      </c>
      <c r="E235" s="437">
        <f t="shared" si="115"/>
        <v>6.071692144350075E-2</v>
      </c>
      <c r="F235" s="437">
        <f t="shared" si="115"/>
        <v>6.1286858860115381E-2</v>
      </c>
      <c r="G235" s="437">
        <f t="shared" si="115"/>
        <v>6.1856796276730013E-2</v>
      </c>
      <c r="H235" s="437">
        <f t="shared" si="115"/>
        <v>6.2426733693344644E-2</v>
      </c>
      <c r="I235" s="437">
        <f t="shared" si="115"/>
        <v>6.2996671109959268E-2</v>
      </c>
      <c r="J235" s="437">
        <f t="shared" si="115"/>
        <v>6.3566608526573892E-2</v>
      </c>
      <c r="K235" s="437">
        <f t="shared" si="115"/>
        <v>6.4136545943188517E-2</v>
      </c>
      <c r="L235" s="437">
        <f t="shared" si="115"/>
        <v>6.4706483359803141E-2</v>
      </c>
      <c r="M235" s="439">
        <v>0.1111111111111111</v>
      </c>
      <c r="N235" s="440">
        <f t="shared" si="116"/>
        <v>5.699374166146298E-4</v>
      </c>
      <c r="O235" s="320"/>
      <c r="P235" s="320"/>
      <c r="Q235" s="320"/>
      <c r="R235" s="320"/>
      <c r="S235" s="320"/>
      <c r="T235" s="320"/>
    </row>
    <row r="236" spans="1:20">
      <c r="A236" s="320" t="s">
        <v>2360</v>
      </c>
      <c r="B236" s="431">
        <v>0</v>
      </c>
      <c r="C236" s="431">
        <v>7.9747236841967554E-4</v>
      </c>
      <c r="D236" s="437">
        <f t="shared" si="113"/>
        <v>1.635688007315941E-3</v>
      </c>
      <c r="E236" s="437">
        <f t="shared" si="115"/>
        <v>2.4739036462122065E-3</v>
      </c>
      <c r="F236" s="437">
        <f t="shared" si="115"/>
        <v>3.3121192851084721E-3</v>
      </c>
      <c r="G236" s="437">
        <f t="shared" si="115"/>
        <v>4.1503349240047376E-3</v>
      </c>
      <c r="H236" s="437">
        <f t="shared" si="115"/>
        <v>4.9885505629010032E-3</v>
      </c>
      <c r="I236" s="437">
        <f t="shared" si="115"/>
        <v>5.8267662017972687E-3</v>
      </c>
      <c r="J236" s="437">
        <f t="shared" si="115"/>
        <v>6.6649818406935343E-3</v>
      </c>
      <c r="K236" s="437">
        <f t="shared" si="115"/>
        <v>7.5031974795897998E-3</v>
      </c>
      <c r="L236" s="437">
        <f t="shared" si="115"/>
        <v>8.3414131184860654E-3</v>
      </c>
      <c r="M236" s="439">
        <v>0.1111111111111111</v>
      </c>
      <c r="N236" s="440">
        <f t="shared" si="116"/>
        <v>8.3821563889626555E-4</v>
      </c>
      <c r="O236" s="320"/>
      <c r="P236" s="320"/>
      <c r="Q236" s="320"/>
      <c r="R236" s="320"/>
      <c r="S236" s="320"/>
      <c r="T236" s="320"/>
    </row>
    <row r="237" spans="1:20">
      <c r="A237" s="453" t="s">
        <v>2388</v>
      </c>
      <c r="B237" s="431">
        <v>8.4573915145654543E-3</v>
      </c>
      <c r="C237" s="431">
        <v>2.1924210821553523E-2</v>
      </c>
      <c r="D237" s="437">
        <f t="shared" si="113"/>
        <v>2.3008483097302475E-2</v>
      </c>
      <c r="E237" s="437">
        <f t="shared" si="115"/>
        <v>2.4092755373051427E-2</v>
      </c>
      <c r="F237" s="437">
        <f t="shared" si="115"/>
        <v>2.5177027648800379E-2</v>
      </c>
      <c r="G237" s="437">
        <f t="shared" si="115"/>
        <v>2.6261299924549331E-2</v>
      </c>
      <c r="H237" s="437">
        <f t="shared" si="115"/>
        <v>2.7345572200298283E-2</v>
      </c>
      <c r="I237" s="437">
        <f t="shared" si="115"/>
        <v>2.8429844476047236E-2</v>
      </c>
      <c r="J237" s="437">
        <f t="shared" si="115"/>
        <v>2.9514116751796188E-2</v>
      </c>
      <c r="K237" s="437">
        <f t="shared" si="115"/>
        <v>3.059838902754514E-2</v>
      </c>
      <c r="L237" s="437">
        <f t="shared" si="115"/>
        <v>3.1682661303294092E-2</v>
      </c>
      <c r="M237" s="439">
        <v>0.1111111111111111</v>
      </c>
      <c r="N237" s="440">
        <f t="shared" si="116"/>
        <v>1.0842722757489528E-3</v>
      </c>
      <c r="O237" s="320"/>
      <c r="P237" s="320"/>
      <c r="Q237" s="320"/>
      <c r="R237" s="320"/>
      <c r="S237" s="320"/>
      <c r="T237" s="320"/>
    </row>
    <row r="238" spans="1:20">
      <c r="A238" s="320" t="s">
        <v>2362</v>
      </c>
      <c r="B238" s="431">
        <v>1.7540432732986826E-2</v>
      </c>
      <c r="C238" s="431">
        <v>3.4623068719721956E-2</v>
      </c>
      <c r="D238" s="437">
        <f t="shared" si="113"/>
        <v>3.6119571781822915E-2</v>
      </c>
      <c r="E238" s="437">
        <f t="shared" si="115"/>
        <v>3.7616074843923875E-2</v>
      </c>
      <c r="F238" s="437">
        <f t="shared" si="115"/>
        <v>3.9112577906024834E-2</v>
      </c>
      <c r="G238" s="437">
        <f t="shared" si="115"/>
        <v>4.0609080968125794E-2</v>
      </c>
      <c r="H238" s="437">
        <f t="shared" si="115"/>
        <v>4.2105584030226753E-2</v>
      </c>
      <c r="I238" s="437">
        <f t="shared" si="115"/>
        <v>4.3602087092327713E-2</v>
      </c>
      <c r="J238" s="437">
        <f t="shared" si="115"/>
        <v>4.5098590154428672E-2</v>
      </c>
      <c r="K238" s="437">
        <f t="shared" si="115"/>
        <v>4.6595093216529632E-2</v>
      </c>
      <c r="L238" s="437">
        <f t="shared" si="115"/>
        <v>4.8091596278630591E-2</v>
      </c>
      <c r="M238" s="439">
        <v>0.1111111111111111</v>
      </c>
      <c r="N238" s="440">
        <f t="shared" si="116"/>
        <v>1.496503062100958E-3</v>
      </c>
      <c r="O238" s="320"/>
      <c r="P238" s="320"/>
      <c r="Q238" s="320"/>
      <c r="R238" s="320"/>
      <c r="S238" s="320"/>
      <c r="T238" s="320"/>
    </row>
    <row r="239" spans="1:20">
      <c r="A239" s="454" t="s">
        <v>2245</v>
      </c>
      <c r="B239" s="431">
        <v>6.9624078327088119E-3</v>
      </c>
      <c r="C239" s="431">
        <v>4.731460075623823E-3</v>
      </c>
      <c r="D239" s="437">
        <f t="shared" si="113"/>
        <v>4.2533493327301065E-3</v>
      </c>
      <c r="E239" s="437">
        <f t="shared" si="115"/>
        <v>3.7752385898363904E-3</v>
      </c>
      <c r="F239" s="437">
        <f t="shared" si="115"/>
        <v>3.2971278469426744E-3</v>
      </c>
      <c r="G239" s="437">
        <f t="shared" si="115"/>
        <v>2.8190171040489583E-3</v>
      </c>
      <c r="H239" s="437">
        <f t="shared" si="115"/>
        <v>2.3409063611552422E-3</v>
      </c>
      <c r="I239" s="437">
        <f t="shared" si="115"/>
        <v>1.8627956182615262E-3</v>
      </c>
      <c r="J239" s="437">
        <f t="shared" si="115"/>
        <v>1.3846848753678101E-3</v>
      </c>
      <c r="K239" s="437">
        <f t="shared" si="115"/>
        <v>9.0657413247409392E-4</v>
      </c>
      <c r="L239" s="437">
        <f t="shared" si="115"/>
        <v>4.2846338958037774E-4</v>
      </c>
      <c r="M239" s="439">
        <v>0.2</v>
      </c>
      <c r="N239" s="440">
        <f t="shared" si="116"/>
        <v>-4.7811074289371618E-4</v>
      </c>
      <c r="O239" s="320"/>
      <c r="P239" s="320"/>
      <c r="Q239" s="320"/>
      <c r="R239" s="320"/>
      <c r="S239" s="320"/>
      <c r="T239" s="320"/>
    </row>
    <row r="240" spans="1:20">
      <c r="A240" s="454" t="s">
        <v>2365</v>
      </c>
      <c r="B240" s="431">
        <v>4.9126556267375804E-2</v>
      </c>
      <c r="C240" s="431">
        <v>4.4512981950123438E-2</v>
      </c>
      <c r="D240" s="437">
        <f t="shared" ref="D240:L256" si="117">C240+$N240</f>
        <v>3.7922130666039028E-2</v>
      </c>
      <c r="E240" s="437">
        <f t="shared" si="117"/>
        <v>3.1331279381954617E-2</v>
      </c>
      <c r="F240" s="437">
        <f t="shared" si="117"/>
        <v>2.4740428097870207E-2</v>
      </c>
      <c r="G240" s="437">
        <f t="shared" si="117"/>
        <v>1.8149576813785796E-2</v>
      </c>
      <c r="H240" s="437">
        <f t="shared" si="117"/>
        <v>1.1558725529701384E-2</v>
      </c>
      <c r="I240" s="437">
        <f t="shared" si="117"/>
        <v>4.9678742456169718E-3</v>
      </c>
      <c r="J240" s="437">
        <f t="shared" si="117"/>
        <v>-1.6229770384674404E-3</v>
      </c>
      <c r="K240" s="437">
        <f t="shared" si="117"/>
        <v>-8.2138283225518527E-3</v>
      </c>
      <c r="L240" s="437">
        <f t="shared" si="117"/>
        <v>-1.4804679606636265E-2</v>
      </c>
      <c r="M240" s="439">
        <v>1</v>
      </c>
      <c r="N240" s="440">
        <f t="shared" si="116"/>
        <v>-6.5908512840844122E-3</v>
      </c>
      <c r="O240" s="320"/>
      <c r="P240" s="320"/>
      <c r="Q240" s="320"/>
      <c r="R240" s="320"/>
      <c r="S240" s="320"/>
      <c r="T240" s="320"/>
    </row>
    <row r="241" spans="1:20">
      <c r="A241" s="320" t="s">
        <v>2366</v>
      </c>
      <c r="B241" s="431">
        <v>2.7583706031669285E-2</v>
      </c>
      <c r="C241" s="431">
        <v>2.7314998445870778E-2</v>
      </c>
      <c r="D241" s="437">
        <f t="shared" si="117"/>
        <v>2.7371842809468024E-2</v>
      </c>
      <c r="E241" s="437">
        <f t="shared" si="117"/>
        <v>2.7428687173065271E-2</v>
      </c>
      <c r="F241" s="437">
        <f t="shared" si="117"/>
        <v>2.7485531536662517E-2</v>
      </c>
      <c r="G241" s="437">
        <f t="shared" si="117"/>
        <v>2.7542375900259763E-2</v>
      </c>
      <c r="H241" s="437">
        <f t="shared" si="117"/>
        <v>2.759922026385701E-2</v>
      </c>
      <c r="I241" s="437">
        <f t="shared" si="117"/>
        <v>2.7656064627454256E-2</v>
      </c>
      <c r="J241" s="437">
        <f t="shared" si="117"/>
        <v>2.7712908991051503E-2</v>
      </c>
      <c r="K241" s="437">
        <f t="shared" si="117"/>
        <v>2.7769753354648749E-2</v>
      </c>
      <c r="L241" s="437">
        <f t="shared" si="117"/>
        <v>2.7826597718245995E-2</v>
      </c>
      <c r="M241" s="439">
        <v>0.1111111111111111</v>
      </c>
      <c r="N241" s="440">
        <f t="shared" si="116"/>
        <v>5.6844363597246468E-5</v>
      </c>
      <c r="O241" s="320"/>
      <c r="P241" s="320"/>
      <c r="Q241" s="320"/>
      <c r="R241" s="320"/>
      <c r="S241" s="320"/>
      <c r="T241" s="320"/>
    </row>
    <row r="242" spans="1:20">
      <c r="A242" s="320" t="s">
        <v>2368</v>
      </c>
      <c r="B242" s="431">
        <v>7.1906200894476004E-3</v>
      </c>
      <c r="C242" s="431">
        <v>6.5901358319405473E-3</v>
      </c>
      <c r="D242" s="437">
        <f t="shared" si="117"/>
        <v>6.5701594960562654E-3</v>
      </c>
      <c r="E242" s="437">
        <f t="shared" si="117"/>
        <v>6.5501831601719835E-3</v>
      </c>
      <c r="F242" s="437">
        <f t="shared" si="117"/>
        <v>6.5302068242877017E-3</v>
      </c>
      <c r="G242" s="437">
        <f t="shared" si="117"/>
        <v>6.5102304884034198E-3</v>
      </c>
      <c r="H242" s="437">
        <f t="shared" si="117"/>
        <v>6.4902541525191379E-3</v>
      </c>
      <c r="I242" s="437">
        <f t="shared" si="117"/>
        <v>6.4702778166348561E-3</v>
      </c>
      <c r="J242" s="437">
        <f t="shared" si="117"/>
        <v>6.4503014807505742E-3</v>
      </c>
      <c r="K242" s="437">
        <f t="shared" si="117"/>
        <v>6.4303251448662923E-3</v>
      </c>
      <c r="L242" s="437">
        <f t="shared" si="117"/>
        <v>6.4103488089820105E-3</v>
      </c>
      <c r="M242" s="439">
        <v>1</v>
      </c>
      <c r="N242" s="440">
        <f t="shared" si="116"/>
        <v>-1.9976335884281522E-5</v>
      </c>
      <c r="O242" s="320"/>
      <c r="P242" s="320"/>
      <c r="Q242" s="320"/>
      <c r="R242" s="320"/>
      <c r="S242" s="320"/>
      <c r="T242" s="320"/>
    </row>
    <row r="243" spans="1:20">
      <c r="A243" s="320" t="s">
        <v>2369</v>
      </c>
      <c r="B243" s="431">
        <v>7.4957089326725498E-2</v>
      </c>
      <c r="C243" s="431">
        <v>6.200923267878504E-2</v>
      </c>
      <c r="D243" s="437">
        <f t="shared" si="117"/>
        <v>5.9502275025422692E-2</v>
      </c>
      <c r="E243" s="437">
        <f t="shared" si="117"/>
        <v>5.6995317372060345E-2</v>
      </c>
      <c r="F243" s="437">
        <f t="shared" si="117"/>
        <v>5.4488359718697997E-2</v>
      </c>
      <c r="G243" s="437">
        <f t="shared" si="117"/>
        <v>5.198140206533565E-2</v>
      </c>
      <c r="H243" s="437">
        <f t="shared" si="117"/>
        <v>4.9474444411973302E-2</v>
      </c>
      <c r="I243" s="437">
        <f t="shared" si="117"/>
        <v>4.6967486758610955E-2</v>
      </c>
      <c r="J243" s="437">
        <f t="shared" si="117"/>
        <v>4.4460529105248607E-2</v>
      </c>
      <c r="K243" s="437">
        <f t="shared" si="117"/>
        <v>4.195357145188626E-2</v>
      </c>
      <c r="L243" s="437">
        <f t="shared" si="117"/>
        <v>3.9446613798523912E-2</v>
      </c>
      <c r="M243" s="439">
        <v>1</v>
      </c>
      <c r="N243" s="440">
        <f t="shared" si="116"/>
        <v>-2.5069576533623462E-3</v>
      </c>
      <c r="O243" s="320"/>
      <c r="P243" s="320"/>
      <c r="Q243" s="320"/>
      <c r="R243" s="320"/>
      <c r="S243" s="320"/>
      <c r="T243" s="320"/>
    </row>
    <row r="244" spans="1:20">
      <c r="A244" s="320" t="s">
        <v>2370</v>
      </c>
      <c r="B244" s="431">
        <v>0</v>
      </c>
      <c r="C244" s="431">
        <v>1.0046895980090401E-4</v>
      </c>
      <c r="D244" s="437">
        <f t="shared" si="117"/>
        <v>1.5554857935810319E-4</v>
      </c>
      <c r="E244" s="437">
        <f t="shared" si="117"/>
        <v>2.1062819891530239E-4</v>
      </c>
      <c r="F244" s="437">
        <f t="shared" si="117"/>
        <v>2.6570781847250159E-4</v>
      </c>
      <c r="G244" s="437">
        <f t="shared" si="117"/>
        <v>3.2078743802970079E-4</v>
      </c>
      <c r="H244" s="437">
        <f t="shared" si="117"/>
        <v>3.7586705758689998E-4</v>
      </c>
      <c r="I244" s="437">
        <f t="shared" si="117"/>
        <v>4.3094667714409918E-4</v>
      </c>
      <c r="J244" s="437">
        <f t="shared" si="117"/>
        <v>4.8602629670129838E-4</v>
      </c>
      <c r="K244" s="437">
        <f t="shared" si="117"/>
        <v>5.4110591625849752E-4</v>
      </c>
      <c r="L244" s="437">
        <f t="shared" si="117"/>
        <v>5.9618553581569666E-4</v>
      </c>
      <c r="M244" s="439">
        <v>0.25</v>
      </c>
      <c r="N244" s="440">
        <f t="shared" si="116"/>
        <v>5.5079619557199197E-5</v>
      </c>
      <c r="O244" s="320"/>
      <c r="P244" s="320"/>
      <c r="Q244" s="320"/>
      <c r="R244" s="320"/>
      <c r="S244" s="320"/>
      <c r="T244" s="320"/>
    </row>
    <row r="245" spans="1:20">
      <c r="A245" s="320" t="s">
        <v>2373</v>
      </c>
      <c r="B245" s="431">
        <v>1.3412305088843226E-3</v>
      </c>
      <c r="C245" s="431">
        <v>1.1951620009649207E-3</v>
      </c>
      <c r="D245" s="437">
        <f t="shared" si="117"/>
        <v>1.1777704895856789E-3</v>
      </c>
      <c r="E245" s="437">
        <f t="shared" si="117"/>
        <v>1.1603789782064372E-3</v>
      </c>
      <c r="F245" s="437">
        <f t="shared" si="117"/>
        <v>1.1429874668271954E-3</v>
      </c>
      <c r="G245" s="437">
        <f t="shared" si="117"/>
        <v>1.1255959554479537E-3</v>
      </c>
      <c r="H245" s="437">
        <f t="shared" si="117"/>
        <v>1.1082044440687119E-3</v>
      </c>
      <c r="I245" s="437">
        <f t="shared" si="117"/>
        <v>1.0908129326894702E-3</v>
      </c>
      <c r="J245" s="437">
        <f t="shared" si="117"/>
        <v>1.0734214213102284E-3</v>
      </c>
      <c r="K245" s="437">
        <f t="shared" si="117"/>
        <v>1.0560299099309867E-3</v>
      </c>
      <c r="L245" s="437">
        <f t="shared" si="117"/>
        <v>1.0386383985517449E-3</v>
      </c>
      <c r="M245" s="439">
        <v>0.125</v>
      </c>
      <c r="N245" s="440">
        <f t="shared" si="116"/>
        <v>-1.7391511379241849E-5</v>
      </c>
      <c r="O245" s="320"/>
      <c r="P245" s="320"/>
      <c r="Q245" s="320"/>
      <c r="R245" s="320"/>
      <c r="S245" s="320"/>
      <c r="T245" s="320"/>
    </row>
    <row r="246" spans="1:20">
      <c r="A246" s="320" t="s">
        <v>2374</v>
      </c>
      <c r="B246" s="431">
        <v>6.8657077239211897E-4</v>
      </c>
      <c r="C246" s="431">
        <v>1.0046895980090401E-4</v>
      </c>
      <c r="D246" s="437">
        <f t="shared" si="117"/>
        <v>7.0938267885093154E-5</v>
      </c>
      <c r="E246" s="437">
        <f t="shared" si="117"/>
        <v>4.1407575969282297E-5</v>
      </c>
      <c r="F246" s="437">
        <f t="shared" si="117"/>
        <v>1.1876884053471443E-5</v>
      </c>
      <c r="G246" s="437">
        <f t="shared" si="117"/>
        <v>-1.7653807862339411E-5</v>
      </c>
      <c r="H246" s="437">
        <v>0</v>
      </c>
      <c r="I246" s="437">
        <v>0</v>
      </c>
      <c r="J246" s="437">
        <v>0</v>
      </c>
      <c r="K246" s="437">
        <v>0</v>
      </c>
      <c r="L246" s="437">
        <v>0</v>
      </c>
      <c r="M246" s="439">
        <v>0.1111111111111111</v>
      </c>
      <c r="N246" s="440">
        <f t="shared" si="116"/>
        <v>-2.9530691915810854E-5</v>
      </c>
      <c r="O246" s="320"/>
      <c r="P246" s="320"/>
      <c r="Q246" s="320"/>
      <c r="R246" s="320"/>
      <c r="S246" s="320"/>
      <c r="T246" s="320"/>
    </row>
    <row r="247" spans="1:20">
      <c r="A247" s="320" t="s">
        <v>2375</v>
      </c>
      <c r="B247" s="431">
        <v>1.7937870180103953E-3</v>
      </c>
      <c r="C247" s="431">
        <v>5.7664996719060532E-4</v>
      </c>
      <c r="D247" s="437">
        <f t="shared" si="117"/>
        <v>-1.3693058147375289E-4</v>
      </c>
      <c r="E247" s="437">
        <f t="shared" si="117"/>
        <v>-8.5051113013811109E-4</v>
      </c>
      <c r="F247" s="437">
        <f t="shared" si="117"/>
        <v>-1.5640916788024692E-3</v>
      </c>
      <c r="G247" s="437">
        <f t="shared" si="117"/>
        <v>-2.2776722274668272E-3</v>
      </c>
      <c r="H247" s="437">
        <f t="shared" si="117"/>
        <v>-2.9912527761311852E-3</v>
      </c>
      <c r="I247" s="437">
        <v>0</v>
      </c>
      <c r="J247" s="437">
        <v>0</v>
      </c>
      <c r="K247" s="437">
        <v>0</v>
      </c>
      <c r="L247" s="437">
        <v>0</v>
      </c>
      <c r="M247" s="439">
        <v>1</v>
      </c>
      <c r="N247" s="440">
        <f t="shared" si="116"/>
        <v>-7.135805486643582E-4</v>
      </c>
      <c r="O247" s="320"/>
      <c r="P247" s="320"/>
      <c r="Q247" s="320"/>
      <c r="R247" s="320"/>
      <c r="S247" s="320"/>
      <c r="T247" s="320"/>
    </row>
    <row r="248" spans="1:20">
      <c r="A248" s="429" t="s">
        <v>2376</v>
      </c>
      <c r="B248" s="431">
        <v>6.1365889036625165E-3</v>
      </c>
      <c r="C248" s="431">
        <v>5.4786979641430469E-3</v>
      </c>
      <c r="D248" s="437">
        <f t="shared" si="117"/>
        <v>5.5039997510017893E-3</v>
      </c>
      <c r="E248" s="437">
        <f t="shared" si="117"/>
        <v>5.5293015378605316E-3</v>
      </c>
      <c r="F248" s="437">
        <f t="shared" si="117"/>
        <v>5.554603324719274E-3</v>
      </c>
      <c r="G248" s="437">
        <f t="shared" si="117"/>
        <v>5.5799051115780164E-3</v>
      </c>
      <c r="H248" s="437">
        <f t="shared" si="117"/>
        <v>5.6052068984367587E-3</v>
      </c>
      <c r="I248" s="437">
        <f t="shared" si="117"/>
        <v>5.6305086852955011E-3</v>
      </c>
      <c r="J248" s="437">
        <f t="shared" si="117"/>
        <v>5.6558104721542435E-3</v>
      </c>
      <c r="K248" s="437">
        <f t="shared" si="117"/>
        <v>5.6811122590129859E-3</v>
      </c>
      <c r="L248" s="437">
        <f t="shared" si="117"/>
        <v>5.7064140458717282E-3</v>
      </c>
      <c r="M248" s="439">
        <v>0.16666666666666666</v>
      </c>
      <c r="N248" s="440">
        <f t="shared" si="116"/>
        <v>2.5301786858742599E-5</v>
      </c>
      <c r="O248" s="320"/>
      <c r="P248" s="320"/>
      <c r="Q248" s="320"/>
      <c r="R248" s="320"/>
      <c r="S248" s="320"/>
      <c r="T248" s="320"/>
    </row>
    <row r="249" spans="1:20">
      <c r="A249" s="320" t="s">
        <v>2377</v>
      </c>
      <c r="B249" s="431">
        <v>5.6153753172972316E-3</v>
      </c>
      <c r="C249" s="431">
        <v>4.4583100911651154E-3</v>
      </c>
      <c r="D249" s="437">
        <f t="shared" si="117"/>
        <v>4.2009276561150938E-3</v>
      </c>
      <c r="E249" s="437">
        <f t="shared" si="117"/>
        <v>3.9435452210650722E-3</v>
      </c>
      <c r="F249" s="437">
        <f t="shared" si="117"/>
        <v>3.6861627860150506E-3</v>
      </c>
      <c r="G249" s="437">
        <f t="shared" si="117"/>
        <v>3.4287803509650289E-3</v>
      </c>
      <c r="H249" s="437">
        <f t="shared" si="117"/>
        <v>3.1713979159150073E-3</v>
      </c>
      <c r="I249" s="437">
        <f t="shared" si="117"/>
        <v>2.9140154808649857E-3</v>
      </c>
      <c r="J249" s="437">
        <f t="shared" si="117"/>
        <v>2.6566330458149641E-3</v>
      </c>
      <c r="K249" s="437">
        <f t="shared" si="117"/>
        <v>2.3992506107649424E-3</v>
      </c>
      <c r="L249" s="437">
        <f t="shared" si="117"/>
        <v>2.1418681757149208E-3</v>
      </c>
      <c r="M249" s="439">
        <v>1</v>
      </c>
      <c r="N249" s="440">
        <f t="shared" si="116"/>
        <v>-2.5738243505002146E-4</v>
      </c>
      <c r="O249" s="320"/>
      <c r="P249" s="320"/>
      <c r="Q249" s="320"/>
      <c r="R249" s="320"/>
      <c r="S249" s="320"/>
      <c r="T249" s="320"/>
    </row>
    <row r="250" spans="1:20">
      <c r="A250" s="454" t="s">
        <v>2378</v>
      </c>
      <c r="B250" s="431">
        <v>2.2799951649945607E-2</v>
      </c>
      <c r="C250" s="431">
        <v>1.7419852457146327E-2</v>
      </c>
      <c r="D250" s="437">
        <f t="shared" si="117"/>
        <v>1.5086467778322985E-2</v>
      </c>
      <c r="E250" s="437">
        <f t="shared" si="117"/>
        <v>1.2753083099499643E-2</v>
      </c>
      <c r="F250" s="437">
        <f t="shared" si="117"/>
        <v>1.0419698420676301E-2</v>
      </c>
      <c r="G250" s="437">
        <f t="shared" si="117"/>
        <v>8.0863137418529588E-3</v>
      </c>
      <c r="H250" s="437">
        <f t="shared" si="117"/>
        <v>5.7529290630296175E-3</v>
      </c>
      <c r="I250" s="437">
        <f t="shared" si="117"/>
        <v>3.4195443842062762E-3</v>
      </c>
      <c r="J250" s="437">
        <f t="shared" si="117"/>
        <v>1.086159705382935E-3</v>
      </c>
      <c r="K250" s="437">
        <f t="shared" si="117"/>
        <v>-1.2472249734404063E-3</v>
      </c>
      <c r="L250" s="437">
        <f t="shared" si="117"/>
        <v>-3.5806096522637476E-3</v>
      </c>
      <c r="M250" s="439">
        <v>1</v>
      </c>
      <c r="N250" s="440">
        <f t="shared" si="116"/>
        <v>-2.3333846788233413E-3</v>
      </c>
      <c r="O250" s="320"/>
      <c r="P250" s="320"/>
      <c r="Q250" s="320"/>
      <c r="R250" s="320"/>
      <c r="S250" s="320"/>
      <c r="T250" s="320"/>
    </row>
    <row r="251" spans="1:20">
      <c r="A251" s="454" t="s">
        <v>2379</v>
      </c>
      <c r="B251" s="431">
        <v>5.3897739634957087E-2</v>
      </c>
      <c r="C251" s="431">
        <v>5.2576662525810579E-2</v>
      </c>
      <c r="D251" s="437">
        <f t="shared" si="117"/>
        <v>5.1104907211411303E-2</v>
      </c>
      <c r="E251" s="437">
        <f t="shared" si="117"/>
        <v>4.9633151897012028E-2</v>
      </c>
      <c r="F251" s="437">
        <f t="shared" si="117"/>
        <v>4.8161396582612752E-2</v>
      </c>
      <c r="G251" s="437">
        <f t="shared" si="117"/>
        <v>4.6689641268213476E-2</v>
      </c>
      <c r="H251" s="437">
        <f t="shared" si="117"/>
        <v>4.5217885953814201E-2</v>
      </c>
      <c r="I251" s="437">
        <f t="shared" si="117"/>
        <v>4.3746130639414925E-2</v>
      </c>
      <c r="J251" s="437">
        <f t="shared" si="117"/>
        <v>4.2274375325015649E-2</v>
      </c>
      <c r="K251" s="437">
        <f t="shared" si="117"/>
        <v>4.0802620010616374E-2</v>
      </c>
      <c r="L251" s="437">
        <f t="shared" si="117"/>
        <v>3.9330864696217098E-2</v>
      </c>
      <c r="M251" s="439">
        <v>1</v>
      </c>
      <c r="N251" s="440">
        <f t="shared" si="116"/>
        <v>-1.4717553143992756E-3</v>
      </c>
      <c r="O251" s="320"/>
      <c r="P251" s="320"/>
      <c r="Q251" s="320"/>
      <c r="R251" s="320"/>
      <c r="S251" s="320"/>
      <c r="T251" s="320"/>
    </row>
    <row r="252" spans="1:20">
      <c r="A252" s="429" t="s">
        <v>2381</v>
      </c>
      <c r="B252" s="431">
        <v>6.7855433337362506E-2</v>
      </c>
      <c r="C252" s="431">
        <v>5.6151683012059417E-2</v>
      </c>
      <c r="D252" s="437">
        <f t="shared" si="117"/>
        <v>5.1235119733079246E-2</v>
      </c>
      <c r="E252" s="437">
        <f t="shared" si="117"/>
        <v>4.6318556454099075E-2</v>
      </c>
      <c r="F252" s="437">
        <f t="shared" si="117"/>
        <v>4.1401993175118904E-2</v>
      </c>
      <c r="G252" s="437">
        <f t="shared" si="117"/>
        <v>3.6485429896138732E-2</v>
      </c>
      <c r="H252" s="437">
        <f t="shared" si="117"/>
        <v>3.1568866617158561E-2</v>
      </c>
      <c r="I252" s="437">
        <f t="shared" si="117"/>
        <v>2.6652303338178387E-2</v>
      </c>
      <c r="J252" s="437">
        <f t="shared" si="117"/>
        <v>2.1735740059198212E-2</v>
      </c>
      <c r="K252" s="437">
        <f t="shared" si="117"/>
        <v>1.6819176780218038E-2</v>
      </c>
      <c r="L252" s="437">
        <f t="shared" si="117"/>
        <v>1.1902613501237863E-2</v>
      </c>
      <c r="M252" s="439">
        <v>1</v>
      </c>
      <c r="N252" s="440">
        <f t="shared" si="116"/>
        <v>-4.9165632789801737E-3</v>
      </c>
      <c r="O252" s="320"/>
      <c r="P252" s="320"/>
      <c r="Q252" s="320"/>
      <c r="R252" s="320"/>
      <c r="S252" s="320"/>
      <c r="T252" s="320"/>
    </row>
    <row r="253" spans="1:20">
      <c r="A253" s="320" t="s">
        <v>2382</v>
      </c>
      <c r="B253" s="431">
        <v>5.7840203070228455E-2</v>
      </c>
      <c r="C253" s="431">
        <v>5.5400258916881821E-2</v>
      </c>
      <c r="D253" s="437">
        <f t="shared" si="117"/>
        <v>5.6376264714589341E-2</v>
      </c>
      <c r="E253" s="437">
        <f t="shared" si="117"/>
        <v>5.7352270512296862E-2</v>
      </c>
      <c r="F253" s="437">
        <f t="shared" si="117"/>
        <v>5.8328276310004382E-2</v>
      </c>
      <c r="G253" s="437">
        <f t="shared" si="117"/>
        <v>5.9304282107711902E-2</v>
      </c>
      <c r="H253" s="437">
        <f t="shared" si="117"/>
        <v>6.0280287905419422E-2</v>
      </c>
      <c r="I253" s="437">
        <f t="shared" si="117"/>
        <v>6.1256293703126942E-2</v>
      </c>
      <c r="J253" s="437">
        <f t="shared" si="117"/>
        <v>6.2232299500834462E-2</v>
      </c>
      <c r="K253" s="437">
        <f t="shared" si="117"/>
        <v>6.3208305298541975E-2</v>
      </c>
      <c r="L253" s="437">
        <f t="shared" si="117"/>
        <v>6.4184311096249488E-2</v>
      </c>
      <c r="M253" s="439">
        <v>1</v>
      </c>
      <c r="N253" s="440">
        <f t="shared" si="116"/>
        <v>9.760057977075187E-4</v>
      </c>
      <c r="O253" s="320"/>
      <c r="P253" s="320"/>
      <c r="Q253" s="320"/>
      <c r="R253" s="320"/>
      <c r="S253" s="320"/>
      <c r="T253" s="320"/>
    </row>
    <row r="254" spans="1:20">
      <c r="A254" s="320" t="s">
        <v>2383</v>
      </c>
      <c r="B254" s="431">
        <v>0</v>
      </c>
      <c r="C254" s="431">
        <v>1.1093447644683151E-4</v>
      </c>
      <c r="D254" s="437">
        <f t="shared" si="117"/>
        <v>2.2502797410102986E-4</v>
      </c>
      <c r="E254" s="437">
        <f t="shared" si="117"/>
        <v>3.3912147175522821E-4</v>
      </c>
      <c r="F254" s="437">
        <f t="shared" si="117"/>
        <v>4.5321496940942655E-4</v>
      </c>
      <c r="G254" s="437">
        <f t="shared" si="117"/>
        <v>5.6730846706362485E-4</v>
      </c>
      <c r="H254" s="437">
        <f t="shared" si="117"/>
        <v>6.8140196471782319E-4</v>
      </c>
      <c r="I254" s="437">
        <f t="shared" si="117"/>
        <v>7.9549546237202154E-4</v>
      </c>
      <c r="J254" s="437">
        <f t="shared" si="117"/>
        <v>9.0958896002621989E-4</v>
      </c>
      <c r="K254" s="437">
        <f t="shared" si="117"/>
        <v>1.0236824576804182E-3</v>
      </c>
      <c r="L254" s="437">
        <f t="shared" si="117"/>
        <v>1.1377759553346167E-3</v>
      </c>
      <c r="M254" s="439">
        <v>1</v>
      </c>
      <c r="N254" s="440">
        <f t="shared" si="116"/>
        <v>1.1409349765419835E-4</v>
      </c>
      <c r="O254" s="320"/>
      <c r="P254" s="320"/>
      <c r="Q254" s="320"/>
      <c r="R254" s="320"/>
      <c r="S254" s="320"/>
      <c r="T254" s="320"/>
    </row>
    <row r="255" spans="1:20">
      <c r="A255" s="320" t="s">
        <v>2384</v>
      </c>
      <c r="B255" s="431">
        <v>3.7664692372778919E-3</v>
      </c>
      <c r="C255" s="431">
        <v>2.2553188371973766E-3</v>
      </c>
      <c r="D255" s="437">
        <f t="shared" si="117"/>
        <v>2.1286723251210497E-3</v>
      </c>
      <c r="E255" s="437">
        <f t="shared" si="117"/>
        <v>2.0020258130447229E-3</v>
      </c>
      <c r="F255" s="437">
        <f t="shared" si="117"/>
        <v>1.8753793009683962E-3</v>
      </c>
      <c r="G255" s="437">
        <f t="shared" si="117"/>
        <v>1.7487327888920695E-3</v>
      </c>
      <c r="H255" s="437">
        <f t="shared" si="117"/>
        <v>1.6220862768157429E-3</v>
      </c>
      <c r="I255" s="437">
        <f t="shared" si="117"/>
        <v>1.4954397647394162E-3</v>
      </c>
      <c r="J255" s="437">
        <f t="shared" si="117"/>
        <v>1.3687932526630895E-3</v>
      </c>
      <c r="K255" s="437">
        <f t="shared" si="117"/>
        <v>1.2421467405867629E-3</v>
      </c>
      <c r="L255" s="437">
        <f t="shared" si="117"/>
        <v>1.1155002285104362E-3</v>
      </c>
      <c r="M255" s="439">
        <v>1</v>
      </c>
      <c r="N255" s="440">
        <f t="shared" si="116"/>
        <v>-1.2664651207632672E-4</v>
      </c>
      <c r="O255" s="320"/>
      <c r="P255" s="320"/>
      <c r="Q255" s="320"/>
      <c r="R255" s="320"/>
      <c r="S255" s="320"/>
      <c r="T255" s="320"/>
    </row>
    <row r="256" spans="1:20">
      <c r="A256" s="429" t="s">
        <v>2385</v>
      </c>
      <c r="B256" s="431">
        <v>1.9920222410250211E-3</v>
      </c>
      <c r="C256" s="431">
        <v>1.2883050991136754E-3</v>
      </c>
      <c r="D256" s="437">
        <f t="shared" si="117"/>
        <v>9.8622921408350974E-4</v>
      </c>
      <c r="E256" s="437">
        <f t="shared" si="117"/>
        <v>6.841533290533441E-4</v>
      </c>
      <c r="F256" s="437">
        <f t="shared" si="117"/>
        <v>3.8207744402317845E-4</v>
      </c>
      <c r="G256" s="437">
        <f t="shared" si="117"/>
        <v>8.0001558993012803E-5</v>
      </c>
      <c r="H256" s="437">
        <f t="shared" si="117"/>
        <v>-2.2207432603715284E-4</v>
      </c>
      <c r="I256" s="437">
        <f t="shared" si="117"/>
        <v>-5.2415021106731849E-4</v>
      </c>
      <c r="J256" s="437">
        <f t="shared" si="117"/>
        <v>-8.2622609609748414E-4</v>
      </c>
      <c r="K256" s="437">
        <f t="shared" si="117"/>
        <v>-1.1283019811276498E-3</v>
      </c>
      <c r="L256" s="437">
        <f t="shared" si="117"/>
        <v>-1.4303778661578154E-3</v>
      </c>
      <c r="M256" s="439">
        <v>1</v>
      </c>
      <c r="N256" s="440">
        <f t="shared" si="116"/>
        <v>-3.0207588503016565E-4</v>
      </c>
      <c r="O256" s="320"/>
      <c r="P256" s="320"/>
      <c r="Q256" s="320"/>
      <c r="R256" s="320"/>
      <c r="S256" s="320"/>
      <c r="T256" s="320"/>
    </row>
    <row r="257" spans="1:21">
      <c r="A257" s="392" t="s">
        <v>2036</v>
      </c>
      <c r="B257" s="415"/>
      <c r="C257" s="415"/>
      <c r="D257" s="541"/>
      <c r="E257" s="541"/>
      <c r="F257" s="541"/>
      <c r="G257" s="541"/>
      <c r="H257" s="541"/>
      <c r="I257" s="541"/>
      <c r="J257" s="541"/>
      <c r="K257" s="541"/>
      <c r="L257" s="541"/>
      <c r="M257" s="320"/>
      <c r="N257" s="320"/>
      <c r="O257" s="320"/>
      <c r="P257" s="320"/>
      <c r="Q257" s="320"/>
      <c r="R257" s="320"/>
      <c r="S257" s="320"/>
      <c r="T257" s="320"/>
    </row>
    <row r="258" spans="1:21">
      <c r="A258" s="320" t="s">
        <v>148</v>
      </c>
      <c r="B258" s="410">
        <v>85979</v>
      </c>
      <c r="C258" s="410">
        <v>140868</v>
      </c>
      <c r="D258" s="541">
        <f>D232*D230</f>
        <v>163513.04346796582</v>
      </c>
      <c r="E258" s="541">
        <f>E232*E230</f>
        <v>176800.94893049647</v>
      </c>
      <c r="F258" s="541">
        <f t="shared" ref="F258:L258" si="118">F232*F230</f>
        <v>195266.72323474483</v>
      </c>
      <c r="G258" s="541">
        <f t="shared" si="118"/>
        <v>210893.91319863428</v>
      </c>
      <c r="H258" s="541">
        <f t="shared" si="118"/>
        <v>228065.22029245322</v>
      </c>
      <c r="I258" s="541">
        <f t="shared" si="118"/>
        <v>244402.05634143238</v>
      </c>
      <c r="J258" s="541">
        <f t="shared" si="118"/>
        <v>261187.33415276895</v>
      </c>
      <c r="K258" s="541">
        <f t="shared" si="118"/>
        <v>277732.7879629581</v>
      </c>
      <c r="L258" s="541">
        <f t="shared" si="118"/>
        <v>294405.95533370529</v>
      </c>
      <c r="M258" s="320"/>
      <c r="N258" s="320"/>
      <c r="O258" s="320"/>
      <c r="P258" s="320"/>
      <c r="Q258" s="320"/>
      <c r="R258" s="320"/>
      <c r="S258" s="320"/>
      <c r="T258" s="320"/>
    </row>
    <row r="259" spans="1:21">
      <c r="A259" s="320"/>
      <c r="B259" s="415"/>
      <c r="C259" s="415"/>
      <c r="D259" s="541"/>
      <c r="E259" s="541"/>
      <c r="F259" s="541"/>
      <c r="G259" s="541"/>
      <c r="H259" s="541"/>
      <c r="I259" s="541"/>
      <c r="J259" s="541"/>
      <c r="K259" s="541"/>
      <c r="L259" s="541"/>
      <c r="M259" s="320"/>
      <c r="N259" s="320"/>
      <c r="O259" s="320"/>
      <c r="P259" s="320"/>
      <c r="Q259" s="320"/>
      <c r="R259" s="320"/>
      <c r="S259" s="320"/>
      <c r="T259" s="320"/>
    </row>
    <row r="260" spans="1:21" s="421" customFormat="1">
      <c r="A260" s="421" t="s">
        <v>2251</v>
      </c>
    </row>
    <row r="261" spans="1:21" s="400" customFormat="1" ht="46.5" customHeight="1">
      <c r="A261" s="527" t="s">
        <v>0</v>
      </c>
      <c r="B261" s="527" t="s">
        <v>2018</v>
      </c>
      <c r="C261" s="527" t="s">
        <v>2019</v>
      </c>
      <c r="D261" s="527" t="s">
        <v>2020</v>
      </c>
      <c r="E261" s="527" t="s">
        <v>2021</v>
      </c>
      <c r="F261" s="527" t="s">
        <v>2022</v>
      </c>
      <c r="G261" s="527" t="s">
        <v>1840</v>
      </c>
      <c r="H261" s="527" t="s">
        <v>2023</v>
      </c>
      <c r="I261" s="527" t="s">
        <v>2024</v>
      </c>
      <c r="J261" s="527" t="s">
        <v>2025</v>
      </c>
      <c r="K261" s="527" t="s">
        <v>2298</v>
      </c>
      <c r="L261" s="527" t="s">
        <v>2027</v>
      </c>
      <c r="M261" s="527" t="s">
        <v>2028</v>
      </c>
      <c r="N261" s="527" t="s">
        <v>2299</v>
      </c>
      <c r="O261" s="527" t="s">
        <v>2030</v>
      </c>
      <c r="P261" s="527" t="s">
        <v>2031</v>
      </c>
      <c r="Q261" s="527" t="s">
        <v>2032</v>
      </c>
      <c r="R261" s="527"/>
      <c r="S261" s="527"/>
      <c r="T261" s="527" t="s">
        <v>2035</v>
      </c>
      <c r="U261" s="527"/>
    </row>
    <row r="262" spans="1:21">
      <c r="A262" s="391" t="s">
        <v>15</v>
      </c>
      <c r="B262" s="392" t="s">
        <v>2251</v>
      </c>
      <c r="C262" s="392" t="s">
        <v>2252</v>
      </c>
      <c r="D262" s="442" t="s">
        <v>2353</v>
      </c>
      <c r="E262" s="442" t="s">
        <v>2340</v>
      </c>
      <c r="F262" s="464" t="s">
        <v>2060</v>
      </c>
      <c r="G262" s="414">
        <f>91980/0.727099</f>
        <v>126502.71833684271</v>
      </c>
      <c r="H262" s="392" t="s">
        <v>2389</v>
      </c>
      <c r="I262" s="413">
        <v>5562</v>
      </c>
      <c r="J262" s="413">
        <v>456</v>
      </c>
      <c r="K262" s="413">
        <v>18</v>
      </c>
      <c r="L262" s="430">
        <v>2.2581299987820228E-2</v>
      </c>
      <c r="M262" s="430">
        <v>2.1450949769025959E-3</v>
      </c>
      <c r="N262" s="430">
        <v>1.8473664764563405E-4</v>
      </c>
      <c r="O262" s="430">
        <v>-2.043620501091763E-2</v>
      </c>
      <c r="P262" s="430">
        <v>-1.9603583292569617E-3</v>
      </c>
      <c r="Q262" s="430">
        <v>-2.2396563340174595E-2</v>
      </c>
      <c r="R262" s="430"/>
      <c r="S262" s="430"/>
      <c r="T262" s="436">
        <f>Q262/2.5</f>
        <v>-8.9586253360698382E-3</v>
      </c>
    </row>
    <row r="263" spans="1:21">
      <c r="A263" s="441" t="s">
        <v>2267</v>
      </c>
      <c r="B263" s="320" t="s">
        <v>2268</v>
      </c>
      <c r="C263" s="320" t="s">
        <v>2198</v>
      </c>
      <c r="D263" s="533" t="s">
        <v>2353</v>
      </c>
      <c r="E263" s="533" t="s">
        <v>2340</v>
      </c>
      <c r="F263" s="395" t="s">
        <v>2043</v>
      </c>
      <c r="G263" s="415">
        <f>88175/0.727099</f>
        <v>121269.59327409333</v>
      </c>
      <c r="H263" s="320" t="s">
        <v>2390</v>
      </c>
      <c r="I263" s="410">
        <v>6239</v>
      </c>
      <c r="J263" s="410">
        <v>11069</v>
      </c>
      <c r="K263" s="410">
        <v>5305</v>
      </c>
      <c r="L263" s="431">
        <v>2.5329868864439123E-2</v>
      </c>
      <c r="M263" s="431">
        <v>5.2070298902050074E-2</v>
      </c>
      <c r="N263" s="431">
        <v>5.4445995320004929E-2</v>
      </c>
      <c r="O263" s="431">
        <v>2.6740430037610952E-2</v>
      </c>
      <c r="P263" s="431">
        <v>2.3756964179548548E-3</v>
      </c>
      <c r="Q263" s="431">
        <v>2.9116126455565806E-2</v>
      </c>
      <c r="R263" s="431"/>
      <c r="S263" s="431"/>
      <c r="T263" s="437">
        <f>Q263/2.5</f>
        <v>1.1646450582226322E-2</v>
      </c>
      <c r="U263" s="439"/>
    </row>
    <row r="264" spans="1:21">
      <c r="A264" s="441" t="s">
        <v>2267</v>
      </c>
      <c r="B264" s="320" t="s">
        <v>2391</v>
      </c>
      <c r="C264" s="320" t="s">
        <v>2198</v>
      </c>
      <c r="D264" s="533" t="s">
        <v>2353</v>
      </c>
      <c r="E264" s="533" t="s">
        <v>2340</v>
      </c>
      <c r="F264" s="395" t="s">
        <v>2060</v>
      </c>
      <c r="G264" s="415">
        <f>99995/0.727099</f>
        <v>137525.97651764064</v>
      </c>
      <c r="H264" s="320" t="s">
        <v>2276</v>
      </c>
      <c r="I264" s="410">
        <v>0</v>
      </c>
      <c r="J264" s="410">
        <v>1027</v>
      </c>
      <c r="K264" s="410">
        <v>3434</v>
      </c>
      <c r="L264" s="431">
        <v>0</v>
      </c>
      <c r="M264" s="431">
        <v>4.8311678536819428E-3</v>
      </c>
      <c r="N264" s="431">
        <v>3.524364711195041E-2</v>
      </c>
      <c r="O264" s="431">
        <v>4.8311678536819428E-3</v>
      </c>
      <c r="P264" s="431">
        <v>3.0412479258268468E-2</v>
      </c>
      <c r="Q264" s="431">
        <v>3.524364711195041E-2</v>
      </c>
      <c r="R264" s="431"/>
      <c r="S264" s="431"/>
      <c r="T264" s="437">
        <f t="shared" ref="T264:T270" si="119">Q264/2.5</f>
        <v>1.4097458844780164E-2</v>
      </c>
      <c r="U264" s="439"/>
    </row>
    <row r="265" spans="1:21">
      <c r="A265" s="320" t="s">
        <v>2323</v>
      </c>
      <c r="B265" s="320" t="s">
        <v>2392</v>
      </c>
      <c r="C265" s="320" t="s">
        <v>2198</v>
      </c>
      <c r="D265" s="533" t="s">
        <v>2353</v>
      </c>
      <c r="E265" s="533" t="s">
        <v>2340</v>
      </c>
      <c r="F265" s="395" t="s">
        <v>2043</v>
      </c>
      <c r="G265" s="415">
        <f>68191/0.727099</f>
        <v>93785.027898539251</v>
      </c>
      <c r="H265" s="320" t="s">
        <v>2393</v>
      </c>
      <c r="I265" s="410">
        <v>3648</v>
      </c>
      <c r="J265" s="410">
        <v>2865</v>
      </c>
      <c r="K265" s="410">
        <v>1641</v>
      </c>
      <c r="L265" s="431">
        <v>1.4810604522755877E-2</v>
      </c>
      <c r="M265" s="431">
        <v>1.3477405940407756E-2</v>
      </c>
      <c r="N265" s="431">
        <v>1.684182437702697E-2</v>
      </c>
      <c r="O265" s="431">
        <v>-1.3331985823481201E-3</v>
      </c>
      <c r="P265" s="431">
        <v>3.364418436619214E-3</v>
      </c>
      <c r="Q265" s="431">
        <v>2.0312198542710939E-3</v>
      </c>
      <c r="R265" s="431"/>
      <c r="S265" s="431"/>
      <c r="T265" s="437">
        <f t="shared" si="119"/>
        <v>8.1248794170843755E-4</v>
      </c>
      <c r="U265" s="439"/>
    </row>
    <row r="266" spans="1:21">
      <c r="A266" s="320" t="s">
        <v>2323</v>
      </c>
      <c r="B266" s="320" t="s">
        <v>2394</v>
      </c>
      <c r="C266" s="320" t="s">
        <v>2198</v>
      </c>
      <c r="D266" s="533" t="s">
        <v>2353</v>
      </c>
      <c r="E266" s="533" t="s">
        <v>2340</v>
      </c>
      <c r="F266" s="395" t="s">
        <v>2060</v>
      </c>
      <c r="G266" s="415">
        <f>81915/0.727099</f>
        <v>112660.03666625865</v>
      </c>
      <c r="H266" s="320" t="s">
        <v>2291</v>
      </c>
      <c r="I266" s="410">
        <v>0</v>
      </c>
      <c r="J266" s="410">
        <v>2764</v>
      </c>
      <c r="K266" s="410">
        <v>3515</v>
      </c>
      <c r="L266" s="431">
        <v>0</v>
      </c>
      <c r="M266" s="431">
        <v>1.3002286219646437E-2</v>
      </c>
      <c r="N266" s="431">
        <v>3.607496202635576E-2</v>
      </c>
      <c r="O266" s="431">
        <v>1.3002286219646437E-2</v>
      </c>
      <c r="P266" s="431">
        <v>2.3072675806709325E-2</v>
      </c>
      <c r="Q266" s="431">
        <v>3.607496202635576E-2</v>
      </c>
      <c r="R266" s="431"/>
      <c r="S266" s="431"/>
      <c r="T266" s="437">
        <f t="shared" si="119"/>
        <v>1.4429984810542303E-2</v>
      </c>
      <c r="U266" s="439"/>
    </row>
    <row r="267" spans="1:21">
      <c r="A267" s="320" t="s">
        <v>2395</v>
      </c>
      <c r="B267" s="320" t="s">
        <v>2396</v>
      </c>
      <c r="C267" s="320" t="s">
        <v>2275</v>
      </c>
      <c r="D267" s="533" t="s">
        <v>2353</v>
      </c>
      <c r="E267" s="533" t="s">
        <v>2340</v>
      </c>
      <c r="F267" s="395" t="s">
        <v>2043</v>
      </c>
      <c r="G267" s="415">
        <f>87565/0.727099</f>
        <v>120430.64286981552</v>
      </c>
      <c r="H267" s="320" t="s">
        <v>2390</v>
      </c>
      <c r="I267" s="410">
        <v>116</v>
      </c>
      <c r="J267" s="410">
        <v>115</v>
      </c>
      <c r="K267" s="410">
        <v>63</v>
      </c>
      <c r="L267" s="431">
        <v>4.7095124030693028E-4</v>
      </c>
      <c r="M267" s="431">
        <v>5.4097789987675113E-4</v>
      </c>
      <c r="N267" s="431">
        <v>6.4657826675971922E-4</v>
      </c>
      <c r="O267" s="431">
        <v>7.0026659569820849E-5</v>
      </c>
      <c r="P267" s="431">
        <v>1.0560036688296809E-4</v>
      </c>
      <c r="Q267" s="431">
        <v>1.7562702645278894E-4</v>
      </c>
      <c r="R267" s="431"/>
      <c r="S267" s="431"/>
      <c r="T267" s="437">
        <f t="shared" si="119"/>
        <v>7.0250810581115575E-5</v>
      </c>
      <c r="U267" s="439"/>
    </row>
    <row r="268" spans="1:21">
      <c r="A268" s="320" t="s">
        <v>2395</v>
      </c>
      <c r="B268" s="320" t="s">
        <v>2397</v>
      </c>
      <c r="C268" s="320" t="s">
        <v>2275</v>
      </c>
      <c r="D268" s="533" t="s">
        <v>2353</v>
      </c>
      <c r="E268" s="533" t="s">
        <v>2340</v>
      </c>
      <c r="F268" s="395" t="s">
        <v>2043</v>
      </c>
      <c r="G268" s="415">
        <f>64065/0.727099</f>
        <v>88110.42237714534</v>
      </c>
      <c r="H268" s="320" t="s">
        <v>2334</v>
      </c>
      <c r="I268" s="410">
        <v>1006</v>
      </c>
      <c r="J268" s="410">
        <v>1434</v>
      </c>
      <c r="K268" s="410">
        <v>553</v>
      </c>
      <c r="L268" s="431">
        <v>4.0842840323169986E-3</v>
      </c>
      <c r="M268" s="431">
        <v>6.7457592036805313E-3</v>
      </c>
      <c r="N268" s="431">
        <v>5.6755203415575356E-3</v>
      </c>
      <c r="O268" s="431">
        <v>2.6614751713635327E-3</v>
      </c>
      <c r="P268" s="431">
        <v>-1.0702388621229957E-3</v>
      </c>
      <c r="Q268" s="431">
        <v>1.591236309240537E-3</v>
      </c>
      <c r="R268" s="431"/>
      <c r="S268" s="431"/>
      <c r="T268" s="437">
        <f t="shared" si="119"/>
        <v>6.3649452369621479E-4</v>
      </c>
      <c r="U268" s="439"/>
    </row>
    <row r="269" spans="1:21">
      <c r="A269" s="320" t="s">
        <v>2273</v>
      </c>
      <c r="B269" s="320" t="s">
        <v>2274</v>
      </c>
      <c r="C269" s="320" t="s">
        <v>2275</v>
      </c>
      <c r="D269" s="533" t="s">
        <v>2353</v>
      </c>
      <c r="E269" s="533" t="s">
        <v>2340</v>
      </c>
      <c r="F269" s="395" t="s">
        <v>2060</v>
      </c>
      <c r="G269" s="415">
        <f>72905/0.727099</f>
        <v>100268.32659651573</v>
      </c>
      <c r="H269" s="320" t="s">
        <v>2398</v>
      </c>
      <c r="I269" s="410">
        <v>12332</v>
      </c>
      <c r="J269" s="410">
        <v>16250</v>
      </c>
      <c r="K269" s="410">
        <v>8991</v>
      </c>
      <c r="L269" s="431">
        <v>5.0066988754009174E-2</v>
      </c>
      <c r="M269" s="431">
        <v>7.6442529330410486E-2</v>
      </c>
      <c r="N269" s="431">
        <v>9.2275955498994214E-2</v>
      </c>
      <c r="O269" s="431">
        <v>2.6375540576401311E-2</v>
      </c>
      <c r="P269" s="431">
        <v>1.5833426168583728E-2</v>
      </c>
      <c r="Q269" s="431">
        <v>4.2208966744985039E-2</v>
      </c>
      <c r="R269" s="431"/>
      <c r="S269" s="431"/>
      <c r="T269" s="437">
        <f t="shared" si="119"/>
        <v>1.6883586697994016E-2</v>
      </c>
      <c r="U269" s="439"/>
    </row>
    <row r="270" spans="1:21">
      <c r="A270" s="320" t="s">
        <v>2261</v>
      </c>
      <c r="B270" s="320" t="s">
        <v>2262</v>
      </c>
      <c r="C270" s="320" t="s">
        <v>2198</v>
      </c>
      <c r="D270" s="533" t="s">
        <v>2353</v>
      </c>
      <c r="E270" s="533" t="s">
        <v>2340</v>
      </c>
      <c r="F270" s="395" t="s">
        <v>2043</v>
      </c>
      <c r="G270" s="415">
        <f>88002/0.727099</f>
        <v>121031.66143812603</v>
      </c>
      <c r="H270" s="320" t="s">
        <v>2390</v>
      </c>
      <c r="I270" s="410">
        <v>7486</v>
      </c>
      <c r="J270" s="410">
        <v>5873</v>
      </c>
      <c r="K270" s="410">
        <v>2275</v>
      </c>
      <c r="L270" s="431">
        <v>3.0392594697738622E-2</v>
      </c>
      <c r="M270" s="431">
        <v>2.7627506138923126E-2</v>
      </c>
      <c r="N270" s="431">
        <v>2.3348659632989859E-2</v>
      </c>
      <c r="O270" s="431">
        <v>-2.7650885588154962E-3</v>
      </c>
      <c r="P270" s="431">
        <v>-4.2788465059332668E-3</v>
      </c>
      <c r="Q270" s="431">
        <v>-7.0439350647487631E-3</v>
      </c>
      <c r="R270" s="431"/>
      <c r="S270" s="431"/>
      <c r="T270" s="437">
        <f t="shared" si="119"/>
        <v>-2.8175740258995054E-3</v>
      </c>
      <c r="U270" s="439"/>
    </row>
    <row r="271" spans="1:21">
      <c r="A271" s="320" t="s">
        <v>24</v>
      </c>
      <c r="B271" s="415"/>
      <c r="C271" s="415"/>
      <c r="D271" s="541"/>
      <c r="E271" s="541"/>
      <c r="F271" s="541"/>
      <c r="G271" s="541"/>
      <c r="H271" s="541"/>
      <c r="I271" s="541">
        <f>SUM(I262:I270)</f>
        <v>36389</v>
      </c>
      <c r="J271" s="541">
        <f t="shared" ref="J271:K271" si="120">SUM(J262:J270)</f>
        <v>41853</v>
      </c>
      <c r="K271" s="541">
        <f t="shared" si="120"/>
        <v>25795</v>
      </c>
      <c r="L271" s="437">
        <f>SUM(L262:L270)</f>
        <v>0.14773659209938694</v>
      </c>
      <c r="M271" s="437">
        <f t="shared" ref="M271:N271" si="121">SUM(M262:M270)</f>
        <v>0.1968830264655797</v>
      </c>
      <c r="N271" s="437">
        <f t="shared" si="121"/>
        <v>0.26473787922328501</v>
      </c>
      <c r="O271" s="437">
        <f>SUM(O262:O270)</f>
        <v>4.9146434366192746E-2</v>
      </c>
      <c r="P271" s="437">
        <f t="shared" ref="P271:Q271" si="122">SUM(P262:P270)</f>
        <v>6.7854852757705322E-2</v>
      </c>
      <c r="Q271" s="437">
        <f t="shared" si="122"/>
        <v>0.11700128712389807</v>
      </c>
      <c r="R271" s="437"/>
      <c r="S271" s="437"/>
      <c r="T271" s="320"/>
    </row>
    <row r="272" spans="1:21">
      <c r="A272" s="392" t="s">
        <v>2218</v>
      </c>
      <c r="B272" s="415"/>
      <c r="C272" s="415"/>
      <c r="D272" s="541"/>
      <c r="E272" s="541"/>
      <c r="F272" s="541"/>
      <c r="G272" s="541"/>
      <c r="H272" s="541"/>
      <c r="I272" s="541"/>
      <c r="J272" s="541"/>
      <c r="K272" s="541"/>
      <c r="L272" s="541"/>
      <c r="M272" s="320"/>
      <c r="N272" s="320"/>
      <c r="O272" s="320"/>
      <c r="P272" s="320"/>
      <c r="Q272" s="320"/>
      <c r="R272" s="320"/>
      <c r="S272" s="320"/>
      <c r="T272" s="320"/>
    </row>
    <row r="273" spans="1:20">
      <c r="A273" s="320" t="s">
        <v>2387</v>
      </c>
      <c r="B273" s="320">
        <v>2020</v>
      </c>
      <c r="C273" s="320">
        <v>2021</v>
      </c>
      <c r="D273" s="320" t="s">
        <v>14</v>
      </c>
      <c r="E273" s="320" t="s">
        <v>11</v>
      </c>
      <c r="F273" s="320" t="s">
        <v>12</v>
      </c>
      <c r="G273" s="320" t="s">
        <v>13</v>
      </c>
      <c r="H273" s="320" t="s">
        <v>2220</v>
      </c>
      <c r="I273" s="320" t="s">
        <v>2221</v>
      </c>
      <c r="J273" s="320" t="s">
        <v>2222</v>
      </c>
      <c r="K273" s="320" t="s">
        <v>2223</v>
      </c>
      <c r="L273" s="320" t="s">
        <v>2224</v>
      </c>
      <c r="M273" s="320" t="s">
        <v>2225</v>
      </c>
      <c r="N273" s="320" t="s">
        <v>2226</v>
      </c>
      <c r="O273" s="320"/>
      <c r="P273" s="320"/>
      <c r="Q273" s="320"/>
      <c r="R273" s="320"/>
      <c r="S273" s="320"/>
      <c r="T273" s="320"/>
    </row>
    <row r="274" spans="1:20">
      <c r="A274" s="320" t="s">
        <v>2227</v>
      </c>
      <c r="B274" s="539">
        <v>246310</v>
      </c>
      <c r="C274" s="539">
        <v>212578</v>
      </c>
      <c r="D274" s="443">
        <f>AVERAGE(B274:C274)</f>
        <v>229444</v>
      </c>
      <c r="E274" s="443">
        <f t="shared" ref="E274:L274" si="123">AVERAGE(C274:D274)</f>
        <v>221011</v>
      </c>
      <c r="F274" s="443">
        <f t="shared" si="123"/>
        <v>225227.5</v>
      </c>
      <c r="G274" s="443">
        <f t="shared" si="123"/>
        <v>223119.25</v>
      </c>
      <c r="H274" s="443">
        <f t="shared" si="123"/>
        <v>224173.375</v>
      </c>
      <c r="I274" s="443">
        <f t="shared" si="123"/>
        <v>223646.3125</v>
      </c>
      <c r="J274" s="443">
        <f t="shared" si="123"/>
        <v>223909.84375</v>
      </c>
      <c r="K274" s="443">
        <f t="shared" si="123"/>
        <v>223778.078125</v>
      </c>
      <c r="L274" s="443">
        <f t="shared" si="123"/>
        <v>223843.9609375</v>
      </c>
      <c r="M274" s="320"/>
      <c r="N274" s="320" t="s">
        <v>162</v>
      </c>
      <c r="O274" s="320"/>
      <c r="P274" s="320"/>
      <c r="Q274" s="320"/>
      <c r="R274" s="320"/>
      <c r="S274" s="320"/>
      <c r="T274" s="320"/>
    </row>
    <row r="275" spans="1:20">
      <c r="A275" s="392" t="s">
        <v>2228</v>
      </c>
      <c r="B275" s="415"/>
      <c r="C275" s="415"/>
      <c r="D275" s="541"/>
      <c r="E275" s="541"/>
      <c r="F275" s="541"/>
      <c r="G275" s="541"/>
      <c r="H275" s="541"/>
      <c r="I275" s="541"/>
      <c r="J275" s="541"/>
      <c r="K275" s="541"/>
      <c r="L275" s="541"/>
      <c r="M275" s="320"/>
      <c r="N275" s="320"/>
      <c r="O275" s="320"/>
      <c r="P275" s="320"/>
      <c r="Q275" s="320"/>
      <c r="R275" s="320"/>
      <c r="S275" s="320"/>
      <c r="T275" s="320"/>
    </row>
    <row r="276" spans="1:20" s="5" customFormat="1">
      <c r="A276" s="392" t="s">
        <v>2251</v>
      </c>
      <c r="B276" s="430">
        <v>2.2581299987820228E-2</v>
      </c>
      <c r="C276" s="430">
        <v>2.1450949769025959E-3</v>
      </c>
      <c r="D276" s="542">
        <f>C276+$N276</f>
        <v>-1.1016933377015108E-2</v>
      </c>
      <c r="E276" s="542">
        <f t="shared" ref="E276:L276" si="124">D276+$N276</f>
        <v>-2.4178961730932813E-2</v>
      </c>
      <c r="F276" s="542">
        <f t="shared" si="124"/>
        <v>-3.734099008485052E-2</v>
      </c>
      <c r="G276" s="542">
        <f t="shared" si="124"/>
        <v>-5.0503018438768227E-2</v>
      </c>
      <c r="H276" s="542">
        <f t="shared" si="124"/>
        <v>-6.3665046792685934E-2</v>
      </c>
      <c r="I276" s="542">
        <f t="shared" si="124"/>
        <v>-7.6827075146603641E-2</v>
      </c>
      <c r="J276" s="542">
        <f t="shared" si="124"/>
        <v>-8.9989103500521347E-2</v>
      </c>
      <c r="K276" s="542">
        <f t="shared" si="124"/>
        <v>-0.10315113185443905</v>
      </c>
      <c r="L276" s="542">
        <f t="shared" si="124"/>
        <v>-0.11631316020835676</v>
      </c>
      <c r="M276" s="434"/>
      <c r="N276" s="542">
        <f>-SUM(N277:N284)</f>
        <v>-1.3162028353917703E-2</v>
      </c>
      <c r="O276" s="434"/>
      <c r="P276" s="434"/>
      <c r="Q276" s="434"/>
      <c r="R276" s="434"/>
      <c r="S276" s="434"/>
      <c r="T276" s="434"/>
    </row>
    <row r="277" spans="1:20">
      <c r="A277" s="320" t="s">
        <v>2268</v>
      </c>
      <c r="B277" s="431">
        <v>2.5329868864439123E-2</v>
      </c>
      <c r="C277" s="431">
        <v>5.2070298902050074E-2</v>
      </c>
      <c r="D277" s="437">
        <f t="shared" ref="D277:L282" si="125">C277+$N277</f>
        <v>5.4011373999087793E-2</v>
      </c>
      <c r="E277" s="437">
        <f t="shared" si="125"/>
        <v>5.5952449096125512E-2</v>
      </c>
      <c r="F277" s="437">
        <f t="shared" si="125"/>
        <v>5.789352419316323E-2</v>
      </c>
      <c r="G277" s="437">
        <f t="shared" si="125"/>
        <v>5.9834599290200949E-2</v>
      </c>
      <c r="H277" s="437">
        <f t="shared" si="125"/>
        <v>6.1775674387238667E-2</v>
      </c>
      <c r="I277" s="437">
        <f t="shared" si="125"/>
        <v>6.3716749484276386E-2</v>
      </c>
      <c r="J277" s="437">
        <f t="shared" si="125"/>
        <v>6.5657824581314111E-2</v>
      </c>
      <c r="K277" s="437">
        <f t="shared" si="125"/>
        <v>6.7598899678351837E-2</v>
      </c>
      <c r="L277" s="437">
        <f t="shared" si="125"/>
        <v>6.9539974775389563E-2</v>
      </c>
      <c r="M277" s="439">
        <v>0.16666666666666666</v>
      </c>
      <c r="N277" s="440">
        <f t="shared" ref="N277:N284" si="126">M277*T263</f>
        <v>1.9410750970377203E-3</v>
      </c>
      <c r="O277" s="320"/>
      <c r="P277" s="320"/>
      <c r="Q277" s="320"/>
      <c r="R277" s="320"/>
      <c r="S277" s="320"/>
      <c r="T277" s="320"/>
    </row>
    <row r="278" spans="1:20">
      <c r="A278" s="320" t="s">
        <v>2391</v>
      </c>
      <c r="B278" s="431">
        <v>0</v>
      </c>
      <c r="C278" s="431">
        <v>4.8311678536819428E-3</v>
      </c>
      <c r="D278" s="437">
        <f t="shared" si="125"/>
        <v>7.1807443278119696E-3</v>
      </c>
      <c r="E278" s="437">
        <f t="shared" si="125"/>
        <v>9.5303208019419973E-3</v>
      </c>
      <c r="F278" s="437">
        <f t="shared" si="125"/>
        <v>1.1879897276072025E-2</v>
      </c>
      <c r="G278" s="437">
        <f t="shared" si="125"/>
        <v>1.4229473750202053E-2</v>
      </c>
      <c r="H278" s="437">
        <f t="shared" si="125"/>
        <v>1.6579050224332079E-2</v>
      </c>
      <c r="I278" s="437">
        <f t="shared" si="125"/>
        <v>1.8928626698462105E-2</v>
      </c>
      <c r="J278" s="437">
        <f t="shared" si="125"/>
        <v>2.1278203172592131E-2</v>
      </c>
      <c r="K278" s="437">
        <f t="shared" si="125"/>
        <v>2.3627779646722157E-2</v>
      </c>
      <c r="L278" s="437">
        <f t="shared" si="125"/>
        <v>2.5977356120852182E-2</v>
      </c>
      <c r="M278" s="439">
        <v>0.16666666666666666</v>
      </c>
      <c r="N278" s="440">
        <f t="shared" si="126"/>
        <v>2.3495764741300273E-3</v>
      </c>
      <c r="O278" s="320"/>
      <c r="P278" s="320"/>
      <c r="Q278" s="320"/>
      <c r="R278" s="320"/>
      <c r="S278" s="320"/>
      <c r="T278" s="320"/>
    </row>
    <row r="279" spans="1:20">
      <c r="A279" s="320" t="s">
        <v>2392</v>
      </c>
      <c r="B279" s="431">
        <v>1.4810604522755877E-2</v>
      </c>
      <c r="C279" s="431">
        <v>1.3477405940407756E-2</v>
      </c>
      <c r="D279" s="437">
        <f t="shared" si="125"/>
        <v>1.3612820597359163E-2</v>
      </c>
      <c r="E279" s="437">
        <f t="shared" si="125"/>
        <v>1.374823525431057E-2</v>
      </c>
      <c r="F279" s="437">
        <f t="shared" si="125"/>
        <v>1.3883649911261977E-2</v>
      </c>
      <c r="G279" s="437">
        <f t="shared" si="125"/>
        <v>1.4019064568213384E-2</v>
      </c>
      <c r="H279" s="437">
        <f t="shared" si="125"/>
        <v>1.4154479225164791E-2</v>
      </c>
      <c r="I279" s="437">
        <f t="shared" si="125"/>
        <v>1.4289893882116197E-2</v>
      </c>
      <c r="J279" s="437">
        <f t="shared" si="125"/>
        <v>1.4425308539067604E-2</v>
      </c>
      <c r="K279" s="437">
        <f t="shared" si="125"/>
        <v>1.4560723196019011E-2</v>
      </c>
      <c r="L279" s="437">
        <f t="shared" si="125"/>
        <v>1.4696137852970418E-2</v>
      </c>
      <c r="M279" s="439">
        <v>0.16666666666666666</v>
      </c>
      <c r="N279" s="440">
        <f t="shared" si="126"/>
        <v>1.3541465695140624E-4</v>
      </c>
      <c r="O279" s="320"/>
      <c r="P279" s="320"/>
      <c r="Q279" s="320"/>
      <c r="R279" s="320"/>
      <c r="S279" s="320"/>
      <c r="T279" s="320"/>
    </row>
    <row r="280" spans="1:20">
      <c r="A280" s="320" t="s">
        <v>2394</v>
      </c>
      <c r="B280" s="431">
        <v>0</v>
      </c>
      <c r="C280" s="431">
        <v>1.3002286219646437E-2</v>
      </c>
      <c r="D280" s="437">
        <f t="shared" si="125"/>
        <v>1.5407283688070154E-2</v>
      </c>
      <c r="E280" s="437">
        <f t="shared" si="125"/>
        <v>1.7812281156493873E-2</v>
      </c>
      <c r="F280" s="437">
        <f t="shared" si="125"/>
        <v>2.0217278624917588E-2</v>
      </c>
      <c r="G280" s="437">
        <f t="shared" si="125"/>
        <v>2.2622276093341304E-2</v>
      </c>
      <c r="H280" s="437">
        <f t="shared" si="125"/>
        <v>2.5027273561765019E-2</v>
      </c>
      <c r="I280" s="437">
        <f t="shared" si="125"/>
        <v>2.7432271030188735E-2</v>
      </c>
      <c r="J280" s="437">
        <f t="shared" si="125"/>
        <v>2.983726849861245E-2</v>
      </c>
      <c r="K280" s="437">
        <f t="shared" si="125"/>
        <v>3.2242265967036166E-2</v>
      </c>
      <c r="L280" s="437">
        <f t="shared" si="125"/>
        <v>3.4647263435459881E-2</v>
      </c>
      <c r="M280" s="439">
        <v>0.16666666666666666</v>
      </c>
      <c r="N280" s="440">
        <f t="shared" si="126"/>
        <v>2.4049974684237172E-3</v>
      </c>
      <c r="O280" s="320"/>
      <c r="P280" s="320"/>
      <c r="Q280" s="320"/>
      <c r="R280" s="320"/>
      <c r="S280" s="320"/>
      <c r="T280" s="320"/>
    </row>
    <row r="281" spans="1:20">
      <c r="A281" s="320" t="s">
        <v>2396</v>
      </c>
      <c r="B281" s="431">
        <v>4.7095124030693028E-4</v>
      </c>
      <c r="C281" s="431">
        <v>5.4097789987675113E-4</v>
      </c>
      <c r="D281" s="437">
        <f>C281+$N281</f>
        <v>6.112287104578667E-4</v>
      </c>
      <c r="E281" s="437">
        <f t="shared" si="125"/>
        <v>6.8147952103898228E-4</v>
      </c>
      <c r="F281" s="437">
        <f t="shared" si="125"/>
        <v>7.5173033162009785E-4</v>
      </c>
      <c r="G281" s="437">
        <f t="shared" si="125"/>
        <v>8.2198114220121343E-4</v>
      </c>
      <c r="H281" s="437">
        <f t="shared" si="125"/>
        <v>8.92231952782329E-4</v>
      </c>
      <c r="I281" s="437">
        <f t="shared" si="125"/>
        <v>9.6248276336344458E-4</v>
      </c>
      <c r="J281" s="437">
        <f t="shared" si="125"/>
        <v>1.0327335739445602E-3</v>
      </c>
      <c r="K281" s="437">
        <f t="shared" si="125"/>
        <v>1.1029843845256756E-3</v>
      </c>
      <c r="L281" s="437">
        <f t="shared" si="125"/>
        <v>1.1732351951067913E-3</v>
      </c>
      <c r="M281" s="439">
        <v>1</v>
      </c>
      <c r="N281" s="440">
        <f t="shared" si="126"/>
        <v>7.0250810581115575E-5</v>
      </c>
      <c r="O281" s="320"/>
      <c r="P281" s="320"/>
      <c r="Q281" s="320"/>
      <c r="R281" s="320"/>
      <c r="S281" s="320"/>
      <c r="T281" s="320"/>
    </row>
    <row r="282" spans="1:20">
      <c r="A282" s="320" t="s">
        <v>2397</v>
      </c>
      <c r="B282" s="431">
        <v>4.0842840323169986E-3</v>
      </c>
      <c r="C282" s="431">
        <v>6.7457592036805313E-3</v>
      </c>
      <c r="D282" s="437">
        <f>C282+$N282</f>
        <v>7.3822537273767457E-3</v>
      </c>
      <c r="E282" s="437">
        <f t="shared" si="125"/>
        <v>8.0187482510729602E-3</v>
      </c>
      <c r="F282" s="437">
        <f t="shared" si="125"/>
        <v>8.6552427747691747E-3</v>
      </c>
      <c r="G282" s="437">
        <f t="shared" si="125"/>
        <v>9.2917372984653891E-3</v>
      </c>
      <c r="H282" s="437">
        <f t="shared" si="125"/>
        <v>9.9282318221616036E-3</v>
      </c>
      <c r="I282" s="437">
        <f t="shared" si="125"/>
        <v>1.0564726345857818E-2</v>
      </c>
      <c r="J282" s="437">
        <f t="shared" si="125"/>
        <v>1.1201220869554033E-2</v>
      </c>
      <c r="K282" s="437">
        <f t="shared" si="125"/>
        <v>1.1837715393250247E-2</v>
      </c>
      <c r="L282" s="437">
        <f t="shared" si="125"/>
        <v>1.2474209916946461E-2</v>
      </c>
      <c r="M282" s="439">
        <v>1</v>
      </c>
      <c r="N282" s="440">
        <f t="shared" si="126"/>
        <v>6.3649452369621479E-4</v>
      </c>
      <c r="O282" s="320"/>
      <c r="P282" s="320"/>
      <c r="Q282" s="320"/>
      <c r="R282" s="320"/>
      <c r="S282" s="320"/>
      <c r="T282" s="320"/>
    </row>
    <row r="283" spans="1:20">
      <c r="A283" s="320" t="s">
        <v>2274</v>
      </c>
      <c r="B283" s="431">
        <v>5.0066988754009174E-2</v>
      </c>
      <c r="C283" s="431">
        <v>7.6442529330410486E-2</v>
      </c>
      <c r="D283" s="437">
        <f t="shared" ref="D283:L284" si="127">C283+$N283</f>
        <v>8.4884322679407487E-2</v>
      </c>
      <c r="E283" s="437">
        <f t="shared" si="127"/>
        <v>9.3326116028404488E-2</v>
      </c>
      <c r="F283" s="437">
        <f t="shared" si="127"/>
        <v>0.10176790937740149</v>
      </c>
      <c r="G283" s="437">
        <f t="shared" si="127"/>
        <v>0.11020970272639849</v>
      </c>
      <c r="H283" s="437">
        <f t="shared" si="127"/>
        <v>0.11865149607539549</v>
      </c>
      <c r="I283" s="437">
        <f t="shared" si="127"/>
        <v>0.12709328942439249</v>
      </c>
      <c r="J283" s="437">
        <f t="shared" si="127"/>
        <v>0.13553508277338949</v>
      </c>
      <c r="K283" s="437">
        <f t="shared" si="127"/>
        <v>0.14397687612238649</v>
      </c>
      <c r="L283" s="437">
        <f t="shared" si="127"/>
        <v>0.15241866947138349</v>
      </c>
      <c r="M283" s="439">
        <v>0.5</v>
      </c>
      <c r="N283" s="440">
        <f t="shared" si="126"/>
        <v>8.4417933489970079E-3</v>
      </c>
      <c r="O283" s="320"/>
      <c r="P283" s="320"/>
      <c r="Q283" s="320"/>
      <c r="R283" s="320"/>
      <c r="S283" s="320"/>
      <c r="T283" s="320"/>
    </row>
    <row r="284" spans="1:20">
      <c r="A284" s="320" t="s">
        <v>2262</v>
      </c>
      <c r="B284" s="431">
        <v>3.0392594697738622E-2</v>
      </c>
      <c r="C284" s="431">
        <v>2.7627506138923126E-2</v>
      </c>
      <c r="D284" s="437">
        <f t="shared" si="127"/>
        <v>2.4809932113023622E-2</v>
      </c>
      <c r="E284" s="437">
        <f t="shared" si="127"/>
        <v>2.1992358087124117E-2</v>
      </c>
      <c r="F284" s="437">
        <f t="shared" si="127"/>
        <v>1.9174784061224612E-2</v>
      </c>
      <c r="G284" s="437">
        <f t="shared" si="127"/>
        <v>1.6357210035325108E-2</v>
      </c>
      <c r="H284" s="437">
        <f t="shared" si="127"/>
        <v>1.3539636009425603E-2</v>
      </c>
      <c r="I284" s="437">
        <f t="shared" si="127"/>
        <v>1.0722061983526099E-2</v>
      </c>
      <c r="J284" s="437">
        <f t="shared" si="127"/>
        <v>7.9044879576265943E-3</v>
      </c>
      <c r="K284" s="437">
        <f t="shared" si="127"/>
        <v>5.0869139317270889E-3</v>
      </c>
      <c r="L284" s="437">
        <f t="shared" si="127"/>
        <v>2.2693399058275835E-3</v>
      </c>
      <c r="M284" s="439">
        <v>1</v>
      </c>
      <c r="N284" s="440">
        <f t="shared" si="126"/>
        <v>-2.8175740258995054E-3</v>
      </c>
      <c r="O284" s="320"/>
      <c r="P284" s="320"/>
      <c r="Q284" s="320"/>
      <c r="R284" s="320"/>
      <c r="S284" s="320"/>
      <c r="T284" s="320"/>
    </row>
    <row r="285" spans="1:20">
      <c r="A285" s="392" t="s">
        <v>2036</v>
      </c>
      <c r="B285" s="415"/>
      <c r="C285" s="415"/>
      <c r="D285" s="541"/>
      <c r="E285" s="541"/>
      <c r="F285" s="541"/>
      <c r="G285" s="541"/>
      <c r="H285" s="541"/>
      <c r="I285" s="541"/>
      <c r="J285" s="541"/>
      <c r="K285" s="541"/>
      <c r="L285" s="541"/>
      <c r="M285" s="320"/>
      <c r="N285" s="320"/>
      <c r="O285" s="320"/>
      <c r="P285" s="320"/>
      <c r="Q285" s="320"/>
      <c r="R285" s="320"/>
      <c r="S285" s="320"/>
      <c r="T285" s="320"/>
    </row>
    <row r="286" spans="1:20">
      <c r="A286" s="320" t="s">
        <v>2251</v>
      </c>
      <c r="B286" s="410">
        <v>5562</v>
      </c>
      <c r="C286" s="410">
        <v>456</v>
      </c>
      <c r="D286" s="543">
        <f>D274*0.21%</f>
        <v>481.83239999999995</v>
      </c>
      <c r="E286" s="543">
        <f t="shared" ref="E286:L286" si="128">E274*0.21%</f>
        <v>464.12309999999997</v>
      </c>
      <c r="F286" s="543">
        <f t="shared" si="128"/>
        <v>472.97774999999996</v>
      </c>
      <c r="G286" s="543">
        <f t="shared" si="128"/>
        <v>468.55042499999996</v>
      </c>
      <c r="H286" s="543">
        <f t="shared" si="128"/>
        <v>470.76408749999996</v>
      </c>
      <c r="I286" s="543">
        <f t="shared" si="128"/>
        <v>469.65725624999999</v>
      </c>
      <c r="J286" s="543">
        <f t="shared" si="128"/>
        <v>470.21067187499995</v>
      </c>
      <c r="K286" s="543">
        <f t="shared" si="128"/>
        <v>469.93396406249997</v>
      </c>
      <c r="L286" s="543">
        <f t="shared" si="128"/>
        <v>470.07231796874999</v>
      </c>
      <c r="M286" s="320"/>
      <c r="N286" s="320"/>
      <c r="O286" s="320"/>
      <c r="P286" s="320"/>
      <c r="Q286" s="320"/>
      <c r="R286" s="320"/>
      <c r="S286" s="320"/>
      <c r="T286" s="320"/>
    </row>
    <row r="287" spans="1:20">
      <c r="A287" s="320"/>
      <c r="B287" s="415"/>
      <c r="C287" s="415"/>
      <c r="D287" s="541"/>
      <c r="E287" s="541"/>
      <c r="F287" s="541"/>
      <c r="G287" s="541"/>
      <c r="H287" s="541"/>
      <c r="I287" s="541"/>
      <c r="J287" s="541"/>
      <c r="K287" s="541"/>
      <c r="L287" s="541"/>
      <c r="M287" s="320"/>
      <c r="N287" s="320"/>
      <c r="O287" s="320"/>
      <c r="P287" s="320"/>
      <c r="Q287" s="320"/>
      <c r="R287" s="320"/>
      <c r="S287" s="320"/>
      <c r="T287" s="320"/>
    </row>
    <row r="288" spans="1:20" s="421" customFormat="1">
      <c r="A288" s="421" t="s">
        <v>2281</v>
      </c>
    </row>
    <row r="289" spans="1:21" s="400" customFormat="1" ht="46.5" customHeight="1">
      <c r="A289" s="527" t="s">
        <v>0</v>
      </c>
      <c r="B289" s="527" t="s">
        <v>2018</v>
      </c>
      <c r="C289" s="527" t="s">
        <v>2019</v>
      </c>
      <c r="D289" s="527" t="s">
        <v>2020</v>
      </c>
      <c r="E289" s="527" t="s">
        <v>2021</v>
      </c>
      <c r="F289" s="527" t="s">
        <v>2022</v>
      </c>
      <c r="G289" s="527" t="s">
        <v>1840</v>
      </c>
      <c r="H289" s="527" t="s">
        <v>2023</v>
      </c>
      <c r="I289" s="527" t="s">
        <v>2024</v>
      </c>
      <c r="J289" s="527" t="s">
        <v>2025</v>
      </c>
      <c r="K289" s="527" t="s">
        <v>2298</v>
      </c>
      <c r="L289" s="527" t="s">
        <v>2027</v>
      </c>
      <c r="M289" s="527" t="s">
        <v>2028</v>
      </c>
      <c r="N289" s="527" t="s">
        <v>2299</v>
      </c>
      <c r="O289" s="527" t="s">
        <v>2030</v>
      </c>
      <c r="P289" s="527" t="s">
        <v>2031</v>
      </c>
      <c r="Q289" s="527" t="s">
        <v>2032</v>
      </c>
      <c r="R289" s="527"/>
      <c r="S289" s="527"/>
      <c r="T289" s="527" t="s">
        <v>2035</v>
      </c>
      <c r="U289" s="527"/>
    </row>
    <row r="290" spans="1:21">
      <c r="A290" s="391" t="s">
        <v>15</v>
      </c>
      <c r="B290" s="392" t="s">
        <v>2281</v>
      </c>
      <c r="C290" s="392" t="s">
        <v>2252</v>
      </c>
      <c r="D290" s="442" t="s">
        <v>2199</v>
      </c>
      <c r="E290" s="442" t="s">
        <v>2340</v>
      </c>
      <c r="F290" s="464" t="s">
        <v>2060</v>
      </c>
      <c r="G290" s="414">
        <f>98980/0.727099</f>
        <v>136130.01805806361</v>
      </c>
      <c r="H290" s="392" t="s">
        <v>2276</v>
      </c>
      <c r="I290" s="413">
        <v>6007</v>
      </c>
      <c r="J290" s="413">
        <v>496</v>
      </c>
      <c r="K290" s="413">
        <v>13</v>
      </c>
      <c r="L290" s="430">
        <v>1.8711588600477835E-2</v>
      </c>
      <c r="M290" s="430">
        <v>1.4580816231740908E-3</v>
      </c>
      <c r="N290" s="430">
        <v>7.6586819997407826E-5</v>
      </c>
      <c r="O290" s="430">
        <v>-1.7253506977303743E-2</v>
      </c>
      <c r="P290" s="430">
        <v>-1.381494803176683E-3</v>
      </c>
      <c r="Q290" s="430">
        <v>-1.8635001780480429E-2</v>
      </c>
      <c r="R290" s="430"/>
      <c r="S290" s="430"/>
      <c r="T290" s="436">
        <f>Q290/2.25</f>
        <v>-8.2822230135468564E-3</v>
      </c>
    </row>
    <row r="291" spans="1:21">
      <c r="A291" s="441" t="s">
        <v>2267</v>
      </c>
      <c r="B291" s="429" t="s">
        <v>2399</v>
      </c>
      <c r="C291" s="320" t="s">
        <v>2198</v>
      </c>
      <c r="D291" s="533" t="s">
        <v>2199</v>
      </c>
      <c r="E291" s="533" t="s">
        <v>2340</v>
      </c>
      <c r="F291" s="395" t="s">
        <v>2043</v>
      </c>
      <c r="G291" s="415">
        <f>101565/0.727099</f>
        <v>139685.24231225732</v>
      </c>
      <c r="H291" s="320" t="s">
        <v>2284</v>
      </c>
      <c r="I291" s="410">
        <v>6342</v>
      </c>
      <c r="J291" s="410">
        <v>7116</v>
      </c>
      <c r="K291" s="410">
        <v>4403</v>
      </c>
      <c r="L291" s="431">
        <v>1.9755101532250779E-2</v>
      </c>
      <c r="M291" s="431">
        <v>2.091876780344119E-2</v>
      </c>
      <c r="N291" s="431">
        <v>2.5939366803737436E-2</v>
      </c>
      <c r="O291" s="431">
        <v>1.1636662711904111E-3</v>
      </c>
      <c r="P291" s="431">
        <v>5.0205990002962463E-3</v>
      </c>
      <c r="Q291" s="431">
        <v>6.1842652714866574E-3</v>
      </c>
      <c r="R291" s="431"/>
      <c r="S291" s="431"/>
      <c r="T291" s="437">
        <f>Q291/2.25</f>
        <v>2.748562342882959E-3</v>
      </c>
      <c r="U291" s="439"/>
    </row>
    <row r="292" spans="1:21">
      <c r="A292" s="441" t="s">
        <v>2261</v>
      </c>
      <c r="B292" s="429" t="s">
        <v>2400</v>
      </c>
      <c r="C292" s="320" t="s">
        <v>2198</v>
      </c>
      <c r="D292" s="533" t="s">
        <v>2199</v>
      </c>
      <c r="E292" s="533" t="s">
        <v>2340</v>
      </c>
      <c r="F292" s="395" t="s">
        <v>2043</v>
      </c>
      <c r="G292" s="415">
        <f>72616/0.727099</f>
        <v>99870.856650882473</v>
      </c>
      <c r="H292" s="320" t="s">
        <v>2401</v>
      </c>
      <c r="I292" s="410">
        <v>5582</v>
      </c>
      <c r="J292" s="410">
        <v>4940</v>
      </c>
      <c r="K292" s="410">
        <v>2426</v>
      </c>
      <c r="L292" s="431">
        <v>1.7387728910915147E-2</v>
      </c>
      <c r="M292" s="431">
        <v>1.4522022617903243E-2</v>
      </c>
      <c r="N292" s="431">
        <v>1.4292278870285492E-2</v>
      </c>
      <c r="O292" s="431">
        <v>-2.8657062930119038E-3</v>
      </c>
      <c r="P292" s="431">
        <v>-2.297437476177517E-4</v>
      </c>
      <c r="Q292" s="431">
        <v>-3.0954500406296555E-3</v>
      </c>
      <c r="R292" s="431"/>
      <c r="S292" s="431"/>
      <c r="T292" s="437">
        <f t="shared" ref="T292:T296" si="129">Q292/2.25</f>
        <v>-1.3757555736131802E-3</v>
      </c>
      <c r="U292" s="439"/>
    </row>
    <row r="293" spans="1:21">
      <c r="A293" s="441" t="s">
        <v>2325</v>
      </c>
      <c r="B293" s="320" t="s">
        <v>2402</v>
      </c>
      <c r="C293" s="320" t="s">
        <v>2252</v>
      </c>
      <c r="D293" s="533" t="s">
        <v>2199</v>
      </c>
      <c r="E293" s="533" t="s">
        <v>2340</v>
      </c>
      <c r="F293" s="395" t="s">
        <v>2043</v>
      </c>
      <c r="G293" s="415">
        <f>80467/0.727099</f>
        <v>110668.56095249752</v>
      </c>
      <c r="H293" s="320" t="s">
        <v>2403</v>
      </c>
      <c r="I293" s="410">
        <v>7844</v>
      </c>
      <c r="J293" s="410">
        <v>7380</v>
      </c>
      <c r="K293" s="410">
        <v>2512</v>
      </c>
      <c r="L293" s="431">
        <v>2.4433777423364098E-2</v>
      </c>
      <c r="M293" s="431">
        <v>2.1694843506098366E-2</v>
      </c>
      <c r="N293" s="431">
        <v>1.4798930141037574E-2</v>
      </c>
      <c r="O293" s="431">
        <v>-2.7389339172657311E-3</v>
      </c>
      <c r="P293" s="431">
        <v>-6.8959133650607924E-3</v>
      </c>
      <c r="Q293" s="431">
        <v>-9.6348472823265235E-3</v>
      </c>
      <c r="R293" s="431"/>
      <c r="S293" s="431"/>
      <c r="T293" s="437">
        <f t="shared" si="129"/>
        <v>-4.2821543477006771E-3</v>
      </c>
      <c r="U293" s="439"/>
    </row>
    <row r="294" spans="1:21">
      <c r="A294" s="441" t="s">
        <v>2267</v>
      </c>
      <c r="B294" s="429" t="s">
        <v>2292</v>
      </c>
      <c r="C294" s="320" t="s">
        <v>2198</v>
      </c>
      <c r="D294" s="533" t="s">
        <v>2199</v>
      </c>
      <c r="E294" s="533" t="s">
        <v>2340</v>
      </c>
      <c r="F294" s="395" t="s">
        <v>2043</v>
      </c>
      <c r="G294" s="415">
        <f>81978/0.727099</f>
        <v>112746.68236374963</v>
      </c>
      <c r="H294" s="320" t="s">
        <v>2291</v>
      </c>
      <c r="I294" s="410">
        <v>4795</v>
      </c>
      <c r="J294" s="410">
        <v>4110</v>
      </c>
      <c r="K294" s="410">
        <v>1922</v>
      </c>
      <c r="L294" s="431">
        <v>1.4936252262242588E-2</v>
      </c>
      <c r="M294" s="431">
        <v>1.2082087643640148E-2</v>
      </c>
      <c r="N294" s="431">
        <v>1.1323066771924449E-2</v>
      </c>
      <c r="O294" s="431">
        <v>-2.8541646186024394E-3</v>
      </c>
      <c r="P294" s="431">
        <v>-7.5902087171569876E-4</v>
      </c>
      <c r="Q294" s="431">
        <v>-3.6131854903181382E-3</v>
      </c>
      <c r="R294" s="431"/>
      <c r="S294" s="431"/>
      <c r="T294" s="437">
        <f t="shared" si="129"/>
        <v>-1.6058602179191725E-3</v>
      </c>
      <c r="U294" s="439"/>
    </row>
    <row r="295" spans="1:21">
      <c r="A295" s="441" t="s">
        <v>2261</v>
      </c>
      <c r="B295" s="429" t="s">
        <v>2404</v>
      </c>
      <c r="C295" s="320" t="s">
        <v>2198</v>
      </c>
      <c r="D295" s="533" t="s">
        <v>2199</v>
      </c>
      <c r="E295" s="533" t="s">
        <v>2340</v>
      </c>
      <c r="F295" s="395" t="s">
        <v>2060</v>
      </c>
      <c r="G295" s="415">
        <f>69905/0.727099</f>
        <v>96142.34100170678</v>
      </c>
      <c r="H295" s="320" t="s">
        <v>2405</v>
      </c>
      <c r="I295" s="410">
        <v>0</v>
      </c>
      <c r="J295" s="410">
        <v>4131</v>
      </c>
      <c r="K295" s="410">
        <v>9612</v>
      </c>
      <c r="L295" s="431">
        <v>0</v>
      </c>
      <c r="M295" s="431">
        <v>1.2143820938169696E-2</v>
      </c>
      <c r="N295" s="431">
        <v>5.6627116447314156E-2</v>
      </c>
      <c r="O295" s="431">
        <v>1.2143820938169696E-2</v>
      </c>
      <c r="P295" s="431">
        <v>4.4483295509144462E-2</v>
      </c>
      <c r="Q295" s="431">
        <v>5.6627116447314156E-2</v>
      </c>
      <c r="R295" s="431"/>
      <c r="S295" s="431"/>
      <c r="T295" s="437">
        <f t="shared" si="129"/>
        <v>2.5167607309917402E-2</v>
      </c>
      <c r="U295" s="439"/>
    </row>
    <row r="296" spans="1:21">
      <c r="A296" s="441" t="s">
        <v>2273</v>
      </c>
      <c r="B296" s="429" t="s">
        <v>2294</v>
      </c>
      <c r="C296" s="320" t="s">
        <v>2252</v>
      </c>
      <c r="D296" s="533" t="s">
        <v>2199</v>
      </c>
      <c r="E296" s="533" t="s">
        <v>2340</v>
      </c>
      <c r="F296" s="395" t="s">
        <v>2043</v>
      </c>
      <c r="G296" s="415">
        <f>76250/0.727099</f>
        <v>104868.80053472772</v>
      </c>
      <c r="H296" s="320" t="s">
        <v>2406</v>
      </c>
      <c r="I296" s="410">
        <v>18330</v>
      </c>
      <c r="J296" s="410">
        <v>16310</v>
      </c>
      <c r="K296" s="410">
        <v>7855</v>
      </c>
      <c r="L296" s="431">
        <v>5.7097289669844967E-2</v>
      </c>
      <c r="M296" s="431">
        <v>4.7946192084615771E-2</v>
      </c>
      <c r="N296" s="431">
        <v>4.6276113159972196E-2</v>
      </c>
      <c r="O296" s="431">
        <v>-9.1510975852291954E-3</v>
      </c>
      <c r="P296" s="431">
        <v>-1.6700789246435754E-3</v>
      </c>
      <c r="Q296" s="431">
        <v>-1.0821176509872771E-2</v>
      </c>
      <c r="R296" s="431"/>
      <c r="S296" s="431"/>
      <c r="T296" s="437">
        <f t="shared" si="129"/>
        <v>-4.8094117821656755E-3</v>
      </c>
      <c r="U296" s="439"/>
    </row>
    <row r="297" spans="1:21">
      <c r="A297" s="320" t="s">
        <v>24</v>
      </c>
      <c r="B297" s="415"/>
      <c r="C297" s="415"/>
      <c r="D297" s="541"/>
      <c r="E297" s="541"/>
      <c r="F297" s="541"/>
      <c r="G297" s="541"/>
      <c r="H297" s="541"/>
      <c r="I297" s="541">
        <f>SUM(I290:I296)</f>
        <v>48900</v>
      </c>
      <c r="J297" s="541">
        <f>SUM(J290:J296)</f>
        <v>44483</v>
      </c>
      <c r="K297" s="541">
        <f>SUM(K290:K296)</f>
        <v>28743</v>
      </c>
      <c r="L297" s="437">
        <f>SUM(L290:L296)</f>
        <v>0.15232173839909541</v>
      </c>
      <c r="M297" s="437">
        <f t="shared" ref="M297:N297" si="130">SUM(M290:M296)</f>
        <v>0.1307658162170425</v>
      </c>
      <c r="N297" s="437">
        <f t="shared" si="130"/>
        <v>0.16933345901426872</v>
      </c>
      <c r="O297" s="437">
        <f>SUM(O290:O296)</f>
        <v>-2.1555922182052906E-2</v>
      </c>
      <c r="P297" s="437">
        <f t="shared" ref="P297:Q297" si="131">SUM(P290:P296)</f>
        <v>3.8567642797226208E-2</v>
      </c>
      <c r="Q297" s="437">
        <f t="shared" si="131"/>
        <v>1.7011720615173295E-2</v>
      </c>
      <c r="R297" s="437"/>
      <c r="S297" s="437"/>
      <c r="T297" s="320"/>
    </row>
    <row r="298" spans="1:21">
      <c r="A298" s="392" t="s">
        <v>2218</v>
      </c>
      <c r="B298" s="415"/>
      <c r="C298" s="415"/>
      <c r="D298" s="541"/>
      <c r="E298" s="541"/>
      <c r="F298" s="541"/>
      <c r="G298" s="541"/>
      <c r="H298" s="541"/>
      <c r="I298" s="541"/>
      <c r="J298" s="541"/>
      <c r="K298" s="541"/>
      <c r="L298" s="541"/>
      <c r="M298" s="320"/>
      <c r="N298" s="320"/>
      <c r="O298" s="320"/>
      <c r="P298" s="320"/>
      <c r="Q298" s="320"/>
      <c r="R298" s="320"/>
      <c r="S298" s="320"/>
      <c r="T298" s="320"/>
    </row>
    <row r="299" spans="1:21">
      <c r="A299" s="320" t="s">
        <v>2351</v>
      </c>
      <c r="B299" s="320">
        <v>2020</v>
      </c>
      <c r="C299" s="320">
        <v>2021</v>
      </c>
      <c r="D299" s="320" t="s">
        <v>14</v>
      </c>
      <c r="E299" s="320" t="s">
        <v>11</v>
      </c>
      <c r="F299" s="320" t="s">
        <v>12</v>
      </c>
      <c r="G299" s="320" t="s">
        <v>13</v>
      </c>
      <c r="H299" s="320" t="s">
        <v>2220</v>
      </c>
      <c r="I299" s="320" t="s">
        <v>2221</v>
      </c>
      <c r="J299" s="320" t="s">
        <v>2222</v>
      </c>
      <c r="K299" s="320" t="s">
        <v>2223</v>
      </c>
      <c r="L299" s="320" t="s">
        <v>2224</v>
      </c>
      <c r="M299" s="320" t="s">
        <v>2225</v>
      </c>
      <c r="N299" s="320" t="s">
        <v>2226</v>
      </c>
      <c r="O299" s="320"/>
      <c r="P299" s="320"/>
      <c r="Q299" s="320"/>
      <c r="R299" s="320"/>
      <c r="S299" s="320"/>
      <c r="T299" s="320"/>
    </row>
    <row r="300" spans="1:21">
      <c r="A300" s="320" t="s">
        <v>2227</v>
      </c>
      <c r="B300" s="539">
        <v>321031</v>
      </c>
      <c r="C300" s="539">
        <v>340173</v>
      </c>
      <c r="D300" s="443">
        <f t="shared" ref="D300:L300" si="132">AVERAGE(B300:C300)</f>
        <v>330602</v>
      </c>
      <c r="E300" s="443">
        <f t="shared" si="132"/>
        <v>335387.5</v>
      </c>
      <c r="F300" s="443">
        <f t="shared" si="132"/>
        <v>332994.75</v>
      </c>
      <c r="G300" s="443">
        <f t="shared" si="132"/>
        <v>334191.125</v>
      </c>
      <c r="H300" s="443">
        <f t="shared" si="132"/>
        <v>333592.9375</v>
      </c>
      <c r="I300" s="443">
        <f t="shared" si="132"/>
        <v>333892.03125</v>
      </c>
      <c r="J300" s="443">
        <f t="shared" si="132"/>
        <v>333742.484375</v>
      </c>
      <c r="K300" s="443">
        <f t="shared" si="132"/>
        <v>333817.2578125</v>
      </c>
      <c r="L300" s="443">
        <f t="shared" si="132"/>
        <v>333779.87109375</v>
      </c>
      <c r="M300" s="320"/>
      <c r="N300" s="320" t="s">
        <v>162</v>
      </c>
      <c r="O300" s="320"/>
      <c r="P300" s="320"/>
      <c r="Q300" s="320"/>
      <c r="R300" s="320"/>
      <c r="S300" s="320"/>
      <c r="T300" s="320"/>
    </row>
    <row r="301" spans="1:21">
      <c r="A301" s="392" t="s">
        <v>2228</v>
      </c>
      <c r="B301" s="415"/>
      <c r="C301" s="415"/>
      <c r="D301" s="541"/>
      <c r="E301" s="541"/>
      <c r="F301" s="541"/>
      <c r="G301" s="541"/>
      <c r="H301" s="541"/>
      <c r="I301" s="541"/>
      <c r="J301" s="541"/>
      <c r="K301" s="541"/>
      <c r="L301" s="541"/>
      <c r="M301" s="320"/>
      <c r="N301" s="320"/>
      <c r="O301" s="320"/>
      <c r="P301" s="320"/>
      <c r="Q301" s="320"/>
      <c r="R301" s="320"/>
      <c r="S301" s="320"/>
      <c r="T301" s="320"/>
    </row>
    <row r="302" spans="1:21" s="5" customFormat="1">
      <c r="A302" s="544" t="s">
        <v>2281</v>
      </c>
      <c r="B302" s="545">
        <v>1.8711588600477835E-2</v>
      </c>
      <c r="C302" s="545">
        <v>1.4580816231740908E-3</v>
      </c>
      <c r="D302" s="542">
        <f t="shared" ref="D302:L302" si="133">C302+$N302</f>
        <v>-1.7299137406981634E-3</v>
      </c>
      <c r="E302" s="542">
        <f t="shared" si="133"/>
        <v>-4.9179091045704181E-3</v>
      </c>
      <c r="F302" s="542">
        <f t="shared" si="133"/>
        <v>-8.1059044684426724E-3</v>
      </c>
      <c r="G302" s="542">
        <f t="shared" si="133"/>
        <v>-1.1293899832314927E-2</v>
      </c>
      <c r="H302" s="542">
        <f t="shared" si="133"/>
        <v>-1.4481895196187181E-2</v>
      </c>
      <c r="I302" s="542">
        <f t="shared" si="133"/>
        <v>-1.7669890560059437E-2</v>
      </c>
      <c r="J302" s="542">
        <f t="shared" si="133"/>
        <v>-2.0857885923931691E-2</v>
      </c>
      <c r="K302" s="542">
        <f t="shared" si="133"/>
        <v>-2.4045881287803945E-2</v>
      </c>
      <c r="L302" s="542">
        <f t="shared" si="133"/>
        <v>-2.72338766516762E-2</v>
      </c>
      <c r="M302" s="434"/>
      <c r="N302" s="542">
        <f>-SUM(N303:N308)</f>
        <v>-3.1879953638722543E-3</v>
      </c>
      <c r="O302" s="434"/>
      <c r="P302" s="434"/>
      <c r="Q302" s="434"/>
      <c r="R302" s="434"/>
      <c r="S302" s="434"/>
      <c r="T302" s="434"/>
    </row>
    <row r="303" spans="1:21">
      <c r="A303" s="429" t="s">
        <v>2399</v>
      </c>
      <c r="B303" s="431">
        <v>1.9755101532250779E-2</v>
      </c>
      <c r="C303" s="431">
        <v>2.091876780344119E-2</v>
      </c>
      <c r="D303" s="437">
        <f t="shared" ref="D303:L303" si="134">C303+$N303</f>
        <v>2.2567905209170964E-2</v>
      </c>
      <c r="E303" s="437">
        <f t="shared" si="134"/>
        <v>2.4217042614900739E-2</v>
      </c>
      <c r="F303" s="437">
        <f t="shared" si="134"/>
        <v>2.5866180020630514E-2</v>
      </c>
      <c r="G303" s="437">
        <f t="shared" si="134"/>
        <v>2.7515317426360288E-2</v>
      </c>
      <c r="H303" s="437">
        <f t="shared" si="134"/>
        <v>2.9164454832090063E-2</v>
      </c>
      <c r="I303" s="437">
        <f t="shared" si="134"/>
        <v>3.0813592237819837E-2</v>
      </c>
      <c r="J303" s="437">
        <f t="shared" si="134"/>
        <v>3.2462729643549612E-2</v>
      </c>
      <c r="K303" s="437">
        <f t="shared" si="134"/>
        <v>3.411186704927939E-2</v>
      </c>
      <c r="L303" s="437">
        <f t="shared" si="134"/>
        <v>3.5761004455009168E-2</v>
      </c>
      <c r="M303" s="439">
        <v>0.6</v>
      </c>
      <c r="N303" s="440">
        <f t="shared" ref="N303:N308" si="135">M303*T291</f>
        <v>1.6491374057297753E-3</v>
      </c>
      <c r="O303" s="320"/>
      <c r="P303" s="320"/>
      <c r="Q303" s="320"/>
      <c r="R303" s="320"/>
      <c r="S303" s="320"/>
      <c r="T303" s="320"/>
    </row>
    <row r="304" spans="1:21">
      <c r="A304" s="429" t="s">
        <v>2400</v>
      </c>
      <c r="B304" s="431">
        <v>1.7387728910915147E-2</v>
      </c>
      <c r="C304" s="431">
        <v>1.4522022617903243E-2</v>
      </c>
      <c r="D304" s="437">
        <f t="shared" ref="D304:L304" si="136">C304+$N304</f>
        <v>1.3834144831096653E-2</v>
      </c>
      <c r="E304" s="437">
        <f t="shared" si="136"/>
        <v>1.3146267044290063E-2</v>
      </c>
      <c r="F304" s="437">
        <f t="shared" si="136"/>
        <v>1.2458389257483472E-2</v>
      </c>
      <c r="G304" s="437">
        <f t="shared" si="136"/>
        <v>1.1770511470676882E-2</v>
      </c>
      <c r="H304" s="437">
        <f t="shared" si="136"/>
        <v>1.1082633683870292E-2</v>
      </c>
      <c r="I304" s="437">
        <f t="shared" si="136"/>
        <v>1.0394755897063701E-2</v>
      </c>
      <c r="J304" s="437">
        <f t="shared" si="136"/>
        <v>9.7068781102571111E-3</v>
      </c>
      <c r="K304" s="437">
        <f t="shared" si="136"/>
        <v>9.0190003234505208E-3</v>
      </c>
      <c r="L304" s="437">
        <f t="shared" si="136"/>
        <v>8.3311225366439305E-3</v>
      </c>
      <c r="M304" s="439">
        <v>0.5</v>
      </c>
      <c r="N304" s="440">
        <f t="shared" si="135"/>
        <v>-6.8787778680659008E-4</v>
      </c>
      <c r="O304" s="320"/>
      <c r="P304" s="320"/>
      <c r="Q304" s="320"/>
      <c r="R304" s="320"/>
      <c r="S304" s="320"/>
      <c r="T304" s="320"/>
    </row>
    <row r="305" spans="1:20">
      <c r="A305" s="320" t="s">
        <v>2402</v>
      </c>
      <c r="B305" s="431">
        <v>2.4433777423364098E-2</v>
      </c>
      <c r="C305" s="431">
        <v>2.1694843506098366E-2</v>
      </c>
      <c r="D305" s="437">
        <f t="shared" ref="D305:L305" si="137">C305+$N305</f>
        <v>2.0743253651053773E-2</v>
      </c>
      <c r="E305" s="437">
        <f t="shared" si="137"/>
        <v>1.979166379600918E-2</v>
      </c>
      <c r="F305" s="437">
        <f t="shared" si="137"/>
        <v>1.8840073940964586E-2</v>
      </c>
      <c r="G305" s="437">
        <f t="shared" si="137"/>
        <v>1.7888484085919993E-2</v>
      </c>
      <c r="H305" s="437">
        <f t="shared" si="137"/>
        <v>1.69368942308754E-2</v>
      </c>
      <c r="I305" s="437">
        <f t="shared" si="137"/>
        <v>1.5985304375830806E-2</v>
      </c>
      <c r="J305" s="437">
        <f t="shared" si="137"/>
        <v>1.5033714520786211E-2</v>
      </c>
      <c r="K305" s="437">
        <f t="shared" si="137"/>
        <v>1.4082124665741616E-2</v>
      </c>
      <c r="L305" s="437">
        <f t="shared" si="137"/>
        <v>1.3130534810697021E-2</v>
      </c>
      <c r="M305" s="439">
        <v>0.22222222222222221</v>
      </c>
      <c r="N305" s="440">
        <f t="shared" si="135"/>
        <v>-9.5158985504459489E-4</v>
      </c>
      <c r="O305" s="320"/>
      <c r="P305" s="320"/>
      <c r="Q305" s="320"/>
      <c r="R305" s="320"/>
      <c r="S305" s="320"/>
      <c r="T305" s="320"/>
    </row>
    <row r="306" spans="1:20">
      <c r="A306" s="429" t="s">
        <v>2292</v>
      </c>
      <c r="B306" s="431">
        <v>1.4936252262242588E-2</v>
      </c>
      <c r="C306" s="431">
        <v>1.2082087643640148E-2</v>
      </c>
      <c r="D306" s="437">
        <f t="shared" ref="D306:L306" si="138">C306+$N306</f>
        <v>1.1680622589160356E-2</v>
      </c>
      <c r="E306" s="437">
        <f t="shared" si="138"/>
        <v>1.1279157534680563E-2</v>
      </c>
      <c r="F306" s="437">
        <f t="shared" si="138"/>
        <v>1.0877692480200771E-2</v>
      </c>
      <c r="G306" s="437">
        <f t="shared" si="138"/>
        <v>1.0476227425720979E-2</v>
      </c>
      <c r="H306" s="437">
        <f t="shared" si="138"/>
        <v>1.0074762371241186E-2</v>
      </c>
      <c r="I306" s="437">
        <f t="shared" si="138"/>
        <v>9.673297316761394E-3</v>
      </c>
      <c r="J306" s="437">
        <f t="shared" si="138"/>
        <v>9.2718322622816016E-3</v>
      </c>
      <c r="K306" s="437">
        <f t="shared" si="138"/>
        <v>8.8703672078018093E-3</v>
      </c>
      <c r="L306" s="437">
        <f t="shared" si="138"/>
        <v>8.4689021533220169E-3</v>
      </c>
      <c r="M306" s="439">
        <v>0.25</v>
      </c>
      <c r="N306" s="440">
        <f t="shared" si="135"/>
        <v>-4.0146505447979312E-4</v>
      </c>
      <c r="O306" s="320"/>
      <c r="P306" s="320"/>
      <c r="Q306" s="320"/>
      <c r="R306" s="320"/>
      <c r="S306" s="320"/>
      <c r="T306" s="320"/>
    </row>
    <row r="307" spans="1:20">
      <c r="A307" s="429" t="s">
        <v>2404</v>
      </c>
      <c r="B307" s="431">
        <v>0</v>
      </c>
      <c r="C307" s="431">
        <v>1.2143820938169696E-2</v>
      </c>
      <c r="D307" s="437">
        <f t="shared" ref="D307:L308" si="139">C307+$N307</f>
        <v>2.0533023374808827E-2</v>
      </c>
      <c r="E307" s="437">
        <f t="shared" si="139"/>
        <v>2.892222581144796E-2</v>
      </c>
      <c r="F307" s="437">
        <f t="shared" si="139"/>
        <v>3.7311428248087093E-2</v>
      </c>
      <c r="G307" s="437">
        <f t="shared" si="139"/>
        <v>4.5700630684726226E-2</v>
      </c>
      <c r="H307" s="437">
        <f t="shared" si="139"/>
        <v>5.4089833121365359E-2</v>
      </c>
      <c r="I307" s="437">
        <f t="shared" si="139"/>
        <v>6.2479035558004492E-2</v>
      </c>
      <c r="J307" s="437">
        <f t="shared" si="139"/>
        <v>7.0868237994643618E-2</v>
      </c>
      <c r="K307" s="437">
        <f t="shared" si="139"/>
        <v>7.9257440431282744E-2</v>
      </c>
      <c r="L307" s="437">
        <f t="shared" si="139"/>
        <v>8.764664286792187E-2</v>
      </c>
      <c r="M307" s="439">
        <v>0.33333333333333331</v>
      </c>
      <c r="N307" s="440">
        <f t="shared" si="135"/>
        <v>8.389202436639133E-3</v>
      </c>
      <c r="O307" s="320"/>
      <c r="P307" s="320"/>
      <c r="Q307" s="320"/>
      <c r="R307" s="320"/>
      <c r="S307" s="320"/>
      <c r="T307" s="320"/>
    </row>
    <row r="308" spans="1:20">
      <c r="A308" s="429" t="s">
        <v>2294</v>
      </c>
      <c r="B308" s="431">
        <v>5.7097289669844967E-2</v>
      </c>
      <c r="C308" s="431">
        <v>4.7946192084615771E-2</v>
      </c>
      <c r="D308" s="437">
        <f t="shared" si="139"/>
        <v>4.3136780302450092E-2</v>
      </c>
      <c r="E308" s="437">
        <f t="shared" si="139"/>
        <v>3.8327368520284413E-2</v>
      </c>
      <c r="F308" s="437">
        <f t="shared" si="139"/>
        <v>3.3517956738118734E-2</v>
      </c>
      <c r="G308" s="437">
        <f t="shared" si="139"/>
        <v>2.8708544955953059E-2</v>
      </c>
      <c r="H308" s="437">
        <f t="shared" si="139"/>
        <v>2.3899133173787383E-2</v>
      </c>
      <c r="I308" s="437">
        <f t="shared" si="139"/>
        <v>1.9089721391621708E-2</v>
      </c>
      <c r="J308" s="437">
        <f t="shared" si="139"/>
        <v>1.4280309609456032E-2</v>
      </c>
      <c r="K308" s="437">
        <f t="shared" si="139"/>
        <v>9.4708978272903567E-3</v>
      </c>
      <c r="L308" s="437">
        <f t="shared" si="139"/>
        <v>4.6614860451246812E-3</v>
      </c>
      <c r="M308" s="439">
        <v>1</v>
      </c>
      <c r="N308" s="440">
        <f t="shared" si="135"/>
        <v>-4.8094117821656755E-3</v>
      </c>
      <c r="O308" s="320"/>
      <c r="P308" s="320"/>
      <c r="Q308" s="320"/>
      <c r="R308" s="320"/>
      <c r="S308" s="320"/>
      <c r="T308" s="320"/>
    </row>
    <row r="309" spans="1:20">
      <c r="A309" s="392" t="s">
        <v>2036</v>
      </c>
      <c r="B309" s="415"/>
      <c r="C309" s="415"/>
      <c r="D309" s="541"/>
      <c r="E309" s="541"/>
      <c r="F309" s="541"/>
      <c r="G309" s="541"/>
      <c r="H309" s="541"/>
      <c r="I309" s="541"/>
      <c r="J309" s="541"/>
      <c r="K309" s="541"/>
      <c r="L309" s="541"/>
      <c r="M309" s="320"/>
      <c r="N309" s="320"/>
      <c r="O309" s="320"/>
      <c r="P309" s="320"/>
      <c r="Q309" s="320"/>
      <c r="R309" s="320"/>
      <c r="S309" s="320"/>
      <c r="T309" s="320"/>
    </row>
    <row r="310" spans="1:20">
      <c r="A310" s="320" t="s">
        <v>2251</v>
      </c>
      <c r="B310" s="410">
        <v>6007</v>
      </c>
      <c r="C310" s="410">
        <v>496</v>
      </c>
      <c r="D310" s="543">
        <f>D300*0.15%</f>
        <v>495.90300000000002</v>
      </c>
      <c r="E310" s="543">
        <f t="shared" ref="E310:L310" si="140">E300*0.15%</f>
        <v>503.08125000000001</v>
      </c>
      <c r="F310" s="543">
        <f t="shared" si="140"/>
        <v>499.49212499999999</v>
      </c>
      <c r="G310" s="543">
        <f t="shared" si="140"/>
        <v>501.28668750000003</v>
      </c>
      <c r="H310" s="543">
        <f t="shared" si="140"/>
        <v>500.38940625000004</v>
      </c>
      <c r="I310" s="543">
        <f t="shared" si="140"/>
        <v>500.83804687500003</v>
      </c>
      <c r="J310" s="543">
        <f t="shared" si="140"/>
        <v>500.61372656250001</v>
      </c>
      <c r="K310" s="543">
        <f t="shared" si="140"/>
        <v>500.72588671875002</v>
      </c>
      <c r="L310" s="543">
        <f t="shared" si="140"/>
        <v>500.66980664062498</v>
      </c>
      <c r="M310" s="320"/>
      <c r="N310" s="320"/>
      <c r="O310" s="320"/>
      <c r="P310" s="320"/>
      <c r="Q310" s="320"/>
      <c r="R310" s="320"/>
      <c r="S310" s="320"/>
      <c r="T310" s="320"/>
    </row>
    <row r="312" spans="1:20" s="422" customFormat="1" ht="19">
      <c r="A312" s="422" t="s">
        <v>136</v>
      </c>
    </row>
    <row r="313" spans="1:20" s="423" customFormat="1">
      <c r="A313" s="423" t="s">
        <v>21</v>
      </c>
    </row>
    <row r="314" spans="1:20" s="400" customFormat="1" ht="46.5" customHeight="1">
      <c r="A314" s="527" t="s">
        <v>0</v>
      </c>
      <c r="B314" s="527" t="s">
        <v>2018</v>
      </c>
      <c r="C314" s="527" t="s">
        <v>2019</v>
      </c>
      <c r="D314" s="527" t="s">
        <v>2020</v>
      </c>
      <c r="E314" s="527" t="s">
        <v>2021</v>
      </c>
      <c r="F314" s="527" t="s">
        <v>2022</v>
      </c>
      <c r="G314" s="527" t="s">
        <v>1840</v>
      </c>
      <c r="H314" s="527" t="s">
        <v>2023</v>
      </c>
      <c r="I314" s="527" t="s">
        <v>2024</v>
      </c>
      <c r="J314" s="527" t="s">
        <v>2025</v>
      </c>
      <c r="K314" s="527" t="s">
        <v>2026</v>
      </c>
      <c r="L314" s="527" t="s">
        <v>2027</v>
      </c>
      <c r="M314" s="527" t="s">
        <v>2028</v>
      </c>
      <c r="N314" s="527" t="s">
        <v>2029</v>
      </c>
      <c r="O314" s="527" t="s">
        <v>2030</v>
      </c>
      <c r="P314" s="527" t="s">
        <v>2031</v>
      </c>
      <c r="Q314" s="527" t="s">
        <v>2032</v>
      </c>
      <c r="R314" s="527" t="s">
        <v>2033</v>
      </c>
      <c r="S314" s="527" t="s">
        <v>2034</v>
      </c>
      <c r="T314" s="527" t="s">
        <v>2035</v>
      </c>
    </row>
    <row r="315" spans="1:20">
      <c r="A315" s="424" t="s">
        <v>15</v>
      </c>
      <c r="B315" s="425" t="s">
        <v>21</v>
      </c>
      <c r="C315" s="426" t="s">
        <v>2198</v>
      </c>
      <c r="D315" s="426" t="s">
        <v>2199</v>
      </c>
      <c r="E315" s="425" t="s">
        <v>2407</v>
      </c>
      <c r="F315" s="425" t="s">
        <v>2060</v>
      </c>
      <c r="G315" s="432">
        <v>50490</v>
      </c>
      <c r="H315" s="426" t="s">
        <v>2364</v>
      </c>
      <c r="I315" s="415">
        <v>10000</v>
      </c>
      <c r="J315" s="415">
        <v>161529</v>
      </c>
      <c r="K315" s="433">
        <v>109000</v>
      </c>
      <c r="L315" s="436">
        <v>2.6103124570114166E-3</v>
      </c>
      <c r="M315" s="436">
        <v>4.084089323098395E-2</v>
      </c>
      <c r="N315" s="436">
        <v>6.1286912713941932E-2</v>
      </c>
      <c r="O315" s="430">
        <f>M315-L315</f>
        <v>3.8230580773972532E-2</v>
      </c>
      <c r="P315" s="430">
        <f>N315-M315</f>
        <v>2.0446019482957982E-2</v>
      </c>
      <c r="Q315" s="430">
        <f>N315-L315</f>
        <v>5.8676600256930514E-2</v>
      </c>
      <c r="R315" s="436">
        <f>SUM(Q316:Q332)/2.5</f>
        <v>-7.5114217820767838E-5</v>
      </c>
      <c r="S315" s="436">
        <f>T315+R315</f>
        <v>2.3395525884951435E-2</v>
      </c>
      <c r="T315" s="364">
        <f>Q315/2.5</f>
        <v>2.3470640102772205E-2</v>
      </c>
    </row>
    <row r="316" spans="1:20">
      <c r="A316" s="393" t="s">
        <v>2202</v>
      </c>
      <c r="B316" s="394" t="s">
        <v>2316</v>
      </c>
      <c r="C316" s="427" t="s">
        <v>2198</v>
      </c>
      <c r="D316" s="394" t="s">
        <v>2199</v>
      </c>
      <c r="E316" s="394" t="s">
        <v>2407</v>
      </c>
      <c r="F316" s="394" t="s">
        <v>2043</v>
      </c>
      <c r="G316" s="415">
        <v>51600</v>
      </c>
      <c r="H316" s="428" t="s">
        <v>2364</v>
      </c>
      <c r="I316" s="415">
        <v>7677</v>
      </c>
      <c r="J316" s="415">
        <v>10620</v>
      </c>
      <c r="K316" s="546">
        <v>4972</v>
      </c>
      <c r="L316" s="437">
        <v>2.0039368732476647E-3</v>
      </c>
      <c r="M316" s="437">
        <v>2.6851542825935253E-3</v>
      </c>
      <c r="N316" s="437">
        <v>2.7955828441625619E-3</v>
      </c>
      <c r="O316" s="431">
        <f t="shared" ref="O316:P323" si="141">M316-L316</f>
        <v>6.8121740934586061E-4</v>
      </c>
      <c r="P316" s="431">
        <f t="shared" si="141"/>
        <v>1.1042856156903659E-4</v>
      </c>
      <c r="Q316" s="431">
        <f t="shared" ref="Q316:Q323" si="142">N316-L316</f>
        <v>7.916459709148972E-4</v>
      </c>
      <c r="R316" s="431"/>
      <c r="S316" s="431"/>
      <c r="T316" s="364">
        <f t="shared" ref="T316:T332" si="143">Q316/2.5</f>
        <v>3.166583883659589E-4</v>
      </c>
    </row>
    <row r="317" spans="1:20">
      <c r="A317" s="394" t="s">
        <v>2408</v>
      </c>
      <c r="B317" s="394" t="s">
        <v>2319</v>
      </c>
      <c r="C317" s="427" t="s">
        <v>2198</v>
      </c>
      <c r="D317" s="394" t="s">
        <v>2199</v>
      </c>
      <c r="E317" s="394" t="s">
        <v>2407</v>
      </c>
      <c r="F317" s="394" t="s">
        <v>2043</v>
      </c>
      <c r="G317" s="415">
        <v>51345</v>
      </c>
      <c r="H317" s="428" t="s">
        <v>2364</v>
      </c>
      <c r="I317" s="415">
        <v>10892</v>
      </c>
      <c r="J317" s="415">
        <v>9512</v>
      </c>
      <c r="K317" s="415">
        <v>1194</v>
      </c>
      <c r="L317" s="437">
        <v>2.8431523281768349E-3</v>
      </c>
      <c r="M317" s="437">
        <v>2.4050082425639938E-3</v>
      </c>
      <c r="N317" s="437">
        <v>6.7134471358207954E-4</v>
      </c>
      <c r="O317" s="431">
        <f t="shared" si="141"/>
        <v>-4.3814408561284116E-4</v>
      </c>
      <c r="P317" s="431">
        <f t="shared" si="141"/>
        <v>-1.7336635289819141E-3</v>
      </c>
      <c r="Q317" s="431">
        <f t="shared" si="142"/>
        <v>-2.1718076145947553E-3</v>
      </c>
      <c r="R317" s="431"/>
      <c r="S317" s="431"/>
      <c r="T317" s="364">
        <f t="shared" si="143"/>
        <v>-8.6872304583790212E-4</v>
      </c>
    </row>
    <row r="318" spans="1:20">
      <c r="A318" s="394" t="s">
        <v>2273</v>
      </c>
      <c r="B318" s="394" t="s">
        <v>2304</v>
      </c>
      <c r="C318" s="320" t="s">
        <v>2252</v>
      </c>
      <c r="D318" s="394" t="s">
        <v>2199</v>
      </c>
      <c r="E318" s="394" t="s">
        <v>2407</v>
      </c>
      <c r="F318" s="394" t="s">
        <v>2043</v>
      </c>
      <c r="G318" s="415">
        <v>52100</v>
      </c>
      <c r="H318" s="428" t="s">
        <v>2363</v>
      </c>
      <c r="I318" s="415">
        <v>18631</v>
      </c>
      <c r="J318" s="415">
        <v>24716</v>
      </c>
      <c r="K318" s="546">
        <v>10682</v>
      </c>
      <c r="L318" s="437">
        <v>4.8632731386579701E-3</v>
      </c>
      <c r="M318" s="437">
        <v>6.2491782719944983E-3</v>
      </c>
      <c r="N318" s="437">
        <v>6.0061174459663091E-3</v>
      </c>
      <c r="O318" s="431">
        <f t="shared" si="141"/>
        <v>1.3859051333365282E-3</v>
      </c>
      <c r="P318" s="431">
        <f t="shared" si="141"/>
        <v>-2.4306082602818923E-4</v>
      </c>
      <c r="Q318" s="431">
        <f t="shared" si="142"/>
        <v>1.142844307308339E-3</v>
      </c>
      <c r="R318" s="431"/>
      <c r="S318" s="431"/>
      <c r="T318" s="364">
        <f t="shared" si="143"/>
        <v>4.571377229233356E-4</v>
      </c>
    </row>
    <row r="319" spans="1:20">
      <c r="A319" s="394" t="s">
        <v>2320</v>
      </c>
      <c r="B319" s="394" t="s">
        <v>2321</v>
      </c>
      <c r="C319" s="427" t="s">
        <v>2198</v>
      </c>
      <c r="D319" s="394" t="s">
        <v>2199</v>
      </c>
      <c r="E319" s="394" t="s">
        <v>2407</v>
      </c>
      <c r="F319" s="394" t="s">
        <v>2043</v>
      </c>
      <c r="G319" s="415">
        <v>43845</v>
      </c>
      <c r="H319" s="428" t="s">
        <v>2201</v>
      </c>
      <c r="I319" s="415">
        <v>10284</v>
      </c>
      <c r="J319" s="415">
        <v>10539</v>
      </c>
      <c r="K319" s="415">
        <v>4049</v>
      </c>
      <c r="L319" s="437">
        <v>2.6844453307905409E-3</v>
      </c>
      <c r="M319" s="437">
        <v>2.6646742923025577E-3</v>
      </c>
      <c r="N319" s="437">
        <v>2.276612014483953E-3</v>
      </c>
      <c r="O319" s="431">
        <f t="shared" si="141"/>
        <v>-1.9771038487983224E-5</v>
      </c>
      <c r="P319" s="431">
        <f t="shared" si="141"/>
        <v>-3.8806227781860471E-4</v>
      </c>
      <c r="Q319" s="431">
        <f t="shared" si="142"/>
        <v>-4.0783331630658793E-4</v>
      </c>
      <c r="R319" s="431"/>
      <c r="S319" s="431"/>
      <c r="T319" s="364">
        <f t="shared" si="143"/>
        <v>-1.6313332652263517E-4</v>
      </c>
    </row>
    <row r="320" spans="1:20">
      <c r="A320" s="394" t="s">
        <v>2323</v>
      </c>
      <c r="B320" s="394" t="s">
        <v>2324</v>
      </c>
      <c r="C320" s="427" t="s">
        <v>2198</v>
      </c>
      <c r="D320" s="394" t="s">
        <v>2199</v>
      </c>
      <c r="E320" s="394" t="s">
        <v>2407</v>
      </c>
      <c r="F320" s="394" t="s">
        <v>2043</v>
      </c>
      <c r="G320" s="415">
        <v>44395</v>
      </c>
      <c r="H320" s="428" t="s">
        <v>2371</v>
      </c>
      <c r="I320" s="415">
        <v>50435</v>
      </c>
      <c r="J320" s="415">
        <v>60301</v>
      </c>
      <c r="K320" s="415">
        <v>25989</v>
      </c>
      <c r="L320" s="437">
        <v>1.3165110876937081E-2</v>
      </c>
      <c r="M320" s="437">
        <v>1.5246467833773274E-2</v>
      </c>
      <c r="N320" s="437">
        <v>1.4612711692868227E-2</v>
      </c>
      <c r="O320" s="431">
        <f t="shared" si="141"/>
        <v>2.0813569568361931E-3</v>
      </c>
      <c r="P320" s="431">
        <f t="shared" si="141"/>
        <v>-6.3375614090504725E-4</v>
      </c>
      <c r="Q320" s="431">
        <f t="shared" si="142"/>
        <v>1.4476008159311458E-3</v>
      </c>
      <c r="R320" s="431"/>
      <c r="S320" s="431"/>
      <c r="T320" s="364">
        <f t="shared" si="143"/>
        <v>5.7904032637245831E-4</v>
      </c>
    </row>
    <row r="321" spans="1:20">
      <c r="A321" s="394" t="s">
        <v>2325</v>
      </c>
      <c r="B321" s="394" t="s">
        <v>2326</v>
      </c>
      <c r="C321" s="427" t="s">
        <v>2198</v>
      </c>
      <c r="D321" s="394" t="s">
        <v>2199</v>
      </c>
      <c r="E321" s="394" t="s">
        <v>2407</v>
      </c>
      <c r="F321" s="394" t="s">
        <v>2043</v>
      </c>
      <c r="G321" s="415">
        <v>58050</v>
      </c>
      <c r="H321" s="428" t="s">
        <v>2318</v>
      </c>
      <c r="I321" s="415">
        <v>12817</v>
      </c>
      <c r="J321" s="415">
        <v>13268</v>
      </c>
      <c r="K321" s="546">
        <v>2695</v>
      </c>
      <c r="L321" s="437">
        <v>3.345637476151533E-3</v>
      </c>
      <c r="M321" s="437">
        <v>3.354672977537749E-3</v>
      </c>
      <c r="N321" s="437">
        <v>1.5153048602208577E-3</v>
      </c>
      <c r="O321" s="431">
        <f t="shared" si="141"/>
        <v>9.0355013862160848E-6</v>
      </c>
      <c r="P321" s="431">
        <f t="shared" si="141"/>
        <v>-1.8393681173168913E-3</v>
      </c>
      <c r="Q321" s="431">
        <f t="shared" si="142"/>
        <v>-1.8303326159306752E-3</v>
      </c>
      <c r="R321" s="431"/>
      <c r="S321" s="431"/>
      <c r="T321" s="364">
        <f t="shared" si="143"/>
        <v>-7.3213304637227011E-4</v>
      </c>
    </row>
    <row r="322" spans="1:20">
      <c r="A322" s="394" t="s">
        <v>2267</v>
      </c>
      <c r="B322" s="394" t="s">
        <v>2208</v>
      </c>
      <c r="C322" s="427" t="s">
        <v>2198</v>
      </c>
      <c r="D322" s="394" t="s">
        <v>2199</v>
      </c>
      <c r="E322" s="394" t="s">
        <v>2407</v>
      </c>
      <c r="F322" s="394" t="s">
        <v>2043</v>
      </c>
      <c r="G322" s="415">
        <v>44250</v>
      </c>
      <c r="H322" s="428" t="s">
        <v>2371</v>
      </c>
      <c r="I322" s="415">
        <v>52626</v>
      </c>
      <c r="J322" s="415">
        <v>51805</v>
      </c>
      <c r="K322" s="415">
        <v>36059</v>
      </c>
      <c r="L322" s="437">
        <v>1.3737030336268281E-2</v>
      </c>
      <c r="M322" s="437">
        <v>1.3098344407698454E-2</v>
      </c>
      <c r="N322" s="437">
        <v>2.0274722803229651E-2</v>
      </c>
      <c r="O322" s="431">
        <f t="shared" si="141"/>
        <v>-6.3868592856982688E-4</v>
      </c>
      <c r="P322" s="431">
        <f t="shared" si="141"/>
        <v>7.176378395531197E-3</v>
      </c>
      <c r="Q322" s="431">
        <f t="shared" si="142"/>
        <v>6.5376924669613701E-3</v>
      </c>
      <c r="R322" s="431"/>
      <c r="S322" s="431"/>
      <c r="T322" s="364">
        <f t="shared" si="143"/>
        <v>2.6150769867845482E-3</v>
      </c>
    </row>
    <row r="323" spans="1:20">
      <c r="A323" s="394" t="s">
        <v>2244</v>
      </c>
      <c r="B323" s="394" t="s">
        <v>2214</v>
      </c>
      <c r="C323" s="427" t="s">
        <v>2198</v>
      </c>
      <c r="D323" s="394" t="s">
        <v>2199</v>
      </c>
      <c r="E323" s="394" t="s">
        <v>2407</v>
      </c>
      <c r="F323" s="394" t="s">
        <v>2043</v>
      </c>
      <c r="G323" s="415">
        <v>42795</v>
      </c>
      <c r="H323" s="428" t="s">
        <v>2201</v>
      </c>
      <c r="I323" s="415">
        <v>32078</v>
      </c>
      <c r="J323" s="415">
        <v>41582</v>
      </c>
      <c r="K323" s="415">
        <v>17332</v>
      </c>
      <c r="L323" s="437">
        <v>8.3733602996012221E-3</v>
      </c>
      <c r="M323" s="437">
        <v>1.05135673614693E-2</v>
      </c>
      <c r="N323" s="437">
        <v>9.7451813867710235E-3</v>
      </c>
      <c r="O323" s="431">
        <f t="shared" si="141"/>
        <v>2.1402070618680782E-3</v>
      </c>
      <c r="P323" s="431">
        <f t="shared" si="141"/>
        <v>-7.6838597469827685E-4</v>
      </c>
      <c r="Q323" s="431">
        <f t="shared" si="142"/>
        <v>1.3718210871698014E-3</v>
      </c>
      <c r="R323" s="431"/>
      <c r="S323" s="431"/>
      <c r="T323" s="364">
        <f t="shared" si="143"/>
        <v>5.487284348679206E-4</v>
      </c>
    </row>
    <row r="324" spans="1:20">
      <c r="A324" s="394" t="s">
        <v>2409</v>
      </c>
      <c r="B324" s="394" t="s">
        <v>2410</v>
      </c>
      <c r="C324" s="427" t="s">
        <v>2198</v>
      </c>
      <c r="D324" s="394" t="s">
        <v>2199</v>
      </c>
      <c r="E324" s="394" t="s">
        <v>2407</v>
      </c>
      <c r="F324" s="394" t="s">
        <v>2043</v>
      </c>
      <c r="G324" s="415">
        <v>46500</v>
      </c>
      <c r="H324" s="428" t="s">
        <v>2204</v>
      </c>
      <c r="I324" s="415">
        <v>0</v>
      </c>
      <c r="J324" s="415">
        <v>4332</v>
      </c>
      <c r="K324" s="546">
        <v>2474</v>
      </c>
      <c r="L324" s="437">
        <v>0</v>
      </c>
      <c r="M324" s="437">
        <v>1.0953002214873025E-3</v>
      </c>
      <c r="N324" s="437">
        <v>1.3910442390302048E-3</v>
      </c>
      <c r="O324" s="431">
        <f>M324-L324</f>
        <v>1.0953002214873025E-3</v>
      </c>
      <c r="P324" s="431">
        <f>N324-M324</f>
        <v>2.9574401754290237E-4</v>
      </c>
      <c r="Q324" s="431">
        <f>N324-L324</f>
        <v>1.3910442390302048E-3</v>
      </c>
      <c r="R324" s="431"/>
      <c r="S324" s="431"/>
      <c r="T324" s="364">
        <f t="shared" si="143"/>
        <v>5.5641769561208196E-4</v>
      </c>
    </row>
    <row r="325" spans="1:20">
      <c r="A325" s="394" t="s">
        <v>2411</v>
      </c>
      <c r="B325" s="394" t="s">
        <v>2412</v>
      </c>
      <c r="C325" s="427" t="s">
        <v>2198</v>
      </c>
      <c r="D325" s="394" t="s">
        <v>2199</v>
      </c>
      <c r="E325" s="394" t="s">
        <v>2407</v>
      </c>
      <c r="F325" s="394" t="s">
        <v>2043</v>
      </c>
      <c r="G325" s="415">
        <v>39445</v>
      </c>
      <c r="H325" s="428" t="s">
        <v>2235</v>
      </c>
      <c r="I325" s="415">
        <v>52785</v>
      </c>
      <c r="J325" s="415">
        <v>57013</v>
      </c>
      <c r="K325" s="415">
        <v>15814</v>
      </c>
      <c r="L325" s="437">
        <v>1.3778534304334763E-2</v>
      </c>
      <c r="M325" s="437">
        <v>1.4415131931591775E-2</v>
      </c>
      <c r="N325" s="437">
        <v>8.8916627308098864E-3</v>
      </c>
      <c r="O325" s="431">
        <f t="shared" ref="O325:O332" si="144">M325-L325</f>
        <v>6.3659762725701285E-4</v>
      </c>
      <c r="P325" s="431">
        <f t="shared" ref="P325:P332" si="145">N325-M325</f>
        <v>-5.523469200781889E-3</v>
      </c>
      <c r="Q325" s="431">
        <f t="shared" ref="Q325:Q332" si="146">N325-L325</f>
        <v>-4.8868715735248761E-3</v>
      </c>
      <c r="R325" s="431"/>
      <c r="S325" s="431"/>
      <c r="T325" s="364">
        <f t="shared" si="143"/>
        <v>-1.9547486294099505E-3</v>
      </c>
    </row>
    <row r="326" spans="1:20">
      <c r="A326" s="394" t="s">
        <v>2264</v>
      </c>
      <c r="B326" s="394" t="s">
        <v>2413</v>
      </c>
      <c r="C326" s="427" t="s">
        <v>2198</v>
      </c>
      <c r="D326" s="394" t="s">
        <v>2199</v>
      </c>
      <c r="E326" s="394" t="s">
        <v>2407</v>
      </c>
      <c r="F326" s="394" t="s">
        <v>2043</v>
      </c>
      <c r="G326" s="415">
        <v>38685</v>
      </c>
      <c r="H326" s="428" t="s">
        <v>2235</v>
      </c>
      <c r="I326" s="415">
        <v>55784</v>
      </c>
      <c r="J326" s="415">
        <v>58514</v>
      </c>
      <c r="K326" s="415">
        <v>24048</v>
      </c>
      <c r="L326" s="437">
        <v>1.4561367010192488E-2</v>
      </c>
      <c r="M326" s="437">
        <v>1.4794643850440447E-2</v>
      </c>
      <c r="N326" s="437">
        <v>1.3521354834356656E-2</v>
      </c>
      <c r="O326" s="431">
        <f t="shared" si="144"/>
        <v>2.3327684024795903E-4</v>
      </c>
      <c r="P326" s="431">
        <f t="shared" si="145"/>
        <v>-1.2732890160837909E-3</v>
      </c>
      <c r="Q326" s="431">
        <f t="shared" si="146"/>
        <v>-1.0400121758358319E-3</v>
      </c>
      <c r="R326" s="431"/>
      <c r="S326" s="431"/>
      <c r="T326" s="364">
        <f t="shared" si="143"/>
        <v>-4.1600487033433274E-4</v>
      </c>
    </row>
    <row r="327" spans="1:20">
      <c r="A327" s="394" t="s">
        <v>2325</v>
      </c>
      <c r="B327" s="394" t="s">
        <v>2414</v>
      </c>
      <c r="C327" s="427" t="s">
        <v>2198</v>
      </c>
      <c r="D327" s="394" t="s">
        <v>2199</v>
      </c>
      <c r="E327" s="394" t="s">
        <v>2407</v>
      </c>
      <c r="F327" s="394" t="s">
        <v>2043</v>
      </c>
      <c r="G327" s="415">
        <v>42950</v>
      </c>
      <c r="H327" s="428" t="s">
        <v>2201</v>
      </c>
      <c r="I327" s="415">
        <v>7759</v>
      </c>
      <c r="J327" s="415">
        <v>7221</v>
      </c>
      <c r="K327" s="415">
        <v>2512</v>
      </c>
      <c r="L327" s="437">
        <v>2.0253414353951582E-3</v>
      </c>
      <c r="M327" s="437">
        <v>1.8257532085318123E-3</v>
      </c>
      <c r="N327" s="437">
        <v>1.4124103186919461E-3</v>
      </c>
      <c r="O327" s="431">
        <f t="shared" si="144"/>
        <v>-1.9958822686334593E-4</v>
      </c>
      <c r="P327" s="431">
        <f t="shared" si="145"/>
        <v>-4.1334288983986621E-4</v>
      </c>
      <c r="Q327" s="431">
        <f t="shared" si="146"/>
        <v>-6.1293111670321213E-4</v>
      </c>
      <c r="R327" s="431"/>
      <c r="S327" s="431"/>
      <c r="T327" s="364">
        <f t="shared" si="143"/>
        <v>-2.4517244668128483E-4</v>
      </c>
    </row>
    <row r="328" spans="1:20">
      <c r="A328" s="394" t="s">
        <v>2408</v>
      </c>
      <c r="B328" s="394" t="s">
        <v>2311</v>
      </c>
      <c r="C328" s="320" t="s">
        <v>2252</v>
      </c>
      <c r="D328" s="394" t="s">
        <v>2199</v>
      </c>
      <c r="E328" s="394" t="s">
        <v>2407</v>
      </c>
      <c r="F328" s="394" t="s">
        <v>2060</v>
      </c>
      <c r="G328" s="415">
        <v>71000</v>
      </c>
      <c r="H328" s="428" t="s">
        <v>2347</v>
      </c>
      <c r="I328" s="415">
        <v>1946</v>
      </c>
      <c r="J328" s="415">
        <v>1413</v>
      </c>
      <c r="K328" s="415">
        <v>321</v>
      </c>
      <c r="L328" s="437">
        <v>5.079668041344217E-4</v>
      </c>
      <c r="M328" s="437">
        <v>3.5726205285354533E-4</v>
      </c>
      <c r="N328" s="437">
        <v>1.804871466162877E-4</v>
      </c>
      <c r="O328" s="431">
        <f t="shared" si="144"/>
        <v>-1.5070475128087636E-4</v>
      </c>
      <c r="P328" s="431">
        <f t="shared" si="145"/>
        <v>-1.7677490623725764E-4</v>
      </c>
      <c r="Q328" s="431">
        <f t="shared" si="146"/>
        <v>-3.27479657518134E-4</v>
      </c>
      <c r="R328" s="431"/>
      <c r="S328" s="431"/>
      <c r="T328" s="364">
        <f t="shared" si="143"/>
        <v>-1.3099186300725361E-4</v>
      </c>
    </row>
    <row r="329" spans="1:20">
      <c r="A329" s="394" t="s">
        <v>2409</v>
      </c>
      <c r="B329" s="394" t="s">
        <v>2210</v>
      </c>
      <c r="C329" s="427" t="s">
        <v>2198</v>
      </c>
      <c r="D329" s="394" t="s">
        <v>2199</v>
      </c>
      <c r="E329" s="394" t="s">
        <v>2407</v>
      </c>
      <c r="F329" s="394" t="s">
        <v>2043</v>
      </c>
      <c r="G329" s="415">
        <v>38975</v>
      </c>
      <c r="H329" s="428" t="s">
        <v>2235</v>
      </c>
      <c r="I329" s="415">
        <v>20885</v>
      </c>
      <c r="J329" s="415">
        <v>19195</v>
      </c>
      <c r="K329" s="415">
        <v>5562</v>
      </c>
      <c r="L329" s="437">
        <v>5.4516375664683441E-3</v>
      </c>
      <c r="M329" s="437">
        <v>4.8532520201866967E-3</v>
      </c>
      <c r="N329" s="437">
        <v>3.1273193441738074E-3</v>
      </c>
      <c r="O329" s="431">
        <f t="shared" si="144"/>
        <v>-5.9838554628164741E-4</v>
      </c>
      <c r="P329" s="431">
        <f t="shared" si="145"/>
        <v>-1.7259326760128892E-3</v>
      </c>
      <c r="Q329" s="431">
        <f t="shared" si="146"/>
        <v>-2.3243182222945366E-3</v>
      </c>
      <c r="R329" s="431"/>
      <c r="S329" s="431"/>
      <c r="T329" s="364">
        <f t="shared" si="143"/>
        <v>-9.2972728891781468E-4</v>
      </c>
    </row>
    <row r="330" spans="1:20">
      <c r="A330" s="394" t="s">
        <v>2267</v>
      </c>
      <c r="B330" s="394" t="s">
        <v>2415</v>
      </c>
      <c r="C330" s="427" t="s">
        <v>2198</v>
      </c>
      <c r="D330" s="394" t="s">
        <v>2199</v>
      </c>
      <c r="E330" s="394" t="s">
        <v>2407</v>
      </c>
      <c r="F330" s="394" t="s">
        <v>2043</v>
      </c>
      <c r="G330" s="415">
        <v>39100</v>
      </c>
      <c r="H330" s="428" t="s">
        <v>2235</v>
      </c>
      <c r="I330" s="415">
        <v>23183</v>
      </c>
      <c r="J330" s="415">
        <v>26677</v>
      </c>
      <c r="K330" s="415">
        <v>11501</v>
      </c>
      <c r="L330" s="437">
        <v>6.0514873690895674E-3</v>
      </c>
      <c r="M330" s="437">
        <v>6.74499630854496E-3</v>
      </c>
      <c r="N330" s="437">
        <v>6.4666126892022578E-3</v>
      </c>
      <c r="O330" s="431">
        <f t="shared" si="144"/>
        <v>6.9350893945539262E-4</v>
      </c>
      <c r="P330" s="431">
        <f t="shared" si="145"/>
        <v>-2.7838361934270223E-4</v>
      </c>
      <c r="Q330" s="431">
        <f>N330-L330</f>
        <v>4.1512532011269039E-4</v>
      </c>
      <c r="R330" s="431"/>
      <c r="S330" s="431"/>
      <c r="T330" s="364">
        <f t="shared" si="143"/>
        <v>1.6605012804507617E-4</v>
      </c>
    </row>
    <row r="331" spans="1:20">
      <c r="A331" s="394" t="s">
        <v>2416</v>
      </c>
      <c r="B331" s="394" t="s">
        <v>2417</v>
      </c>
      <c r="C331" s="427" t="s">
        <v>2198</v>
      </c>
      <c r="D331" s="394" t="s">
        <v>2199</v>
      </c>
      <c r="E331" s="394" t="s">
        <v>2407</v>
      </c>
      <c r="F331" s="394" t="s">
        <v>2043</v>
      </c>
      <c r="G331" s="415">
        <v>37200</v>
      </c>
      <c r="H331" s="428" t="s">
        <v>2240</v>
      </c>
      <c r="I331" s="415">
        <v>26227</v>
      </c>
      <c r="J331" s="415">
        <v>22790</v>
      </c>
      <c r="K331" s="415">
        <v>14038</v>
      </c>
      <c r="L331" s="437">
        <v>6.8460664810038423E-3</v>
      </c>
      <c r="M331" s="437">
        <v>5.7622096139648251E-3</v>
      </c>
      <c r="N331" s="437">
        <v>7.8930796392506133E-3</v>
      </c>
      <c r="O331" s="431">
        <f t="shared" si="144"/>
        <v>-1.0838568670390172E-3</v>
      </c>
      <c r="P331" s="431">
        <f t="shared" si="145"/>
        <v>2.1308700252857882E-3</v>
      </c>
      <c r="Q331" s="431">
        <f t="shared" si="146"/>
        <v>1.047013158246771E-3</v>
      </c>
      <c r="R331" s="431"/>
      <c r="S331" s="431"/>
      <c r="T331" s="364">
        <f t="shared" si="143"/>
        <v>4.1880526329870842E-4</v>
      </c>
    </row>
    <row r="332" spans="1:20">
      <c r="A332" s="394" t="s">
        <v>2418</v>
      </c>
      <c r="B332" s="394" t="s">
        <v>2419</v>
      </c>
      <c r="C332" s="427" t="s">
        <v>2198</v>
      </c>
      <c r="D332" s="394" t="s">
        <v>2199</v>
      </c>
      <c r="E332" s="394" t="s">
        <v>2407</v>
      </c>
      <c r="F332" s="394" t="s">
        <v>2043</v>
      </c>
      <c r="G332" s="415">
        <v>36990</v>
      </c>
      <c r="H332" s="428" t="s">
        <v>2240</v>
      </c>
      <c r="I332" s="415">
        <v>22473</v>
      </c>
      <c r="J332" s="415">
        <v>11579</v>
      </c>
      <c r="K332" s="415">
        <v>9133</v>
      </c>
      <c r="L332" s="437">
        <v>5.8661551846417564E-3</v>
      </c>
      <c r="M332" s="437">
        <v>2.927627254063129E-3</v>
      </c>
      <c r="N332" s="437">
        <v>5.1351685671232258E-3</v>
      </c>
      <c r="O332" s="431">
        <f t="shared" si="144"/>
        <v>-2.9385279305786274E-3</v>
      </c>
      <c r="P332" s="431">
        <f t="shared" si="145"/>
        <v>2.2075413130600969E-3</v>
      </c>
      <c r="Q332" s="431">
        <f t="shared" si="146"/>
        <v>-7.3098661751853054E-4</v>
      </c>
      <c r="R332" s="431"/>
      <c r="S332" s="431"/>
      <c r="T332" s="364">
        <f t="shared" si="143"/>
        <v>-2.9239464700741224E-4</v>
      </c>
    </row>
    <row r="333" spans="1:20">
      <c r="A333" t="s">
        <v>24</v>
      </c>
      <c r="I333" s="403">
        <f t="shared" ref="I333:Q333" si="147">SUM(I315:I332)</f>
        <v>416482</v>
      </c>
      <c r="J333" s="403">
        <f t="shared" si="147"/>
        <v>592606</v>
      </c>
      <c r="K333" s="403">
        <f t="shared" si="147"/>
        <v>297375</v>
      </c>
      <c r="L333" s="364">
        <f t="shared" si="147"/>
        <v>0.1087148152721029</v>
      </c>
      <c r="M333" s="364">
        <f t="shared" si="147"/>
        <v>0.1498341373625818</v>
      </c>
      <c r="N333" s="364">
        <f t="shared" si="147"/>
        <v>0.16720362998448149</v>
      </c>
      <c r="O333" s="364">
        <f t="shared" si="147"/>
        <v>4.1119322090478902E-2</v>
      </c>
      <c r="P333" s="364">
        <f t="shared" si="147"/>
        <v>1.7369492621899681E-2</v>
      </c>
      <c r="Q333" s="364">
        <f t="shared" si="147"/>
        <v>5.848881471237858E-2</v>
      </c>
      <c r="R333" s="364"/>
      <c r="S333" s="364"/>
    </row>
    <row r="334" spans="1:20">
      <c r="A334" s="64" t="s">
        <v>2218</v>
      </c>
    </row>
    <row r="335" spans="1:20">
      <c r="A335" t="s">
        <v>2420</v>
      </c>
      <c r="B335">
        <v>2020</v>
      </c>
      <c r="C335">
        <v>2021</v>
      </c>
      <c r="D335" t="s">
        <v>14</v>
      </c>
      <c r="E335" t="s">
        <v>11</v>
      </c>
      <c r="F335" t="s">
        <v>12</v>
      </c>
      <c r="G335" t="s">
        <v>13</v>
      </c>
      <c r="H335" t="s">
        <v>2220</v>
      </c>
      <c r="I335" t="s">
        <v>2221</v>
      </c>
      <c r="J335" t="s">
        <v>2222</v>
      </c>
      <c r="K335" t="s">
        <v>2223</v>
      </c>
      <c r="L335" t="s">
        <v>2224</v>
      </c>
      <c r="M335" t="s">
        <v>2225</v>
      </c>
      <c r="N335" t="s">
        <v>2226</v>
      </c>
    </row>
    <row r="336" spans="1:20">
      <c r="A336" t="s">
        <v>2227</v>
      </c>
      <c r="B336" s="546">
        <v>3260707</v>
      </c>
      <c r="C336" s="546">
        <v>3435576</v>
      </c>
      <c r="D336" s="279">
        <f>AVERAGE(B336:C336)</f>
        <v>3348141.5</v>
      </c>
      <c r="E336" s="279">
        <f>AVERAGE(C336:D336)</f>
        <v>3391858.75</v>
      </c>
      <c r="F336" s="279">
        <f>AVERAGE(D336:E336)</f>
        <v>3370000.125</v>
      </c>
      <c r="G336" s="279">
        <f t="shared" ref="G336" si="148">AVERAGE(E336:F336)</f>
        <v>3380929.4375</v>
      </c>
      <c r="H336" s="279">
        <f t="shared" ref="H336" si="149">AVERAGE(F336:G336)</f>
        <v>3375464.78125</v>
      </c>
      <c r="I336" s="279">
        <f t="shared" ref="I336" si="150">AVERAGE(G336:H336)</f>
        <v>3378197.109375</v>
      </c>
      <c r="J336" s="279">
        <f t="shared" ref="J336" si="151">AVERAGE(H336:I336)</f>
        <v>3376830.9453125</v>
      </c>
      <c r="K336" s="279">
        <f t="shared" ref="K336" si="152">AVERAGE(I336:J336)</f>
        <v>3377514.02734375</v>
      </c>
      <c r="L336" s="279">
        <f>AVERAGE(J336:K336)</f>
        <v>3377172.486328125</v>
      </c>
      <c r="N336" t="s">
        <v>162</v>
      </c>
    </row>
    <row r="337" spans="1:15">
      <c r="A337" s="64" t="s">
        <v>2228</v>
      </c>
    </row>
    <row r="338" spans="1:15">
      <c r="A338" s="394" t="s">
        <v>21</v>
      </c>
      <c r="B338" s="404">
        <f>L315</f>
        <v>2.6103124570114166E-3</v>
      </c>
      <c r="C338" s="404">
        <f>M315</f>
        <v>4.084089323098395E-2</v>
      </c>
      <c r="D338" s="296">
        <f>C338+$N338</f>
        <v>6.7286271334501449E-2</v>
      </c>
      <c r="E338" s="296">
        <f>D338+$N338</f>
        <v>9.3731649438018955E-2</v>
      </c>
      <c r="F338" s="296">
        <f>E338+$N338</f>
        <v>0.12017702754153645</v>
      </c>
      <c r="G338" s="296">
        <f>F338+$N338</f>
        <v>0.14662240564505394</v>
      </c>
      <c r="H338" s="296">
        <f>G338+$N338</f>
        <v>0.17306778374857143</v>
      </c>
      <c r="I338" s="296">
        <f t="shared" ref="I338:L338" si="153">H338+$N338</f>
        <v>0.19951316185208892</v>
      </c>
      <c r="J338" s="296">
        <f t="shared" si="153"/>
        <v>0.22595853995560641</v>
      </c>
      <c r="K338" s="296">
        <f t="shared" si="153"/>
        <v>0.25240391805912393</v>
      </c>
      <c r="L338" s="296">
        <f t="shared" si="153"/>
        <v>0.27884929616264142</v>
      </c>
      <c r="N338" s="296">
        <f>-SUM(N339:N355)+S315</f>
        <v>2.6445378103517499E-2</v>
      </c>
    </row>
    <row r="339" spans="1:15">
      <c r="A339" s="394" t="s">
        <v>2316</v>
      </c>
      <c r="B339" s="404">
        <f t="shared" ref="B339:C339" si="154">L316</f>
        <v>2.0039368732476647E-3</v>
      </c>
      <c r="C339" s="404">
        <f t="shared" si="154"/>
        <v>2.6851542825935253E-3</v>
      </c>
      <c r="D339" s="296">
        <f t="shared" ref="D339:D355" si="155">C339+$N339</f>
        <v>2.7247365811392701E-3</v>
      </c>
      <c r="E339" s="296">
        <f t="shared" ref="E339:L339" si="156">D339+$N339</f>
        <v>2.7643188796850149E-3</v>
      </c>
      <c r="F339" s="296">
        <f t="shared" si="156"/>
        <v>2.8039011782307597E-3</v>
      </c>
      <c r="G339" s="296">
        <f t="shared" si="156"/>
        <v>2.8434834767765045E-3</v>
      </c>
      <c r="H339" s="296">
        <f t="shared" si="156"/>
        <v>2.8830657753222493E-3</v>
      </c>
      <c r="I339" s="296">
        <f t="shared" si="156"/>
        <v>2.9226480738679941E-3</v>
      </c>
      <c r="J339" s="296">
        <f t="shared" si="156"/>
        <v>2.9622303724137389E-3</v>
      </c>
      <c r="K339" s="296">
        <f t="shared" si="156"/>
        <v>3.0018126709594837E-3</v>
      </c>
      <c r="L339" s="296">
        <f t="shared" si="156"/>
        <v>3.0413949695052285E-3</v>
      </c>
      <c r="M339" s="419">
        <v>0.125</v>
      </c>
      <c r="N339" s="406">
        <f t="shared" ref="N339:N355" si="157">M339*T316</f>
        <v>3.9582298545744863E-5</v>
      </c>
      <c r="O339" t="s">
        <v>2421</v>
      </c>
    </row>
    <row r="340" spans="1:15">
      <c r="A340" s="394" t="s">
        <v>2319</v>
      </c>
      <c r="B340" s="404">
        <f t="shared" ref="B340:C340" si="158">L317</f>
        <v>2.8431523281768349E-3</v>
      </c>
      <c r="C340" s="404">
        <f t="shared" si="158"/>
        <v>2.4050082425639938E-3</v>
      </c>
      <c r="D340" s="296">
        <f t="shared" si="155"/>
        <v>2.1568016580388789E-3</v>
      </c>
      <c r="E340" s="296">
        <f t="shared" ref="E340:L340" si="159">D340+$N340</f>
        <v>1.908595073513764E-3</v>
      </c>
      <c r="F340" s="296">
        <f t="shared" si="159"/>
        <v>1.6603884889886491E-3</v>
      </c>
      <c r="G340" s="296">
        <f t="shared" si="159"/>
        <v>1.4121819044635342E-3</v>
      </c>
      <c r="H340" s="296">
        <f t="shared" si="159"/>
        <v>1.1639753199384193E-3</v>
      </c>
      <c r="I340" s="296">
        <f t="shared" si="159"/>
        <v>9.1576873541330444E-4</v>
      </c>
      <c r="J340" s="296">
        <f t="shared" si="159"/>
        <v>6.6756215088818955E-4</v>
      </c>
      <c r="K340" s="296">
        <f t="shared" si="159"/>
        <v>4.1935556636307466E-4</v>
      </c>
      <c r="L340" s="296">
        <f t="shared" si="159"/>
        <v>1.7114898183795977E-4</v>
      </c>
      <c r="M340" s="419">
        <v>0.2857142857142857</v>
      </c>
      <c r="N340" s="406">
        <f t="shared" si="157"/>
        <v>-2.4820658452511489E-4</v>
      </c>
    </row>
    <row r="341" spans="1:15">
      <c r="A341" s="394" t="s">
        <v>2304</v>
      </c>
      <c r="B341" s="404">
        <f t="shared" ref="B341:C341" si="160">L318</f>
        <v>4.8632731386579701E-3</v>
      </c>
      <c r="C341" s="404">
        <f t="shared" si="160"/>
        <v>6.2491782719944983E-3</v>
      </c>
      <c r="D341" s="296">
        <f t="shared" si="155"/>
        <v>6.3063204873599153E-3</v>
      </c>
      <c r="E341" s="296">
        <f t="shared" ref="E341:L341" si="161">D341+$N341</f>
        <v>6.3634627027253322E-3</v>
      </c>
      <c r="F341" s="296">
        <f t="shared" si="161"/>
        <v>6.4206049180907492E-3</v>
      </c>
      <c r="G341" s="296">
        <f t="shared" si="161"/>
        <v>6.4777471334561661E-3</v>
      </c>
      <c r="H341" s="296">
        <f t="shared" si="161"/>
        <v>6.5348893488215831E-3</v>
      </c>
      <c r="I341" s="296">
        <f t="shared" si="161"/>
        <v>6.592031564187E-3</v>
      </c>
      <c r="J341" s="296">
        <f t="shared" si="161"/>
        <v>6.649173779552417E-3</v>
      </c>
      <c r="K341" s="296">
        <f t="shared" si="161"/>
        <v>6.7063159949178339E-3</v>
      </c>
      <c r="L341" s="296">
        <f t="shared" si="161"/>
        <v>6.7634582102832509E-3</v>
      </c>
      <c r="M341" s="419">
        <v>0.125</v>
      </c>
      <c r="N341" s="406">
        <f t="shared" si="157"/>
        <v>5.714221536541695E-5</v>
      </c>
      <c r="O341" t="s">
        <v>2421</v>
      </c>
    </row>
    <row r="342" spans="1:15">
      <c r="A342" s="394" t="s">
        <v>2321</v>
      </c>
      <c r="B342" s="404">
        <f t="shared" ref="B342:C342" si="162">L319</f>
        <v>2.6844453307905409E-3</v>
      </c>
      <c r="C342" s="404">
        <f t="shared" si="162"/>
        <v>2.6646742923025577E-3</v>
      </c>
      <c r="D342" s="296">
        <f t="shared" si="155"/>
        <v>2.5015409657799226E-3</v>
      </c>
      <c r="E342" s="296">
        <f t="shared" ref="E342:L342" si="163">D342+$N342</f>
        <v>2.3384076392572875E-3</v>
      </c>
      <c r="F342" s="296">
        <f t="shared" si="163"/>
        <v>2.1752743127346525E-3</v>
      </c>
      <c r="G342" s="296">
        <f t="shared" si="163"/>
        <v>2.0121409862120174E-3</v>
      </c>
      <c r="H342" s="296">
        <f t="shared" si="163"/>
        <v>1.8490076596893823E-3</v>
      </c>
      <c r="I342" s="296">
        <f t="shared" si="163"/>
        <v>1.6858743331667472E-3</v>
      </c>
      <c r="J342" s="296">
        <f t="shared" si="163"/>
        <v>1.5227410066441121E-3</v>
      </c>
      <c r="K342" s="296">
        <f t="shared" si="163"/>
        <v>1.359607680121477E-3</v>
      </c>
      <c r="L342" s="296">
        <f t="shared" si="163"/>
        <v>1.1964743535988419E-3</v>
      </c>
      <c r="M342" s="419">
        <v>1</v>
      </c>
      <c r="N342" s="406">
        <f t="shared" si="157"/>
        <v>-1.6313332652263517E-4</v>
      </c>
    </row>
    <row r="343" spans="1:15">
      <c r="A343" s="394" t="s">
        <v>2324</v>
      </c>
      <c r="B343" s="404">
        <f t="shared" ref="B343:C343" si="164">L320</f>
        <v>1.3165110876937081E-2</v>
      </c>
      <c r="C343" s="404">
        <f t="shared" si="164"/>
        <v>1.5246467833773274E-2</v>
      </c>
      <c r="D343" s="296">
        <f t="shared" si="155"/>
        <v>1.5318847874569832E-2</v>
      </c>
      <c r="E343" s="296">
        <f t="shared" ref="E343:L343" si="165">D343+$N343</f>
        <v>1.5391227915366389E-2</v>
      </c>
      <c r="F343" s="296">
        <f t="shared" si="165"/>
        <v>1.5463607956162946E-2</v>
      </c>
      <c r="G343" s="296">
        <f t="shared" si="165"/>
        <v>1.5535987996959504E-2</v>
      </c>
      <c r="H343" s="296">
        <f t="shared" si="165"/>
        <v>1.5608368037756061E-2</v>
      </c>
      <c r="I343" s="296">
        <f t="shared" si="165"/>
        <v>1.5680748078552617E-2</v>
      </c>
      <c r="J343" s="296">
        <f t="shared" si="165"/>
        <v>1.5753128119349175E-2</v>
      </c>
      <c r="K343" s="296">
        <f t="shared" si="165"/>
        <v>1.5825508160145732E-2</v>
      </c>
      <c r="L343" s="296">
        <f t="shared" si="165"/>
        <v>1.5897888200942289E-2</v>
      </c>
      <c r="M343" s="419">
        <v>0.125</v>
      </c>
      <c r="N343" s="406">
        <f t="shared" si="157"/>
        <v>7.2380040796557289E-5</v>
      </c>
      <c r="O343" t="s">
        <v>2421</v>
      </c>
    </row>
    <row r="344" spans="1:15">
      <c r="A344" s="394" t="s">
        <v>2326</v>
      </c>
      <c r="B344" s="404">
        <f t="shared" ref="B344:C344" si="166">L321</f>
        <v>3.345637476151533E-3</v>
      </c>
      <c r="C344" s="404">
        <f t="shared" si="166"/>
        <v>3.354672977537749E-3</v>
      </c>
      <c r="D344" s="296">
        <f t="shared" si="155"/>
        <v>3.0292805124834069E-3</v>
      </c>
      <c r="E344" s="296">
        <f t="shared" ref="E344:L344" si="167">D344+$N344</f>
        <v>2.7038880474290648E-3</v>
      </c>
      <c r="F344" s="296">
        <f t="shared" si="167"/>
        <v>2.3784955823747227E-3</v>
      </c>
      <c r="G344" s="296">
        <f t="shared" si="167"/>
        <v>2.0531031173203805E-3</v>
      </c>
      <c r="H344" s="296">
        <f t="shared" si="167"/>
        <v>1.7277106522660384E-3</v>
      </c>
      <c r="I344" s="296">
        <f t="shared" si="167"/>
        <v>1.4023181872116963E-3</v>
      </c>
      <c r="J344" s="296">
        <f t="shared" si="167"/>
        <v>1.0769257221573542E-3</v>
      </c>
      <c r="K344" s="296">
        <f t="shared" si="167"/>
        <v>7.5153325710301192E-4</v>
      </c>
      <c r="L344" s="296">
        <f t="shared" si="167"/>
        <v>4.2614079204866969E-4</v>
      </c>
      <c r="M344" s="419">
        <v>0.44444444444444442</v>
      </c>
      <c r="N344" s="406">
        <f t="shared" si="157"/>
        <v>-3.2539246505434224E-4</v>
      </c>
    </row>
    <row r="345" spans="1:15">
      <c r="A345" s="394" t="s">
        <v>2208</v>
      </c>
      <c r="B345" s="404">
        <f t="shared" ref="B345:C345" si="168">L322</f>
        <v>1.3737030336268281E-2</v>
      </c>
      <c r="C345" s="404">
        <f t="shared" si="168"/>
        <v>1.3098344407698454E-2</v>
      </c>
      <c r="D345" s="296">
        <f t="shared" si="155"/>
        <v>1.3425229031046523E-2</v>
      </c>
      <c r="E345" s="296">
        <f t="shared" ref="E345:L345" si="169">D345+$N345</f>
        <v>1.3752113654394592E-2</v>
      </c>
      <c r="F345" s="296">
        <f t="shared" si="169"/>
        <v>1.4078998277742661E-2</v>
      </c>
      <c r="G345" s="296">
        <f t="shared" si="169"/>
        <v>1.440588290109073E-2</v>
      </c>
      <c r="H345" s="296">
        <f t="shared" si="169"/>
        <v>1.4732767524438799E-2</v>
      </c>
      <c r="I345" s="296">
        <f t="shared" si="169"/>
        <v>1.5059652147786868E-2</v>
      </c>
      <c r="J345" s="296">
        <f t="shared" si="169"/>
        <v>1.5386536771134936E-2</v>
      </c>
      <c r="K345" s="296">
        <f t="shared" si="169"/>
        <v>1.5713421394483004E-2</v>
      </c>
      <c r="L345" s="296">
        <f t="shared" si="169"/>
        <v>1.6040306017831071E-2</v>
      </c>
      <c r="M345" s="419">
        <v>0.125</v>
      </c>
      <c r="N345" s="406">
        <f t="shared" si="157"/>
        <v>3.2688462334806853E-4</v>
      </c>
      <c r="O345" t="s">
        <v>2421</v>
      </c>
    </row>
    <row r="346" spans="1:15">
      <c r="A346" s="394" t="s">
        <v>2214</v>
      </c>
      <c r="B346" s="404">
        <f t="shared" ref="B346:C346" si="170">L323</f>
        <v>8.3733602996012221E-3</v>
      </c>
      <c r="C346" s="404">
        <f t="shared" si="170"/>
        <v>1.05135673614693E-2</v>
      </c>
      <c r="D346" s="296">
        <f t="shared" si="155"/>
        <v>1.058215841582779E-2</v>
      </c>
      <c r="E346" s="296">
        <f t="shared" ref="E346:L346" si="171">D346+$N346</f>
        <v>1.065074947018628E-2</v>
      </c>
      <c r="F346" s="296">
        <f t="shared" si="171"/>
        <v>1.071934052454477E-2</v>
      </c>
      <c r="G346" s="296">
        <f t="shared" si="171"/>
        <v>1.0787931578903259E-2</v>
      </c>
      <c r="H346" s="296">
        <f t="shared" si="171"/>
        <v>1.0856522633261749E-2</v>
      </c>
      <c r="I346" s="296">
        <f t="shared" si="171"/>
        <v>1.0925113687620239E-2</v>
      </c>
      <c r="J346" s="296">
        <f t="shared" si="171"/>
        <v>1.0993704741978728E-2</v>
      </c>
      <c r="K346" s="296">
        <f t="shared" si="171"/>
        <v>1.1062295796337218E-2</v>
      </c>
      <c r="L346" s="296">
        <f t="shared" si="171"/>
        <v>1.1130886850695708E-2</v>
      </c>
      <c r="M346" s="419">
        <v>0.125</v>
      </c>
      <c r="N346" s="406">
        <f t="shared" si="157"/>
        <v>6.8591054358490075E-5</v>
      </c>
      <c r="O346" t="s">
        <v>2421</v>
      </c>
    </row>
    <row r="347" spans="1:15">
      <c r="A347" s="394" t="s">
        <v>2410</v>
      </c>
      <c r="B347" s="404">
        <f>L324</f>
        <v>0</v>
      </c>
      <c r="C347" s="404">
        <f>M324</f>
        <v>1.0953002214873025E-3</v>
      </c>
      <c r="D347" s="296">
        <f t="shared" si="155"/>
        <v>1.1648524334388127E-3</v>
      </c>
      <c r="E347" s="296">
        <f t="shared" ref="E347:L347" si="172">D347+$N347</f>
        <v>1.2344046453903229E-3</v>
      </c>
      <c r="F347" s="296">
        <f t="shared" si="172"/>
        <v>1.3039568573418332E-3</v>
      </c>
      <c r="G347" s="296">
        <f t="shared" si="172"/>
        <v>1.3735090692933434E-3</v>
      </c>
      <c r="H347" s="296">
        <f t="shared" si="172"/>
        <v>1.4430612812448536E-3</v>
      </c>
      <c r="I347" s="296">
        <f t="shared" si="172"/>
        <v>1.5126134931963638E-3</v>
      </c>
      <c r="J347" s="296">
        <f t="shared" si="172"/>
        <v>1.5821657051478741E-3</v>
      </c>
      <c r="K347" s="296">
        <f t="shared" si="172"/>
        <v>1.6517179170993843E-3</v>
      </c>
      <c r="L347" s="296">
        <f t="shared" si="172"/>
        <v>1.7212701290508945E-3</v>
      </c>
      <c r="M347" s="419">
        <v>0.125</v>
      </c>
      <c r="N347" s="406">
        <f t="shared" si="157"/>
        <v>6.9552211951510244E-5</v>
      </c>
      <c r="O347" t="s">
        <v>2421</v>
      </c>
    </row>
    <row r="348" spans="1:15">
      <c r="A348" s="394" t="s">
        <v>2412</v>
      </c>
      <c r="B348" s="404">
        <f t="shared" ref="B348:C348" si="173">L325</f>
        <v>1.3778534304334763E-2</v>
      </c>
      <c r="C348" s="404">
        <f t="shared" si="173"/>
        <v>1.4415131931591775E-2</v>
      </c>
      <c r="D348" s="296">
        <f t="shared" si="155"/>
        <v>1.2851333028063815E-2</v>
      </c>
      <c r="E348" s="296">
        <f t="shared" ref="E348:L348" si="174">D348+$N348</f>
        <v>1.1287534124535854E-2</v>
      </c>
      <c r="F348" s="296">
        <f t="shared" si="174"/>
        <v>9.7237352210078933E-3</v>
      </c>
      <c r="G348" s="296">
        <f t="shared" si="174"/>
        <v>8.1599363174799325E-3</v>
      </c>
      <c r="H348" s="296">
        <f t="shared" si="174"/>
        <v>6.5961374139519718E-3</v>
      </c>
      <c r="I348" s="296">
        <f t="shared" si="174"/>
        <v>5.0323385104240111E-3</v>
      </c>
      <c r="J348" s="296">
        <f t="shared" si="174"/>
        <v>3.4685396068960504E-3</v>
      </c>
      <c r="K348" s="296">
        <f t="shared" si="174"/>
        <v>1.9047407033680899E-3</v>
      </c>
      <c r="L348" s="296">
        <f t="shared" si="174"/>
        <v>3.4094179984012945E-4</v>
      </c>
      <c r="M348" s="419">
        <v>0.8</v>
      </c>
      <c r="N348" s="406">
        <f t="shared" si="157"/>
        <v>-1.5637989035279605E-3</v>
      </c>
    </row>
    <row r="349" spans="1:15">
      <c r="A349" s="394" t="s">
        <v>2413</v>
      </c>
      <c r="B349" s="404">
        <f t="shared" ref="B349:C354" si="175">L326</f>
        <v>1.4561367010192488E-2</v>
      </c>
      <c r="C349" s="404">
        <f t="shared" si="175"/>
        <v>1.4794643850440447E-2</v>
      </c>
      <c r="D349" s="296">
        <f t="shared" si="155"/>
        <v>1.4378638980106113E-2</v>
      </c>
      <c r="E349" s="296">
        <f t="shared" ref="E349:L355" si="176">D349+$N349</f>
        <v>1.396263410977178E-2</v>
      </c>
      <c r="F349" s="296">
        <f t="shared" si="176"/>
        <v>1.3546629239437447E-2</v>
      </c>
      <c r="G349" s="296">
        <f t="shared" si="176"/>
        <v>1.3130624369103113E-2</v>
      </c>
      <c r="H349" s="296">
        <f t="shared" si="176"/>
        <v>1.271461949876878E-2</v>
      </c>
      <c r="I349" s="296">
        <f t="shared" si="176"/>
        <v>1.2298614628434446E-2</v>
      </c>
      <c r="J349" s="296">
        <f t="shared" si="176"/>
        <v>1.1882609758100113E-2</v>
      </c>
      <c r="K349" s="296">
        <f t="shared" si="176"/>
        <v>1.1466604887765779E-2</v>
      </c>
      <c r="L349" s="296">
        <f t="shared" si="176"/>
        <v>1.1050600017431446E-2</v>
      </c>
      <c r="M349" s="419">
        <v>1</v>
      </c>
      <c r="N349" s="406">
        <f t="shared" si="157"/>
        <v>-4.1600487033433274E-4</v>
      </c>
    </row>
    <row r="350" spans="1:15">
      <c r="A350" s="394" t="s">
        <v>2414</v>
      </c>
      <c r="B350" s="404">
        <f t="shared" si="175"/>
        <v>2.0253414353951582E-3</v>
      </c>
      <c r="C350" s="404">
        <f t="shared" si="175"/>
        <v>1.8257532085318123E-3</v>
      </c>
      <c r="D350" s="296">
        <f t="shared" si="155"/>
        <v>1.6350635277797019E-3</v>
      </c>
      <c r="E350" s="296">
        <f t="shared" si="176"/>
        <v>1.4443738470275914E-3</v>
      </c>
      <c r="F350" s="296">
        <f t="shared" si="176"/>
        <v>1.2536841662754809E-3</v>
      </c>
      <c r="G350" s="296">
        <f t="shared" si="176"/>
        <v>1.0629944855233705E-3</v>
      </c>
      <c r="H350" s="296">
        <f t="shared" si="176"/>
        <v>8.7230480477126001E-4</v>
      </c>
      <c r="I350" s="296">
        <f t="shared" si="176"/>
        <v>6.8161512401914955E-4</v>
      </c>
      <c r="J350" s="296">
        <f t="shared" si="176"/>
        <v>4.9092544326703909E-4</v>
      </c>
      <c r="K350" s="296">
        <f t="shared" si="176"/>
        <v>3.0023576251492863E-4</v>
      </c>
      <c r="L350" s="296">
        <f t="shared" si="176"/>
        <v>1.0954608176281819E-4</v>
      </c>
      <c r="M350" s="419">
        <v>0.77777777777777779</v>
      </c>
      <c r="N350" s="406">
        <f t="shared" si="157"/>
        <v>-1.9068968075211043E-4</v>
      </c>
    </row>
    <row r="351" spans="1:15">
      <c r="A351" s="394" t="s">
        <v>2311</v>
      </c>
      <c r="B351" s="404">
        <f t="shared" si="175"/>
        <v>5.079668041344217E-4</v>
      </c>
      <c r="C351" s="404">
        <f t="shared" si="175"/>
        <v>3.5726205285354533E-4</v>
      </c>
      <c r="D351" s="296">
        <f t="shared" si="155"/>
        <v>3.310636802520946E-4</v>
      </c>
      <c r="E351" s="296">
        <f t="shared" si="176"/>
        <v>3.0486530765064387E-4</v>
      </c>
      <c r="F351" s="296">
        <f t="shared" si="176"/>
        <v>2.7866693504919313E-4</v>
      </c>
      <c r="G351" s="296">
        <f t="shared" si="176"/>
        <v>2.524685624477424E-4</v>
      </c>
      <c r="H351" s="296">
        <f t="shared" si="176"/>
        <v>2.2627018984629167E-4</v>
      </c>
      <c r="I351" s="296">
        <f t="shared" si="176"/>
        <v>2.0007181724484094E-4</v>
      </c>
      <c r="J351" s="296">
        <f t="shared" si="176"/>
        <v>1.738734446433902E-4</v>
      </c>
      <c r="K351" s="296">
        <f t="shared" si="176"/>
        <v>1.4767507204193947E-4</v>
      </c>
      <c r="L351" s="296">
        <f>K351+$N351</f>
        <v>1.2147669944048875E-4</v>
      </c>
      <c r="M351" s="419">
        <v>0.2</v>
      </c>
      <c r="N351" s="406">
        <f t="shared" si="157"/>
        <v>-2.6198372601450723E-5</v>
      </c>
    </row>
    <row r="352" spans="1:15">
      <c r="A352" s="394" t="s">
        <v>2210</v>
      </c>
      <c r="B352" s="404">
        <f t="shared" si="175"/>
        <v>5.4516375664683441E-3</v>
      </c>
      <c r="C352" s="404">
        <f t="shared" si="175"/>
        <v>4.8532520201866967E-3</v>
      </c>
      <c r="D352" s="296">
        <f t="shared" si="155"/>
        <v>4.321979283662231E-3</v>
      </c>
      <c r="E352" s="296">
        <f t="shared" si="176"/>
        <v>3.7907065471377652E-3</v>
      </c>
      <c r="F352" s="296">
        <f t="shared" si="176"/>
        <v>3.2594338106132995E-3</v>
      </c>
      <c r="G352" s="296">
        <f t="shared" si="176"/>
        <v>2.7281610740888338E-3</v>
      </c>
      <c r="H352" s="296">
        <f t="shared" si="176"/>
        <v>2.1968883375643681E-3</v>
      </c>
      <c r="I352" s="296">
        <f t="shared" si="176"/>
        <v>1.6656156010399026E-3</v>
      </c>
      <c r="J352" s="296">
        <f t="shared" si="176"/>
        <v>1.1343428645154371E-3</v>
      </c>
      <c r="K352" s="296">
        <f t="shared" si="176"/>
        <v>6.0307012799097159E-4</v>
      </c>
      <c r="L352" s="296">
        <f t="shared" ref="L352:L355" si="177">K352+$N352</f>
        <v>7.1797391466506093E-5</v>
      </c>
      <c r="M352" s="419">
        <v>0.5714285714285714</v>
      </c>
      <c r="N352" s="406">
        <f t="shared" si="157"/>
        <v>-5.312727365244655E-4</v>
      </c>
    </row>
    <row r="353" spans="1:20">
      <c r="A353" s="394" t="s">
        <v>2415</v>
      </c>
      <c r="B353" s="404">
        <f t="shared" si="175"/>
        <v>6.0514873690895674E-3</v>
      </c>
      <c r="C353" s="404">
        <f t="shared" si="175"/>
        <v>6.74499630854496E-3</v>
      </c>
      <c r="D353" s="296">
        <f t="shared" si="155"/>
        <v>6.7657525745505945E-3</v>
      </c>
      <c r="E353" s="296">
        <f t="shared" si="176"/>
        <v>6.7865088405562289E-3</v>
      </c>
      <c r="F353" s="296">
        <f t="shared" si="176"/>
        <v>6.8072651065618633E-3</v>
      </c>
      <c r="G353" s="296">
        <f t="shared" si="176"/>
        <v>6.8280213725674978E-3</v>
      </c>
      <c r="H353" s="296">
        <f t="shared" si="176"/>
        <v>6.8487776385731322E-3</v>
      </c>
      <c r="I353" s="296">
        <f t="shared" si="176"/>
        <v>6.8695339045787666E-3</v>
      </c>
      <c r="J353" s="296">
        <f t="shared" si="176"/>
        <v>6.8902901705844011E-3</v>
      </c>
      <c r="K353" s="296">
        <f t="shared" si="176"/>
        <v>6.9110464365900355E-3</v>
      </c>
      <c r="L353" s="296">
        <f t="shared" si="177"/>
        <v>6.9318027025956699E-3</v>
      </c>
      <c r="M353" s="419">
        <v>0.125</v>
      </c>
      <c r="N353" s="406">
        <f t="shared" si="157"/>
        <v>2.0756266005634521E-5</v>
      </c>
      <c r="O353" t="s">
        <v>2421</v>
      </c>
    </row>
    <row r="354" spans="1:20">
      <c r="A354" s="394" t="s">
        <v>2417</v>
      </c>
      <c r="B354" s="404">
        <f t="shared" si="175"/>
        <v>6.8460664810038423E-3</v>
      </c>
      <c r="C354" s="404">
        <f t="shared" si="175"/>
        <v>5.7622096139648251E-3</v>
      </c>
      <c r="D354" s="296">
        <f t="shared" si="155"/>
        <v>5.8145602718771639E-3</v>
      </c>
      <c r="E354" s="296">
        <f t="shared" si="176"/>
        <v>5.8669109297895027E-3</v>
      </c>
      <c r="F354" s="296">
        <f t="shared" si="176"/>
        <v>5.9192615877018415E-3</v>
      </c>
      <c r="G354" s="296">
        <f t="shared" si="176"/>
        <v>5.9716122456141803E-3</v>
      </c>
      <c r="H354" s="296">
        <f t="shared" si="176"/>
        <v>6.0239629035265191E-3</v>
      </c>
      <c r="I354" s="296">
        <f t="shared" si="176"/>
        <v>6.0763135614388579E-3</v>
      </c>
      <c r="J354" s="296">
        <f t="shared" si="176"/>
        <v>6.1286642193511967E-3</v>
      </c>
      <c r="K354" s="296">
        <f t="shared" si="176"/>
        <v>6.1810148772635356E-3</v>
      </c>
      <c r="L354" s="296">
        <f t="shared" si="177"/>
        <v>6.2333655351758744E-3</v>
      </c>
      <c r="M354" s="419">
        <v>0.125</v>
      </c>
      <c r="N354" s="406">
        <f t="shared" si="157"/>
        <v>5.2350657912338553E-5</v>
      </c>
      <c r="O354" t="s">
        <v>2421</v>
      </c>
    </row>
    <row r="355" spans="1:20">
      <c r="A355" s="394" t="s">
        <v>2419</v>
      </c>
      <c r="B355" s="404">
        <f t="shared" ref="B355:C355" si="178">L332</f>
        <v>5.8661551846417564E-3</v>
      </c>
      <c r="C355" s="404">
        <f t="shared" si="178"/>
        <v>2.927627254063129E-3</v>
      </c>
      <c r="D355" s="296">
        <f t="shared" si="155"/>
        <v>2.6352326070557168E-3</v>
      </c>
      <c r="E355" s="296">
        <f t="shared" si="176"/>
        <v>2.3428379600483047E-3</v>
      </c>
      <c r="F355" s="296">
        <f t="shared" si="176"/>
        <v>2.0504433130408926E-3</v>
      </c>
      <c r="G355" s="296">
        <f t="shared" si="176"/>
        <v>1.7580486660334804E-3</v>
      </c>
      <c r="H355" s="296">
        <f t="shared" si="176"/>
        <v>1.4656540190260683E-3</v>
      </c>
      <c r="I355" s="296">
        <f t="shared" si="176"/>
        <v>1.1732593720186562E-3</v>
      </c>
      <c r="J355" s="296">
        <f t="shared" si="176"/>
        <v>8.8086472501124394E-4</v>
      </c>
      <c r="K355" s="296">
        <f t="shared" si="176"/>
        <v>5.884700780038317E-4</v>
      </c>
      <c r="L355" s="296">
        <f t="shared" si="177"/>
        <v>2.9607543099641946E-4</v>
      </c>
      <c r="M355" s="419">
        <v>1</v>
      </c>
      <c r="N355" s="406">
        <f t="shared" si="157"/>
        <v>-2.9239464700741224E-4</v>
      </c>
    </row>
    <row r="356" spans="1:20">
      <c r="A356" s="64" t="s">
        <v>2036</v>
      </c>
      <c r="D356" s="296"/>
      <c r="E356" s="296"/>
      <c r="F356" s="296"/>
      <c r="G356" s="296"/>
      <c r="H356" s="296"/>
      <c r="I356" s="296"/>
      <c r="J356" s="296"/>
      <c r="K356" s="296"/>
      <c r="L356" s="296"/>
    </row>
    <row r="357" spans="1:20">
      <c r="A357" s="320" t="s">
        <v>21</v>
      </c>
      <c r="B357" s="85">
        <f>I315</f>
        <v>10000</v>
      </c>
      <c r="C357" s="85">
        <f>J315</f>
        <v>161529</v>
      </c>
      <c r="D357" s="403">
        <f>D338*D336</f>
        <v>225283.95743530468</v>
      </c>
      <c r="E357" s="403">
        <f>E338*E336</f>
        <v>317924.5152982772</v>
      </c>
      <c r="F357" s="403">
        <f>F338*F336</f>
        <v>404996.59783710627</v>
      </c>
      <c r="G357" s="403">
        <f>G338*G336</f>
        <v>495720.00744242902</v>
      </c>
      <c r="H357" s="403">
        <f t="shared" ref="H357:L357" si="179">H338*H336</f>
        <v>584184.20881229395</v>
      </c>
      <c r="I357" s="403">
        <f t="shared" si="179"/>
        <v>673994.78665099328</v>
      </c>
      <c r="J357" s="403">
        <f t="shared" si="179"/>
        <v>763023.79007972276</v>
      </c>
      <c r="K357" s="403">
        <f t="shared" si="179"/>
        <v>852497.7738012136</v>
      </c>
      <c r="L357" s="403">
        <f t="shared" si="179"/>
        <v>941722.17083243537</v>
      </c>
      <c r="M357" t="s">
        <v>2230</v>
      </c>
    </row>
    <row r="358" spans="1:20" s="421" customFormat="1">
      <c r="A358" s="421" t="s">
        <v>148</v>
      </c>
    </row>
    <row r="359" spans="1:20" s="400" customFormat="1" ht="46.5" customHeight="1">
      <c r="A359" s="527" t="s">
        <v>0</v>
      </c>
      <c r="B359" s="527" t="s">
        <v>2018</v>
      </c>
      <c r="C359" s="527" t="s">
        <v>2019</v>
      </c>
      <c r="D359" s="527" t="s">
        <v>2020</v>
      </c>
      <c r="E359" s="527" t="s">
        <v>2021</v>
      </c>
      <c r="F359" s="527" t="s">
        <v>2022</v>
      </c>
      <c r="G359" s="527" t="s">
        <v>1840</v>
      </c>
      <c r="H359" s="527" t="s">
        <v>2023</v>
      </c>
      <c r="I359" s="527" t="s">
        <v>2024</v>
      </c>
      <c r="J359" s="527" t="s">
        <v>2025</v>
      </c>
      <c r="K359" s="527" t="s">
        <v>2026</v>
      </c>
      <c r="L359" s="527" t="s">
        <v>2027</v>
      </c>
      <c r="M359" s="527" t="s">
        <v>2028</v>
      </c>
      <c r="N359" s="527" t="s">
        <v>2029</v>
      </c>
      <c r="O359" s="527" t="s">
        <v>2030</v>
      </c>
      <c r="P359" s="527" t="s">
        <v>2031</v>
      </c>
      <c r="Q359" s="527" t="s">
        <v>2032</v>
      </c>
      <c r="R359" s="527" t="s">
        <v>2033</v>
      </c>
      <c r="S359" s="527" t="s">
        <v>2034</v>
      </c>
      <c r="T359" s="527" t="s">
        <v>2035</v>
      </c>
    </row>
    <row r="360" spans="1:20">
      <c r="A360" s="424" t="s">
        <v>15</v>
      </c>
      <c r="B360" s="425" t="s">
        <v>148</v>
      </c>
      <c r="C360" s="426" t="s">
        <v>2252</v>
      </c>
      <c r="D360" s="426" t="s">
        <v>2353</v>
      </c>
      <c r="E360" s="426" t="s">
        <v>2407</v>
      </c>
      <c r="F360" s="425" t="s">
        <v>2060</v>
      </c>
      <c r="G360" s="432">
        <v>38490</v>
      </c>
      <c r="H360" s="426" t="s">
        <v>2235</v>
      </c>
      <c r="I360" s="414">
        <v>167500</v>
      </c>
      <c r="J360" s="433">
        <v>121610</v>
      </c>
      <c r="K360" s="433">
        <v>90100</v>
      </c>
      <c r="L360" s="430">
        <v>0.11362210306033503</v>
      </c>
      <c r="M360" s="430">
        <v>8.478759525618948E-2</v>
      </c>
      <c r="N360" s="430">
        <v>0.14923370727336269</v>
      </c>
      <c r="O360" s="430">
        <f t="shared" ref="O360:O377" si="180">M360-L360</f>
        <v>-2.8834507804145551E-2</v>
      </c>
      <c r="P360" s="430">
        <f t="shared" ref="P360:P377" si="181">N360-M360</f>
        <v>6.4446112017173207E-2</v>
      </c>
      <c r="Q360" s="430">
        <f t="shared" ref="Q360:Q377" si="182">N360-L360</f>
        <v>3.5611604213027656E-2</v>
      </c>
      <c r="R360" s="436">
        <f>SUM(Q361:Q377)/2.5</f>
        <v>8.3660467529825201E-4</v>
      </c>
      <c r="S360" s="436">
        <f>T360+R360</f>
        <v>1.5081246360509315E-2</v>
      </c>
      <c r="T360" s="364">
        <f t="shared" ref="T360:T377" si="183">Q360/2.5</f>
        <v>1.4244641685211062E-2</v>
      </c>
    </row>
    <row r="361" spans="1:20">
      <c r="A361" s="320" t="s">
        <v>2267</v>
      </c>
      <c r="B361" s="429" t="s">
        <v>2422</v>
      </c>
      <c r="C361" s="320" t="s">
        <v>2198</v>
      </c>
      <c r="D361" s="394" t="s">
        <v>2353</v>
      </c>
      <c r="E361" s="394" t="s">
        <v>2407</v>
      </c>
      <c r="F361" s="394" t="s">
        <v>2043</v>
      </c>
      <c r="G361" s="415">
        <v>34700</v>
      </c>
      <c r="H361" s="428" t="s">
        <v>2423</v>
      </c>
      <c r="I361" s="415">
        <v>15332</v>
      </c>
      <c r="J361" s="415">
        <v>8108</v>
      </c>
      <c r="K361" s="415">
        <v>4030</v>
      </c>
      <c r="L361" s="431">
        <v>1.0400322890274965E-2</v>
      </c>
      <c r="M361" s="431">
        <v>5.6529711564606878E-3</v>
      </c>
      <c r="N361" s="431">
        <v>6.6749371843690527E-3</v>
      </c>
      <c r="O361" s="431">
        <f t="shared" si="180"/>
        <v>-4.7473517338142771E-3</v>
      </c>
      <c r="P361" s="431">
        <f t="shared" si="181"/>
        <v>1.0219660279083649E-3</v>
      </c>
      <c r="Q361" s="431">
        <f t="shared" si="182"/>
        <v>-3.7253857059059122E-3</v>
      </c>
      <c r="R361" s="431"/>
      <c r="S361" s="431"/>
      <c r="T361" s="364">
        <f t="shared" si="183"/>
        <v>-1.4901542823623649E-3</v>
      </c>
    </row>
    <row r="362" spans="1:20">
      <c r="A362" s="320" t="s">
        <v>2267</v>
      </c>
      <c r="B362" s="429" t="s">
        <v>2359</v>
      </c>
      <c r="C362" s="320" t="s">
        <v>2198</v>
      </c>
      <c r="D362" s="394" t="s">
        <v>2353</v>
      </c>
      <c r="E362" s="394" t="s">
        <v>2407</v>
      </c>
      <c r="F362" s="394" t="s">
        <v>2043</v>
      </c>
      <c r="G362" s="415">
        <v>41600</v>
      </c>
      <c r="H362" s="428" t="s">
        <v>2212</v>
      </c>
      <c r="I362" s="415">
        <v>20597</v>
      </c>
      <c r="J362" s="477">
        <v>30815</v>
      </c>
      <c r="K362" s="546">
        <v>9144</v>
      </c>
      <c r="L362" s="431">
        <v>1.3971787801395347E-2</v>
      </c>
      <c r="M362" s="431">
        <v>2.1484497556282203E-2</v>
      </c>
      <c r="N362" s="431">
        <v>1.5145316529496432E-2</v>
      </c>
      <c r="O362" s="431">
        <f t="shared" si="180"/>
        <v>7.5127097548868555E-3</v>
      </c>
      <c r="P362" s="431">
        <f t="shared" si="181"/>
        <v>-6.3391810267857708E-3</v>
      </c>
      <c r="Q362" s="431">
        <f t="shared" si="182"/>
        <v>1.1735287281010847E-3</v>
      </c>
      <c r="R362" s="431"/>
      <c r="S362" s="431"/>
      <c r="T362" s="364">
        <f t="shared" si="183"/>
        <v>4.6941149124043389E-4</v>
      </c>
    </row>
    <row r="363" spans="1:20">
      <c r="A363" s="320" t="s">
        <v>2261</v>
      </c>
      <c r="B363" s="429" t="s">
        <v>2424</v>
      </c>
      <c r="C363" s="320" t="s">
        <v>2198</v>
      </c>
      <c r="D363" s="394" t="s">
        <v>2353</v>
      </c>
      <c r="E363" s="394" t="s">
        <v>2407</v>
      </c>
      <c r="F363" s="394" t="s">
        <v>2043</v>
      </c>
      <c r="G363" s="415">
        <v>41250</v>
      </c>
      <c r="H363" s="428" t="s">
        <v>2212</v>
      </c>
      <c r="I363" s="415">
        <v>41442</v>
      </c>
      <c r="J363" s="477">
        <v>49461</v>
      </c>
      <c r="K363" s="546">
        <v>14330</v>
      </c>
      <c r="L363" s="431">
        <v>2.8111804149411369E-2</v>
      </c>
      <c r="M363" s="431">
        <v>3.4484657914368784E-2</v>
      </c>
      <c r="N363" s="431">
        <v>2.3734950335485987E-2</v>
      </c>
      <c r="O363" s="431">
        <f t="shared" si="180"/>
        <v>6.3728537649574146E-3</v>
      </c>
      <c r="P363" s="431">
        <f t="shared" si="181"/>
        <v>-1.0749707578882797E-2</v>
      </c>
      <c r="Q363" s="431">
        <f t="shared" si="182"/>
        <v>-4.3768538139253819E-3</v>
      </c>
      <c r="R363" s="431"/>
      <c r="S363" s="431"/>
      <c r="T363" s="364">
        <f t="shared" si="183"/>
        <v>-1.7507415255701528E-3</v>
      </c>
    </row>
    <row r="364" spans="1:20">
      <c r="A364" s="393" t="s">
        <v>2367</v>
      </c>
      <c r="B364" s="394" t="s">
        <v>2368</v>
      </c>
      <c r="C364" s="427" t="s">
        <v>2198</v>
      </c>
      <c r="D364" s="394" t="s">
        <v>2353</v>
      </c>
      <c r="E364" s="394" t="s">
        <v>2407</v>
      </c>
      <c r="F364" s="394" t="s">
        <v>2043</v>
      </c>
      <c r="G364" s="415">
        <v>39750</v>
      </c>
      <c r="H364" s="428" t="s">
        <v>2235</v>
      </c>
      <c r="I364" s="415">
        <v>8203</v>
      </c>
      <c r="J364" s="546">
        <v>7634</v>
      </c>
      <c r="K364" s="546">
        <v>2324</v>
      </c>
      <c r="L364" s="431">
        <v>5.5644305158443477E-3</v>
      </c>
      <c r="M364" s="431">
        <v>5.3224940562926603E-3</v>
      </c>
      <c r="N364" s="431">
        <v>3.8492689867180344E-3</v>
      </c>
      <c r="O364" s="431">
        <f t="shared" si="180"/>
        <v>-2.4193645955168739E-4</v>
      </c>
      <c r="P364" s="431">
        <f t="shared" si="181"/>
        <v>-1.4732250695746259E-3</v>
      </c>
      <c r="Q364" s="431">
        <f t="shared" si="182"/>
        <v>-1.7151615291263133E-3</v>
      </c>
      <c r="R364" s="431"/>
      <c r="S364" s="431"/>
      <c r="T364" s="364">
        <f t="shared" si="183"/>
        <v>-6.8606461165052527E-4</v>
      </c>
    </row>
    <row r="365" spans="1:20">
      <c r="A365" s="393" t="s">
        <v>2255</v>
      </c>
      <c r="B365" s="394" t="s">
        <v>2425</v>
      </c>
      <c r="C365" s="320" t="s">
        <v>2198</v>
      </c>
      <c r="D365" s="394" t="s">
        <v>2353</v>
      </c>
      <c r="E365" s="394" t="s">
        <v>2407</v>
      </c>
      <c r="F365" s="394" t="s">
        <v>2043</v>
      </c>
      <c r="G365" s="415">
        <v>39100</v>
      </c>
      <c r="H365" s="428" t="s">
        <v>2235</v>
      </c>
      <c r="I365" s="415">
        <v>18342</v>
      </c>
      <c r="J365" s="477">
        <v>16263</v>
      </c>
      <c r="K365" s="546">
        <v>7283</v>
      </c>
      <c r="L365" s="431">
        <v>1.2442129040792031E-2</v>
      </c>
      <c r="M365" s="431">
        <v>1.1338711139309345E-2</v>
      </c>
      <c r="N365" s="431">
        <v>1.2062919978600449E-2</v>
      </c>
      <c r="O365" s="431">
        <f t="shared" si="180"/>
        <v>-1.103417901482686E-3</v>
      </c>
      <c r="P365" s="431">
        <f t="shared" si="181"/>
        <v>7.2420883929110412E-4</v>
      </c>
      <c r="Q365" s="431">
        <f t="shared" si="182"/>
        <v>-3.7920906219158189E-4</v>
      </c>
      <c r="R365" s="431"/>
      <c r="S365" s="431"/>
      <c r="T365" s="364">
        <f t="shared" si="183"/>
        <v>-1.5168362487663276E-4</v>
      </c>
    </row>
    <row r="366" spans="1:20">
      <c r="A366" s="393" t="s">
        <v>2255</v>
      </c>
      <c r="B366" s="394" t="s">
        <v>2426</v>
      </c>
      <c r="C366" s="320" t="s">
        <v>2198</v>
      </c>
      <c r="D366" s="394" t="s">
        <v>2353</v>
      </c>
      <c r="E366" s="394" t="s">
        <v>2407</v>
      </c>
      <c r="F366" s="394" t="s">
        <v>2043</v>
      </c>
      <c r="G366" s="415">
        <v>34295</v>
      </c>
      <c r="H366" s="428" t="s">
        <v>2423</v>
      </c>
      <c r="I366" s="415">
        <v>9937</v>
      </c>
      <c r="J366" s="415">
        <v>2390</v>
      </c>
      <c r="K366" s="415">
        <v>5302</v>
      </c>
      <c r="L366" s="431">
        <v>6.7406736603614877E-3</v>
      </c>
      <c r="M366" s="431">
        <v>1.6663296822818259E-3</v>
      </c>
      <c r="N366" s="431">
        <v>8.7817659929341728E-3</v>
      </c>
      <c r="O366" s="431">
        <f t="shared" si="180"/>
        <v>-5.0743439780796618E-3</v>
      </c>
      <c r="P366" s="431">
        <f t="shared" si="181"/>
        <v>7.1154363106523469E-3</v>
      </c>
      <c r="Q366" s="431">
        <f t="shared" si="182"/>
        <v>2.0410923325726851E-3</v>
      </c>
      <c r="R366" s="431"/>
      <c r="S366" s="431"/>
      <c r="T366" s="364">
        <f t="shared" si="183"/>
        <v>8.1643693302907406E-4</v>
      </c>
    </row>
    <row r="367" spans="1:20">
      <c r="A367" s="320" t="s">
        <v>2267</v>
      </c>
      <c r="B367" s="394" t="s">
        <v>2427</v>
      </c>
      <c r="C367" s="320" t="s">
        <v>2198</v>
      </c>
      <c r="D367" s="394" t="s">
        <v>2353</v>
      </c>
      <c r="E367" s="394" t="s">
        <v>2407</v>
      </c>
      <c r="F367" s="394" t="s">
        <v>2043</v>
      </c>
      <c r="G367" s="415">
        <v>38900</v>
      </c>
      <c r="H367" s="428" t="s">
        <v>2235</v>
      </c>
      <c r="I367" s="415">
        <v>10997</v>
      </c>
      <c r="J367" s="415">
        <v>6822</v>
      </c>
      <c r="K367" s="415">
        <v>3004</v>
      </c>
      <c r="L367" s="431">
        <v>7.4597150289821158E-3</v>
      </c>
      <c r="M367" s="431">
        <v>4.7563602897600903E-3</v>
      </c>
      <c r="N367" s="431">
        <v>4.9755611170830358E-3</v>
      </c>
      <c r="O367" s="431">
        <f t="shared" si="180"/>
        <v>-2.7033547392220254E-3</v>
      </c>
      <c r="P367" s="431">
        <f t="shared" si="181"/>
        <v>2.1920082732294552E-4</v>
      </c>
      <c r="Q367" s="431">
        <f t="shared" si="182"/>
        <v>-2.4841539118990799E-3</v>
      </c>
      <c r="R367" s="431"/>
      <c r="S367" s="431"/>
      <c r="T367" s="364">
        <f t="shared" si="183"/>
        <v>-9.9366156475963192E-4</v>
      </c>
    </row>
    <row r="368" spans="1:20">
      <c r="A368" s="393" t="s">
        <v>2428</v>
      </c>
      <c r="B368" s="394" t="s">
        <v>2375</v>
      </c>
      <c r="C368" s="427" t="s">
        <v>2198</v>
      </c>
      <c r="D368" s="394" t="s">
        <v>2353</v>
      </c>
      <c r="E368" s="394" t="s">
        <v>2407</v>
      </c>
      <c r="F368" s="394" t="s">
        <v>2043</v>
      </c>
      <c r="G368" s="415">
        <v>39050</v>
      </c>
      <c r="H368" s="428" t="s">
        <v>2235</v>
      </c>
      <c r="I368" s="415">
        <v>13600</v>
      </c>
      <c r="J368" s="546">
        <v>21998</v>
      </c>
      <c r="K368" s="546">
        <v>10911</v>
      </c>
      <c r="L368" s="431">
        <v>9.2254364275854116E-3</v>
      </c>
      <c r="M368" s="431">
        <v>1.5337205167713643E-2</v>
      </c>
      <c r="N368" s="431">
        <v>1.8072019756489015E-2</v>
      </c>
      <c r="O368" s="431">
        <f t="shared" si="180"/>
        <v>6.1117687401282313E-3</v>
      </c>
      <c r="P368" s="431">
        <f t="shared" si="181"/>
        <v>2.7348145887753725E-3</v>
      </c>
      <c r="Q368" s="431">
        <f t="shared" si="182"/>
        <v>8.8465833289036039E-3</v>
      </c>
      <c r="R368" s="431"/>
      <c r="S368" s="431"/>
      <c r="T368" s="364">
        <f t="shared" si="183"/>
        <v>3.5386333315614417E-3</v>
      </c>
    </row>
    <row r="369" spans="1:20">
      <c r="A369" s="393" t="s">
        <v>2342</v>
      </c>
      <c r="B369" s="394" t="s">
        <v>2370</v>
      </c>
      <c r="C369" s="427" t="s">
        <v>2198</v>
      </c>
      <c r="D369" s="394" t="s">
        <v>2353</v>
      </c>
      <c r="E369" s="394" t="s">
        <v>2407</v>
      </c>
      <c r="F369" s="394" t="s">
        <v>2043</v>
      </c>
      <c r="G369" s="415">
        <v>38850</v>
      </c>
      <c r="H369" s="428" t="s">
        <v>2235</v>
      </c>
      <c r="I369" s="415">
        <v>9438</v>
      </c>
      <c r="J369" s="546">
        <v>10718</v>
      </c>
      <c r="K369" s="546">
        <v>6762</v>
      </c>
      <c r="L369" s="431">
        <v>6.4021815443787581E-3</v>
      </c>
      <c r="M369" s="431">
        <v>7.4726868346010914E-3</v>
      </c>
      <c r="N369" s="431">
        <v>1.1199981449306088E-2</v>
      </c>
      <c r="O369" s="431">
        <f t="shared" si="180"/>
        <v>1.0705052902223334E-3</v>
      </c>
      <c r="P369" s="431">
        <f t="shared" si="181"/>
        <v>3.7272946147049969E-3</v>
      </c>
      <c r="Q369" s="431">
        <f t="shared" si="182"/>
        <v>4.7977999049273303E-3</v>
      </c>
      <c r="R369" s="431"/>
      <c r="S369" s="431"/>
      <c r="T369" s="364">
        <f t="shared" si="183"/>
        <v>1.9191199619709321E-3</v>
      </c>
    </row>
    <row r="370" spans="1:20">
      <c r="A370" s="394" t="s">
        <v>2418</v>
      </c>
      <c r="B370" s="394" t="s">
        <v>2246</v>
      </c>
      <c r="C370" s="427" t="s">
        <v>2198</v>
      </c>
      <c r="D370" s="394" t="s">
        <v>2353</v>
      </c>
      <c r="E370" s="394" t="s">
        <v>2407</v>
      </c>
      <c r="F370" s="394" t="s">
        <v>2043</v>
      </c>
      <c r="G370" s="415">
        <v>34590</v>
      </c>
      <c r="H370" s="428" t="s">
        <v>2423</v>
      </c>
      <c r="I370" s="415">
        <v>4889</v>
      </c>
      <c r="J370" s="415">
        <v>7253</v>
      </c>
      <c r="K370" s="415">
        <v>4509</v>
      </c>
      <c r="L370" s="431">
        <v>3.3164087275341968E-3</v>
      </c>
      <c r="M370" s="431">
        <v>5.0568573998284868E-3</v>
      </c>
      <c r="N370" s="431">
        <v>7.468310611493811E-3</v>
      </c>
      <c r="O370" s="431">
        <f t="shared" si="180"/>
        <v>1.74044867229429E-3</v>
      </c>
      <c r="P370" s="431">
        <f t="shared" si="181"/>
        <v>2.4114532116653242E-3</v>
      </c>
      <c r="Q370" s="431">
        <f t="shared" si="182"/>
        <v>4.1519018839596142E-3</v>
      </c>
      <c r="R370" s="431"/>
      <c r="S370" s="431"/>
      <c r="T370" s="364">
        <f t="shared" si="183"/>
        <v>1.6607607535838458E-3</v>
      </c>
    </row>
    <row r="371" spans="1:20">
      <c r="A371" s="394" t="s">
        <v>2418</v>
      </c>
      <c r="B371" s="394" t="s">
        <v>2249</v>
      </c>
      <c r="C371" s="427" t="s">
        <v>2198</v>
      </c>
      <c r="D371" s="394" t="s">
        <v>2353</v>
      </c>
      <c r="E371" s="394" t="s">
        <v>2407</v>
      </c>
      <c r="F371" s="394" t="s">
        <v>2043</v>
      </c>
      <c r="G371" s="415">
        <v>38150</v>
      </c>
      <c r="H371" s="428" t="s">
        <v>2235</v>
      </c>
      <c r="I371" s="415">
        <v>14711</v>
      </c>
      <c r="J371" s="415">
        <v>9446</v>
      </c>
      <c r="K371" s="415">
        <v>7515</v>
      </c>
      <c r="L371" s="431">
        <v>9.9790731828094843E-3</v>
      </c>
      <c r="M371" s="431">
        <v>6.5858368949096762E-3</v>
      </c>
      <c r="N371" s="431">
        <v>1.2447184352489685E-2</v>
      </c>
      <c r="O371" s="431">
        <f t="shared" si="180"/>
        <v>-3.3932362878998082E-3</v>
      </c>
      <c r="P371" s="431">
        <f t="shared" si="181"/>
        <v>5.8613474575800089E-3</v>
      </c>
      <c r="Q371" s="431">
        <f t="shared" si="182"/>
        <v>2.4681111696802007E-3</v>
      </c>
      <c r="R371" s="431"/>
      <c r="S371" s="431"/>
      <c r="T371" s="364">
        <f t="shared" si="183"/>
        <v>9.8724446787208024E-4</v>
      </c>
    </row>
    <row r="372" spans="1:20">
      <c r="A372" s="393" t="s">
        <v>2244</v>
      </c>
      <c r="B372" s="394" t="s">
        <v>2245</v>
      </c>
      <c r="C372" s="427" t="s">
        <v>2198</v>
      </c>
      <c r="D372" s="394" t="s">
        <v>2353</v>
      </c>
      <c r="E372" s="394" t="s">
        <v>2407</v>
      </c>
      <c r="F372" s="394" t="s">
        <v>2043</v>
      </c>
      <c r="G372" s="415">
        <v>38950</v>
      </c>
      <c r="H372" s="428" t="s">
        <v>2235</v>
      </c>
      <c r="I372" s="415">
        <v>11946</v>
      </c>
      <c r="J372" s="546">
        <v>10550</v>
      </c>
      <c r="K372" s="546">
        <v>4004</v>
      </c>
      <c r="L372" s="431">
        <v>8.1034605561717144E-3</v>
      </c>
      <c r="M372" s="431">
        <v>7.3555557104909046E-3</v>
      </c>
      <c r="N372" s="431">
        <v>6.6318730735021557E-3</v>
      </c>
      <c r="O372" s="431">
        <f t="shared" si="180"/>
        <v>-7.4790484568080986E-4</v>
      </c>
      <c r="P372" s="431">
        <f t="shared" si="181"/>
        <v>-7.2368263698874887E-4</v>
      </c>
      <c r="Q372" s="431">
        <f t="shared" si="182"/>
        <v>-1.4715874826695587E-3</v>
      </c>
      <c r="R372" s="431"/>
      <c r="S372" s="431"/>
      <c r="T372" s="364">
        <f t="shared" si="183"/>
        <v>-5.8863499306782349E-4</v>
      </c>
    </row>
    <row r="373" spans="1:20">
      <c r="A373" s="393" t="s">
        <v>2408</v>
      </c>
      <c r="B373" s="394" t="s">
        <v>2429</v>
      </c>
      <c r="C373" s="427" t="s">
        <v>2198</v>
      </c>
      <c r="D373" s="394" t="s">
        <v>2353</v>
      </c>
      <c r="E373" s="394" t="s">
        <v>2407</v>
      </c>
      <c r="F373" s="394" t="s">
        <v>2043</v>
      </c>
      <c r="G373" s="415">
        <v>40950</v>
      </c>
      <c r="H373" s="428" t="s">
        <v>2212</v>
      </c>
      <c r="I373" s="415">
        <v>1686</v>
      </c>
      <c r="J373" s="546">
        <v>272</v>
      </c>
      <c r="K373" s="546">
        <v>10</v>
      </c>
      <c r="L373" s="431">
        <v>1.1436827806550738E-3</v>
      </c>
      <c r="M373" s="431">
        <v>1.8964086760696929E-4</v>
      </c>
      <c r="N373" s="431">
        <v>1.6563119564191197E-5</v>
      </c>
      <c r="O373" s="431">
        <f t="shared" si="180"/>
        <v>-9.5404191304810455E-4</v>
      </c>
      <c r="P373" s="431">
        <f t="shared" si="181"/>
        <v>-1.7307774804277811E-4</v>
      </c>
      <c r="Q373" s="431">
        <f t="shared" si="182"/>
        <v>-1.1271196610908826E-3</v>
      </c>
      <c r="R373" s="431"/>
      <c r="S373" s="431"/>
      <c r="T373" s="364">
        <f t="shared" si="183"/>
        <v>-4.50847864436353E-4</v>
      </c>
    </row>
    <row r="374" spans="1:20">
      <c r="A374" s="393" t="s">
        <v>2430</v>
      </c>
      <c r="B374" s="394" t="s">
        <v>2431</v>
      </c>
      <c r="C374" s="427" t="s">
        <v>2198</v>
      </c>
      <c r="D374" s="394" t="s">
        <v>2353</v>
      </c>
      <c r="E374" s="394" t="s">
        <v>2407</v>
      </c>
      <c r="F374" s="394" t="s">
        <v>2432</v>
      </c>
      <c r="G374" s="415">
        <v>36700</v>
      </c>
      <c r="H374" s="428" t="s">
        <v>2240</v>
      </c>
      <c r="I374" s="415">
        <v>13894</v>
      </c>
      <c r="J374" s="546">
        <v>16533</v>
      </c>
      <c r="K374" s="546">
        <v>3717</v>
      </c>
      <c r="L374" s="431">
        <v>9.4248686562405665E-3</v>
      </c>
      <c r="M374" s="431">
        <v>1.1526957588772145E-2</v>
      </c>
      <c r="N374" s="431">
        <v>6.1565115420098683E-3</v>
      </c>
      <c r="O374" s="431">
        <f t="shared" si="180"/>
        <v>2.1020889325315782E-3</v>
      </c>
      <c r="P374" s="431">
        <f t="shared" si="181"/>
        <v>-5.3704460467622764E-3</v>
      </c>
      <c r="Q374" s="431">
        <f t="shared" si="182"/>
        <v>-3.2683571142306982E-3</v>
      </c>
      <c r="R374" s="431"/>
      <c r="S374" s="431"/>
      <c r="T374" s="364">
        <f t="shared" si="183"/>
        <v>-1.3073428456922792E-3</v>
      </c>
    </row>
    <row r="375" spans="1:20">
      <c r="A375" s="393" t="s">
        <v>2430</v>
      </c>
      <c r="B375" s="394" t="s">
        <v>2433</v>
      </c>
      <c r="C375" s="427" t="s">
        <v>2198</v>
      </c>
      <c r="D375" s="394" t="s">
        <v>2353</v>
      </c>
      <c r="E375" s="394" t="s">
        <v>2407</v>
      </c>
      <c r="F375" s="394" t="s">
        <v>2043</v>
      </c>
      <c r="G375" s="415">
        <v>41750</v>
      </c>
      <c r="H375" s="428" t="s">
        <v>2212</v>
      </c>
      <c r="I375" s="415">
        <v>2793</v>
      </c>
      <c r="J375" s="415">
        <v>2729</v>
      </c>
      <c r="K375" s="415">
        <v>1403</v>
      </c>
      <c r="L375" s="431">
        <v>1.8946061722239745E-3</v>
      </c>
      <c r="M375" s="431">
        <v>1.9026835577184531E-3</v>
      </c>
      <c r="N375" s="431">
        <v>2.3238056748560252E-3</v>
      </c>
      <c r="O375" s="431">
        <f t="shared" si="180"/>
        <v>8.0773854944785669E-6</v>
      </c>
      <c r="P375" s="431">
        <f t="shared" si="181"/>
        <v>4.2112211713757211E-4</v>
      </c>
      <c r="Q375" s="431">
        <f t="shared" si="182"/>
        <v>4.2919950263205068E-4</v>
      </c>
      <c r="R375" s="431"/>
      <c r="S375" s="431"/>
      <c r="T375" s="364">
        <f t="shared" si="183"/>
        <v>1.7167980105282026E-4</v>
      </c>
    </row>
    <row r="376" spans="1:20">
      <c r="A376" s="393" t="s">
        <v>2411</v>
      </c>
      <c r="B376" s="394" t="s">
        <v>2434</v>
      </c>
      <c r="C376" s="427" t="s">
        <v>2198</v>
      </c>
      <c r="D376" s="394" t="s">
        <v>2353</v>
      </c>
      <c r="E376" s="394" t="s">
        <v>2407</v>
      </c>
      <c r="F376" s="394" t="s">
        <v>2043</v>
      </c>
      <c r="G376" s="415">
        <v>37500</v>
      </c>
      <c r="H376" s="428" t="s">
        <v>2240</v>
      </c>
      <c r="I376" s="415">
        <v>21785</v>
      </c>
      <c r="J376" s="546">
        <v>26100</v>
      </c>
      <c r="K376" s="546">
        <v>7122</v>
      </c>
      <c r="L376" s="431">
        <v>1.4777656806981485E-2</v>
      </c>
      <c r="M376" s="431">
        <v>1.8197156781404041E-2</v>
      </c>
      <c r="N376" s="431">
        <v>1.1796253753616971E-2</v>
      </c>
      <c r="O376" s="431">
        <f t="shared" si="180"/>
        <v>3.419499974422556E-3</v>
      </c>
      <c r="P376" s="431">
        <f t="shared" si="181"/>
        <v>-6.4009030277870707E-3</v>
      </c>
      <c r="Q376" s="431">
        <f t="shared" si="182"/>
        <v>-2.9814030533645147E-3</v>
      </c>
      <c r="R376" s="431"/>
      <c r="S376" s="431"/>
      <c r="T376" s="364">
        <f t="shared" si="183"/>
        <v>-1.1925612213458058E-3</v>
      </c>
    </row>
    <row r="377" spans="1:20">
      <c r="A377" s="393" t="s">
        <v>2428</v>
      </c>
      <c r="B377" s="394" t="s">
        <v>2374</v>
      </c>
      <c r="C377" s="427" t="s">
        <v>2198</v>
      </c>
      <c r="D377" s="394" t="s">
        <v>2353</v>
      </c>
      <c r="E377" s="394" t="s">
        <v>2407</v>
      </c>
      <c r="F377" s="394" t="s">
        <v>2043</v>
      </c>
      <c r="G377" s="415">
        <v>43295</v>
      </c>
      <c r="H377" s="428" t="s">
        <v>2201</v>
      </c>
      <c r="I377" s="415">
        <v>3808</v>
      </c>
      <c r="J377" s="415">
        <v>2987</v>
      </c>
      <c r="K377" s="415">
        <v>1386</v>
      </c>
      <c r="L377" s="431">
        <v>2.5831221997239151E-3</v>
      </c>
      <c r="M377" s="431">
        <v>2.0825634983162402E-3</v>
      </c>
      <c r="N377" s="431">
        <v>2.2956483715968999E-3</v>
      </c>
      <c r="O377" s="431">
        <f t="shared" si="180"/>
        <v>-5.005587014076749E-4</v>
      </c>
      <c r="P377" s="431">
        <f t="shared" si="181"/>
        <v>2.1308487328065969E-4</v>
      </c>
      <c r="Q377" s="431">
        <f t="shared" si="182"/>
        <v>-2.8747382812701521E-4</v>
      </c>
      <c r="R377" s="431"/>
      <c r="S377" s="431"/>
      <c r="T377" s="364">
        <f t="shared" si="183"/>
        <v>-1.1498953125080609E-4</v>
      </c>
    </row>
    <row r="378" spans="1:20">
      <c r="A378" t="s">
        <v>24</v>
      </c>
      <c r="I378" s="403">
        <f t="shared" ref="I378:Q378" si="184">SUM(I360:I377)</f>
        <v>390900</v>
      </c>
      <c r="J378" s="403">
        <f t="shared" si="184"/>
        <v>351689</v>
      </c>
      <c r="K378" s="403">
        <f t="shared" si="184"/>
        <v>182856</v>
      </c>
      <c r="L378" s="364">
        <f t="shared" si="184"/>
        <v>0.26516346320170131</v>
      </c>
      <c r="M378" s="364">
        <f t="shared" si="184"/>
        <v>0.2452007613523067</v>
      </c>
      <c r="N378" s="364">
        <f t="shared" si="184"/>
        <v>0.3028665791029746</v>
      </c>
      <c r="O378" s="364">
        <f t="shared" si="184"/>
        <v>-1.9962701849394554E-2</v>
      </c>
      <c r="P378" s="364">
        <f t="shared" si="184"/>
        <v>5.7665817750667835E-2</v>
      </c>
      <c r="Q378" s="364">
        <f t="shared" si="184"/>
        <v>3.7703115901273294E-2</v>
      </c>
      <c r="R378" s="364"/>
      <c r="S378" s="364"/>
      <c r="T378" s="364"/>
    </row>
    <row r="379" spans="1:20">
      <c r="A379" s="64" t="s">
        <v>2218</v>
      </c>
    </row>
    <row r="380" spans="1:20">
      <c r="A380" t="s">
        <v>2435</v>
      </c>
      <c r="B380">
        <v>2020</v>
      </c>
      <c r="C380">
        <v>2021</v>
      </c>
      <c r="D380" t="s">
        <v>14</v>
      </c>
      <c r="E380" t="s">
        <v>11</v>
      </c>
      <c r="F380" t="s">
        <v>12</v>
      </c>
      <c r="G380" t="s">
        <v>13</v>
      </c>
      <c r="H380" t="s">
        <v>2220</v>
      </c>
      <c r="I380" t="s">
        <v>2221</v>
      </c>
      <c r="J380" t="s">
        <v>2222</v>
      </c>
      <c r="K380" t="s">
        <v>2223</v>
      </c>
      <c r="L380" t="s">
        <v>2224</v>
      </c>
      <c r="M380" t="s">
        <v>2225</v>
      </c>
      <c r="N380" t="s">
        <v>2226</v>
      </c>
    </row>
    <row r="381" spans="1:20">
      <c r="A381" t="s">
        <v>2227</v>
      </c>
      <c r="B381" s="546">
        <v>1520002</v>
      </c>
      <c r="C381" s="546">
        <v>1357316</v>
      </c>
      <c r="D381" s="279">
        <f>AVERAGE(B381:C381)</f>
        <v>1438659</v>
      </c>
      <c r="E381" s="279">
        <f>AVERAGE(C381:D381)</f>
        <v>1397987.5</v>
      </c>
      <c r="F381" s="279">
        <f>AVERAGE(D381:E381)</f>
        <v>1418323.25</v>
      </c>
      <c r="G381" s="279">
        <f t="shared" ref="G381" si="185">AVERAGE(E381:F381)</f>
        <v>1408155.375</v>
      </c>
      <c r="H381" s="279">
        <f t="shared" ref="H381" si="186">AVERAGE(F381:G381)</f>
        <v>1413239.3125</v>
      </c>
      <c r="I381" s="279">
        <f t="shared" ref="I381" si="187">AVERAGE(G381:H381)</f>
        <v>1410697.34375</v>
      </c>
      <c r="J381" s="279">
        <f>AVERAGE(H381:I381)</f>
        <v>1411968.328125</v>
      </c>
      <c r="K381" s="279">
        <f t="shared" ref="K381" si="188">AVERAGE(I381:J381)</f>
        <v>1411332.8359375</v>
      </c>
      <c r="L381" s="279">
        <f>AVERAGE(J381:K381)</f>
        <v>1411650.58203125</v>
      </c>
      <c r="N381" t="s">
        <v>162</v>
      </c>
    </row>
    <row r="382" spans="1:20">
      <c r="A382" s="64" t="s">
        <v>2228</v>
      </c>
    </row>
    <row r="383" spans="1:20">
      <c r="A383" s="394" t="s">
        <v>148</v>
      </c>
      <c r="B383" s="404">
        <f t="shared" ref="B383:B400" si="189">L360</f>
        <v>0.11362210306033503</v>
      </c>
      <c r="C383" s="404">
        <f t="shared" ref="C383:C400" si="190">M360</f>
        <v>8.478759525618948E-2</v>
      </c>
      <c r="D383" s="437">
        <f>N360+$N383/2</f>
        <v>0.15954229826308106</v>
      </c>
      <c r="E383" s="296">
        <f t="shared" ref="E383:K383" si="191">D383+$N383</f>
        <v>0.18015948024251782</v>
      </c>
      <c r="F383" s="296">
        <f t="shared" si="191"/>
        <v>0.20077666222195456</v>
      </c>
      <c r="G383" s="296">
        <f t="shared" si="191"/>
        <v>0.2213938442013913</v>
      </c>
      <c r="H383" s="296">
        <f t="shared" si="191"/>
        <v>0.24201102618082804</v>
      </c>
      <c r="I383" s="296">
        <f t="shared" si="191"/>
        <v>0.26262820816026478</v>
      </c>
      <c r="J383" s="296">
        <f t="shared" si="191"/>
        <v>0.28324539013970151</v>
      </c>
      <c r="K383" s="296">
        <f t="shared" si="191"/>
        <v>0.30386257211913825</v>
      </c>
      <c r="L383" s="296">
        <f>K383+$N383</f>
        <v>0.32447975409857499</v>
      </c>
      <c r="M383" s="419"/>
      <c r="N383" s="296">
        <f>-SUM(N384:N400)+S360</f>
        <v>2.0617181979436752E-2</v>
      </c>
    </row>
    <row r="384" spans="1:20">
      <c r="A384" s="429" t="s">
        <v>2422</v>
      </c>
      <c r="B384" s="404">
        <f t="shared" si="189"/>
        <v>1.0400322890274965E-2</v>
      </c>
      <c r="C384" s="404">
        <f t="shared" si="190"/>
        <v>5.6529711564606878E-3</v>
      </c>
      <c r="D384" s="296">
        <f>C384+$N384</f>
        <v>5.0569094435157416E-3</v>
      </c>
      <c r="E384" s="296">
        <f t="shared" ref="E384:L384" si="192">D384+$N384</f>
        <v>4.4608477305707953E-3</v>
      </c>
      <c r="F384" s="296">
        <f t="shared" si="192"/>
        <v>3.8647860176258494E-3</v>
      </c>
      <c r="G384" s="296">
        <f t="shared" si="192"/>
        <v>3.2687243046809035E-3</v>
      </c>
      <c r="H384" s="296">
        <f t="shared" si="192"/>
        <v>2.6726625917359577E-3</v>
      </c>
      <c r="I384" s="296">
        <f t="shared" si="192"/>
        <v>2.0766008787910118E-3</v>
      </c>
      <c r="J384" s="296">
        <f t="shared" si="192"/>
        <v>1.4805391658460659E-3</v>
      </c>
      <c r="K384" s="296">
        <f t="shared" si="192"/>
        <v>8.8447745290111998E-4</v>
      </c>
      <c r="L384" s="296">
        <f t="shared" si="192"/>
        <v>2.8841573995617401E-4</v>
      </c>
      <c r="M384" s="419">
        <v>0.4</v>
      </c>
      <c r="N384" s="406">
        <f t="shared" ref="N384:N400" si="193">M384*T361</f>
        <v>-5.9606171294494597E-4</v>
      </c>
    </row>
    <row r="385" spans="1:15">
      <c r="A385" s="429" t="s">
        <v>2359</v>
      </c>
      <c r="B385" s="404">
        <f t="shared" si="189"/>
        <v>1.3971787801395347E-2</v>
      </c>
      <c r="C385" s="404">
        <f t="shared" si="190"/>
        <v>2.1484497556282203E-2</v>
      </c>
      <c r="D385" s="296">
        <f>C385+$N385</f>
        <v>2.1543173992687258E-2</v>
      </c>
      <c r="E385" s="296">
        <f t="shared" ref="E385:L385" si="194">D385+$N385</f>
        <v>2.1601850429092313E-2</v>
      </c>
      <c r="F385" s="296">
        <f t="shared" si="194"/>
        <v>2.1660526865497368E-2</v>
      </c>
      <c r="G385" s="296">
        <f t="shared" si="194"/>
        <v>2.1719203301902423E-2</v>
      </c>
      <c r="H385" s="296">
        <f t="shared" si="194"/>
        <v>2.1777879738307478E-2</v>
      </c>
      <c r="I385" s="296">
        <f t="shared" si="194"/>
        <v>2.1836556174712533E-2</v>
      </c>
      <c r="J385" s="296">
        <f t="shared" si="194"/>
        <v>2.1895232611117588E-2</v>
      </c>
      <c r="K385" s="296">
        <f t="shared" si="194"/>
        <v>2.1953909047522643E-2</v>
      </c>
      <c r="L385" s="296">
        <f t="shared" si="194"/>
        <v>2.2012585483927698E-2</v>
      </c>
      <c r="M385" s="419">
        <v>0.125</v>
      </c>
      <c r="N385" s="406">
        <f t="shared" si="193"/>
        <v>5.8676436405054237E-5</v>
      </c>
      <c r="O385" t="s">
        <v>2421</v>
      </c>
    </row>
    <row r="386" spans="1:15">
      <c r="A386" s="429" t="s">
        <v>2424</v>
      </c>
      <c r="B386" s="404">
        <f t="shared" si="189"/>
        <v>2.8111804149411369E-2</v>
      </c>
      <c r="C386" s="404">
        <f t="shared" si="190"/>
        <v>3.4484657914368784E-2</v>
      </c>
      <c r="D386" s="296">
        <f t="shared" ref="D386:L386" si="195">C386+$N386</f>
        <v>3.2733916388798634E-2</v>
      </c>
      <c r="E386" s="296">
        <f t="shared" si="195"/>
        <v>3.098317486322848E-2</v>
      </c>
      <c r="F386" s="296">
        <f t="shared" si="195"/>
        <v>2.9232433337658327E-2</v>
      </c>
      <c r="G386" s="296">
        <f t="shared" si="195"/>
        <v>2.7481691812088174E-2</v>
      </c>
      <c r="H386" s="296">
        <f t="shared" si="195"/>
        <v>2.573095028651802E-2</v>
      </c>
      <c r="I386" s="296">
        <f t="shared" si="195"/>
        <v>2.3980208760947867E-2</v>
      </c>
      <c r="J386" s="296">
        <f t="shared" si="195"/>
        <v>2.2229467235377713E-2</v>
      </c>
      <c r="K386" s="296">
        <f t="shared" si="195"/>
        <v>2.047872570980756E-2</v>
      </c>
      <c r="L386" s="296">
        <f t="shared" si="195"/>
        <v>1.8727984184237406E-2</v>
      </c>
      <c r="M386" s="419">
        <v>1</v>
      </c>
      <c r="N386" s="406">
        <f t="shared" si="193"/>
        <v>-1.7507415255701528E-3</v>
      </c>
    </row>
    <row r="387" spans="1:15">
      <c r="A387" s="394" t="s">
        <v>2368</v>
      </c>
      <c r="B387" s="404">
        <f t="shared" si="189"/>
        <v>5.5644305158443477E-3</v>
      </c>
      <c r="C387" s="404">
        <f t="shared" si="190"/>
        <v>5.3224940562926603E-3</v>
      </c>
      <c r="D387" s="296">
        <f t="shared" ref="D387:L387" si="196">C387+$N387</f>
        <v>4.7507735465838891E-3</v>
      </c>
      <c r="E387" s="296">
        <f t="shared" si="196"/>
        <v>4.1790530368751178E-3</v>
      </c>
      <c r="F387" s="296">
        <f t="shared" si="196"/>
        <v>3.6073325271663466E-3</v>
      </c>
      <c r="G387" s="296">
        <f t="shared" si="196"/>
        <v>3.0356120174575753E-3</v>
      </c>
      <c r="H387" s="296">
        <f t="shared" si="196"/>
        <v>2.4638915077488041E-3</v>
      </c>
      <c r="I387" s="296">
        <f t="shared" si="196"/>
        <v>1.8921709980400329E-3</v>
      </c>
      <c r="J387" s="296">
        <f t="shared" si="196"/>
        <v>1.3204504883312616E-3</v>
      </c>
      <c r="K387" s="296">
        <f t="shared" si="196"/>
        <v>7.4872997862249051E-4</v>
      </c>
      <c r="L387" s="296">
        <f t="shared" si="196"/>
        <v>1.7700946891371938E-4</v>
      </c>
      <c r="M387" s="419">
        <v>0.83333333333333337</v>
      </c>
      <c r="N387" s="406">
        <f t="shared" si="193"/>
        <v>-5.7172050970877113E-4</v>
      </c>
    </row>
    <row r="388" spans="1:15">
      <c r="A388" s="394" t="s">
        <v>2425</v>
      </c>
      <c r="B388" s="404">
        <f t="shared" si="189"/>
        <v>1.2442129040792031E-2</v>
      </c>
      <c r="C388" s="404">
        <f t="shared" si="190"/>
        <v>1.1338711139309345E-2</v>
      </c>
      <c r="D388" s="296">
        <f t="shared" ref="D388:L388" si="197">C388+$N388</f>
        <v>1.1187027514432712E-2</v>
      </c>
      <c r="E388" s="296">
        <f t="shared" si="197"/>
        <v>1.1035343889556079E-2</v>
      </c>
      <c r="F388" s="296">
        <f t="shared" si="197"/>
        <v>1.0883660264679447E-2</v>
      </c>
      <c r="G388" s="296">
        <f t="shared" si="197"/>
        <v>1.0731976639802814E-2</v>
      </c>
      <c r="H388" s="296">
        <f t="shared" si="197"/>
        <v>1.0580293014926181E-2</v>
      </c>
      <c r="I388" s="296">
        <f t="shared" si="197"/>
        <v>1.0428609390049548E-2</v>
      </c>
      <c r="J388" s="296">
        <f t="shared" si="197"/>
        <v>1.0276925765172916E-2</v>
      </c>
      <c r="K388" s="296">
        <f t="shared" si="197"/>
        <v>1.0125242140296283E-2</v>
      </c>
      <c r="L388" s="296">
        <f t="shared" si="197"/>
        <v>9.9735585154196501E-3</v>
      </c>
      <c r="M388" s="419">
        <v>1</v>
      </c>
      <c r="N388" s="406">
        <f t="shared" si="193"/>
        <v>-1.5168362487663276E-4</v>
      </c>
    </row>
    <row r="389" spans="1:15">
      <c r="A389" s="394" t="s">
        <v>2426</v>
      </c>
      <c r="B389" s="404">
        <f t="shared" si="189"/>
        <v>6.7406736603614877E-3</v>
      </c>
      <c r="C389" s="404">
        <f t="shared" si="190"/>
        <v>1.6663296822818259E-3</v>
      </c>
      <c r="D389" s="296">
        <f t="shared" ref="D389:L389" si="198">C389+$N389</f>
        <v>1.7683842989104602E-3</v>
      </c>
      <c r="E389" s="296">
        <f t="shared" si="198"/>
        <v>1.8704389155390945E-3</v>
      </c>
      <c r="F389" s="296">
        <f t="shared" si="198"/>
        <v>1.9724935321677288E-3</v>
      </c>
      <c r="G389" s="296">
        <f t="shared" si="198"/>
        <v>2.0745481487963631E-3</v>
      </c>
      <c r="H389" s="296">
        <f t="shared" si="198"/>
        <v>2.1766027654249974E-3</v>
      </c>
      <c r="I389" s="296">
        <f t="shared" si="198"/>
        <v>2.2786573820536317E-3</v>
      </c>
      <c r="J389" s="296">
        <f t="shared" si="198"/>
        <v>2.380711998682266E-3</v>
      </c>
      <c r="K389" s="296">
        <f t="shared" si="198"/>
        <v>2.4827666153109003E-3</v>
      </c>
      <c r="L389" s="296">
        <f t="shared" si="198"/>
        <v>2.5848212319395346E-3</v>
      </c>
      <c r="M389" s="419">
        <v>0.125</v>
      </c>
      <c r="N389" s="406">
        <f t="shared" si="193"/>
        <v>1.0205461662863426E-4</v>
      </c>
      <c r="O389" t="s">
        <v>2421</v>
      </c>
    </row>
    <row r="390" spans="1:15">
      <c r="A390" s="394" t="s">
        <v>2427</v>
      </c>
      <c r="B390" s="404">
        <f t="shared" si="189"/>
        <v>7.4597150289821158E-3</v>
      </c>
      <c r="C390" s="404">
        <f t="shared" si="190"/>
        <v>4.7563602897600903E-3</v>
      </c>
      <c r="D390" s="296">
        <f t="shared" ref="D390:L390" si="199">C390+$N390</f>
        <v>4.2595295073802747E-3</v>
      </c>
      <c r="E390" s="296">
        <f t="shared" si="199"/>
        <v>3.7626987250004586E-3</v>
      </c>
      <c r="F390" s="296">
        <f t="shared" si="199"/>
        <v>3.2658679426206426E-3</v>
      </c>
      <c r="G390" s="296">
        <f t="shared" si="199"/>
        <v>2.7690371602408265E-3</v>
      </c>
      <c r="H390" s="296">
        <f t="shared" si="199"/>
        <v>2.2722063778610104E-3</v>
      </c>
      <c r="I390" s="296">
        <f t="shared" si="199"/>
        <v>1.7753755954811943E-3</v>
      </c>
      <c r="J390" s="296">
        <f t="shared" si="199"/>
        <v>1.2785448131013783E-3</v>
      </c>
      <c r="K390" s="296">
        <f t="shared" si="199"/>
        <v>7.8171403072156231E-4</v>
      </c>
      <c r="L390" s="296">
        <f t="shared" si="199"/>
        <v>2.8488324834174635E-4</v>
      </c>
      <c r="M390" s="419">
        <v>0.5</v>
      </c>
      <c r="N390" s="406">
        <f t="shared" si="193"/>
        <v>-4.9683078237981596E-4</v>
      </c>
    </row>
    <row r="391" spans="1:15">
      <c r="A391" s="394" t="s">
        <v>2375</v>
      </c>
      <c r="B391" s="404">
        <f t="shared" si="189"/>
        <v>9.2254364275854116E-3</v>
      </c>
      <c r="C391" s="404">
        <f t="shared" si="190"/>
        <v>1.5337205167713643E-2</v>
      </c>
      <c r="D391" s="296">
        <f t="shared" ref="D391:L391" si="200">C391+$N391</f>
        <v>1.5779534334158823E-2</v>
      </c>
      <c r="E391" s="296">
        <f t="shared" si="200"/>
        <v>1.6221863500604002E-2</v>
      </c>
      <c r="F391" s="296">
        <f t="shared" si="200"/>
        <v>1.6664192667049181E-2</v>
      </c>
      <c r="G391" s="296">
        <f t="shared" si="200"/>
        <v>1.710652183349436E-2</v>
      </c>
      <c r="H391" s="296">
        <f t="shared" si="200"/>
        <v>1.7548850999939539E-2</v>
      </c>
      <c r="I391" s="296">
        <f t="shared" si="200"/>
        <v>1.7991180166384717E-2</v>
      </c>
      <c r="J391" s="296">
        <f t="shared" si="200"/>
        <v>1.8433509332829896E-2</v>
      </c>
      <c r="K391" s="296">
        <f t="shared" si="200"/>
        <v>1.8875838499275075E-2</v>
      </c>
      <c r="L391" s="296">
        <f t="shared" si="200"/>
        <v>1.9318167665720254E-2</v>
      </c>
      <c r="M391" s="419">
        <v>0.125</v>
      </c>
      <c r="N391" s="406">
        <f t="shared" si="193"/>
        <v>4.4232916644518022E-4</v>
      </c>
      <c r="O391" t="s">
        <v>2421</v>
      </c>
    </row>
    <row r="392" spans="1:15">
      <c r="A392" s="394" t="s">
        <v>2370</v>
      </c>
      <c r="B392" s="404">
        <f t="shared" si="189"/>
        <v>6.4021815443787581E-3</v>
      </c>
      <c r="C392" s="404">
        <f t="shared" si="190"/>
        <v>7.4726868346010914E-3</v>
      </c>
      <c r="D392" s="296">
        <f t="shared" ref="D392:L392" si="201">C392+$N392</f>
        <v>7.7125768298474577E-3</v>
      </c>
      <c r="E392" s="296">
        <f t="shared" si="201"/>
        <v>7.9524668250938249E-3</v>
      </c>
      <c r="F392" s="296">
        <f t="shared" si="201"/>
        <v>8.1923568203401912E-3</v>
      </c>
      <c r="G392" s="296">
        <f t="shared" si="201"/>
        <v>8.4322468155865575E-3</v>
      </c>
      <c r="H392" s="296">
        <f t="shared" si="201"/>
        <v>8.6721368108329238E-3</v>
      </c>
      <c r="I392" s="296">
        <f t="shared" si="201"/>
        <v>8.9120268060792901E-3</v>
      </c>
      <c r="J392" s="296">
        <f t="shared" si="201"/>
        <v>9.1519168013256564E-3</v>
      </c>
      <c r="K392" s="296">
        <f t="shared" si="201"/>
        <v>9.3918067965720227E-3</v>
      </c>
      <c r="L392" s="296">
        <f t="shared" si="201"/>
        <v>9.631696791818389E-3</v>
      </c>
      <c r="M392" s="419">
        <v>0.125</v>
      </c>
      <c r="N392" s="406">
        <f t="shared" si="193"/>
        <v>2.3988999524636651E-4</v>
      </c>
      <c r="O392" t="s">
        <v>2421</v>
      </c>
    </row>
    <row r="393" spans="1:15">
      <c r="A393" s="394" t="s">
        <v>2246</v>
      </c>
      <c r="B393" s="404">
        <f t="shared" si="189"/>
        <v>3.3164087275341968E-3</v>
      </c>
      <c r="C393" s="404">
        <f t="shared" si="190"/>
        <v>5.0568573998284868E-3</v>
      </c>
      <c r="D393" s="296">
        <f t="shared" ref="D393:L393" si="202">C393+$N393</f>
        <v>5.2644524940264675E-3</v>
      </c>
      <c r="E393" s="296">
        <f t="shared" si="202"/>
        <v>5.4720475882244482E-3</v>
      </c>
      <c r="F393" s="296">
        <f t="shared" si="202"/>
        <v>5.6796426824224288E-3</v>
      </c>
      <c r="G393" s="296">
        <f t="shared" si="202"/>
        <v>5.8872377766204095E-3</v>
      </c>
      <c r="H393" s="296">
        <f t="shared" si="202"/>
        <v>6.0948328708183902E-3</v>
      </c>
      <c r="I393" s="296">
        <f t="shared" si="202"/>
        <v>6.3024279650163708E-3</v>
      </c>
      <c r="J393" s="296">
        <f t="shared" si="202"/>
        <v>6.5100230592143515E-3</v>
      </c>
      <c r="K393" s="296">
        <f t="shared" si="202"/>
        <v>6.7176181534123322E-3</v>
      </c>
      <c r="L393" s="296">
        <f t="shared" si="202"/>
        <v>6.9252132476103128E-3</v>
      </c>
      <c r="M393" s="419">
        <v>0.125</v>
      </c>
      <c r="N393" s="406">
        <f t="shared" si="193"/>
        <v>2.0759509419798072E-4</v>
      </c>
      <c r="O393" t="s">
        <v>2421</v>
      </c>
    </row>
    <row r="394" spans="1:15">
      <c r="A394" s="394" t="s">
        <v>2249</v>
      </c>
      <c r="B394" s="404">
        <f t="shared" si="189"/>
        <v>9.9790731828094843E-3</v>
      </c>
      <c r="C394" s="404">
        <f t="shared" si="190"/>
        <v>6.5858368949096762E-3</v>
      </c>
      <c r="D394" s="296">
        <f t="shared" ref="D394:L394" si="203">C394+$N394</f>
        <v>6.7092424533936861E-3</v>
      </c>
      <c r="E394" s="296">
        <f t="shared" si="203"/>
        <v>6.8326480118776961E-3</v>
      </c>
      <c r="F394" s="296">
        <f t="shared" si="203"/>
        <v>6.956053570361706E-3</v>
      </c>
      <c r="G394" s="296">
        <f t="shared" si="203"/>
        <v>7.079459128845716E-3</v>
      </c>
      <c r="H394" s="296">
        <f t="shared" si="203"/>
        <v>7.2028646873297259E-3</v>
      </c>
      <c r="I394" s="296">
        <f t="shared" si="203"/>
        <v>7.3262702458137359E-3</v>
      </c>
      <c r="J394" s="296">
        <f t="shared" si="203"/>
        <v>7.4496758042977458E-3</v>
      </c>
      <c r="K394" s="296">
        <f t="shared" si="203"/>
        <v>7.5730813627817558E-3</v>
      </c>
      <c r="L394" s="296">
        <f t="shared" si="203"/>
        <v>7.6964869212657657E-3</v>
      </c>
      <c r="M394" s="419">
        <v>0.125</v>
      </c>
      <c r="N394" s="406">
        <f t="shared" si="193"/>
        <v>1.2340555848401003E-4</v>
      </c>
      <c r="O394" t="s">
        <v>2421</v>
      </c>
    </row>
    <row r="395" spans="1:15">
      <c r="A395" s="394" t="s">
        <v>2245</v>
      </c>
      <c r="B395" s="404">
        <f t="shared" si="189"/>
        <v>8.1034605561717144E-3</v>
      </c>
      <c r="C395" s="404">
        <f t="shared" si="190"/>
        <v>7.3555557104909046E-3</v>
      </c>
      <c r="D395" s="296">
        <f t="shared" ref="D395:L395" si="204">C395+$N395</f>
        <v>6.7669207174230811E-3</v>
      </c>
      <c r="E395" s="296">
        <f t="shared" si="204"/>
        <v>6.1782857243552576E-3</v>
      </c>
      <c r="F395" s="296">
        <f t="shared" si="204"/>
        <v>5.5896507312874341E-3</v>
      </c>
      <c r="G395" s="296">
        <f t="shared" si="204"/>
        <v>5.0010157382196106E-3</v>
      </c>
      <c r="H395" s="296">
        <f t="shared" si="204"/>
        <v>4.4123807451517871E-3</v>
      </c>
      <c r="I395" s="296">
        <f t="shared" si="204"/>
        <v>3.8237457520839636E-3</v>
      </c>
      <c r="J395" s="296">
        <f t="shared" si="204"/>
        <v>3.2351107590161401E-3</v>
      </c>
      <c r="K395" s="296">
        <f t="shared" si="204"/>
        <v>2.6464757659483166E-3</v>
      </c>
      <c r="L395" s="296">
        <f t="shared" si="204"/>
        <v>2.0578407728804931E-3</v>
      </c>
      <c r="M395" s="419">
        <v>1</v>
      </c>
      <c r="N395" s="406">
        <f t="shared" si="193"/>
        <v>-5.8863499306782349E-4</v>
      </c>
    </row>
    <row r="396" spans="1:15">
      <c r="A396" s="394" t="s">
        <v>2429</v>
      </c>
      <c r="B396" s="404">
        <f t="shared" si="189"/>
        <v>1.1436827806550738E-3</v>
      </c>
      <c r="C396" s="404">
        <f t="shared" si="190"/>
        <v>1.8964086760696929E-4</v>
      </c>
      <c r="D396" s="296">
        <f t="shared" ref="D396:L396" si="205">C396+$N396</f>
        <v>1.8964086760696929E-4</v>
      </c>
      <c r="E396" s="296">
        <f t="shared" si="205"/>
        <v>1.8964086760696929E-4</v>
      </c>
      <c r="F396" s="296">
        <f t="shared" si="205"/>
        <v>1.8964086760696929E-4</v>
      </c>
      <c r="G396" s="296">
        <f t="shared" si="205"/>
        <v>1.8964086760696929E-4</v>
      </c>
      <c r="H396" s="296">
        <f t="shared" si="205"/>
        <v>1.8964086760696929E-4</v>
      </c>
      <c r="I396" s="296">
        <f t="shared" si="205"/>
        <v>1.8964086760696929E-4</v>
      </c>
      <c r="J396" s="296">
        <f t="shared" si="205"/>
        <v>1.8964086760696929E-4</v>
      </c>
      <c r="K396" s="296">
        <f t="shared" si="205"/>
        <v>1.8964086760696929E-4</v>
      </c>
      <c r="L396" s="296">
        <f t="shared" si="205"/>
        <v>1.8964086760696929E-4</v>
      </c>
      <c r="M396" s="419">
        <v>0</v>
      </c>
      <c r="N396" s="406">
        <f t="shared" si="193"/>
        <v>0</v>
      </c>
    </row>
    <row r="397" spans="1:15">
      <c r="A397" s="394" t="s">
        <v>2431</v>
      </c>
      <c r="B397" s="404">
        <f t="shared" si="189"/>
        <v>9.4248686562405665E-3</v>
      </c>
      <c r="C397" s="404">
        <f t="shared" si="190"/>
        <v>1.1526957588772145E-2</v>
      </c>
      <c r="D397" s="296">
        <f t="shared" ref="D397:L397" si="206">C397+$N397</f>
        <v>1.0258835028450633E-2</v>
      </c>
      <c r="E397" s="296">
        <f t="shared" si="206"/>
        <v>8.9907124681291219E-3</v>
      </c>
      <c r="F397" s="296">
        <f t="shared" si="206"/>
        <v>7.7225899078076114E-3</v>
      </c>
      <c r="G397" s="296">
        <f t="shared" si="206"/>
        <v>6.4544673474861008E-3</v>
      </c>
      <c r="H397" s="296">
        <f t="shared" si="206"/>
        <v>5.1863447871645903E-3</v>
      </c>
      <c r="I397" s="296">
        <f t="shared" si="206"/>
        <v>3.9182222268430798E-3</v>
      </c>
      <c r="J397" s="296">
        <f t="shared" si="206"/>
        <v>2.6500996665215692E-3</v>
      </c>
      <c r="K397" s="296">
        <f t="shared" si="206"/>
        <v>1.3819771062000585E-3</v>
      </c>
      <c r="L397" s="296">
        <f t="shared" si="206"/>
        <v>1.138545458785477E-4</v>
      </c>
      <c r="M397" s="419">
        <v>0.97</v>
      </c>
      <c r="N397" s="406">
        <f t="shared" si="193"/>
        <v>-1.2681225603215108E-3</v>
      </c>
    </row>
    <row r="398" spans="1:15">
      <c r="A398" s="394" t="s">
        <v>2433</v>
      </c>
      <c r="B398" s="404">
        <f t="shared" si="189"/>
        <v>1.8946061722239745E-3</v>
      </c>
      <c r="C398" s="404">
        <f t="shared" si="190"/>
        <v>1.9026835577184531E-3</v>
      </c>
      <c r="D398" s="296">
        <f t="shared" ref="D398:L398" si="207">C398+$N398</f>
        <v>1.9241435328500556E-3</v>
      </c>
      <c r="E398" s="296">
        <f t="shared" si="207"/>
        <v>1.9456035079816582E-3</v>
      </c>
      <c r="F398" s="296">
        <f t="shared" si="207"/>
        <v>1.9670634831132606E-3</v>
      </c>
      <c r="G398" s="296">
        <f t="shared" si="207"/>
        <v>1.9885234582448629E-3</v>
      </c>
      <c r="H398" s="296">
        <f t="shared" si="207"/>
        <v>2.0099834333764653E-3</v>
      </c>
      <c r="I398" s="296">
        <f t="shared" si="207"/>
        <v>2.0314434085080676E-3</v>
      </c>
      <c r="J398" s="296">
        <f t="shared" si="207"/>
        <v>2.05290338363967E-3</v>
      </c>
      <c r="K398" s="296">
        <f t="shared" si="207"/>
        <v>2.0743633587712723E-3</v>
      </c>
      <c r="L398" s="296">
        <f t="shared" si="207"/>
        <v>2.0958233339028747E-3</v>
      </c>
      <c r="M398" s="419">
        <v>0.125</v>
      </c>
      <c r="N398" s="406">
        <f t="shared" si="193"/>
        <v>2.1459975131602533E-5</v>
      </c>
      <c r="O398" s="419">
        <v>0.125</v>
      </c>
    </row>
    <row r="399" spans="1:15">
      <c r="A399" s="394" t="s">
        <v>2434</v>
      </c>
      <c r="B399" s="404">
        <f t="shared" si="189"/>
        <v>1.4777656806981485E-2</v>
      </c>
      <c r="C399" s="404">
        <f t="shared" si="190"/>
        <v>1.8197156781404041E-2</v>
      </c>
      <c r="D399" s="296">
        <f t="shared" ref="D399:L399" si="208">C399+$N399</f>
        <v>1.7004595560058237E-2</v>
      </c>
      <c r="E399" s="296">
        <f t="shared" si="208"/>
        <v>1.5812034338712432E-2</v>
      </c>
      <c r="F399" s="296">
        <f t="shared" si="208"/>
        <v>1.4619473117366626E-2</v>
      </c>
      <c r="G399" s="296">
        <f t="shared" si="208"/>
        <v>1.342691189602082E-2</v>
      </c>
      <c r="H399" s="296">
        <f t="shared" si="208"/>
        <v>1.2234350674675014E-2</v>
      </c>
      <c r="I399" s="296">
        <f t="shared" si="208"/>
        <v>1.1041789453329207E-2</v>
      </c>
      <c r="J399" s="296">
        <f t="shared" si="208"/>
        <v>9.849228231983401E-3</v>
      </c>
      <c r="K399" s="296">
        <f t="shared" si="208"/>
        <v>8.6566670106375948E-3</v>
      </c>
      <c r="L399" s="296">
        <f t="shared" si="208"/>
        <v>7.4641057892917886E-3</v>
      </c>
      <c r="M399" s="419">
        <v>1</v>
      </c>
      <c r="N399" s="406">
        <f t="shared" si="193"/>
        <v>-1.1925612213458058E-3</v>
      </c>
    </row>
    <row r="400" spans="1:15">
      <c r="A400" s="394" t="s">
        <v>2374</v>
      </c>
      <c r="B400" s="404">
        <f t="shared" si="189"/>
        <v>2.5831221997239151E-3</v>
      </c>
      <c r="C400" s="404">
        <f t="shared" si="190"/>
        <v>2.0825634983162402E-3</v>
      </c>
      <c r="D400" s="296">
        <f t="shared" ref="D400:L400" si="209">C400+$N400</f>
        <v>1.967573967065434E-3</v>
      </c>
      <c r="E400" s="296">
        <f t="shared" si="209"/>
        <v>1.8525844358146279E-3</v>
      </c>
      <c r="F400" s="296">
        <f t="shared" si="209"/>
        <v>1.7375949045638217E-3</v>
      </c>
      <c r="G400" s="296">
        <f t="shared" si="209"/>
        <v>1.6226053733130155E-3</v>
      </c>
      <c r="H400" s="296">
        <f t="shared" si="209"/>
        <v>1.5076158420622094E-3</v>
      </c>
      <c r="I400" s="296">
        <f t="shared" si="209"/>
        <v>1.3926263108114032E-3</v>
      </c>
      <c r="J400" s="296">
        <f t="shared" si="209"/>
        <v>1.277636779560597E-3</v>
      </c>
      <c r="K400" s="296">
        <f t="shared" si="209"/>
        <v>1.1626472483097909E-3</v>
      </c>
      <c r="L400" s="296">
        <f t="shared" si="209"/>
        <v>1.0476577170589847E-3</v>
      </c>
      <c r="M400" s="419">
        <v>1</v>
      </c>
      <c r="N400" s="406">
        <f t="shared" si="193"/>
        <v>-1.1498953125080609E-4</v>
      </c>
    </row>
    <row r="401" spans="1:20">
      <c r="A401" s="64" t="s">
        <v>2036</v>
      </c>
      <c r="D401" s="296"/>
      <c r="E401" s="296"/>
      <c r="F401" s="296"/>
      <c r="G401" s="296"/>
      <c r="H401" s="296"/>
      <c r="I401" s="296"/>
      <c r="J401" s="296"/>
      <c r="K401" s="296"/>
      <c r="L401" s="296"/>
    </row>
    <row r="402" spans="1:20">
      <c r="A402" s="320" t="s">
        <v>148</v>
      </c>
      <c r="B402" s="85">
        <f>I360</f>
        <v>167500</v>
      </c>
      <c r="C402" s="85">
        <f>J360</f>
        <v>121610</v>
      </c>
      <c r="D402" s="403">
        <f>D383*D381</f>
        <v>229526.96327686592</v>
      </c>
      <c r="E402" s="403">
        <f t="shared" ref="E402:K402" si="210">E383*E381</f>
        <v>251860.70138553687</v>
      </c>
      <c r="F402" s="403">
        <f t="shared" si="210"/>
        <v>284766.20808679482</v>
      </c>
      <c r="G402" s="403">
        <f t="shared" si="210"/>
        <v>311756.93170410173</v>
      </c>
      <c r="H402" s="403">
        <f t="shared" si="210"/>
        <v>342019.49625721294</v>
      </c>
      <c r="I402" s="403">
        <f t="shared" si="210"/>
        <v>370488.91564550757</v>
      </c>
      <c r="J402" s="403">
        <f t="shared" si="210"/>
        <v>399933.51996466774</v>
      </c>
      <c r="K402" s="403">
        <f t="shared" si="210"/>
        <v>428851.22564416652</v>
      </c>
      <c r="L402" s="403">
        <f>L383*L381</f>
        <v>458052.03373061027</v>
      </c>
      <c r="M402" t="s">
        <v>2230</v>
      </c>
    </row>
    <row r="404" spans="1:20" s="421" customFormat="1">
      <c r="A404" s="421" t="s">
        <v>2251</v>
      </c>
    </row>
    <row r="405" spans="1:20" s="400" customFormat="1" ht="46.5" customHeight="1">
      <c r="A405" s="527" t="s">
        <v>0</v>
      </c>
      <c r="B405" s="527" t="s">
        <v>2018</v>
      </c>
      <c r="C405" s="527" t="s">
        <v>2019</v>
      </c>
      <c r="D405" s="527" t="s">
        <v>2020</v>
      </c>
      <c r="E405" s="527" t="s">
        <v>2021</v>
      </c>
      <c r="F405" s="527" t="s">
        <v>2022</v>
      </c>
      <c r="G405" s="527" t="s">
        <v>1840</v>
      </c>
      <c r="H405" s="527" t="s">
        <v>2023</v>
      </c>
      <c r="I405" s="527" t="s">
        <v>2024</v>
      </c>
      <c r="J405" s="527" t="s">
        <v>2025</v>
      </c>
      <c r="K405" s="527" t="s">
        <v>2026</v>
      </c>
      <c r="L405" s="527" t="s">
        <v>2027</v>
      </c>
      <c r="M405" s="527" t="s">
        <v>2028</v>
      </c>
      <c r="N405" s="527" t="s">
        <v>2029</v>
      </c>
      <c r="O405" s="527" t="s">
        <v>2030</v>
      </c>
      <c r="P405" s="527" t="s">
        <v>2031</v>
      </c>
      <c r="Q405" s="527" t="s">
        <v>2032</v>
      </c>
      <c r="R405" s="527"/>
      <c r="S405" s="527"/>
      <c r="T405" s="527" t="s">
        <v>2035</v>
      </c>
    </row>
    <row r="406" spans="1:20">
      <c r="A406" s="424" t="s">
        <v>15</v>
      </c>
      <c r="B406" s="425" t="s">
        <v>2251</v>
      </c>
      <c r="C406" s="426" t="s">
        <v>2252</v>
      </c>
      <c r="D406" s="426" t="s">
        <v>2353</v>
      </c>
      <c r="E406" s="426" t="s">
        <v>2300</v>
      </c>
      <c r="F406" s="425" t="s">
        <v>2060</v>
      </c>
      <c r="G406" s="432">
        <v>94990</v>
      </c>
      <c r="H406" s="426" t="s">
        <v>2436</v>
      </c>
      <c r="I406" s="414">
        <v>18600</v>
      </c>
      <c r="J406" s="433">
        <v>11555</v>
      </c>
      <c r="K406" s="433">
        <v>18050</v>
      </c>
      <c r="L406" s="436">
        <v>1.2027212538304409E-2</v>
      </c>
      <c r="M406" s="436">
        <v>1.0921911405386757E-2</v>
      </c>
      <c r="N406" s="436">
        <v>2.9098025686866553E-2</v>
      </c>
      <c r="O406" s="430">
        <f>M406-L406</f>
        <v>-1.1053011329176521E-3</v>
      </c>
      <c r="P406" s="430">
        <f>N406-M406</f>
        <v>1.8176114281479798E-2</v>
      </c>
      <c r="Q406" s="430">
        <f t="shared" ref="Q406:Q413" si="211">N406-L406</f>
        <v>1.7070813148562146E-2</v>
      </c>
      <c r="R406" s="430"/>
      <c r="S406" s="430"/>
      <c r="T406" s="364">
        <f>Q406/2.5</f>
        <v>6.828325259424858E-3</v>
      </c>
    </row>
    <row r="407" spans="1:20">
      <c r="A407" s="393" t="s">
        <v>2273</v>
      </c>
      <c r="B407" s="429" t="s">
        <v>2274</v>
      </c>
      <c r="C407" s="320" t="s">
        <v>2252</v>
      </c>
      <c r="D407" s="394" t="s">
        <v>2353</v>
      </c>
      <c r="E407" s="394" t="s">
        <v>2300</v>
      </c>
      <c r="F407" s="394" t="s">
        <v>2060</v>
      </c>
      <c r="G407" s="415">
        <v>79900</v>
      </c>
      <c r="H407" s="320" t="s">
        <v>2307</v>
      </c>
      <c r="I407" s="415">
        <v>3943</v>
      </c>
      <c r="J407" s="546">
        <v>9168</v>
      </c>
      <c r="K407" s="546">
        <v>2525</v>
      </c>
      <c r="L407" s="437">
        <v>2.5496397332545316E-3</v>
      </c>
      <c r="M407" s="437">
        <v>8.6656930994881681E-3</v>
      </c>
      <c r="N407" s="437">
        <v>4.0704994381904735E-3</v>
      </c>
      <c r="O407" s="430">
        <f t="shared" ref="O407:O413" si="212">M407-L407</f>
        <v>6.1160533662336369E-3</v>
      </c>
      <c r="P407" s="430">
        <f t="shared" ref="P407:P413" si="213">N407-M407</f>
        <v>-4.5951936612976946E-3</v>
      </c>
      <c r="Q407" s="430">
        <f t="shared" si="211"/>
        <v>1.5208597049359419E-3</v>
      </c>
      <c r="R407" s="430"/>
      <c r="S407" s="430"/>
      <c r="T407" s="364">
        <f t="shared" ref="T407:T413" si="214">Q407/2.5</f>
        <v>6.0834388197437679E-4</v>
      </c>
    </row>
    <row r="408" spans="1:20">
      <c r="A408" s="393" t="s">
        <v>2323</v>
      </c>
      <c r="B408" s="429" t="s">
        <v>2437</v>
      </c>
      <c r="C408" s="320" t="s">
        <v>2198</v>
      </c>
      <c r="D408" s="394" t="s">
        <v>2353</v>
      </c>
      <c r="E408" s="394" t="s">
        <v>2300</v>
      </c>
      <c r="F408" s="394" t="s">
        <v>2043</v>
      </c>
      <c r="G408" s="415">
        <v>70245</v>
      </c>
      <c r="H408" s="320" t="s">
        <v>2347</v>
      </c>
      <c r="I408" s="415">
        <v>2859</v>
      </c>
      <c r="J408" s="415">
        <v>3081</v>
      </c>
      <c r="K408" s="415">
        <v>1141</v>
      </c>
      <c r="L408" s="437">
        <v>1.8486989595167906E-3</v>
      </c>
      <c r="M408" s="437">
        <v>2.9121946378188315E-3</v>
      </c>
      <c r="N408" s="437">
        <v>1.8393821223664675E-3</v>
      </c>
      <c r="O408" s="430">
        <f t="shared" si="212"/>
        <v>1.0634956783020409E-3</v>
      </c>
      <c r="P408" s="430">
        <f t="shared" si="213"/>
        <v>-1.072812515452364E-3</v>
      </c>
      <c r="Q408" s="430">
        <f t="shared" si="211"/>
        <v>-9.31683715032312E-6</v>
      </c>
      <c r="R408" s="430"/>
      <c r="S408" s="430"/>
      <c r="T408" s="364">
        <f t="shared" si="214"/>
        <v>-3.726734860129248E-6</v>
      </c>
    </row>
    <row r="409" spans="1:20">
      <c r="A409" s="393" t="s">
        <v>2261</v>
      </c>
      <c r="B409" s="394" t="s">
        <v>2438</v>
      </c>
      <c r="C409" s="435" t="s">
        <v>2198</v>
      </c>
      <c r="D409" s="394" t="s">
        <v>2353</v>
      </c>
      <c r="E409" s="394" t="s">
        <v>2300</v>
      </c>
      <c r="F409" s="394" t="s">
        <v>2043</v>
      </c>
      <c r="G409" s="415">
        <v>55195</v>
      </c>
      <c r="H409" s="320" t="s">
        <v>2327</v>
      </c>
      <c r="I409" s="415">
        <v>26785</v>
      </c>
      <c r="J409" s="415">
        <v>24523</v>
      </c>
      <c r="K409" s="415">
        <v>9810</v>
      </c>
      <c r="L409" s="437">
        <v>1.7319832679488365E-2</v>
      </c>
      <c r="M409" s="437">
        <v>2.3179405745936774E-2</v>
      </c>
      <c r="N409" s="437">
        <v>1.5814494846989522E-2</v>
      </c>
      <c r="O409" s="430">
        <f t="shared" si="212"/>
        <v>5.8595730664484091E-3</v>
      </c>
      <c r="P409" s="430">
        <f t="shared" si="213"/>
        <v>-7.3649108989472523E-3</v>
      </c>
      <c r="Q409" s="430">
        <f t="shared" si="211"/>
        <v>-1.5053378324988431E-3</v>
      </c>
      <c r="R409" s="430"/>
      <c r="S409" s="430"/>
      <c r="T409" s="364">
        <f t="shared" si="214"/>
        <v>-6.0213513299953723E-4</v>
      </c>
    </row>
    <row r="410" spans="1:20">
      <c r="A410" s="320" t="s">
        <v>2342</v>
      </c>
      <c r="B410" s="429" t="s">
        <v>2439</v>
      </c>
      <c r="C410" s="320" t="s">
        <v>2252</v>
      </c>
      <c r="D410" s="394" t="s">
        <v>2353</v>
      </c>
      <c r="E410" s="394" t="s">
        <v>2300</v>
      </c>
      <c r="F410" s="394" t="s">
        <v>2043</v>
      </c>
      <c r="G410" s="415">
        <v>72950</v>
      </c>
      <c r="H410" s="320" t="s">
        <v>2309</v>
      </c>
      <c r="I410" s="415">
        <v>2072</v>
      </c>
      <c r="J410" s="415">
        <v>1821</v>
      </c>
      <c r="K410" s="415">
        <v>568</v>
      </c>
      <c r="L410" s="437">
        <v>1.3398056117939106E-3</v>
      </c>
      <c r="M410" s="437">
        <v>1.7212289631509548E-3</v>
      </c>
      <c r="N410" s="437">
        <v>9.1566086371967878E-4</v>
      </c>
      <c r="O410" s="430">
        <f t="shared" si="212"/>
        <v>3.8142335135704425E-4</v>
      </c>
      <c r="P410" s="430">
        <f t="shared" si="213"/>
        <v>-8.0556809943127603E-4</v>
      </c>
      <c r="Q410" s="430">
        <f t="shared" si="211"/>
        <v>-4.2414474807423179E-4</v>
      </c>
      <c r="R410" s="430"/>
      <c r="S410" s="430"/>
      <c r="T410" s="364">
        <f t="shared" si="214"/>
        <v>-1.6965789922969272E-4</v>
      </c>
    </row>
    <row r="411" spans="1:20">
      <c r="A411" s="320" t="s">
        <v>2264</v>
      </c>
      <c r="B411" s="429" t="s">
        <v>2440</v>
      </c>
      <c r="C411" s="435" t="s">
        <v>2198</v>
      </c>
      <c r="D411" s="394" t="s">
        <v>2353</v>
      </c>
      <c r="E411" s="394" t="s">
        <v>2300</v>
      </c>
      <c r="F411" s="394" t="s">
        <v>2043</v>
      </c>
      <c r="G411" s="415">
        <v>52090</v>
      </c>
      <c r="H411" s="320" t="s">
        <v>2363</v>
      </c>
      <c r="I411" s="415">
        <v>2560</v>
      </c>
      <c r="J411" s="415">
        <v>76</v>
      </c>
      <c r="K411" s="415">
        <v>2</v>
      </c>
      <c r="L411" s="437">
        <v>1.655358284841897E-3</v>
      </c>
      <c r="M411" s="437">
        <v>7.1836024821236993E-5</v>
      </c>
      <c r="N411" s="437">
        <v>3.2241579708439394E-6</v>
      </c>
      <c r="O411" s="430">
        <f t="shared" si="212"/>
        <v>-1.5835222600206601E-3</v>
      </c>
      <c r="P411" s="430">
        <f t="shared" si="213"/>
        <v>-6.8611866850393059E-5</v>
      </c>
      <c r="Q411" s="430">
        <f t="shared" si="211"/>
        <v>-1.6521341268710531E-3</v>
      </c>
      <c r="R411" s="430"/>
      <c r="S411" s="430"/>
      <c r="T411" s="364">
        <f t="shared" si="214"/>
        <v>-6.6085365074842128E-4</v>
      </c>
    </row>
    <row r="412" spans="1:20">
      <c r="A412" s="320" t="s">
        <v>2267</v>
      </c>
      <c r="B412" s="429" t="s">
        <v>2384</v>
      </c>
      <c r="C412" s="435" t="s">
        <v>2198</v>
      </c>
      <c r="D412" s="394" t="s">
        <v>2353</v>
      </c>
      <c r="E412" s="394" t="s">
        <v>2300</v>
      </c>
      <c r="F412" s="394" t="s">
        <v>2043</v>
      </c>
      <c r="G412" s="415">
        <v>71350</v>
      </c>
      <c r="H412" s="320" t="s">
        <v>2347</v>
      </c>
      <c r="I412" s="415">
        <v>27102</v>
      </c>
      <c r="J412" s="415">
        <v>20947</v>
      </c>
      <c r="K412" s="415">
        <v>9808</v>
      </c>
      <c r="L412" s="437">
        <v>1.7524812592103554E-2</v>
      </c>
      <c r="M412" s="437">
        <v>1.9799331735926993E-2</v>
      </c>
      <c r="N412" s="437">
        <v>1.5811270689018678E-2</v>
      </c>
      <c r="O412" s="430">
        <f t="shared" si="212"/>
        <v>2.2745191438234384E-3</v>
      </c>
      <c r="P412" s="430">
        <f t="shared" si="213"/>
        <v>-3.9880610469083151E-3</v>
      </c>
      <c r="Q412" s="430">
        <f t="shared" si="211"/>
        <v>-1.7135419030848767E-3</v>
      </c>
      <c r="R412" s="430"/>
      <c r="S412" s="430"/>
      <c r="T412" s="364">
        <f t="shared" si="214"/>
        <v>-6.8541676123395066E-4</v>
      </c>
    </row>
    <row r="413" spans="1:20">
      <c r="A413" s="320" t="s">
        <v>2244</v>
      </c>
      <c r="B413" s="429" t="s">
        <v>2441</v>
      </c>
      <c r="C413" s="435" t="s">
        <v>2198</v>
      </c>
      <c r="D413" s="394" t="s">
        <v>2353</v>
      </c>
      <c r="E413" s="394" t="s">
        <v>2300</v>
      </c>
      <c r="F413" s="394" t="s">
        <v>2043</v>
      </c>
      <c r="G413" s="415">
        <v>52895</v>
      </c>
      <c r="H413" s="320" t="s">
        <v>2363</v>
      </c>
      <c r="I413" s="415">
        <v>185</v>
      </c>
      <c r="J413" s="415">
        <v>0</v>
      </c>
      <c r="K413" s="415">
        <v>0</v>
      </c>
      <c r="L413" s="437">
        <v>1.1962550105302772E-4</v>
      </c>
      <c r="M413" s="437">
        <v>0</v>
      </c>
      <c r="N413" s="437">
        <v>0</v>
      </c>
      <c r="O413" s="430">
        <f t="shared" si="212"/>
        <v>-1.1962550105302772E-4</v>
      </c>
      <c r="P413" s="430">
        <f t="shared" si="213"/>
        <v>0</v>
      </c>
      <c r="Q413" s="430">
        <f t="shared" si="211"/>
        <v>-1.1962550105302772E-4</v>
      </c>
      <c r="R413" s="430"/>
      <c r="S413" s="430"/>
      <c r="T413" s="364">
        <f t="shared" si="214"/>
        <v>-4.7850200421211085E-5</v>
      </c>
    </row>
    <row r="414" spans="1:20">
      <c r="A414" t="s">
        <v>24</v>
      </c>
      <c r="B414" s="429"/>
      <c r="C414" s="320"/>
      <c r="D414" s="394"/>
      <c r="E414" s="394"/>
      <c r="F414" s="394"/>
      <c r="G414" s="415"/>
      <c r="H414" s="320"/>
      <c r="I414" s="403">
        <f>SUM(I406:I412)</f>
        <v>83921</v>
      </c>
      <c r="J414" s="403">
        <f t="shared" ref="J414:K414" si="215">SUM(J406:J412)</f>
        <v>71171</v>
      </c>
      <c r="K414" s="403">
        <f t="shared" si="215"/>
        <v>41904</v>
      </c>
      <c r="L414" s="364">
        <f>SUM(L406:L412)</f>
        <v>5.4265360399303464E-2</v>
      </c>
      <c r="M414" s="364">
        <f t="shared" ref="M414:N414" si="216">SUM(M406:M412)</f>
        <v>6.7271601612529708E-2</v>
      </c>
      <c r="N414" s="364">
        <f t="shared" si="216"/>
        <v>6.7552557805122204E-2</v>
      </c>
      <c r="O414" s="364">
        <f>SUM(O406:O412)</f>
        <v>1.3006241213226258E-2</v>
      </c>
      <c r="P414" s="364">
        <f t="shared" ref="P414" si="217">SUM(P406:P412)</f>
        <v>2.8095619259250245E-4</v>
      </c>
      <c r="Q414" s="364">
        <f t="shared" ref="Q414" si="218">SUM(Q406:Q412)</f>
        <v>1.3287197405818759E-2</v>
      </c>
      <c r="R414" s="364"/>
      <c r="S414" s="364"/>
      <c r="T414" s="364"/>
    </row>
    <row r="415" spans="1:20">
      <c r="A415" s="64" t="s">
        <v>2218</v>
      </c>
      <c r="I415" s="415"/>
    </row>
    <row r="416" spans="1:20">
      <c r="A416" t="s">
        <v>2435</v>
      </c>
      <c r="B416">
        <v>2020</v>
      </c>
      <c r="C416">
        <v>2021</v>
      </c>
      <c r="D416" t="s">
        <v>14</v>
      </c>
      <c r="E416" t="s">
        <v>11</v>
      </c>
      <c r="F416" t="s">
        <v>12</v>
      </c>
      <c r="G416" t="s">
        <v>13</v>
      </c>
      <c r="H416" t="s">
        <v>2220</v>
      </c>
      <c r="I416" t="s">
        <v>2221</v>
      </c>
      <c r="J416" t="s">
        <v>2222</v>
      </c>
      <c r="K416" t="s">
        <v>2223</v>
      </c>
      <c r="L416" t="s">
        <v>2224</v>
      </c>
      <c r="M416" t="s">
        <v>2225</v>
      </c>
      <c r="N416" t="s">
        <v>2226</v>
      </c>
    </row>
    <row r="417" spans="1:20">
      <c r="A417" t="s">
        <v>2227</v>
      </c>
      <c r="B417" s="546">
        <v>1520002</v>
      </c>
      <c r="C417" s="546">
        <v>1357316</v>
      </c>
      <c r="D417" s="279">
        <f>AVERAGE(B417:C417)</f>
        <v>1438659</v>
      </c>
      <c r="E417" s="279">
        <f>AVERAGE(C417:D417)</f>
        <v>1397987.5</v>
      </c>
      <c r="F417" s="279">
        <f>AVERAGE(D417:E417)</f>
        <v>1418323.25</v>
      </c>
      <c r="G417" s="279">
        <f t="shared" ref="G417" si="219">AVERAGE(E417:F417)</f>
        <v>1408155.375</v>
      </c>
      <c r="H417" s="279">
        <f t="shared" ref="H417" si="220">AVERAGE(F417:G417)</f>
        <v>1413239.3125</v>
      </c>
      <c r="I417" s="279">
        <f t="shared" ref="I417" si="221">AVERAGE(G417:H417)</f>
        <v>1410697.34375</v>
      </c>
      <c r="J417" s="279">
        <f>AVERAGE(H417:I417)</f>
        <v>1411968.328125</v>
      </c>
      <c r="K417" s="279">
        <f t="shared" ref="K417" si="222">AVERAGE(I417:J417)</f>
        <v>1411332.8359375</v>
      </c>
      <c r="L417" s="279">
        <f t="shared" ref="L417" si="223">AVERAGE(J417:K417)</f>
        <v>1411650.58203125</v>
      </c>
      <c r="N417" t="s">
        <v>162</v>
      </c>
    </row>
    <row r="418" spans="1:20">
      <c r="A418" s="64" t="s">
        <v>2228</v>
      </c>
    </row>
    <row r="419" spans="1:20">
      <c r="A419" s="394" t="s">
        <v>2251</v>
      </c>
      <c r="B419" s="404">
        <f>L406</f>
        <v>1.2027212538304409E-2</v>
      </c>
      <c r="C419" s="404">
        <f>M406</f>
        <v>1.0921911405386757E-2</v>
      </c>
      <c r="D419" s="437">
        <f>N406+$N419/2</f>
        <v>2.9676407980534614E-2</v>
      </c>
      <c r="E419" s="296">
        <f t="shared" ref="E419:L419" si="224">D419+$N419</f>
        <v>3.0833172567870736E-2</v>
      </c>
      <c r="F419" s="296">
        <f t="shared" si="224"/>
        <v>3.1989937155206857E-2</v>
      </c>
      <c r="G419" s="296">
        <f t="shared" si="224"/>
        <v>3.3146701742542979E-2</v>
      </c>
      <c r="H419" s="296">
        <f t="shared" si="224"/>
        <v>3.4303466329879101E-2</v>
      </c>
      <c r="I419" s="296">
        <f t="shared" si="224"/>
        <v>3.5460230917215223E-2</v>
      </c>
      <c r="J419" s="296">
        <f t="shared" si="224"/>
        <v>3.6616995504551345E-2</v>
      </c>
      <c r="K419" s="296">
        <f t="shared" si="224"/>
        <v>3.7773760091887466E-2</v>
      </c>
      <c r="L419" s="296">
        <f t="shared" si="224"/>
        <v>3.8930524679223588E-2</v>
      </c>
      <c r="M419" s="419"/>
      <c r="N419" s="296">
        <f>-SUM(N420:N425)</f>
        <v>1.1567645873361214E-3</v>
      </c>
    </row>
    <row r="420" spans="1:20">
      <c r="A420" s="429" t="s">
        <v>2274</v>
      </c>
      <c r="B420" s="404">
        <f t="shared" ref="B420:C420" si="225">L407</f>
        <v>2.5496397332545316E-3</v>
      </c>
      <c r="C420" s="404">
        <f t="shared" si="225"/>
        <v>8.6656930994881681E-3</v>
      </c>
      <c r="D420" s="296">
        <f t="shared" ref="D420:L420" si="226">C420+$N420</f>
        <v>8.9698650404753562E-3</v>
      </c>
      <c r="E420" s="296">
        <f t="shared" si="226"/>
        <v>9.2740369814625443E-3</v>
      </c>
      <c r="F420" s="296">
        <f t="shared" si="226"/>
        <v>9.5782089224497324E-3</v>
      </c>
      <c r="G420" s="296">
        <f t="shared" si="226"/>
        <v>9.8823808634369206E-3</v>
      </c>
      <c r="H420" s="296">
        <f t="shared" si="226"/>
        <v>1.0186552804424109E-2</v>
      </c>
      <c r="I420" s="296">
        <f t="shared" si="226"/>
        <v>1.0490724745411297E-2</v>
      </c>
      <c r="J420" s="296">
        <f t="shared" si="226"/>
        <v>1.0794896686398485E-2</v>
      </c>
      <c r="K420" s="296">
        <f t="shared" si="226"/>
        <v>1.1099068627385673E-2</v>
      </c>
      <c r="L420" s="296">
        <f t="shared" si="226"/>
        <v>1.1403240568372861E-2</v>
      </c>
      <c r="M420" s="419">
        <v>0.5</v>
      </c>
      <c r="N420" s="296">
        <f t="shared" ref="N420:N426" si="227">M420*T407</f>
        <v>3.041719409871884E-4</v>
      </c>
      <c r="O420" s="394" t="s">
        <v>2060</v>
      </c>
    </row>
    <row r="421" spans="1:20">
      <c r="A421" s="429" t="s">
        <v>2437</v>
      </c>
      <c r="B421" s="404">
        <f t="shared" ref="B421:C421" si="228">L408</f>
        <v>1.8486989595167906E-3</v>
      </c>
      <c r="C421" s="404">
        <f t="shared" si="228"/>
        <v>2.9121946378188315E-3</v>
      </c>
      <c r="D421" s="296">
        <f t="shared" ref="D421:L421" si="229">C421+$N421</f>
        <v>2.9084679029587023E-3</v>
      </c>
      <c r="E421" s="296">
        <f t="shared" si="229"/>
        <v>2.904741168098573E-3</v>
      </c>
      <c r="F421" s="296">
        <f t="shared" si="229"/>
        <v>2.9010144332384438E-3</v>
      </c>
      <c r="G421" s="296">
        <f t="shared" si="229"/>
        <v>2.8972876983783145E-3</v>
      </c>
      <c r="H421" s="296">
        <f t="shared" si="229"/>
        <v>2.8935609635181853E-3</v>
      </c>
      <c r="I421" s="296">
        <f t="shared" si="229"/>
        <v>2.889834228658056E-3</v>
      </c>
      <c r="J421" s="296">
        <f t="shared" si="229"/>
        <v>2.8861074937979268E-3</v>
      </c>
      <c r="K421" s="296">
        <f t="shared" si="229"/>
        <v>2.8823807589377975E-3</v>
      </c>
      <c r="L421" s="296">
        <f t="shared" si="229"/>
        <v>2.8786540240776683E-3</v>
      </c>
      <c r="M421" s="419">
        <v>1</v>
      </c>
      <c r="N421" s="296">
        <f t="shared" si="227"/>
        <v>-3.726734860129248E-6</v>
      </c>
      <c r="O421" t="s">
        <v>2421</v>
      </c>
    </row>
    <row r="422" spans="1:20">
      <c r="A422" s="394" t="s">
        <v>2438</v>
      </c>
      <c r="B422" s="404">
        <f t="shared" ref="B422:C422" si="230">L409</f>
        <v>1.7319832679488365E-2</v>
      </c>
      <c r="C422" s="404">
        <f t="shared" si="230"/>
        <v>2.3179405745936774E-2</v>
      </c>
      <c r="D422" s="296">
        <f t="shared" ref="D422:L422" si="231">C422+$N422</f>
        <v>2.2577270612937236E-2</v>
      </c>
      <c r="E422" s="296">
        <f t="shared" si="231"/>
        <v>2.1975135479937697E-2</v>
      </c>
      <c r="F422" s="296">
        <f t="shared" si="231"/>
        <v>2.1373000346938158E-2</v>
      </c>
      <c r="G422" s="296">
        <f t="shared" si="231"/>
        <v>2.077086521393862E-2</v>
      </c>
      <c r="H422" s="296">
        <f t="shared" si="231"/>
        <v>2.0168730080939081E-2</v>
      </c>
      <c r="I422" s="296">
        <f t="shared" si="231"/>
        <v>1.9566594947939542E-2</v>
      </c>
      <c r="J422" s="296">
        <f t="shared" si="231"/>
        <v>1.8964459814940004E-2</v>
      </c>
      <c r="K422" s="296">
        <f t="shared" si="231"/>
        <v>1.8362324681940465E-2</v>
      </c>
      <c r="L422" s="296">
        <f t="shared" si="231"/>
        <v>1.7760189548940927E-2</v>
      </c>
      <c r="M422" s="419">
        <v>1</v>
      </c>
      <c r="N422" s="296">
        <f t="shared" si="227"/>
        <v>-6.0213513299953723E-4</v>
      </c>
    </row>
    <row r="423" spans="1:20">
      <c r="A423" s="429" t="s">
        <v>2439</v>
      </c>
      <c r="B423" s="404">
        <f t="shared" ref="B423:C423" si="232">L410</f>
        <v>1.3398056117939106E-3</v>
      </c>
      <c r="C423" s="404">
        <f t="shared" si="232"/>
        <v>1.7212289631509548E-3</v>
      </c>
      <c r="D423" s="296">
        <f>C423+$N423</f>
        <v>1.551571063921262E-3</v>
      </c>
      <c r="E423" s="296">
        <f t="shared" ref="E423:L426" si="233">D423+$N423</f>
        <v>1.3819131646915692E-3</v>
      </c>
      <c r="F423" s="296">
        <f t="shared" si="233"/>
        <v>1.2122552654618764E-3</v>
      </c>
      <c r="G423" s="296">
        <f t="shared" si="233"/>
        <v>1.0425973662321836E-3</v>
      </c>
      <c r="H423" s="296">
        <f t="shared" si="233"/>
        <v>8.7293946700249092E-4</v>
      </c>
      <c r="I423" s="296">
        <f t="shared" si="233"/>
        <v>7.0328156777279822E-4</v>
      </c>
      <c r="J423" s="296">
        <f t="shared" si="233"/>
        <v>5.3362366854310553E-4</v>
      </c>
      <c r="K423" s="296">
        <f t="shared" si="233"/>
        <v>3.6396576931341284E-4</v>
      </c>
      <c r="L423" s="296">
        <f t="shared" si="233"/>
        <v>1.9430787008372011E-4</v>
      </c>
      <c r="M423" s="419">
        <v>1</v>
      </c>
      <c r="N423" s="296">
        <f t="shared" si="227"/>
        <v>-1.6965789922969272E-4</v>
      </c>
    </row>
    <row r="424" spans="1:20">
      <c r="A424" s="429" t="s">
        <v>2440</v>
      </c>
      <c r="B424" s="404">
        <f t="shared" ref="B424:C424" si="234">L411</f>
        <v>1.655358284841897E-3</v>
      </c>
      <c r="C424" s="404">
        <f t="shared" si="234"/>
        <v>7.1836024821236993E-5</v>
      </c>
      <c r="D424" s="296">
        <f>C424+$N424</f>
        <v>7.1836024821236993E-5</v>
      </c>
      <c r="E424" s="296">
        <f t="shared" si="233"/>
        <v>7.1836024821236993E-5</v>
      </c>
      <c r="F424" s="296">
        <f t="shared" si="233"/>
        <v>7.1836024821236993E-5</v>
      </c>
      <c r="G424" s="296">
        <f t="shared" si="233"/>
        <v>7.1836024821236993E-5</v>
      </c>
      <c r="H424" s="296">
        <f t="shared" si="233"/>
        <v>7.1836024821236993E-5</v>
      </c>
      <c r="I424" s="296">
        <f t="shared" si="233"/>
        <v>7.1836024821236993E-5</v>
      </c>
      <c r="J424" s="296">
        <f t="shared" si="233"/>
        <v>7.1836024821236993E-5</v>
      </c>
      <c r="K424" s="296">
        <f t="shared" si="233"/>
        <v>7.1836024821236993E-5</v>
      </c>
      <c r="L424" s="296">
        <f t="shared" si="233"/>
        <v>7.1836024821236993E-5</v>
      </c>
      <c r="M424" s="451">
        <v>0</v>
      </c>
      <c r="N424" s="296">
        <f t="shared" si="227"/>
        <v>0</v>
      </c>
    </row>
    <row r="425" spans="1:20">
      <c r="A425" s="429" t="s">
        <v>2384</v>
      </c>
      <c r="B425" s="404">
        <f t="shared" ref="B425:C425" si="235">L412</f>
        <v>1.7524812592103554E-2</v>
      </c>
      <c r="C425" s="404">
        <f t="shared" si="235"/>
        <v>1.9799331735926993E-2</v>
      </c>
      <c r="D425" s="296">
        <f>C425+$N425</f>
        <v>1.9113914974693041E-2</v>
      </c>
      <c r="E425" s="296">
        <f t="shared" si="233"/>
        <v>1.8428498213459089E-2</v>
      </c>
      <c r="F425" s="296">
        <f t="shared" si="233"/>
        <v>1.7743081452225137E-2</v>
      </c>
      <c r="G425" s="296">
        <f t="shared" si="233"/>
        <v>1.7057664690991185E-2</v>
      </c>
      <c r="H425" s="296">
        <f t="shared" si="233"/>
        <v>1.6372247929757233E-2</v>
      </c>
      <c r="I425" s="296">
        <f t="shared" si="233"/>
        <v>1.568683116852328E-2</v>
      </c>
      <c r="J425" s="296">
        <f t="shared" si="233"/>
        <v>1.500141440728933E-2</v>
      </c>
      <c r="K425" s="296">
        <f t="shared" si="233"/>
        <v>1.431599764605538E-2</v>
      </c>
      <c r="L425" s="296">
        <f t="shared" si="233"/>
        <v>1.3630580884821429E-2</v>
      </c>
      <c r="M425" s="419">
        <v>1</v>
      </c>
      <c r="N425" s="296">
        <f t="shared" si="227"/>
        <v>-6.8541676123395066E-4</v>
      </c>
    </row>
    <row r="426" spans="1:20">
      <c r="A426" s="429" t="s">
        <v>2441</v>
      </c>
      <c r="B426" s="404">
        <f t="shared" ref="B426:C426" si="236">L413</f>
        <v>1.1962550105302772E-4</v>
      </c>
      <c r="C426" s="404">
        <f t="shared" si="236"/>
        <v>0</v>
      </c>
      <c r="D426" s="296">
        <f>C426+$N426</f>
        <v>-5.3166889356901206E-6</v>
      </c>
      <c r="E426" s="296">
        <f t="shared" si="233"/>
        <v>-1.0633377871380241E-5</v>
      </c>
      <c r="F426" s="296">
        <f t="shared" si="233"/>
        <v>-1.5950066807070362E-5</v>
      </c>
      <c r="G426" s="296">
        <f t="shared" si="233"/>
        <v>-2.1266755742760482E-5</v>
      </c>
      <c r="H426" s="296">
        <f t="shared" si="233"/>
        <v>-2.6583444678450603E-5</v>
      </c>
      <c r="I426" s="296">
        <f t="shared" si="233"/>
        <v>-3.1900133614140723E-5</v>
      </c>
      <c r="J426" s="296">
        <f t="shared" si="233"/>
        <v>-3.7216822549830844E-5</v>
      </c>
      <c r="K426" s="296">
        <f t="shared" si="233"/>
        <v>-4.2533511485520965E-5</v>
      </c>
      <c r="L426" s="296">
        <f t="shared" si="233"/>
        <v>-4.7850200421211085E-5</v>
      </c>
      <c r="M426" s="419">
        <v>0.1111111111111111</v>
      </c>
      <c r="N426" s="296">
        <f t="shared" si="227"/>
        <v>-5.3166889356901206E-6</v>
      </c>
    </row>
    <row r="427" spans="1:20">
      <c r="A427" s="64" t="s">
        <v>2036</v>
      </c>
      <c r="B427" s="404"/>
      <c r="C427" s="404"/>
      <c r="D427" s="296"/>
      <c r="E427" s="296"/>
      <c r="F427" s="296"/>
      <c r="G427" s="296"/>
      <c r="H427" s="296"/>
      <c r="I427" s="296"/>
      <c r="J427" s="296"/>
      <c r="K427" s="296"/>
      <c r="L427" s="296"/>
      <c r="M427" s="419"/>
      <c r="N427" s="60"/>
    </row>
    <row r="428" spans="1:20">
      <c r="A428" s="320" t="s">
        <v>2251</v>
      </c>
      <c r="B428" s="546">
        <f>I406</f>
        <v>18600</v>
      </c>
      <c r="C428" s="546">
        <f>J406</f>
        <v>11555</v>
      </c>
      <c r="D428" s="403">
        <f>D419*D417</f>
        <v>42694.231428867948</v>
      </c>
      <c r="E428" s="403">
        <f t="shared" ref="E428:L428" si="237">E419*E417</f>
        <v>43104.389835226189</v>
      </c>
      <c r="F428" s="403">
        <f t="shared" si="237"/>
        <v>45372.071633268744</v>
      </c>
      <c r="G428" s="403">
        <f t="shared" si="237"/>
        <v>46675.706222283763</v>
      </c>
      <c r="H428" s="403">
        <f t="shared" si="237"/>
        <v>48479.00717240524</v>
      </c>
      <c r="I428" s="403">
        <f t="shared" si="237"/>
        <v>50023.653563677144</v>
      </c>
      <c r="J428" s="403">
        <f t="shared" si="237"/>
        <v>51702.037923522003</v>
      </c>
      <c r="K428" s="403">
        <f t="shared" si="237"/>
        <v>53311.347954506302</v>
      </c>
      <c r="L428" s="403">
        <f t="shared" si="237"/>
        <v>54956.297822207918</v>
      </c>
      <c r="M428" t="s">
        <v>2230</v>
      </c>
      <c r="N428" s="60"/>
    </row>
    <row r="430" spans="1:20" s="421" customFormat="1">
      <c r="A430" s="421" t="s">
        <v>2281</v>
      </c>
    </row>
    <row r="431" spans="1:20" s="400" customFormat="1" ht="46.5" customHeight="1">
      <c r="A431" s="527" t="s">
        <v>0</v>
      </c>
      <c r="B431" s="527" t="s">
        <v>2018</v>
      </c>
      <c r="C431" s="527" t="s">
        <v>2019</v>
      </c>
      <c r="D431" s="527" t="s">
        <v>2020</v>
      </c>
      <c r="E431" s="527" t="s">
        <v>2021</v>
      </c>
      <c r="F431" s="527" t="s">
        <v>2022</v>
      </c>
      <c r="G431" s="527" t="s">
        <v>1840</v>
      </c>
      <c r="H431" s="527" t="s">
        <v>2023</v>
      </c>
      <c r="I431" s="527" t="s">
        <v>2024</v>
      </c>
      <c r="J431" s="527" t="s">
        <v>2025</v>
      </c>
      <c r="K431" s="527" t="s">
        <v>2026</v>
      </c>
      <c r="L431" s="527" t="s">
        <v>2027</v>
      </c>
      <c r="M431" s="527" t="s">
        <v>2028</v>
      </c>
      <c r="N431" s="527" t="s">
        <v>2029</v>
      </c>
      <c r="O431" s="527" t="s">
        <v>2030</v>
      </c>
      <c r="P431" s="527" t="s">
        <v>2031</v>
      </c>
      <c r="Q431" s="527" t="s">
        <v>2032</v>
      </c>
      <c r="R431" s="527"/>
      <c r="S431" s="527"/>
      <c r="T431" s="527" t="s">
        <v>2035</v>
      </c>
    </row>
    <row r="432" spans="1:20">
      <c r="A432" s="424" t="s">
        <v>15</v>
      </c>
      <c r="B432" s="425" t="s">
        <v>2281</v>
      </c>
      <c r="C432" s="426" t="s">
        <v>2252</v>
      </c>
      <c r="D432" s="426" t="s">
        <v>2199</v>
      </c>
      <c r="E432" s="426" t="s">
        <v>2300</v>
      </c>
      <c r="F432" s="425" t="s">
        <v>2060</v>
      </c>
      <c r="G432" s="432">
        <v>89990</v>
      </c>
      <c r="H432" s="426" t="s">
        <v>2334</v>
      </c>
      <c r="I432" s="414">
        <v>25000</v>
      </c>
      <c r="J432" s="433">
        <v>7306</v>
      </c>
      <c r="K432" s="433">
        <v>10300</v>
      </c>
      <c r="L432" s="436">
        <v>8.176887667225529E-3</v>
      </c>
      <c r="M432" s="436">
        <v>2.1275214084389743E-3</v>
      </c>
      <c r="N432" s="436">
        <v>6.5024677812191055E-3</v>
      </c>
      <c r="O432" s="436">
        <f t="shared" ref="O432:O441" si="238">M432-L432</f>
        <v>-6.0493662587865552E-3</v>
      </c>
      <c r="P432" s="436">
        <f t="shared" ref="P432:P441" si="239">N432-M432</f>
        <v>4.3749463727801308E-3</v>
      </c>
      <c r="Q432" s="436">
        <f t="shared" ref="Q432:Q441" si="240">N432-L432</f>
        <v>-1.6744198860064235E-3</v>
      </c>
      <c r="R432" s="436"/>
      <c r="S432" s="436"/>
      <c r="T432" s="364">
        <f>Q432/2.5</f>
        <v>-6.6976795440256939E-4</v>
      </c>
    </row>
    <row r="433" spans="1:20">
      <c r="A433" s="394" t="s">
        <v>2337</v>
      </c>
      <c r="B433" s="394" t="s">
        <v>2402</v>
      </c>
      <c r="C433" s="320" t="s">
        <v>2198</v>
      </c>
      <c r="D433" s="320" t="s">
        <v>2199</v>
      </c>
      <c r="E433" s="320" t="s">
        <v>2300</v>
      </c>
      <c r="F433" s="394" t="s">
        <v>2043</v>
      </c>
      <c r="G433" s="547">
        <v>92000</v>
      </c>
      <c r="H433" s="548" t="s">
        <v>2442</v>
      </c>
      <c r="I433" s="415">
        <v>13982</v>
      </c>
      <c r="J433" s="415">
        <v>17285</v>
      </c>
      <c r="K433" s="415">
        <v>5652</v>
      </c>
      <c r="L433" s="437">
        <v>4.5731697345258943E-3</v>
      </c>
      <c r="M433" s="437">
        <v>5.0334256152296288E-3</v>
      </c>
      <c r="N433" s="437">
        <v>3.5681502815000372E-3</v>
      </c>
      <c r="O433" s="437">
        <f t="shared" si="238"/>
        <v>4.6025588070373446E-4</v>
      </c>
      <c r="P433" s="437">
        <f t="shared" si="239"/>
        <v>-1.4652753337295915E-3</v>
      </c>
      <c r="Q433" s="437">
        <f t="shared" si="240"/>
        <v>-1.0050194530258571E-3</v>
      </c>
      <c r="R433" s="437"/>
      <c r="S433" s="437"/>
      <c r="T433" s="364">
        <f t="shared" ref="T433:T442" si="241">Q433/2.5</f>
        <v>-4.0200778121034285E-4</v>
      </c>
    </row>
    <row r="434" spans="1:20">
      <c r="A434" s="320" t="s">
        <v>2261</v>
      </c>
      <c r="B434" s="429" t="s">
        <v>2404</v>
      </c>
      <c r="C434" s="320" t="s">
        <v>2198</v>
      </c>
      <c r="D434" s="320" t="s">
        <v>2199</v>
      </c>
      <c r="E434" s="320" t="s">
        <v>2300</v>
      </c>
      <c r="F434" s="394" t="s">
        <v>2060</v>
      </c>
      <c r="G434" s="547">
        <v>83200</v>
      </c>
      <c r="H434" s="548" t="s">
        <v>2443</v>
      </c>
      <c r="I434" s="415">
        <v>0</v>
      </c>
      <c r="J434" s="415">
        <v>0</v>
      </c>
      <c r="K434" s="546">
        <v>1428</v>
      </c>
      <c r="L434" s="437">
        <v>0</v>
      </c>
      <c r="M434" s="437">
        <v>0</v>
      </c>
      <c r="N434" s="437">
        <v>9.0150718364862936E-4</v>
      </c>
      <c r="O434" s="437">
        <f t="shared" si="238"/>
        <v>0</v>
      </c>
      <c r="P434" s="437">
        <f t="shared" si="239"/>
        <v>9.0150718364862936E-4</v>
      </c>
      <c r="Q434" s="437">
        <f t="shared" si="240"/>
        <v>9.0150718364862936E-4</v>
      </c>
      <c r="R434" s="437"/>
      <c r="S434" s="437"/>
      <c r="T434" s="364">
        <f t="shared" si="241"/>
        <v>3.6060287345945175E-4</v>
      </c>
    </row>
    <row r="435" spans="1:20">
      <c r="A435" s="320" t="s">
        <v>2267</v>
      </c>
      <c r="B435" s="429" t="s">
        <v>2287</v>
      </c>
      <c r="C435" s="320" t="s">
        <v>2198</v>
      </c>
      <c r="D435" s="320" t="s">
        <v>2199</v>
      </c>
      <c r="E435" s="320" t="s">
        <v>2300</v>
      </c>
      <c r="F435" s="394" t="s">
        <v>2043</v>
      </c>
      <c r="G435" s="547">
        <v>55800</v>
      </c>
      <c r="H435" s="548" t="s">
        <v>2327</v>
      </c>
      <c r="I435" s="397">
        <v>48154</v>
      </c>
      <c r="J435" s="397">
        <v>65074</v>
      </c>
      <c r="K435" s="397">
        <v>27332</v>
      </c>
      <c r="L435" s="437">
        <v>1.5749993949103126E-2</v>
      </c>
      <c r="M435" s="437">
        <v>1.8949675353511882E-2</v>
      </c>
      <c r="N435" s="437">
        <v>1.7254897999638891E-2</v>
      </c>
      <c r="O435" s="437">
        <f t="shared" si="238"/>
        <v>3.1996814044087558E-3</v>
      </c>
      <c r="P435" s="437">
        <f t="shared" si="239"/>
        <v>-1.6947773538729914E-3</v>
      </c>
      <c r="Q435" s="437">
        <f t="shared" si="240"/>
        <v>1.5049040505357644E-3</v>
      </c>
      <c r="R435" s="437"/>
      <c r="S435" s="437"/>
      <c r="T435" s="364">
        <f t="shared" si="241"/>
        <v>6.0196162021430573E-4</v>
      </c>
    </row>
    <row r="436" spans="1:20">
      <c r="A436" s="320" t="s">
        <v>2261</v>
      </c>
      <c r="B436" s="429" t="s">
        <v>2286</v>
      </c>
      <c r="C436" s="320" t="s">
        <v>2198</v>
      </c>
      <c r="D436" s="320" t="s">
        <v>2199</v>
      </c>
      <c r="E436" s="320" t="s">
        <v>2300</v>
      </c>
      <c r="F436" s="394" t="s">
        <v>2043</v>
      </c>
      <c r="G436" s="547">
        <v>66045</v>
      </c>
      <c r="H436" s="548" t="s">
        <v>2315</v>
      </c>
      <c r="I436" s="397">
        <v>9159</v>
      </c>
      <c r="J436" s="397">
        <v>7313</v>
      </c>
      <c r="K436" s="397">
        <v>5399</v>
      </c>
      <c r="L436" s="437">
        <v>2.9956845657647451E-3</v>
      </c>
      <c r="M436" s="437">
        <v>2.1295598220523156E-3</v>
      </c>
      <c r="N436" s="437">
        <v>3.4084294709516454E-3</v>
      </c>
      <c r="O436" s="437">
        <f t="shared" si="238"/>
        <v>-8.6612474371242955E-4</v>
      </c>
      <c r="P436" s="437">
        <f t="shared" si="239"/>
        <v>1.2788696488993299E-3</v>
      </c>
      <c r="Q436" s="436">
        <f t="shared" si="240"/>
        <v>4.1274490518690031E-4</v>
      </c>
      <c r="R436" s="436"/>
      <c r="S436" s="436"/>
      <c r="T436" s="364">
        <f t="shared" si="241"/>
        <v>1.6509796207476012E-4</v>
      </c>
    </row>
    <row r="437" spans="1:20">
      <c r="A437" s="320" t="s">
        <v>2323</v>
      </c>
      <c r="B437" s="429" t="s">
        <v>2341</v>
      </c>
      <c r="C437" s="320" t="s">
        <v>2198</v>
      </c>
      <c r="D437" s="320" t="s">
        <v>2199</v>
      </c>
      <c r="E437" s="320" t="s">
        <v>2300</v>
      </c>
      <c r="F437" s="394" t="s">
        <v>2060</v>
      </c>
      <c r="G437" s="547">
        <v>66995</v>
      </c>
      <c r="H437" s="548" t="s">
        <v>2315</v>
      </c>
      <c r="I437" s="397">
        <v>7202</v>
      </c>
      <c r="J437" s="397">
        <v>10921</v>
      </c>
      <c r="K437" s="397">
        <v>4738</v>
      </c>
      <c r="L437" s="437">
        <v>2.3555977991743305E-3</v>
      </c>
      <c r="M437" s="437">
        <v>3.1802164387574644E-3</v>
      </c>
      <c r="N437" s="437">
        <v>2.9911351793607886E-3</v>
      </c>
      <c r="O437" s="437">
        <f t="shared" si="238"/>
        <v>8.246186395831339E-4</v>
      </c>
      <c r="P437" s="437">
        <f t="shared" si="239"/>
        <v>-1.8908125939667581E-4</v>
      </c>
      <c r="Q437" s="437">
        <f t="shared" si="240"/>
        <v>6.3553738018645809E-4</v>
      </c>
      <c r="R437" s="437"/>
      <c r="S437" s="437"/>
      <c r="T437" s="364">
        <f t="shared" si="241"/>
        <v>2.5421495207458324E-4</v>
      </c>
    </row>
    <row r="438" spans="1:20">
      <c r="A438" s="320" t="s">
        <v>2444</v>
      </c>
      <c r="B438" s="429" t="s">
        <v>2445</v>
      </c>
      <c r="C438" s="320" t="s">
        <v>2198</v>
      </c>
      <c r="D438" s="320" t="s">
        <v>2199</v>
      </c>
      <c r="E438" s="320" t="s">
        <v>2300</v>
      </c>
      <c r="F438" s="394" t="s">
        <v>2043</v>
      </c>
      <c r="G438" s="547">
        <v>52665</v>
      </c>
      <c r="H438" s="548" t="s">
        <v>2363</v>
      </c>
      <c r="I438" s="397">
        <v>23080</v>
      </c>
      <c r="J438" s="397">
        <v>20924</v>
      </c>
      <c r="K438" s="397">
        <v>10950</v>
      </c>
      <c r="L438" s="437">
        <v>7.5489026943826093E-3</v>
      </c>
      <c r="M438" s="437">
        <v>6.0931094922224332E-3</v>
      </c>
      <c r="N438" s="437">
        <v>6.9128176897426414E-3</v>
      </c>
      <c r="O438" s="437">
        <f t="shared" si="238"/>
        <v>-1.4557932021601761E-3</v>
      </c>
      <c r="P438" s="437">
        <f t="shared" si="239"/>
        <v>8.1970819752020824E-4</v>
      </c>
      <c r="Q438" s="437">
        <f t="shared" si="240"/>
        <v>-6.3608500463996787E-4</v>
      </c>
      <c r="R438" s="437"/>
      <c r="S438" s="437"/>
      <c r="T438" s="364">
        <f t="shared" si="241"/>
        <v>-2.5443400185598715E-4</v>
      </c>
    </row>
    <row r="439" spans="1:20">
      <c r="A439" s="429" t="s">
        <v>2270</v>
      </c>
      <c r="B439" s="429" t="s">
        <v>2294</v>
      </c>
      <c r="C439" s="320" t="s">
        <v>2252</v>
      </c>
      <c r="D439" s="320" t="s">
        <v>2199</v>
      </c>
      <c r="E439" s="320" t="s">
        <v>2300</v>
      </c>
      <c r="F439" s="394" t="s">
        <v>2043</v>
      </c>
      <c r="G439" s="547">
        <v>68850</v>
      </c>
      <c r="H439" s="548" t="s">
        <v>2357</v>
      </c>
      <c r="I439" s="415">
        <v>18092</v>
      </c>
      <c r="J439" s="415">
        <v>17299</v>
      </c>
      <c r="K439" s="546">
        <v>5866</v>
      </c>
      <c r="L439" s="437">
        <v>5.917450067017771E-3</v>
      </c>
      <c r="M439" s="437">
        <v>5.0375024424563113E-3</v>
      </c>
      <c r="N439" s="437">
        <v>3.7032500975370166E-3</v>
      </c>
      <c r="O439" s="437">
        <f t="shared" si="238"/>
        <v>-8.7994762456145969E-4</v>
      </c>
      <c r="P439" s="437">
        <f t="shared" si="239"/>
        <v>-1.3342523449192947E-3</v>
      </c>
      <c r="Q439" s="437">
        <f t="shared" si="240"/>
        <v>-2.2141999694807544E-3</v>
      </c>
      <c r="R439" s="437"/>
      <c r="S439" s="437"/>
      <c r="T439" s="364">
        <f t="shared" si="241"/>
        <v>-8.8567998779230173E-4</v>
      </c>
    </row>
    <row r="440" spans="1:20">
      <c r="A440" s="429" t="s">
        <v>2325</v>
      </c>
      <c r="B440" s="429" t="s">
        <v>2446</v>
      </c>
      <c r="C440" s="320" t="s">
        <v>2198</v>
      </c>
      <c r="D440" s="320" t="s">
        <v>2199</v>
      </c>
      <c r="E440" s="320" t="s">
        <v>2300</v>
      </c>
      <c r="F440" s="394" t="s">
        <v>2043</v>
      </c>
      <c r="G440" s="547">
        <v>70850</v>
      </c>
      <c r="H440" s="548" t="s">
        <v>2347</v>
      </c>
      <c r="I440" s="415">
        <v>20054</v>
      </c>
      <c r="J440" s="415">
        <v>21342</v>
      </c>
      <c r="K440" s="415">
        <v>6618</v>
      </c>
      <c r="L440" s="437">
        <v>6.5591722111416305E-3</v>
      </c>
      <c r="M440" s="437">
        <v>6.214831905133395E-3</v>
      </c>
      <c r="N440" s="437">
        <v>4.1779933763211692E-3</v>
      </c>
      <c r="O440" s="437">
        <f t="shared" si="238"/>
        <v>-3.4434030600823552E-4</v>
      </c>
      <c r="P440" s="437">
        <f t="shared" si="239"/>
        <v>-2.0368385288122258E-3</v>
      </c>
      <c r="Q440" s="437">
        <f t="shared" si="240"/>
        <v>-2.3811788348204613E-3</v>
      </c>
      <c r="R440" s="437"/>
      <c r="S440" s="437"/>
      <c r="T440" s="364">
        <f t="shared" si="241"/>
        <v>-9.5247153392818452E-4</v>
      </c>
    </row>
    <row r="441" spans="1:20">
      <c r="A441" s="429" t="s">
        <v>2264</v>
      </c>
      <c r="B441" s="429" t="s">
        <v>2447</v>
      </c>
      <c r="C441" s="320" t="s">
        <v>2198</v>
      </c>
      <c r="D441" s="320" t="s">
        <v>2199</v>
      </c>
      <c r="E441" s="320" t="s">
        <v>2300</v>
      </c>
      <c r="F441" s="394" t="s">
        <v>2043</v>
      </c>
      <c r="G441" s="547">
        <v>54525</v>
      </c>
      <c r="H441" s="548" t="s">
        <v>2327</v>
      </c>
      <c r="I441" s="415">
        <v>28519</v>
      </c>
      <c r="J441" s="415">
        <v>32509</v>
      </c>
      <c r="K441" s="415">
        <v>16526</v>
      </c>
      <c r="L441" s="437">
        <v>9.3278663752641953E-3</v>
      </c>
      <c r="M441" s="437">
        <v>9.4666840223025742E-3</v>
      </c>
      <c r="N441" s="437">
        <v>1.0432988597323004E-2</v>
      </c>
      <c r="O441" s="437">
        <f t="shared" si="238"/>
        <v>1.3881764703837889E-4</v>
      </c>
      <c r="P441" s="437">
        <f t="shared" si="239"/>
        <v>9.6630457502043E-4</v>
      </c>
      <c r="Q441" s="437">
        <f t="shared" si="240"/>
        <v>1.1051222220588089E-3</v>
      </c>
      <c r="R441" s="437"/>
      <c r="S441" s="437"/>
      <c r="T441" s="364">
        <f t="shared" si="241"/>
        <v>4.4204888882352358E-4</v>
      </c>
    </row>
    <row r="442" spans="1:20">
      <c r="A442" t="s">
        <v>24</v>
      </c>
      <c r="B442" s="429"/>
      <c r="C442" s="320"/>
      <c r="D442" s="320"/>
      <c r="E442" s="320"/>
      <c r="F442" s="394"/>
      <c r="G442" s="547"/>
      <c r="H442" s="548"/>
      <c r="I442" s="403">
        <f>SUM(I432:I441)</f>
        <v>193242</v>
      </c>
      <c r="J442" s="403">
        <f t="shared" ref="J442:Q442" si="242">SUM(J432:J441)</f>
        <v>199973</v>
      </c>
      <c r="K442" s="403">
        <f t="shared" si="242"/>
        <v>94809</v>
      </c>
      <c r="L442" s="437">
        <f t="shared" si="242"/>
        <v>6.3204725063599837E-2</v>
      </c>
      <c r="M442" s="437">
        <f t="shared" si="242"/>
        <v>5.8232526500104985E-2</v>
      </c>
      <c r="N442" s="437">
        <f t="shared" si="242"/>
        <v>5.9853637657242928E-2</v>
      </c>
      <c r="O442" s="437">
        <f t="shared" si="242"/>
        <v>-4.9721985634948529E-3</v>
      </c>
      <c r="P442" s="437">
        <f t="shared" si="242"/>
        <v>1.6211111571379491E-3</v>
      </c>
      <c r="Q442" s="437">
        <f t="shared" si="242"/>
        <v>-3.351087406356903E-3</v>
      </c>
      <c r="R442" s="437"/>
      <c r="S442" s="437"/>
      <c r="T442" s="364">
        <f t="shared" si="241"/>
        <v>-1.3404349625427611E-3</v>
      </c>
    </row>
    <row r="443" spans="1:20">
      <c r="A443" s="64" t="s">
        <v>2218</v>
      </c>
    </row>
    <row r="444" spans="1:20">
      <c r="A444" t="s">
        <v>2448</v>
      </c>
      <c r="B444">
        <v>2020</v>
      </c>
      <c r="C444">
        <v>2021</v>
      </c>
      <c r="D444" t="s">
        <v>14</v>
      </c>
      <c r="E444" t="s">
        <v>11</v>
      </c>
      <c r="F444" t="s">
        <v>12</v>
      </c>
      <c r="G444" t="s">
        <v>13</v>
      </c>
      <c r="H444" t="s">
        <v>2220</v>
      </c>
      <c r="I444" t="s">
        <v>2221</v>
      </c>
      <c r="J444" t="s">
        <v>2222</v>
      </c>
      <c r="K444" t="s">
        <v>2223</v>
      </c>
      <c r="L444" t="s">
        <v>2224</v>
      </c>
      <c r="M444" t="s">
        <v>2225</v>
      </c>
      <c r="N444" t="s">
        <v>2226</v>
      </c>
    </row>
    <row r="445" spans="1:20">
      <c r="A445" t="s">
        <v>2227</v>
      </c>
      <c r="B445" s="546">
        <v>2734402</v>
      </c>
      <c r="C445" s="546">
        <v>3032576</v>
      </c>
      <c r="D445" s="279">
        <f>AVERAGE(B445:C445)</f>
        <v>2883489</v>
      </c>
      <c r="E445" s="279">
        <f>AVERAGE(C445:D445)</f>
        <v>2958032.5</v>
      </c>
      <c r="F445" s="279">
        <f>AVERAGE(D445:E445)</f>
        <v>2920760.75</v>
      </c>
      <c r="G445" s="279">
        <f t="shared" ref="G445" si="243">AVERAGE(E445:F445)</f>
        <v>2939396.625</v>
      </c>
      <c r="H445" s="279">
        <f t="shared" ref="H445" si="244">AVERAGE(F445:G445)</f>
        <v>2930078.6875</v>
      </c>
      <c r="I445" s="279">
        <f t="shared" ref="I445" si="245">AVERAGE(G445:H445)</f>
        <v>2934737.65625</v>
      </c>
      <c r="J445" s="279">
        <f>AVERAGE(H445:I445)</f>
        <v>2932408.171875</v>
      </c>
      <c r="K445" s="279">
        <f t="shared" ref="K445" si="246">AVERAGE(I445:J445)</f>
        <v>2933572.9140625</v>
      </c>
      <c r="L445" s="279">
        <f t="shared" ref="L445" si="247">AVERAGE(J445:K445)</f>
        <v>2932990.54296875</v>
      </c>
      <c r="N445" t="s">
        <v>162</v>
      </c>
    </row>
    <row r="446" spans="1:20">
      <c r="A446" s="64" t="s">
        <v>2228</v>
      </c>
    </row>
    <row r="447" spans="1:20">
      <c r="A447" s="394" t="s">
        <v>2281</v>
      </c>
      <c r="B447" s="404">
        <f>L432</f>
        <v>8.176887667225529E-3</v>
      </c>
      <c r="C447" s="404">
        <f>M432</f>
        <v>2.1275214084389743E-3</v>
      </c>
      <c r="D447" s="437">
        <f>N432+$N447/2</f>
        <v>7.0646538817001623E-3</v>
      </c>
      <c r="E447" s="296">
        <f t="shared" ref="E447:L447" si="248">D447+$N447</f>
        <v>8.1890260826622749E-3</v>
      </c>
      <c r="F447" s="296">
        <f t="shared" si="248"/>
        <v>9.3133982836243884E-3</v>
      </c>
      <c r="G447" s="296">
        <f t="shared" si="248"/>
        <v>1.0437770484586502E-2</v>
      </c>
      <c r="H447" s="296">
        <f t="shared" si="248"/>
        <v>1.1562142685548615E-2</v>
      </c>
      <c r="I447" s="296">
        <f t="shared" si="248"/>
        <v>1.2686514886510729E-2</v>
      </c>
      <c r="J447" s="296">
        <f t="shared" si="248"/>
        <v>1.3810887087472842E-2</v>
      </c>
      <c r="K447" s="296">
        <f t="shared" si="248"/>
        <v>1.4935259288434956E-2</v>
      </c>
      <c r="L447" s="296">
        <f t="shared" si="248"/>
        <v>1.6059631489397069E-2</v>
      </c>
      <c r="N447" s="296">
        <f>-SUM(N448:N456)</f>
        <v>1.1243722009621133E-3</v>
      </c>
    </row>
    <row r="448" spans="1:20">
      <c r="A448" s="394" t="s">
        <v>2402</v>
      </c>
      <c r="B448" s="404">
        <f t="shared" ref="B448:B456" si="249">L433</f>
        <v>4.5731697345258943E-3</v>
      </c>
      <c r="C448" s="404">
        <f t="shared" ref="C448:C456" si="250">M433</f>
        <v>5.0334256152296288E-3</v>
      </c>
      <c r="D448" s="296">
        <f t="shared" ref="D448:L448" si="251">C448+$N448</f>
        <v>4.6314178340192856E-3</v>
      </c>
      <c r="E448" s="296">
        <f t="shared" si="251"/>
        <v>4.2294100528089424E-3</v>
      </c>
      <c r="F448" s="296">
        <f t="shared" si="251"/>
        <v>3.8274022715985997E-3</v>
      </c>
      <c r="G448" s="296">
        <f t="shared" si="251"/>
        <v>3.4253944903882569E-3</v>
      </c>
      <c r="H448" s="296">
        <f t="shared" si="251"/>
        <v>3.0233867091779142E-3</v>
      </c>
      <c r="I448" s="296">
        <f t="shared" si="251"/>
        <v>2.6213789279675714E-3</v>
      </c>
      <c r="J448" s="296">
        <f t="shared" si="251"/>
        <v>2.2193711467572287E-3</v>
      </c>
      <c r="K448" s="296">
        <f t="shared" si="251"/>
        <v>1.817363365546886E-3</v>
      </c>
      <c r="L448" s="296">
        <f t="shared" si="251"/>
        <v>1.4153555843365432E-3</v>
      </c>
      <c r="M448" s="419">
        <v>1</v>
      </c>
      <c r="N448" s="296">
        <f t="shared" ref="N448:N456" si="252">M448*T433</f>
        <v>-4.0200778121034285E-4</v>
      </c>
    </row>
    <row r="449" spans="1:15">
      <c r="A449" s="429" t="s">
        <v>2404</v>
      </c>
      <c r="B449" s="404">
        <f t="shared" si="249"/>
        <v>0</v>
      </c>
      <c r="C449" s="404">
        <f t="shared" si="250"/>
        <v>0</v>
      </c>
      <c r="D449" s="296">
        <f t="shared" ref="D449:L456" si="253">C449+$N449</f>
        <v>3.6060287345945175E-4</v>
      </c>
      <c r="E449" s="296">
        <f t="shared" si="253"/>
        <v>7.2120574691890351E-4</v>
      </c>
      <c r="F449" s="296">
        <f t="shared" si="253"/>
        <v>1.0818086203783553E-3</v>
      </c>
      <c r="G449" s="296">
        <f t="shared" si="253"/>
        <v>1.442411493837807E-3</v>
      </c>
      <c r="H449" s="296">
        <f t="shared" si="253"/>
        <v>1.8030143672972587E-3</v>
      </c>
      <c r="I449" s="296">
        <f t="shared" si="253"/>
        <v>2.1636172407567106E-3</v>
      </c>
      <c r="J449" s="296">
        <f t="shared" si="253"/>
        <v>2.5242201142161623E-3</v>
      </c>
      <c r="K449" s="296">
        <f t="shared" si="253"/>
        <v>2.884822987675614E-3</v>
      </c>
      <c r="L449" s="296">
        <f t="shared" si="253"/>
        <v>3.2454258611350657E-3</v>
      </c>
      <c r="M449" s="419">
        <v>1</v>
      </c>
      <c r="N449" s="296">
        <f t="shared" si="252"/>
        <v>3.6060287345945175E-4</v>
      </c>
      <c r="O449" s="394" t="s">
        <v>2060</v>
      </c>
    </row>
    <row r="450" spans="1:15">
      <c r="A450" s="429" t="s">
        <v>2287</v>
      </c>
      <c r="B450" s="404">
        <f t="shared" si="249"/>
        <v>1.5749993949103126E-2</v>
      </c>
      <c r="C450" s="404">
        <f t="shared" si="250"/>
        <v>1.8949675353511882E-2</v>
      </c>
      <c r="D450" s="296">
        <f t="shared" ref="D450:D456" si="254">C450+$N450</f>
        <v>1.9024920556038671E-2</v>
      </c>
      <c r="E450" s="296">
        <f t="shared" si="253"/>
        <v>1.9100165758565459E-2</v>
      </c>
      <c r="F450" s="296">
        <f t="shared" si="253"/>
        <v>1.9175410961092248E-2</v>
      </c>
      <c r="G450" s="296">
        <f t="shared" si="253"/>
        <v>1.9250656163619036E-2</v>
      </c>
      <c r="H450" s="296">
        <f t="shared" si="253"/>
        <v>1.9325901366145825E-2</v>
      </c>
      <c r="I450" s="296">
        <f t="shared" si="253"/>
        <v>1.9401146568672614E-2</v>
      </c>
      <c r="J450" s="296">
        <f t="shared" si="253"/>
        <v>1.9476391771199402E-2</v>
      </c>
      <c r="K450" s="296">
        <f t="shared" si="253"/>
        <v>1.9551636973726191E-2</v>
      </c>
      <c r="L450" s="296">
        <f t="shared" si="253"/>
        <v>1.9626882176252979E-2</v>
      </c>
      <c r="M450" s="419">
        <v>0.125</v>
      </c>
      <c r="N450" s="296">
        <f t="shared" si="252"/>
        <v>7.5245202526788216E-5</v>
      </c>
      <c r="O450" t="s">
        <v>2421</v>
      </c>
    </row>
    <row r="451" spans="1:15">
      <c r="A451" s="429" t="s">
        <v>2286</v>
      </c>
      <c r="B451" s="404">
        <f t="shared" si="249"/>
        <v>2.9956845657647451E-3</v>
      </c>
      <c r="C451" s="404">
        <f t="shared" si="250"/>
        <v>2.1295598220523156E-3</v>
      </c>
      <c r="D451" s="296">
        <f t="shared" si="254"/>
        <v>2.1501970673116605E-3</v>
      </c>
      <c r="E451" s="296">
        <f t="shared" si="253"/>
        <v>2.1708343125710055E-3</v>
      </c>
      <c r="F451" s="296">
        <f t="shared" si="253"/>
        <v>2.1914715578303504E-3</v>
      </c>
      <c r="G451" s="296">
        <f t="shared" si="253"/>
        <v>2.2121088030896954E-3</v>
      </c>
      <c r="H451" s="296">
        <f t="shared" si="253"/>
        <v>2.2327460483490403E-3</v>
      </c>
      <c r="I451" s="296">
        <f t="shared" si="253"/>
        <v>2.2533832936083853E-3</v>
      </c>
      <c r="J451" s="296">
        <f t="shared" si="253"/>
        <v>2.2740205388677302E-3</v>
      </c>
      <c r="K451" s="296">
        <f t="shared" si="253"/>
        <v>2.2946577841270752E-3</v>
      </c>
      <c r="L451" s="296">
        <f t="shared" si="253"/>
        <v>2.3152950293864201E-3</v>
      </c>
      <c r="M451" s="419">
        <v>0.125</v>
      </c>
      <c r="N451" s="296">
        <f t="shared" si="252"/>
        <v>2.0637245259345015E-5</v>
      </c>
      <c r="O451" t="s">
        <v>2421</v>
      </c>
    </row>
    <row r="452" spans="1:15">
      <c r="A452" s="429" t="s">
        <v>2341</v>
      </c>
      <c r="B452" s="404">
        <f t="shared" si="249"/>
        <v>2.3555977991743305E-3</v>
      </c>
      <c r="C452" s="404">
        <f t="shared" si="250"/>
        <v>3.1802164387574644E-3</v>
      </c>
      <c r="D452" s="296">
        <f t="shared" si="254"/>
        <v>3.4344313908320477E-3</v>
      </c>
      <c r="E452" s="296">
        <f t="shared" si="253"/>
        <v>3.6886463429066309E-3</v>
      </c>
      <c r="F452" s="296">
        <f t="shared" si="253"/>
        <v>3.9428612949812137E-3</v>
      </c>
      <c r="G452" s="296">
        <f t="shared" si="253"/>
        <v>4.1970762470557969E-3</v>
      </c>
      <c r="H452" s="296">
        <f t="shared" si="253"/>
        <v>4.4512911991303802E-3</v>
      </c>
      <c r="I452" s="296">
        <f t="shared" si="253"/>
        <v>4.7055061512049634E-3</v>
      </c>
      <c r="J452" s="296">
        <f t="shared" si="253"/>
        <v>4.9597211032795466E-3</v>
      </c>
      <c r="K452" s="296">
        <f t="shared" si="253"/>
        <v>5.2139360553541299E-3</v>
      </c>
      <c r="L452" s="296">
        <f t="shared" si="253"/>
        <v>5.4681510074287131E-3</v>
      </c>
      <c r="M452" s="419">
        <v>1</v>
      </c>
      <c r="N452" s="296">
        <f t="shared" si="252"/>
        <v>2.5421495207458324E-4</v>
      </c>
      <c r="O452" s="394" t="s">
        <v>2060</v>
      </c>
    </row>
    <row r="453" spans="1:15">
      <c r="A453" s="429" t="s">
        <v>2445</v>
      </c>
      <c r="B453" s="404">
        <f t="shared" si="249"/>
        <v>7.5489026943826093E-3</v>
      </c>
      <c r="C453" s="404">
        <f t="shared" si="250"/>
        <v>6.0931094922224332E-3</v>
      </c>
      <c r="D453" s="296">
        <f t="shared" si="254"/>
        <v>5.838675490366446E-3</v>
      </c>
      <c r="E453" s="296">
        <f t="shared" si="253"/>
        <v>5.5842414885104589E-3</v>
      </c>
      <c r="F453" s="296">
        <f t="shared" si="253"/>
        <v>5.3298074866544717E-3</v>
      </c>
      <c r="G453" s="296">
        <f t="shared" si="253"/>
        <v>5.0753734847984846E-3</v>
      </c>
      <c r="H453" s="296">
        <f t="shared" si="253"/>
        <v>4.8209394829424974E-3</v>
      </c>
      <c r="I453" s="296">
        <f t="shared" si="253"/>
        <v>4.5665054810865103E-3</v>
      </c>
      <c r="J453" s="296">
        <f t="shared" si="253"/>
        <v>4.3120714792305231E-3</v>
      </c>
      <c r="K453" s="296">
        <f t="shared" si="253"/>
        <v>4.057637477374536E-3</v>
      </c>
      <c r="L453" s="296">
        <f t="shared" si="253"/>
        <v>3.8032034755185488E-3</v>
      </c>
      <c r="M453" s="419">
        <v>1</v>
      </c>
      <c r="N453" s="296">
        <f t="shared" si="252"/>
        <v>-2.5443400185598715E-4</v>
      </c>
    </row>
    <row r="454" spans="1:15">
      <c r="A454" s="429" t="s">
        <v>2294</v>
      </c>
      <c r="B454" s="404">
        <f t="shared" si="249"/>
        <v>5.917450067017771E-3</v>
      </c>
      <c r="C454" s="404">
        <f t="shared" si="250"/>
        <v>5.0375024424563113E-3</v>
      </c>
      <c r="D454" s="296">
        <f t="shared" si="254"/>
        <v>4.4839524500861223E-3</v>
      </c>
      <c r="E454" s="296">
        <f t="shared" si="253"/>
        <v>3.9304024577159341E-3</v>
      </c>
      <c r="F454" s="296">
        <f t="shared" si="253"/>
        <v>3.3768524653457455E-3</v>
      </c>
      <c r="G454" s="296">
        <f t="shared" si="253"/>
        <v>2.8233024729755569E-3</v>
      </c>
      <c r="H454" s="296">
        <f t="shared" si="253"/>
        <v>2.2697524806053683E-3</v>
      </c>
      <c r="I454" s="296">
        <f t="shared" si="253"/>
        <v>1.7162024882351797E-3</v>
      </c>
      <c r="J454" s="296">
        <f t="shared" si="253"/>
        <v>1.1626524958649911E-3</v>
      </c>
      <c r="K454" s="296">
        <f t="shared" si="253"/>
        <v>6.0910250349480253E-4</v>
      </c>
      <c r="L454" s="296">
        <f t="shared" si="253"/>
        <v>5.5552511124613933E-5</v>
      </c>
      <c r="M454" s="419">
        <v>0.625</v>
      </c>
      <c r="N454" s="296">
        <f t="shared" si="252"/>
        <v>-5.535499923701886E-4</v>
      </c>
    </row>
    <row r="455" spans="1:15">
      <c r="A455" s="429" t="s">
        <v>2446</v>
      </c>
      <c r="B455" s="404">
        <f t="shared" si="249"/>
        <v>6.5591722111416305E-3</v>
      </c>
      <c r="C455" s="404">
        <f t="shared" si="250"/>
        <v>6.214831905133395E-3</v>
      </c>
      <c r="D455" s="296">
        <f t="shared" si="254"/>
        <v>5.5344950951846921E-3</v>
      </c>
      <c r="E455" s="296">
        <f t="shared" si="253"/>
        <v>4.8541582852359884E-3</v>
      </c>
      <c r="F455" s="296">
        <f t="shared" si="253"/>
        <v>4.1738214752872847E-3</v>
      </c>
      <c r="G455" s="296">
        <f t="shared" si="253"/>
        <v>3.4934846653385814E-3</v>
      </c>
      <c r="H455" s="296">
        <f t="shared" si="253"/>
        <v>2.8131478553898781E-3</v>
      </c>
      <c r="I455" s="296">
        <f t="shared" si="253"/>
        <v>2.1328110454411748E-3</v>
      </c>
      <c r="J455" s="296">
        <f t="shared" si="253"/>
        <v>1.4524742354924715E-3</v>
      </c>
      <c r="K455" s="296">
        <f t="shared" si="253"/>
        <v>7.7213742554376819E-4</v>
      </c>
      <c r="L455" s="296">
        <f t="shared" si="253"/>
        <v>9.1800615595064895E-5</v>
      </c>
      <c r="M455" s="419">
        <v>0.7142857142857143</v>
      </c>
      <c r="N455" s="296">
        <f t="shared" si="252"/>
        <v>-6.8033680994870329E-4</v>
      </c>
    </row>
    <row r="456" spans="1:15">
      <c r="A456" s="429" t="s">
        <v>2447</v>
      </c>
      <c r="B456" s="404">
        <f t="shared" si="249"/>
        <v>9.3278663752641953E-3</v>
      </c>
      <c r="C456" s="404">
        <f t="shared" si="250"/>
        <v>9.4666840223025742E-3</v>
      </c>
      <c r="D456" s="296">
        <f t="shared" si="254"/>
        <v>9.5219401334055154E-3</v>
      </c>
      <c r="E456" s="296">
        <f t="shared" si="253"/>
        <v>9.5771962445084565E-3</v>
      </c>
      <c r="F456" s="296">
        <f t="shared" si="253"/>
        <v>9.6324523556113976E-3</v>
      </c>
      <c r="G456" s="296">
        <f t="shared" si="253"/>
        <v>9.6877084667143388E-3</v>
      </c>
      <c r="H456" s="296">
        <f t="shared" si="253"/>
        <v>9.7429645778172799E-3</v>
      </c>
      <c r="I456" s="296">
        <f t="shared" si="253"/>
        <v>9.7982206889202211E-3</v>
      </c>
      <c r="J456" s="296">
        <f t="shared" si="253"/>
        <v>9.8534768000231622E-3</v>
      </c>
      <c r="K456" s="296">
        <f t="shared" si="253"/>
        <v>9.9087329111261033E-3</v>
      </c>
      <c r="L456" s="296">
        <f t="shared" si="253"/>
        <v>9.9639890222290445E-3</v>
      </c>
      <c r="M456" s="419">
        <v>0.125</v>
      </c>
      <c r="N456" s="296">
        <f t="shared" si="252"/>
        <v>5.5256111102940447E-5</v>
      </c>
      <c r="O456" t="s">
        <v>2421</v>
      </c>
    </row>
    <row r="457" spans="1:15">
      <c r="A457" s="64" t="s">
        <v>2036</v>
      </c>
      <c r="D457" s="296"/>
      <c r="E457" s="296"/>
      <c r="F457" s="296"/>
      <c r="G457" s="296"/>
      <c r="H457" s="296"/>
      <c r="I457" s="296"/>
      <c r="J457" s="296"/>
      <c r="K457" s="296"/>
      <c r="L457" s="296"/>
    </row>
    <row r="458" spans="1:15">
      <c r="A458" s="320" t="s">
        <v>2281</v>
      </c>
      <c r="B458" s="85">
        <f>I432</f>
        <v>25000</v>
      </c>
      <c r="C458" s="85">
        <f>J432</f>
        <v>7306</v>
      </c>
      <c r="D458" s="403">
        <f>D447*D445</f>
        <v>20370.851756689721</v>
      </c>
      <c r="E458" s="403">
        <f t="shared" ref="E458:K458" si="255">E447*E445</f>
        <v>24223.405295862696</v>
      </c>
      <c r="F458" s="403">
        <f t="shared" si="255"/>
        <v>27202.208155927481</v>
      </c>
      <c r="G458" s="403">
        <f t="shared" si="255"/>
        <v>30680.747334918178</v>
      </c>
      <c r="H458" s="403">
        <f t="shared" si="255"/>
        <v>33877.987864760013</v>
      </c>
      <c r="I458" s="403">
        <f t="shared" si="255"/>
        <v>37231.592964019233</v>
      </c>
      <c r="J458" s="403">
        <f t="shared" si="255"/>
        <v>40499.158156148282</v>
      </c>
      <c r="K458" s="403">
        <f t="shared" si="255"/>
        <v>43813.672113053151</v>
      </c>
      <c r="L458" s="403">
        <f>L447*L445</f>
        <v>47102.747281964745</v>
      </c>
      <c r="M458" t="s">
        <v>2230</v>
      </c>
    </row>
  </sheetData>
  <phoneticPr fontId="4" type="noConversion"/>
  <conditionalFormatting sqref="G126:G156">
    <cfRule type="dataBar" priority="32">
      <dataBar>
        <cfvo type="min"/>
        <cfvo type="max"/>
        <color rgb="FF63C384"/>
      </dataBar>
      <extLst>
        <ext xmlns:x14="http://schemas.microsoft.com/office/spreadsheetml/2009/9/main" uri="{B025F937-C7B1-47D3-B67F-A62EFF666E3E}">
          <x14:id>{0C966B81-0C40-409F-8D90-0D57443736B9}</x14:id>
        </ext>
      </extLst>
    </cfRule>
  </conditionalFormatting>
  <conditionalFormatting sqref="G200:G224">
    <cfRule type="dataBar" priority="34">
      <dataBar>
        <cfvo type="min"/>
        <cfvo type="max"/>
        <color rgb="FF63C384"/>
      </dataBar>
      <extLst>
        <ext xmlns:x14="http://schemas.microsoft.com/office/spreadsheetml/2009/9/main" uri="{B025F937-C7B1-47D3-B67F-A62EFF666E3E}">
          <x14:id>{6A894A11-9288-410D-BAC5-ADAEF763510E}</x14:id>
        </ext>
      </extLst>
    </cfRule>
  </conditionalFormatting>
  <conditionalFormatting sqref="I200:I224">
    <cfRule type="dataBar" priority="33">
      <dataBar>
        <cfvo type="min"/>
        <cfvo type="max"/>
        <color rgb="FF63C384"/>
      </dataBar>
      <extLst>
        <ext xmlns:x14="http://schemas.microsoft.com/office/spreadsheetml/2009/9/main" uri="{B025F937-C7B1-47D3-B67F-A62EFF666E3E}">
          <x14:id>{D4587110-2FD0-481A-A0A7-46F93E9680FB}</x14:id>
        </ext>
      </extLst>
    </cfRule>
  </conditionalFormatting>
  <conditionalFormatting sqref="N31:N43">
    <cfRule type="dataBar" priority="129">
      <dataBar>
        <cfvo type="min"/>
        <cfvo type="max"/>
        <color rgb="FF638EC6"/>
      </dataBar>
      <extLst>
        <ext xmlns:x14="http://schemas.microsoft.com/office/spreadsheetml/2009/9/main" uri="{B025F937-C7B1-47D3-B67F-A62EFF666E3E}">
          <x14:id>{A33FA4D7-7E24-46F1-8F66-4B7849BAECCF}</x14:id>
        </ext>
      </extLst>
    </cfRule>
  </conditionalFormatting>
  <conditionalFormatting sqref="N96:N99 N101:N104">
    <cfRule type="dataBar" priority="159">
      <dataBar>
        <cfvo type="min"/>
        <cfvo type="max"/>
        <color rgb="FF638EC6"/>
      </dataBar>
      <extLst>
        <ext xmlns:x14="http://schemas.microsoft.com/office/spreadsheetml/2009/9/main" uri="{B025F937-C7B1-47D3-B67F-A62EFF666E3E}">
          <x14:id>{2A97FCD9-DAD6-4EEA-AC21-5D8AB7D9CC94}</x14:id>
        </ext>
      </extLst>
    </cfRule>
  </conditionalFormatting>
  <conditionalFormatting sqref="N164:N194">
    <cfRule type="dataBar" priority="10">
      <dataBar>
        <cfvo type="min"/>
        <cfvo type="max"/>
        <color rgb="FF638EC6"/>
      </dataBar>
      <extLst>
        <ext xmlns:x14="http://schemas.microsoft.com/office/spreadsheetml/2009/9/main" uri="{B025F937-C7B1-47D3-B67F-A62EFF666E3E}">
          <x14:id>{B146017D-24D5-49EA-8A7B-634E1A50883B}</x14:id>
        </ext>
      </extLst>
    </cfRule>
  </conditionalFormatting>
  <conditionalFormatting sqref="N233:N256">
    <cfRule type="dataBar" priority="9">
      <dataBar>
        <cfvo type="min"/>
        <cfvo type="max"/>
        <color rgb="FF638EC6"/>
      </dataBar>
      <extLst>
        <ext xmlns:x14="http://schemas.microsoft.com/office/spreadsheetml/2009/9/main" uri="{B025F937-C7B1-47D3-B67F-A62EFF666E3E}">
          <x14:id>{029A9C59-3403-469D-A096-4D2BB63CE15F}</x14:id>
        </ext>
      </extLst>
    </cfRule>
  </conditionalFormatting>
  <conditionalFormatting sqref="O5:O11">
    <cfRule type="dataBar" priority="302">
      <dataBar>
        <cfvo type="min"/>
        <cfvo type="max"/>
        <color rgb="FF638EC6"/>
      </dataBar>
      <extLst>
        <ext xmlns:x14="http://schemas.microsoft.com/office/spreadsheetml/2009/9/main" uri="{B025F937-C7B1-47D3-B67F-A62EFF666E3E}">
          <x14:id>{31A81634-6085-49E3-86A0-A6525287EFE2}</x14:id>
        </ext>
      </extLst>
    </cfRule>
  </conditionalFormatting>
  <conditionalFormatting sqref="O11">
    <cfRule type="dataBar" priority="31">
      <dataBar>
        <cfvo type="min"/>
        <cfvo type="max"/>
        <color rgb="FF638EC6"/>
      </dataBar>
      <extLst>
        <ext xmlns:x14="http://schemas.microsoft.com/office/spreadsheetml/2009/9/main" uri="{B025F937-C7B1-47D3-B67F-A62EFF666E3E}">
          <x14:id>{15984696-FDD1-4ED8-A7F0-F1396B145957}</x14:id>
        </ext>
      </extLst>
    </cfRule>
  </conditionalFormatting>
  <conditionalFormatting sqref="O31:O42">
    <cfRule type="dataBar" priority="124">
      <dataBar>
        <cfvo type="min"/>
        <cfvo type="max"/>
        <color rgb="FF638EC6"/>
      </dataBar>
      <extLst>
        <ext xmlns:x14="http://schemas.microsoft.com/office/spreadsheetml/2009/9/main" uri="{B025F937-C7B1-47D3-B67F-A62EFF666E3E}">
          <x14:id>{3BCB3DF1-6B32-4F1B-B76D-6B1758EF92D3}</x14:id>
        </ext>
      </extLst>
    </cfRule>
  </conditionalFormatting>
  <conditionalFormatting sqref="O43">
    <cfRule type="dataBar" priority="85">
      <dataBar>
        <cfvo type="min"/>
        <cfvo type="max"/>
        <color rgb="FF638EC6"/>
      </dataBar>
      <extLst>
        <ext xmlns:x14="http://schemas.microsoft.com/office/spreadsheetml/2009/9/main" uri="{B025F937-C7B1-47D3-B67F-A62EFF666E3E}">
          <x14:id>{1BE80C42-5C38-46E1-8ECF-AD10E76437D6}</x14:id>
        </ext>
      </extLst>
    </cfRule>
    <cfRule type="dataBar" priority="86">
      <dataBar>
        <cfvo type="min"/>
        <cfvo type="max"/>
        <color rgb="FF638EC6"/>
      </dataBar>
      <extLst>
        <ext xmlns:x14="http://schemas.microsoft.com/office/spreadsheetml/2009/9/main" uri="{B025F937-C7B1-47D3-B67F-A62EFF666E3E}">
          <x14:id>{286C7202-9262-4A05-BD38-A50C4247A805}</x14:id>
        </ext>
      </extLst>
    </cfRule>
  </conditionalFormatting>
  <conditionalFormatting sqref="O68">
    <cfRule type="dataBar" priority="3">
      <dataBar>
        <cfvo type="min"/>
        <cfvo type="max"/>
        <color rgb="FF638EC6"/>
      </dataBar>
      <extLst>
        <ext xmlns:x14="http://schemas.microsoft.com/office/spreadsheetml/2009/9/main" uri="{B025F937-C7B1-47D3-B67F-A62EFF666E3E}">
          <x14:id>{FAB6CA66-C24E-4F1B-BFDA-08794E700E1E}</x14:id>
        </ext>
      </extLst>
    </cfRule>
  </conditionalFormatting>
  <conditionalFormatting sqref="O69:O71 O67">
    <cfRule type="dataBar" priority="53">
      <dataBar>
        <cfvo type="min"/>
        <cfvo type="max"/>
        <color rgb="FF638EC6"/>
      </dataBar>
      <extLst>
        <ext xmlns:x14="http://schemas.microsoft.com/office/spreadsheetml/2009/9/main" uri="{B025F937-C7B1-47D3-B67F-A62EFF666E3E}">
          <x14:id>{3FD7EF9B-5691-4FC5-8CF9-52FC2DECF884}</x14:id>
        </ext>
      </extLst>
    </cfRule>
  </conditionalFormatting>
  <conditionalFormatting sqref="O73">
    <cfRule type="dataBar" priority="7">
      <dataBar>
        <cfvo type="min"/>
        <cfvo type="max"/>
        <color rgb="FF638EC6"/>
      </dataBar>
      <extLst>
        <ext xmlns:x14="http://schemas.microsoft.com/office/spreadsheetml/2009/9/main" uri="{B025F937-C7B1-47D3-B67F-A62EFF666E3E}">
          <x14:id>{63C75E1F-7689-49EE-B3DF-DDA7E5A33F4E}</x14:id>
        </ext>
      </extLst>
    </cfRule>
  </conditionalFormatting>
  <conditionalFormatting sqref="O74:O75 O72">
    <cfRule type="dataBar" priority="20">
      <dataBar>
        <cfvo type="min"/>
        <cfvo type="max"/>
        <color rgb="FF638EC6"/>
      </dataBar>
      <extLst>
        <ext xmlns:x14="http://schemas.microsoft.com/office/spreadsheetml/2009/9/main" uri="{B025F937-C7B1-47D3-B67F-A62EFF666E3E}">
          <x14:id>{76B7BFFA-FDC3-4297-8088-68D691E2CD55}</x14:id>
        </ext>
      </extLst>
    </cfRule>
  </conditionalFormatting>
  <conditionalFormatting sqref="O96:O99 O101:O104">
    <cfRule type="dataBar" priority="155">
      <dataBar>
        <cfvo type="min"/>
        <cfvo type="max"/>
        <color rgb="FF638EC6"/>
      </dataBar>
      <extLst>
        <ext xmlns:x14="http://schemas.microsoft.com/office/spreadsheetml/2009/9/main" uri="{B025F937-C7B1-47D3-B67F-A62EFF666E3E}">
          <x14:id>{C72A3BFD-EBFD-49FE-91A9-F239BD6B1C48}</x14:id>
        </ext>
      </extLst>
    </cfRule>
  </conditionalFormatting>
  <conditionalFormatting sqref="O100">
    <cfRule type="dataBar" priority="17">
      <dataBar>
        <cfvo type="min"/>
        <cfvo type="max"/>
        <color rgb="FF638EC6"/>
      </dataBar>
      <extLst>
        <ext xmlns:x14="http://schemas.microsoft.com/office/spreadsheetml/2009/9/main" uri="{B025F937-C7B1-47D3-B67F-A62EFF666E3E}">
          <x14:id>{93904469-0B75-46DF-BF63-78C9C3F8D69D}</x14:id>
        </ext>
      </extLst>
    </cfRule>
  </conditionalFormatting>
  <conditionalFormatting sqref="O126:Q126 O127:S156">
    <cfRule type="dataBar" priority="146">
      <dataBar>
        <cfvo type="min"/>
        <cfvo type="max"/>
        <color rgb="FF638EC6"/>
      </dataBar>
      <extLst>
        <ext xmlns:x14="http://schemas.microsoft.com/office/spreadsheetml/2009/9/main" uri="{B025F937-C7B1-47D3-B67F-A62EFF666E3E}">
          <x14:id>{9600A041-B83D-434B-8329-F21AA3C28EC3}</x14:id>
        </ext>
      </extLst>
    </cfRule>
  </conditionalFormatting>
  <conditionalFormatting sqref="O200:Q200 O201:S224">
    <cfRule type="dataBar" priority="147">
      <dataBar>
        <cfvo type="min"/>
        <cfvo type="max"/>
        <color rgb="FF638EC6"/>
      </dataBar>
      <extLst>
        <ext xmlns:x14="http://schemas.microsoft.com/office/spreadsheetml/2009/9/main" uri="{B025F937-C7B1-47D3-B67F-A62EFF666E3E}">
          <x14:id>{0AEB41FA-73B1-4BD8-A8AC-AF4094EC4ED1}</x14:id>
        </ext>
      </extLst>
    </cfRule>
  </conditionalFormatting>
  <conditionalFormatting sqref="O315:Q315 O316:S332">
    <cfRule type="dataBar" priority="160">
      <dataBar>
        <cfvo type="min"/>
        <cfvo type="max"/>
        <color rgb="FF638EC6"/>
      </dataBar>
      <extLst>
        <ext xmlns:x14="http://schemas.microsoft.com/office/spreadsheetml/2009/9/main" uri="{B025F937-C7B1-47D3-B67F-A62EFF666E3E}">
          <x14:id>{97839CE2-6CFD-4A25-903F-C7147D9F2CD0}</x14:id>
        </ext>
      </extLst>
    </cfRule>
  </conditionalFormatting>
  <conditionalFormatting sqref="O360:Q360 O361:S377">
    <cfRule type="dataBar" priority="12">
      <dataBar>
        <cfvo type="min"/>
        <cfvo type="max"/>
        <color rgb="FF638EC6"/>
      </dataBar>
      <extLst>
        <ext xmlns:x14="http://schemas.microsoft.com/office/spreadsheetml/2009/9/main" uri="{B025F937-C7B1-47D3-B67F-A62EFF666E3E}">
          <x14:id>{9E6DD3B0-7C1C-44FD-A3E2-C8857E0CC6B7}</x14:id>
        </ext>
      </extLst>
    </cfRule>
  </conditionalFormatting>
  <conditionalFormatting sqref="O262:S270">
    <cfRule type="dataBar" priority="139">
      <dataBar>
        <cfvo type="min"/>
        <cfvo type="max"/>
        <color rgb="FF638EC6"/>
      </dataBar>
      <extLst>
        <ext xmlns:x14="http://schemas.microsoft.com/office/spreadsheetml/2009/9/main" uri="{B025F937-C7B1-47D3-B67F-A62EFF666E3E}">
          <x14:id>{AF4BEE44-0931-4859-BEA5-6C0736E9F73B}</x14:id>
        </ext>
      </extLst>
    </cfRule>
  </conditionalFormatting>
  <conditionalFormatting sqref="O290:S290">
    <cfRule type="dataBar" priority="148">
      <dataBar>
        <cfvo type="min"/>
        <cfvo type="max"/>
        <color rgb="FF638EC6"/>
      </dataBar>
      <extLst>
        <ext xmlns:x14="http://schemas.microsoft.com/office/spreadsheetml/2009/9/main" uri="{B025F937-C7B1-47D3-B67F-A62EFF666E3E}">
          <x14:id>{6ABB4D2F-6D6E-4D0B-81CB-1BAAF4A45531}</x14:id>
        </ext>
      </extLst>
    </cfRule>
  </conditionalFormatting>
  <conditionalFormatting sqref="O291:S296">
    <cfRule type="dataBar" priority="150">
      <dataBar>
        <cfvo type="min"/>
        <cfvo type="max"/>
        <color rgb="FF638EC6"/>
      </dataBar>
      <extLst>
        <ext xmlns:x14="http://schemas.microsoft.com/office/spreadsheetml/2009/9/main" uri="{B025F937-C7B1-47D3-B67F-A62EFF666E3E}">
          <x14:id>{7BE3F774-345F-4098-8F4E-FBE8CC526278}</x14:id>
        </ext>
      </extLst>
    </cfRule>
  </conditionalFormatting>
  <conditionalFormatting sqref="O406:S413">
    <cfRule type="dataBar" priority="141">
      <dataBar>
        <cfvo type="min"/>
        <cfvo type="max"/>
        <color rgb="FF638EC6"/>
      </dataBar>
      <extLst>
        <ext xmlns:x14="http://schemas.microsoft.com/office/spreadsheetml/2009/9/main" uri="{B025F937-C7B1-47D3-B67F-A62EFF666E3E}">
          <x14:id>{E5843207-82D4-462A-B63F-5EF002D0821B}</x14:id>
        </ext>
      </extLst>
    </cfRule>
  </conditionalFormatting>
  <conditionalFormatting sqref="O432:S441">
    <cfRule type="dataBar" priority="24">
      <dataBar>
        <cfvo type="min"/>
        <cfvo type="max"/>
        <color rgb="FF638EC6"/>
      </dataBar>
      <extLst>
        <ext xmlns:x14="http://schemas.microsoft.com/office/spreadsheetml/2009/9/main" uri="{B025F937-C7B1-47D3-B67F-A62EFF666E3E}">
          <x14:id>{418DEFB4-E13B-49CF-AA77-048A577A0433}</x14:id>
        </ext>
      </extLst>
    </cfRule>
  </conditionalFormatting>
  <conditionalFormatting sqref="P5:P10">
    <cfRule type="dataBar" priority="293">
      <dataBar>
        <cfvo type="min"/>
        <cfvo type="max"/>
        <color rgb="FF638EC6"/>
      </dataBar>
      <extLst>
        <ext xmlns:x14="http://schemas.microsoft.com/office/spreadsheetml/2009/9/main" uri="{B025F937-C7B1-47D3-B67F-A62EFF666E3E}">
          <x14:id>{1CDCAF10-16D5-467D-A789-C8BCDF6B3C98}</x14:id>
        </ext>
      </extLst>
    </cfRule>
  </conditionalFormatting>
  <conditionalFormatting sqref="P5:P12">
    <cfRule type="dataBar" priority="304">
      <dataBar>
        <cfvo type="min"/>
        <cfvo type="max"/>
        <color rgb="FF638EC6"/>
      </dataBar>
      <extLst>
        <ext xmlns:x14="http://schemas.microsoft.com/office/spreadsheetml/2009/9/main" uri="{B025F937-C7B1-47D3-B67F-A62EFF666E3E}">
          <x14:id>{7A1AE3F3-E23D-4D05-83E6-65F6CD73B7BE}</x14:id>
        </ext>
      </extLst>
    </cfRule>
  </conditionalFormatting>
  <conditionalFormatting sqref="P11:P12">
    <cfRule type="dataBar" priority="29">
      <dataBar>
        <cfvo type="min"/>
        <cfvo type="max"/>
        <color rgb="FF638EC6"/>
      </dataBar>
      <extLst>
        <ext xmlns:x14="http://schemas.microsoft.com/office/spreadsheetml/2009/9/main" uri="{B025F937-C7B1-47D3-B67F-A62EFF666E3E}">
          <x14:id>{7F0E6CE0-62E0-4709-AB82-BF712622E2DE}</x14:id>
        </ext>
      </extLst>
    </cfRule>
  </conditionalFormatting>
  <conditionalFormatting sqref="P31:P39">
    <cfRule type="dataBar" priority="120">
      <dataBar>
        <cfvo type="min"/>
        <cfvo type="max"/>
        <color rgb="FF638EC6"/>
      </dataBar>
      <extLst>
        <ext xmlns:x14="http://schemas.microsoft.com/office/spreadsheetml/2009/9/main" uri="{B025F937-C7B1-47D3-B67F-A62EFF666E3E}">
          <x14:id>{C7A6C751-2D4E-4A6C-99AA-47FA77975490}</x14:id>
        </ext>
      </extLst>
    </cfRule>
  </conditionalFormatting>
  <conditionalFormatting sqref="P33:P42 P31">
    <cfRule type="dataBar" priority="126">
      <dataBar>
        <cfvo type="min"/>
        <cfvo type="max"/>
        <color rgb="FF638EC6"/>
      </dataBar>
      <extLst>
        <ext xmlns:x14="http://schemas.microsoft.com/office/spreadsheetml/2009/9/main" uri="{B025F937-C7B1-47D3-B67F-A62EFF666E3E}">
          <x14:id>{9E4E89F1-051E-47A4-B10A-7FED1D9B45DF}</x14:id>
        </ext>
      </extLst>
    </cfRule>
  </conditionalFormatting>
  <conditionalFormatting sqref="P43">
    <cfRule type="dataBar" priority="87">
      <dataBar>
        <cfvo type="min"/>
        <cfvo type="max"/>
        <color rgb="FF638EC6"/>
      </dataBar>
      <extLst>
        <ext xmlns:x14="http://schemas.microsoft.com/office/spreadsheetml/2009/9/main" uri="{B025F937-C7B1-47D3-B67F-A62EFF666E3E}">
          <x14:id>{BF197FDA-7966-45A0-B363-210E366557C5}</x14:id>
        </ext>
      </extLst>
    </cfRule>
  </conditionalFormatting>
  <conditionalFormatting sqref="P68">
    <cfRule type="dataBar" priority="4">
      <dataBar>
        <cfvo type="min"/>
        <cfvo type="max"/>
        <color rgb="FF638EC6"/>
      </dataBar>
      <extLst>
        <ext xmlns:x14="http://schemas.microsoft.com/office/spreadsheetml/2009/9/main" uri="{B025F937-C7B1-47D3-B67F-A62EFF666E3E}">
          <x14:id>{742ACACA-0370-4406-A3E7-A135A4775C21}</x14:id>
        </ext>
      </extLst>
    </cfRule>
    <cfRule type="dataBar" priority="1">
      <dataBar>
        <cfvo type="min"/>
        <cfvo type="max"/>
        <color rgb="FF638EC6"/>
      </dataBar>
      <extLst>
        <ext xmlns:x14="http://schemas.microsoft.com/office/spreadsheetml/2009/9/main" uri="{B025F937-C7B1-47D3-B67F-A62EFF666E3E}">
          <x14:id>{11F204A7-4E9D-4EA1-BA57-FC3A13451E2D}</x14:id>
        </ext>
      </extLst>
    </cfRule>
  </conditionalFormatting>
  <conditionalFormatting sqref="P69:P71 P67">
    <cfRule type="dataBar" priority="51">
      <dataBar>
        <cfvo type="min"/>
        <cfvo type="max"/>
        <color rgb="FF638EC6"/>
      </dataBar>
      <extLst>
        <ext xmlns:x14="http://schemas.microsoft.com/office/spreadsheetml/2009/9/main" uri="{B025F937-C7B1-47D3-B67F-A62EFF666E3E}">
          <x14:id>{4EA5452F-347F-4D5A-A0D2-80445DB9DC50}</x14:id>
        </ext>
      </extLst>
    </cfRule>
    <cfRule type="dataBar" priority="50">
      <dataBar>
        <cfvo type="min"/>
        <cfvo type="max"/>
        <color rgb="FF638EC6"/>
      </dataBar>
      <extLst>
        <ext xmlns:x14="http://schemas.microsoft.com/office/spreadsheetml/2009/9/main" uri="{B025F937-C7B1-47D3-B67F-A62EFF666E3E}">
          <x14:id>{A255CEF2-DDC1-4D08-9896-1643E15711D3}</x14:id>
        </ext>
      </extLst>
    </cfRule>
  </conditionalFormatting>
  <conditionalFormatting sqref="P73">
    <cfRule type="dataBar" priority="5">
      <dataBar>
        <cfvo type="min"/>
        <cfvo type="max"/>
        <color rgb="FF638EC6"/>
      </dataBar>
      <extLst>
        <ext xmlns:x14="http://schemas.microsoft.com/office/spreadsheetml/2009/9/main" uri="{B025F937-C7B1-47D3-B67F-A62EFF666E3E}">
          <x14:id>{3838C170-12F3-49C7-BCFC-6620FCD4CFE7}</x14:id>
        </ext>
      </extLst>
    </cfRule>
    <cfRule type="dataBar" priority="8">
      <dataBar>
        <cfvo type="min"/>
        <cfvo type="max"/>
        <color rgb="FF638EC6"/>
      </dataBar>
      <extLst>
        <ext xmlns:x14="http://schemas.microsoft.com/office/spreadsheetml/2009/9/main" uri="{B025F937-C7B1-47D3-B67F-A62EFF666E3E}">
          <x14:id>{33C88903-9F99-4C0B-901D-03D308707964}</x14:id>
        </ext>
      </extLst>
    </cfRule>
  </conditionalFormatting>
  <conditionalFormatting sqref="P74:P75 P72">
    <cfRule type="dataBar" priority="18">
      <dataBar>
        <cfvo type="min"/>
        <cfvo type="max"/>
        <color rgb="FF638EC6"/>
      </dataBar>
      <extLst>
        <ext xmlns:x14="http://schemas.microsoft.com/office/spreadsheetml/2009/9/main" uri="{B025F937-C7B1-47D3-B67F-A62EFF666E3E}">
          <x14:id>{A912C5A3-356F-4F96-8066-8F263E86D05E}</x14:id>
        </ext>
      </extLst>
    </cfRule>
  </conditionalFormatting>
  <conditionalFormatting sqref="P96:P99 P101:P104">
    <cfRule type="dataBar" priority="157">
      <dataBar>
        <cfvo type="min"/>
        <cfvo type="max"/>
        <color rgb="FF638EC6"/>
      </dataBar>
      <extLst>
        <ext xmlns:x14="http://schemas.microsoft.com/office/spreadsheetml/2009/9/main" uri="{B025F937-C7B1-47D3-B67F-A62EFF666E3E}">
          <x14:id>{8BE5D935-8D55-4232-9960-A74398A9C254}</x14:id>
        </ext>
      </extLst>
    </cfRule>
  </conditionalFormatting>
  <conditionalFormatting sqref="P100">
    <cfRule type="dataBar" priority="15">
      <dataBar>
        <cfvo type="min"/>
        <cfvo type="max"/>
        <color rgb="FF638EC6"/>
      </dataBar>
      <extLst>
        <ext xmlns:x14="http://schemas.microsoft.com/office/spreadsheetml/2009/9/main" uri="{B025F937-C7B1-47D3-B67F-A62EFF666E3E}">
          <x14:id>{F831E50A-F848-4E04-998B-DF8D74B54DFF}</x14:id>
        </ext>
      </extLst>
    </cfRule>
    <cfRule type="dataBar" priority="14">
      <dataBar>
        <cfvo type="min"/>
        <cfvo type="max"/>
        <color rgb="FF638EC6"/>
      </dataBar>
      <extLst>
        <ext xmlns:x14="http://schemas.microsoft.com/office/spreadsheetml/2009/9/main" uri="{B025F937-C7B1-47D3-B67F-A62EFF666E3E}">
          <x14:id>{24577AEF-C673-4D7C-968B-F1D2E66D93AA}</x14:id>
        </ext>
      </extLst>
    </cfRule>
  </conditionalFormatting>
  <conditionalFormatting sqref="Q5 O12 Q6:S12">
    <cfRule type="dataBar" priority="26">
      <dataBar>
        <cfvo type="min"/>
        <cfvo type="max"/>
        <color rgb="FF638EC6"/>
      </dataBar>
      <extLst>
        <ext xmlns:x14="http://schemas.microsoft.com/office/spreadsheetml/2009/9/main" uri="{B025F937-C7B1-47D3-B67F-A62EFF666E3E}">
          <x14:id>{6AD84384-8B59-451B-B455-6A0A09B0EB14}</x14:id>
        </ext>
      </extLst>
    </cfRule>
  </conditionalFormatting>
  <conditionalFormatting sqref="Q68">
    <cfRule type="dataBar" priority="2">
      <dataBar>
        <cfvo type="min"/>
        <cfvo type="max"/>
        <color rgb="FF638EC6"/>
      </dataBar>
      <extLst>
        <ext xmlns:x14="http://schemas.microsoft.com/office/spreadsheetml/2009/9/main" uri="{B025F937-C7B1-47D3-B67F-A62EFF666E3E}">
          <x14:id>{F5280335-B754-4E8A-83B1-634E7ED8EC2F}</x14:id>
        </ext>
      </extLst>
    </cfRule>
  </conditionalFormatting>
  <conditionalFormatting sqref="Q73">
    <cfRule type="dataBar" priority="6">
      <dataBar>
        <cfvo type="min"/>
        <cfvo type="max"/>
        <color rgb="FF638EC6"/>
      </dataBar>
      <extLst>
        <ext xmlns:x14="http://schemas.microsoft.com/office/spreadsheetml/2009/9/main" uri="{B025F937-C7B1-47D3-B67F-A62EFF666E3E}">
          <x14:id>{631B26A2-ACD8-4698-A210-1D132D38C149}</x14:id>
        </ext>
      </extLst>
    </cfRule>
  </conditionalFormatting>
  <conditionalFormatting sqref="Q6:S10 Q5">
    <cfRule type="dataBar" priority="296">
      <dataBar>
        <cfvo type="min"/>
        <cfvo type="max"/>
        <color rgb="FF638EC6"/>
      </dataBar>
      <extLst>
        <ext xmlns:x14="http://schemas.microsoft.com/office/spreadsheetml/2009/9/main" uri="{B025F937-C7B1-47D3-B67F-A62EFF666E3E}">
          <x14:id>{AD872C53-C05F-4072-8614-A8DE3EB494D5}</x14:id>
        </ext>
      </extLst>
    </cfRule>
  </conditionalFormatting>
  <conditionalFormatting sqref="Q11:S12 O12">
    <cfRule type="dataBar" priority="30">
      <dataBar>
        <cfvo type="min"/>
        <cfvo type="max"/>
        <color rgb="FF638EC6"/>
      </dataBar>
      <extLst>
        <ext xmlns:x14="http://schemas.microsoft.com/office/spreadsheetml/2009/9/main" uri="{B025F937-C7B1-47D3-B67F-A62EFF666E3E}">
          <x14:id>{5A1DA351-5988-47FA-912E-82D58452D7A8}</x14:id>
        </ext>
      </extLst>
    </cfRule>
  </conditionalFormatting>
  <conditionalFormatting sqref="Q32:S43 Q31">
    <cfRule type="dataBar" priority="142">
      <dataBar>
        <cfvo type="min"/>
        <cfvo type="max"/>
        <color rgb="FF638EC6"/>
      </dataBar>
      <extLst>
        <ext xmlns:x14="http://schemas.microsoft.com/office/spreadsheetml/2009/9/main" uri="{B025F937-C7B1-47D3-B67F-A62EFF666E3E}">
          <x14:id>{ECB7CE55-9EFE-4E99-A345-CF9835D03FD9}</x14:id>
        </ext>
      </extLst>
    </cfRule>
  </conditionalFormatting>
  <conditionalFormatting sqref="Q67:S67 Q69:S71 R68:S68">
    <cfRule type="dataBar" priority="140">
      <dataBar>
        <cfvo type="min"/>
        <cfvo type="max"/>
        <color rgb="FF638EC6"/>
      </dataBar>
      <extLst>
        <ext xmlns:x14="http://schemas.microsoft.com/office/spreadsheetml/2009/9/main" uri="{B025F937-C7B1-47D3-B67F-A62EFF666E3E}">
          <x14:id>{C57D4889-7A96-48FB-BFF7-A470B5DC0745}</x14:id>
        </ext>
      </extLst>
    </cfRule>
  </conditionalFormatting>
  <conditionalFormatting sqref="Q72:S72 Q74:S75 R73:S73">
    <cfRule type="dataBar" priority="19">
      <dataBar>
        <cfvo type="min"/>
        <cfvo type="max"/>
        <color rgb="FF638EC6"/>
      </dataBar>
      <extLst>
        <ext xmlns:x14="http://schemas.microsoft.com/office/spreadsheetml/2009/9/main" uri="{B025F937-C7B1-47D3-B67F-A62EFF666E3E}">
          <x14:id>{66A4E056-0BF5-43C9-85A9-46524FC58DC3}</x14:id>
        </ext>
      </extLst>
    </cfRule>
  </conditionalFormatting>
  <conditionalFormatting sqref="Q100:S100">
    <cfRule type="dataBar" priority="16">
      <dataBar>
        <cfvo type="min"/>
        <cfvo type="max"/>
        <color rgb="FF638EC6"/>
      </dataBar>
      <extLst>
        <ext xmlns:x14="http://schemas.microsoft.com/office/spreadsheetml/2009/9/main" uri="{B025F937-C7B1-47D3-B67F-A62EFF666E3E}">
          <x14:id>{C2C48039-7C0A-4709-B22C-BAAE697E5304}</x14:id>
        </ext>
      </extLst>
    </cfRule>
  </conditionalFormatting>
  <conditionalFormatting sqref="Q104:S104">
    <cfRule type="dataBar" priority="13">
      <dataBar>
        <cfvo type="min"/>
        <cfvo type="max"/>
        <color rgb="FF638EC6"/>
      </dataBar>
      <extLst>
        <ext xmlns:x14="http://schemas.microsoft.com/office/spreadsheetml/2009/9/main" uri="{B025F937-C7B1-47D3-B67F-A62EFF666E3E}">
          <x14:id>{4721F975-B627-4C8B-9206-AB8011CC00C1}</x14:id>
        </ext>
      </extLst>
    </cfRule>
  </conditionalFormatting>
  <conditionalFormatting sqref="T67:T75">
    <cfRule type="dataBar" priority="70">
      <dataBar>
        <cfvo type="min"/>
        <cfvo type="max"/>
        <color rgb="FF638EC6"/>
      </dataBar>
      <extLst>
        <ext xmlns:x14="http://schemas.microsoft.com/office/spreadsheetml/2009/9/main" uri="{B025F937-C7B1-47D3-B67F-A62EFF666E3E}">
          <x14:id>{2AF43C2C-723B-4F0D-88C4-F403A6F1829F}</x14:id>
        </ext>
      </extLst>
    </cfRule>
    <cfRule type="dataBar" priority="71">
      <dataBar>
        <cfvo type="min"/>
        <cfvo type="max"/>
        <color rgb="FF638EC6"/>
      </dataBar>
      <extLst>
        <ext xmlns:x14="http://schemas.microsoft.com/office/spreadsheetml/2009/9/main" uri="{B025F937-C7B1-47D3-B67F-A62EFF666E3E}">
          <x14:id>{C7F418FD-2D55-4850-8167-ECB5CABEE4EB}</x14:id>
        </ext>
      </extLst>
    </cfRule>
  </conditionalFormatting>
  <conditionalFormatting sqref="T315:T332">
    <cfRule type="dataBar" priority="11">
      <dataBar>
        <cfvo type="min"/>
        <cfvo type="max"/>
        <color rgb="FF638EC6"/>
      </dataBar>
      <extLst>
        <ext xmlns:x14="http://schemas.microsoft.com/office/spreadsheetml/2009/9/main" uri="{B025F937-C7B1-47D3-B67F-A62EFF666E3E}">
          <x14:id>{DBC19883-A10B-4731-A746-21BE2099C6DB}</x14:id>
        </ext>
      </extLst>
    </cfRule>
  </conditionalFormatting>
  <conditionalFormatting sqref="U67">
    <cfRule type="dataBar" priority="72">
      <dataBar>
        <cfvo type="min"/>
        <cfvo type="max"/>
        <color rgb="FF638EC6"/>
      </dataBar>
      <extLst>
        <ext xmlns:x14="http://schemas.microsoft.com/office/spreadsheetml/2009/9/main" uri="{B025F937-C7B1-47D3-B67F-A62EFF666E3E}">
          <x14:id>{1D548B49-0E95-45F8-9ED2-28CC1518BFA8}</x14:id>
        </ext>
      </extLst>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dataBar" id="{0C966B81-0C40-409F-8D90-0D57443736B9}">
            <x14:dataBar minLength="0" maxLength="100" border="1" negativeBarBorderColorSameAsPositive="0">
              <x14:cfvo type="autoMin"/>
              <x14:cfvo type="autoMax"/>
              <x14:borderColor rgb="FF63C384"/>
              <x14:negativeFillColor rgb="FFFF0000"/>
              <x14:negativeBorderColor rgb="FFFF0000"/>
              <x14:axisColor rgb="FF000000"/>
            </x14:dataBar>
          </x14:cfRule>
          <xm:sqref>G126:G156</xm:sqref>
        </x14:conditionalFormatting>
        <x14:conditionalFormatting xmlns:xm="http://schemas.microsoft.com/office/excel/2006/main">
          <x14:cfRule type="dataBar" id="{6A894A11-9288-410D-BAC5-ADAEF763510E}">
            <x14:dataBar minLength="0" maxLength="100" border="1" negativeBarBorderColorSameAsPositive="0">
              <x14:cfvo type="autoMin"/>
              <x14:cfvo type="autoMax"/>
              <x14:borderColor rgb="FF63C384"/>
              <x14:negativeFillColor rgb="FFFF0000"/>
              <x14:negativeBorderColor rgb="FFFF0000"/>
              <x14:axisColor rgb="FF000000"/>
            </x14:dataBar>
          </x14:cfRule>
          <xm:sqref>G200:G224</xm:sqref>
        </x14:conditionalFormatting>
        <x14:conditionalFormatting xmlns:xm="http://schemas.microsoft.com/office/excel/2006/main">
          <x14:cfRule type="dataBar" id="{D4587110-2FD0-481A-A0A7-46F93E9680FB}">
            <x14:dataBar minLength="0" maxLength="100" border="1" negativeBarBorderColorSameAsPositive="0">
              <x14:cfvo type="autoMin"/>
              <x14:cfvo type="autoMax"/>
              <x14:borderColor rgb="FF63C384"/>
              <x14:negativeFillColor rgb="FFFF0000"/>
              <x14:negativeBorderColor rgb="FFFF0000"/>
              <x14:axisColor rgb="FF000000"/>
            </x14:dataBar>
          </x14:cfRule>
          <xm:sqref>I200:I224</xm:sqref>
        </x14:conditionalFormatting>
        <x14:conditionalFormatting xmlns:xm="http://schemas.microsoft.com/office/excel/2006/main">
          <x14:cfRule type="dataBar" id="{A33FA4D7-7E24-46F1-8F66-4B7849BAECCF}">
            <x14:dataBar minLength="0" maxLength="100" border="1" negativeBarBorderColorSameAsPositive="0">
              <x14:cfvo type="autoMin"/>
              <x14:cfvo type="autoMax"/>
              <x14:borderColor rgb="FF638EC6"/>
              <x14:negativeFillColor rgb="FFFF0000"/>
              <x14:negativeBorderColor rgb="FFFF0000"/>
              <x14:axisColor rgb="FF000000"/>
            </x14:dataBar>
          </x14:cfRule>
          <xm:sqref>N31:N43</xm:sqref>
        </x14:conditionalFormatting>
        <x14:conditionalFormatting xmlns:xm="http://schemas.microsoft.com/office/excel/2006/main">
          <x14:cfRule type="dataBar" id="{2A97FCD9-DAD6-4EEA-AC21-5D8AB7D9CC94}">
            <x14:dataBar minLength="0" maxLength="100" border="1" negativeBarBorderColorSameAsPositive="0">
              <x14:cfvo type="autoMin"/>
              <x14:cfvo type="autoMax"/>
              <x14:borderColor rgb="FF638EC6"/>
              <x14:negativeFillColor rgb="FFFF0000"/>
              <x14:negativeBorderColor rgb="FFFF0000"/>
              <x14:axisColor rgb="FF000000"/>
            </x14:dataBar>
          </x14:cfRule>
          <xm:sqref>N96:N99 N101:N104</xm:sqref>
        </x14:conditionalFormatting>
        <x14:conditionalFormatting xmlns:xm="http://schemas.microsoft.com/office/excel/2006/main">
          <x14:cfRule type="dataBar" id="{B146017D-24D5-49EA-8A7B-634E1A50883B}">
            <x14:dataBar minLength="0" maxLength="100" border="1" negativeBarBorderColorSameAsPositive="0">
              <x14:cfvo type="autoMin"/>
              <x14:cfvo type="autoMax"/>
              <x14:borderColor rgb="FF638EC6"/>
              <x14:negativeFillColor rgb="FFFF0000"/>
              <x14:negativeBorderColor rgb="FFFF0000"/>
              <x14:axisColor rgb="FF000000"/>
            </x14:dataBar>
          </x14:cfRule>
          <xm:sqref>N164:N194</xm:sqref>
        </x14:conditionalFormatting>
        <x14:conditionalFormatting xmlns:xm="http://schemas.microsoft.com/office/excel/2006/main">
          <x14:cfRule type="dataBar" id="{029A9C59-3403-469D-A096-4D2BB63CE15F}">
            <x14:dataBar minLength="0" maxLength="100" border="1" negativeBarBorderColorSameAsPositive="0">
              <x14:cfvo type="autoMin"/>
              <x14:cfvo type="autoMax"/>
              <x14:borderColor rgb="FF638EC6"/>
              <x14:negativeFillColor rgb="FFFF0000"/>
              <x14:negativeBorderColor rgb="FFFF0000"/>
              <x14:axisColor rgb="FF000000"/>
            </x14:dataBar>
          </x14:cfRule>
          <xm:sqref>N233:N256</xm:sqref>
        </x14:conditionalFormatting>
        <x14:conditionalFormatting xmlns:xm="http://schemas.microsoft.com/office/excel/2006/main">
          <x14:cfRule type="dataBar" id="{31A81634-6085-49E3-86A0-A6525287EFE2}">
            <x14:dataBar minLength="0" maxLength="100" border="1" negativeBarBorderColorSameAsPositive="0">
              <x14:cfvo type="autoMin"/>
              <x14:cfvo type="autoMax"/>
              <x14:borderColor rgb="FF638EC6"/>
              <x14:negativeFillColor rgb="FFFF0000"/>
              <x14:negativeBorderColor rgb="FFFF0000"/>
              <x14:axisColor rgb="FF000000"/>
            </x14:dataBar>
          </x14:cfRule>
          <xm:sqref>O5:O11</xm:sqref>
        </x14:conditionalFormatting>
        <x14:conditionalFormatting xmlns:xm="http://schemas.microsoft.com/office/excel/2006/main">
          <x14:cfRule type="dataBar" id="{15984696-FDD1-4ED8-A7F0-F1396B145957}">
            <x14:dataBar minLength="0" maxLength="100" border="1" negativeBarBorderColorSameAsPositive="0">
              <x14:cfvo type="autoMin"/>
              <x14:cfvo type="autoMax"/>
              <x14:borderColor rgb="FF638EC6"/>
              <x14:negativeFillColor rgb="FFFF0000"/>
              <x14:negativeBorderColor rgb="FFFF0000"/>
              <x14:axisColor rgb="FF000000"/>
            </x14:dataBar>
          </x14:cfRule>
          <xm:sqref>O11</xm:sqref>
        </x14:conditionalFormatting>
        <x14:conditionalFormatting xmlns:xm="http://schemas.microsoft.com/office/excel/2006/main">
          <x14:cfRule type="dataBar" id="{3BCB3DF1-6B32-4F1B-B76D-6B1758EF92D3}">
            <x14:dataBar minLength="0" maxLength="100" border="1" negativeBarBorderColorSameAsPositive="0">
              <x14:cfvo type="autoMin"/>
              <x14:cfvo type="autoMax"/>
              <x14:borderColor rgb="FF638EC6"/>
              <x14:negativeFillColor rgb="FFFF0000"/>
              <x14:negativeBorderColor rgb="FFFF0000"/>
              <x14:axisColor rgb="FF000000"/>
            </x14:dataBar>
          </x14:cfRule>
          <xm:sqref>O31:O42</xm:sqref>
        </x14:conditionalFormatting>
        <x14:conditionalFormatting xmlns:xm="http://schemas.microsoft.com/office/excel/2006/main">
          <x14:cfRule type="dataBar" id="{1BE80C42-5C38-46E1-8ECF-AD10E76437D6}">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286C7202-9262-4A05-BD38-A50C4247A805}">
            <x14:dataBar minLength="0" maxLength="100" border="1" negativeBarBorderColorSameAsPositive="0">
              <x14:cfvo type="autoMin"/>
              <x14:cfvo type="autoMax"/>
              <x14:borderColor rgb="FF638EC6"/>
              <x14:negativeFillColor rgb="FFFF0000"/>
              <x14:negativeBorderColor rgb="FFFF0000"/>
              <x14:axisColor rgb="FF000000"/>
            </x14:dataBar>
          </x14:cfRule>
          <xm:sqref>O43</xm:sqref>
        </x14:conditionalFormatting>
        <x14:conditionalFormatting xmlns:xm="http://schemas.microsoft.com/office/excel/2006/main">
          <x14:cfRule type="dataBar" id="{FAB6CA66-C24E-4F1B-BFDA-08794E700E1E}">
            <x14:dataBar minLength="0" maxLength="100" border="1" negativeBarBorderColorSameAsPositive="0">
              <x14:cfvo type="autoMin"/>
              <x14:cfvo type="autoMax"/>
              <x14:borderColor rgb="FF638EC6"/>
              <x14:negativeFillColor rgb="FFFF0000"/>
              <x14:negativeBorderColor rgb="FFFF0000"/>
              <x14:axisColor rgb="FF000000"/>
            </x14:dataBar>
          </x14:cfRule>
          <xm:sqref>O68</xm:sqref>
        </x14:conditionalFormatting>
        <x14:conditionalFormatting xmlns:xm="http://schemas.microsoft.com/office/excel/2006/main">
          <x14:cfRule type="dataBar" id="{3FD7EF9B-5691-4FC5-8CF9-52FC2DECF884}">
            <x14:dataBar minLength="0" maxLength="100" border="1" negativeBarBorderColorSameAsPositive="0">
              <x14:cfvo type="autoMin"/>
              <x14:cfvo type="autoMax"/>
              <x14:borderColor rgb="FF638EC6"/>
              <x14:negativeFillColor rgb="FFFF0000"/>
              <x14:negativeBorderColor rgb="FFFF0000"/>
              <x14:axisColor rgb="FF000000"/>
            </x14:dataBar>
          </x14:cfRule>
          <xm:sqref>O69:O71 O67</xm:sqref>
        </x14:conditionalFormatting>
        <x14:conditionalFormatting xmlns:xm="http://schemas.microsoft.com/office/excel/2006/main">
          <x14:cfRule type="dataBar" id="{63C75E1F-7689-49EE-B3DF-DDA7E5A33F4E}">
            <x14:dataBar minLength="0" maxLength="100" border="1" negativeBarBorderColorSameAsPositive="0">
              <x14:cfvo type="autoMin"/>
              <x14:cfvo type="autoMax"/>
              <x14:borderColor rgb="FF638EC6"/>
              <x14:negativeFillColor rgb="FFFF0000"/>
              <x14:negativeBorderColor rgb="FFFF0000"/>
              <x14:axisColor rgb="FF000000"/>
            </x14:dataBar>
          </x14:cfRule>
          <xm:sqref>O73</xm:sqref>
        </x14:conditionalFormatting>
        <x14:conditionalFormatting xmlns:xm="http://schemas.microsoft.com/office/excel/2006/main">
          <x14:cfRule type="dataBar" id="{76B7BFFA-FDC3-4297-8088-68D691E2CD55}">
            <x14:dataBar minLength="0" maxLength="100" border="1" negativeBarBorderColorSameAsPositive="0">
              <x14:cfvo type="autoMin"/>
              <x14:cfvo type="autoMax"/>
              <x14:borderColor rgb="FF638EC6"/>
              <x14:negativeFillColor rgb="FFFF0000"/>
              <x14:negativeBorderColor rgb="FFFF0000"/>
              <x14:axisColor rgb="FF000000"/>
            </x14:dataBar>
          </x14:cfRule>
          <xm:sqref>O74:O75 O72</xm:sqref>
        </x14:conditionalFormatting>
        <x14:conditionalFormatting xmlns:xm="http://schemas.microsoft.com/office/excel/2006/main">
          <x14:cfRule type="dataBar" id="{C72A3BFD-EBFD-49FE-91A9-F239BD6B1C48}">
            <x14:dataBar minLength="0" maxLength="100" border="1" negativeBarBorderColorSameAsPositive="0">
              <x14:cfvo type="autoMin"/>
              <x14:cfvo type="autoMax"/>
              <x14:borderColor rgb="FF638EC6"/>
              <x14:negativeFillColor rgb="FFFF0000"/>
              <x14:negativeBorderColor rgb="FFFF0000"/>
              <x14:axisColor rgb="FF000000"/>
            </x14:dataBar>
          </x14:cfRule>
          <xm:sqref>O96:O99 O101:O104</xm:sqref>
        </x14:conditionalFormatting>
        <x14:conditionalFormatting xmlns:xm="http://schemas.microsoft.com/office/excel/2006/main">
          <x14:cfRule type="dataBar" id="{93904469-0B75-46DF-BF63-78C9C3F8D69D}">
            <x14:dataBar minLength="0" maxLength="100" border="1" negativeBarBorderColorSameAsPositive="0">
              <x14:cfvo type="autoMin"/>
              <x14:cfvo type="autoMax"/>
              <x14:borderColor rgb="FF638EC6"/>
              <x14:negativeFillColor rgb="FFFF0000"/>
              <x14:negativeBorderColor rgb="FFFF0000"/>
              <x14:axisColor rgb="FF000000"/>
            </x14:dataBar>
          </x14:cfRule>
          <xm:sqref>O100</xm:sqref>
        </x14:conditionalFormatting>
        <x14:conditionalFormatting xmlns:xm="http://schemas.microsoft.com/office/excel/2006/main">
          <x14:cfRule type="dataBar" id="{9600A041-B83D-434B-8329-F21AA3C28EC3}">
            <x14:dataBar minLength="0" maxLength="100" border="1" negativeBarBorderColorSameAsPositive="0">
              <x14:cfvo type="autoMin"/>
              <x14:cfvo type="autoMax"/>
              <x14:borderColor rgb="FF638EC6"/>
              <x14:negativeFillColor rgb="FFFF0000"/>
              <x14:negativeBorderColor rgb="FFFF0000"/>
              <x14:axisColor rgb="FF000000"/>
            </x14:dataBar>
          </x14:cfRule>
          <xm:sqref>O126:Q126 O127:S156</xm:sqref>
        </x14:conditionalFormatting>
        <x14:conditionalFormatting xmlns:xm="http://schemas.microsoft.com/office/excel/2006/main">
          <x14:cfRule type="dataBar" id="{0AEB41FA-73B1-4BD8-A8AC-AF4094EC4ED1}">
            <x14:dataBar minLength="0" maxLength="100" border="1" negativeBarBorderColorSameAsPositive="0">
              <x14:cfvo type="autoMin"/>
              <x14:cfvo type="autoMax"/>
              <x14:borderColor rgb="FF638EC6"/>
              <x14:negativeFillColor rgb="FFFF0000"/>
              <x14:negativeBorderColor rgb="FFFF0000"/>
              <x14:axisColor rgb="FF000000"/>
            </x14:dataBar>
          </x14:cfRule>
          <xm:sqref>O200:Q200 O201:S224</xm:sqref>
        </x14:conditionalFormatting>
        <x14:conditionalFormatting xmlns:xm="http://schemas.microsoft.com/office/excel/2006/main">
          <x14:cfRule type="dataBar" id="{97839CE2-6CFD-4A25-903F-C7147D9F2CD0}">
            <x14:dataBar minLength="0" maxLength="100" border="1" negativeBarBorderColorSameAsPositive="0">
              <x14:cfvo type="autoMin"/>
              <x14:cfvo type="autoMax"/>
              <x14:borderColor rgb="FF638EC6"/>
              <x14:negativeFillColor rgb="FFFF0000"/>
              <x14:negativeBorderColor rgb="FFFF0000"/>
              <x14:axisColor rgb="FF000000"/>
            </x14:dataBar>
          </x14:cfRule>
          <xm:sqref>O315:Q315 O316:S332</xm:sqref>
        </x14:conditionalFormatting>
        <x14:conditionalFormatting xmlns:xm="http://schemas.microsoft.com/office/excel/2006/main">
          <x14:cfRule type="dataBar" id="{9E6DD3B0-7C1C-44FD-A3E2-C8857E0CC6B7}">
            <x14:dataBar minLength="0" maxLength="100" border="1" negativeBarBorderColorSameAsPositive="0">
              <x14:cfvo type="autoMin"/>
              <x14:cfvo type="autoMax"/>
              <x14:borderColor rgb="FF638EC6"/>
              <x14:negativeFillColor rgb="FFFF0000"/>
              <x14:negativeBorderColor rgb="FFFF0000"/>
              <x14:axisColor rgb="FF000000"/>
            </x14:dataBar>
          </x14:cfRule>
          <xm:sqref>O360:Q360 O361:S377</xm:sqref>
        </x14:conditionalFormatting>
        <x14:conditionalFormatting xmlns:xm="http://schemas.microsoft.com/office/excel/2006/main">
          <x14:cfRule type="dataBar" id="{AF4BEE44-0931-4859-BEA5-6C0736E9F73B}">
            <x14:dataBar minLength="0" maxLength="100" border="1" negativeBarBorderColorSameAsPositive="0">
              <x14:cfvo type="autoMin"/>
              <x14:cfvo type="autoMax"/>
              <x14:borderColor rgb="FF638EC6"/>
              <x14:negativeFillColor rgb="FFFF0000"/>
              <x14:negativeBorderColor rgb="FFFF0000"/>
              <x14:axisColor rgb="FF000000"/>
            </x14:dataBar>
          </x14:cfRule>
          <xm:sqref>O262:S270</xm:sqref>
        </x14:conditionalFormatting>
        <x14:conditionalFormatting xmlns:xm="http://schemas.microsoft.com/office/excel/2006/main">
          <x14:cfRule type="dataBar" id="{6ABB4D2F-6D6E-4D0B-81CB-1BAAF4A45531}">
            <x14:dataBar minLength="0" maxLength="100" border="1" negativeBarBorderColorSameAsPositive="0">
              <x14:cfvo type="autoMin"/>
              <x14:cfvo type="autoMax"/>
              <x14:borderColor rgb="FF638EC6"/>
              <x14:negativeFillColor rgb="FFFF0000"/>
              <x14:negativeBorderColor rgb="FFFF0000"/>
              <x14:axisColor rgb="FF000000"/>
            </x14:dataBar>
          </x14:cfRule>
          <xm:sqref>O290:S290</xm:sqref>
        </x14:conditionalFormatting>
        <x14:conditionalFormatting xmlns:xm="http://schemas.microsoft.com/office/excel/2006/main">
          <x14:cfRule type="dataBar" id="{7BE3F774-345F-4098-8F4E-FBE8CC526278}">
            <x14:dataBar minLength="0" maxLength="100" border="1" negativeBarBorderColorSameAsPositive="0">
              <x14:cfvo type="autoMin"/>
              <x14:cfvo type="autoMax"/>
              <x14:borderColor rgb="FF638EC6"/>
              <x14:negativeFillColor rgb="FFFF0000"/>
              <x14:negativeBorderColor rgb="FFFF0000"/>
              <x14:axisColor rgb="FF000000"/>
            </x14:dataBar>
          </x14:cfRule>
          <xm:sqref>O291:S296</xm:sqref>
        </x14:conditionalFormatting>
        <x14:conditionalFormatting xmlns:xm="http://schemas.microsoft.com/office/excel/2006/main">
          <x14:cfRule type="dataBar" id="{E5843207-82D4-462A-B63F-5EF002D0821B}">
            <x14:dataBar minLength="0" maxLength="100" border="1" negativeBarBorderColorSameAsPositive="0">
              <x14:cfvo type="autoMin"/>
              <x14:cfvo type="autoMax"/>
              <x14:borderColor rgb="FF638EC6"/>
              <x14:negativeFillColor rgb="FFFF0000"/>
              <x14:negativeBorderColor rgb="FFFF0000"/>
              <x14:axisColor rgb="FF000000"/>
            </x14:dataBar>
          </x14:cfRule>
          <xm:sqref>O406:S413</xm:sqref>
        </x14:conditionalFormatting>
        <x14:conditionalFormatting xmlns:xm="http://schemas.microsoft.com/office/excel/2006/main">
          <x14:cfRule type="dataBar" id="{418DEFB4-E13B-49CF-AA77-048A577A0433}">
            <x14:dataBar minLength="0" maxLength="100" border="1" negativeBarBorderColorSameAsPositive="0">
              <x14:cfvo type="autoMin"/>
              <x14:cfvo type="autoMax"/>
              <x14:borderColor rgb="FF638EC6"/>
              <x14:negativeFillColor rgb="FFFF0000"/>
              <x14:negativeBorderColor rgb="FFFF0000"/>
              <x14:axisColor rgb="FF000000"/>
            </x14:dataBar>
          </x14:cfRule>
          <xm:sqref>O432:S441</xm:sqref>
        </x14:conditionalFormatting>
        <x14:conditionalFormatting xmlns:xm="http://schemas.microsoft.com/office/excel/2006/main">
          <x14:cfRule type="dataBar" id="{1CDCAF10-16D5-467D-A789-C8BCDF6B3C98}">
            <x14:dataBar minLength="0" maxLength="100" border="1" negativeBarBorderColorSameAsPositive="0">
              <x14:cfvo type="autoMin"/>
              <x14:cfvo type="autoMax"/>
              <x14:borderColor rgb="FF638EC6"/>
              <x14:negativeFillColor rgb="FFFF0000"/>
              <x14:negativeBorderColor rgb="FFFF0000"/>
              <x14:axisColor rgb="FF000000"/>
            </x14:dataBar>
          </x14:cfRule>
          <xm:sqref>P5:P10</xm:sqref>
        </x14:conditionalFormatting>
        <x14:conditionalFormatting xmlns:xm="http://schemas.microsoft.com/office/excel/2006/main">
          <x14:cfRule type="dataBar" id="{7A1AE3F3-E23D-4D05-83E6-65F6CD73B7BE}">
            <x14:dataBar minLength="0" maxLength="100" border="1" negativeBarBorderColorSameAsPositive="0">
              <x14:cfvo type="autoMin"/>
              <x14:cfvo type="autoMax"/>
              <x14:borderColor rgb="FF638EC6"/>
              <x14:negativeFillColor rgb="FFFF0000"/>
              <x14:negativeBorderColor rgb="FFFF0000"/>
              <x14:axisColor rgb="FF000000"/>
            </x14:dataBar>
          </x14:cfRule>
          <xm:sqref>P5:P12</xm:sqref>
        </x14:conditionalFormatting>
        <x14:conditionalFormatting xmlns:xm="http://schemas.microsoft.com/office/excel/2006/main">
          <x14:cfRule type="dataBar" id="{7F0E6CE0-62E0-4709-AB82-BF712622E2DE}">
            <x14:dataBar minLength="0" maxLength="100" border="1" negativeBarBorderColorSameAsPositive="0">
              <x14:cfvo type="autoMin"/>
              <x14:cfvo type="autoMax"/>
              <x14:borderColor rgb="FF638EC6"/>
              <x14:negativeFillColor rgb="FFFF0000"/>
              <x14:negativeBorderColor rgb="FFFF0000"/>
              <x14:axisColor rgb="FF000000"/>
            </x14:dataBar>
          </x14:cfRule>
          <xm:sqref>P11:P12</xm:sqref>
        </x14:conditionalFormatting>
        <x14:conditionalFormatting xmlns:xm="http://schemas.microsoft.com/office/excel/2006/main">
          <x14:cfRule type="dataBar" id="{C7A6C751-2D4E-4A6C-99AA-47FA77975490}">
            <x14:dataBar minLength="0" maxLength="100" border="1" negativeBarBorderColorSameAsPositive="0">
              <x14:cfvo type="autoMin"/>
              <x14:cfvo type="autoMax"/>
              <x14:borderColor rgb="FF638EC6"/>
              <x14:negativeFillColor rgb="FFFF0000"/>
              <x14:negativeBorderColor rgb="FFFF0000"/>
              <x14:axisColor rgb="FF000000"/>
            </x14:dataBar>
          </x14:cfRule>
          <xm:sqref>P31:P39</xm:sqref>
        </x14:conditionalFormatting>
        <x14:conditionalFormatting xmlns:xm="http://schemas.microsoft.com/office/excel/2006/main">
          <x14:cfRule type="dataBar" id="{9E4E89F1-051E-47A4-B10A-7FED1D9B45DF}">
            <x14:dataBar minLength="0" maxLength="100" border="1" negativeBarBorderColorSameAsPositive="0">
              <x14:cfvo type="autoMin"/>
              <x14:cfvo type="autoMax"/>
              <x14:borderColor rgb="FF638EC6"/>
              <x14:negativeFillColor rgb="FFFF0000"/>
              <x14:negativeBorderColor rgb="FFFF0000"/>
              <x14:axisColor rgb="FF000000"/>
            </x14:dataBar>
          </x14:cfRule>
          <xm:sqref>P33:P42 P31</xm:sqref>
        </x14:conditionalFormatting>
        <x14:conditionalFormatting xmlns:xm="http://schemas.microsoft.com/office/excel/2006/main">
          <x14:cfRule type="dataBar" id="{BF197FDA-7966-45A0-B363-210E366557C5}">
            <x14:dataBar minLength="0" maxLength="100" border="1" negativeBarBorderColorSameAsPositive="0">
              <x14:cfvo type="autoMin"/>
              <x14:cfvo type="autoMax"/>
              <x14:borderColor rgb="FF638EC6"/>
              <x14:negativeFillColor rgb="FFFF0000"/>
              <x14:negativeBorderColor rgb="FFFF0000"/>
              <x14:axisColor rgb="FF000000"/>
            </x14:dataBar>
          </x14:cfRule>
          <xm:sqref>P43</xm:sqref>
        </x14:conditionalFormatting>
        <x14:conditionalFormatting xmlns:xm="http://schemas.microsoft.com/office/excel/2006/main">
          <x14:cfRule type="dataBar" id="{742ACACA-0370-4406-A3E7-A135A4775C21}">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11F204A7-4E9D-4EA1-BA57-FC3A13451E2D}">
            <x14:dataBar minLength="0" maxLength="100" border="1" negativeBarBorderColorSameAsPositive="0">
              <x14:cfvo type="autoMin"/>
              <x14:cfvo type="autoMax"/>
              <x14:borderColor rgb="FF638EC6"/>
              <x14:negativeFillColor rgb="FFFF0000"/>
              <x14:negativeBorderColor rgb="FFFF0000"/>
              <x14:axisColor rgb="FF000000"/>
            </x14:dataBar>
          </x14:cfRule>
          <xm:sqref>P68</xm:sqref>
        </x14:conditionalFormatting>
        <x14:conditionalFormatting xmlns:xm="http://schemas.microsoft.com/office/excel/2006/main">
          <x14:cfRule type="dataBar" id="{4EA5452F-347F-4D5A-A0D2-80445DB9DC50}">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A255CEF2-DDC1-4D08-9896-1643E15711D3}">
            <x14:dataBar minLength="0" maxLength="100" border="1" negativeBarBorderColorSameAsPositive="0">
              <x14:cfvo type="autoMin"/>
              <x14:cfvo type="autoMax"/>
              <x14:borderColor rgb="FF638EC6"/>
              <x14:negativeFillColor rgb="FFFF0000"/>
              <x14:negativeBorderColor rgb="FFFF0000"/>
              <x14:axisColor rgb="FF000000"/>
            </x14:dataBar>
          </x14:cfRule>
          <xm:sqref>P69:P71 P67</xm:sqref>
        </x14:conditionalFormatting>
        <x14:conditionalFormatting xmlns:xm="http://schemas.microsoft.com/office/excel/2006/main">
          <x14:cfRule type="dataBar" id="{3838C170-12F3-49C7-BCFC-6620FCD4CFE7}">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33C88903-9F99-4C0B-901D-03D308707964}">
            <x14:dataBar minLength="0" maxLength="100" border="1" negativeBarBorderColorSameAsPositive="0">
              <x14:cfvo type="autoMin"/>
              <x14:cfvo type="autoMax"/>
              <x14:borderColor rgb="FF638EC6"/>
              <x14:negativeFillColor rgb="FFFF0000"/>
              <x14:negativeBorderColor rgb="FFFF0000"/>
              <x14:axisColor rgb="FF000000"/>
            </x14:dataBar>
          </x14:cfRule>
          <xm:sqref>P73</xm:sqref>
        </x14:conditionalFormatting>
        <x14:conditionalFormatting xmlns:xm="http://schemas.microsoft.com/office/excel/2006/main">
          <x14:cfRule type="dataBar" id="{A912C5A3-356F-4F96-8066-8F263E86D05E}">
            <x14:dataBar minLength="0" maxLength="100" border="1" negativeBarBorderColorSameAsPositive="0">
              <x14:cfvo type="autoMin"/>
              <x14:cfvo type="autoMax"/>
              <x14:borderColor rgb="FF638EC6"/>
              <x14:negativeFillColor rgb="FFFF0000"/>
              <x14:negativeBorderColor rgb="FFFF0000"/>
              <x14:axisColor rgb="FF000000"/>
            </x14:dataBar>
          </x14:cfRule>
          <xm:sqref>P74:P75 P72</xm:sqref>
        </x14:conditionalFormatting>
        <x14:conditionalFormatting xmlns:xm="http://schemas.microsoft.com/office/excel/2006/main">
          <x14:cfRule type="dataBar" id="{8BE5D935-8D55-4232-9960-A74398A9C254}">
            <x14:dataBar minLength="0" maxLength="100" border="1" negativeBarBorderColorSameAsPositive="0">
              <x14:cfvo type="autoMin"/>
              <x14:cfvo type="autoMax"/>
              <x14:borderColor rgb="FF638EC6"/>
              <x14:negativeFillColor rgb="FFFF0000"/>
              <x14:negativeBorderColor rgb="FFFF0000"/>
              <x14:axisColor rgb="FF000000"/>
            </x14:dataBar>
          </x14:cfRule>
          <xm:sqref>P96:P99 P101:P104</xm:sqref>
        </x14:conditionalFormatting>
        <x14:conditionalFormatting xmlns:xm="http://schemas.microsoft.com/office/excel/2006/main">
          <x14:cfRule type="dataBar" id="{F831E50A-F848-4E04-998B-DF8D74B54DFF}">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24577AEF-C673-4D7C-968B-F1D2E66D93AA}">
            <x14:dataBar minLength="0" maxLength="100" border="1" negativeBarBorderColorSameAsPositive="0">
              <x14:cfvo type="autoMin"/>
              <x14:cfvo type="autoMax"/>
              <x14:borderColor rgb="FF638EC6"/>
              <x14:negativeFillColor rgb="FFFF0000"/>
              <x14:negativeBorderColor rgb="FFFF0000"/>
              <x14:axisColor rgb="FF000000"/>
            </x14:dataBar>
          </x14:cfRule>
          <xm:sqref>P100</xm:sqref>
        </x14:conditionalFormatting>
        <x14:conditionalFormatting xmlns:xm="http://schemas.microsoft.com/office/excel/2006/main">
          <x14:cfRule type="dataBar" id="{6AD84384-8B59-451B-B455-6A0A09B0EB14}">
            <x14:dataBar minLength="0" maxLength="100" border="1" negativeBarBorderColorSameAsPositive="0">
              <x14:cfvo type="autoMin"/>
              <x14:cfvo type="autoMax"/>
              <x14:borderColor rgb="FF638EC6"/>
              <x14:negativeFillColor rgb="FFFF0000"/>
              <x14:negativeBorderColor rgb="FFFF0000"/>
              <x14:axisColor rgb="FF000000"/>
            </x14:dataBar>
          </x14:cfRule>
          <xm:sqref>Q5 O12 Q6:S12</xm:sqref>
        </x14:conditionalFormatting>
        <x14:conditionalFormatting xmlns:xm="http://schemas.microsoft.com/office/excel/2006/main">
          <x14:cfRule type="dataBar" id="{F5280335-B754-4E8A-83B1-634E7ED8EC2F}">
            <x14:dataBar minLength="0" maxLength="100" border="1" negativeBarBorderColorSameAsPositive="0">
              <x14:cfvo type="autoMin"/>
              <x14:cfvo type="autoMax"/>
              <x14:borderColor rgb="FF638EC6"/>
              <x14:negativeFillColor rgb="FFFF0000"/>
              <x14:negativeBorderColor rgb="FFFF0000"/>
              <x14:axisColor rgb="FF000000"/>
            </x14:dataBar>
          </x14:cfRule>
          <xm:sqref>Q68</xm:sqref>
        </x14:conditionalFormatting>
        <x14:conditionalFormatting xmlns:xm="http://schemas.microsoft.com/office/excel/2006/main">
          <x14:cfRule type="dataBar" id="{631B26A2-ACD8-4698-A210-1D132D38C149}">
            <x14:dataBar minLength="0" maxLength="100" border="1" negativeBarBorderColorSameAsPositive="0">
              <x14:cfvo type="autoMin"/>
              <x14:cfvo type="autoMax"/>
              <x14:borderColor rgb="FF638EC6"/>
              <x14:negativeFillColor rgb="FFFF0000"/>
              <x14:negativeBorderColor rgb="FFFF0000"/>
              <x14:axisColor rgb="FF000000"/>
            </x14:dataBar>
          </x14:cfRule>
          <xm:sqref>Q73</xm:sqref>
        </x14:conditionalFormatting>
        <x14:conditionalFormatting xmlns:xm="http://schemas.microsoft.com/office/excel/2006/main">
          <x14:cfRule type="dataBar" id="{AD872C53-C05F-4072-8614-A8DE3EB494D5}">
            <x14:dataBar minLength="0" maxLength="100" border="1" negativeBarBorderColorSameAsPositive="0">
              <x14:cfvo type="autoMin"/>
              <x14:cfvo type="autoMax"/>
              <x14:borderColor rgb="FF638EC6"/>
              <x14:negativeFillColor rgb="FFFF0000"/>
              <x14:negativeBorderColor rgb="FFFF0000"/>
              <x14:axisColor rgb="FF000000"/>
            </x14:dataBar>
          </x14:cfRule>
          <xm:sqref>Q6:S10 Q5</xm:sqref>
        </x14:conditionalFormatting>
        <x14:conditionalFormatting xmlns:xm="http://schemas.microsoft.com/office/excel/2006/main">
          <x14:cfRule type="dataBar" id="{5A1DA351-5988-47FA-912E-82D58452D7A8}">
            <x14:dataBar minLength="0" maxLength="100" border="1" negativeBarBorderColorSameAsPositive="0">
              <x14:cfvo type="autoMin"/>
              <x14:cfvo type="autoMax"/>
              <x14:borderColor rgb="FF638EC6"/>
              <x14:negativeFillColor rgb="FFFF0000"/>
              <x14:negativeBorderColor rgb="FFFF0000"/>
              <x14:axisColor rgb="FF000000"/>
            </x14:dataBar>
          </x14:cfRule>
          <xm:sqref>Q11:S12 O12</xm:sqref>
        </x14:conditionalFormatting>
        <x14:conditionalFormatting xmlns:xm="http://schemas.microsoft.com/office/excel/2006/main">
          <x14:cfRule type="dataBar" id="{ECB7CE55-9EFE-4E99-A345-CF9835D03FD9}">
            <x14:dataBar minLength="0" maxLength="100" border="1" negativeBarBorderColorSameAsPositive="0">
              <x14:cfvo type="autoMin"/>
              <x14:cfvo type="autoMax"/>
              <x14:borderColor rgb="FF638EC6"/>
              <x14:negativeFillColor rgb="FFFF0000"/>
              <x14:negativeBorderColor rgb="FFFF0000"/>
              <x14:axisColor rgb="FF000000"/>
            </x14:dataBar>
          </x14:cfRule>
          <xm:sqref>Q32:S43 Q31</xm:sqref>
        </x14:conditionalFormatting>
        <x14:conditionalFormatting xmlns:xm="http://schemas.microsoft.com/office/excel/2006/main">
          <x14:cfRule type="dataBar" id="{C57D4889-7A96-48FB-BFF7-A470B5DC0745}">
            <x14:dataBar minLength="0" maxLength="100" border="1" negativeBarBorderColorSameAsPositive="0">
              <x14:cfvo type="autoMin"/>
              <x14:cfvo type="autoMax"/>
              <x14:borderColor rgb="FF638EC6"/>
              <x14:negativeFillColor rgb="FFFF0000"/>
              <x14:negativeBorderColor rgb="FFFF0000"/>
              <x14:axisColor rgb="FF000000"/>
            </x14:dataBar>
          </x14:cfRule>
          <xm:sqref>Q67:S67 Q69:S71 R68:S68</xm:sqref>
        </x14:conditionalFormatting>
        <x14:conditionalFormatting xmlns:xm="http://schemas.microsoft.com/office/excel/2006/main">
          <x14:cfRule type="dataBar" id="{66A4E056-0BF5-43C9-85A9-46524FC58DC3}">
            <x14:dataBar minLength="0" maxLength="100" border="1" negativeBarBorderColorSameAsPositive="0">
              <x14:cfvo type="autoMin"/>
              <x14:cfvo type="autoMax"/>
              <x14:borderColor rgb="FF638EC6"/>
              <x14:negativeFillColor rgb="FFFF0000"/>
              <x14:negativeBorderColor rgb="FFFF0000"/>
              <x14:axisColor rgb="FF000000"/>
            </x14:dataBar>
          </x14:cfRule>
          <xm:sqref>Q72:S72 Q74:S75 R73:S73</xm:sqref>
        </x14:conditionalFormatting>
        <x14:conditionalFormatting xmlns:xm="http://schemas.microsoft.com/office/excel/2006/main">
          <x14:cfRule type="dataBar" id="{C2C48039-7C0A-4709-B22C-BAAE697E5304}">
            <x14:dataBar minLength="0" maxLength="100" border="1" negativeBarBorderColorSameAsPositive="0">
              <x14:cfvo type="autoMin"/>
              <x14:cfvo type="autoMax"/>
              <x14:borderColor rgb="FF638EC6"/>
              <x14:negativeFillColor rgb="FFFF0000"/>
              <x14:negativeBorderColor rgb="FFFF0000"/>
              <x14:axisColor rgb="FF000000"/>
            </x14:dataBar>
          </x14:cfRule>
          <xm:sqref>Q100:S100</xm:sqref>
        </x14:conditionalFormatting>
        <x14:conditionalFormatting xmlns:xm="http://schemas.microsoft.com/office/excel/2006/main">
          <x14:cfRule type="dataBar" id="{4721F975-B627-4C8B-9206-AB8011CC00C1}">
            <x14:dataBar minLength="0" maxLength="100" border="1" negativeBarBorderColorSameAsPositive="0">
              <x14:cfvo type="autoMin"/>
              <x14:cfvo type="autoMax"/>
              <x14:borderColor rgb="FF638EC6"/>
              <x14:negativeFillColor rgb="FFFF0000"/>
              <x14:negativeBorderColor rgb="FFFF0000"/>
              <x14:axisColor rgb="FF000000"/>
            </x14:dataBar>
          </x14:cfRule>
          <xm:sqref>Q104:S104</xm:sqref>
        </x14:conditionalFormatting>
        <x14:conditionalFormatting xmlns:xm="http://schemas.microsoft.com/office/excel/2006/main">
          <x14:cfRule type="dataBar" id="{2AF43C2C-723B-4F0D-88C4-F403A6F1829F}">
            <x14:dataBar minLength="0" maxLength="100" border="1" negativeBarBorderColorSameAsPositive="0">
              <x14:cfvo type="autoMin"/>
              <x14:cfvo type="autoMax"/>
              <x14:borderColor rgb="FF638EC6"/>
              <x14:negativeFillColor rgb="FFFF0000"/>
              <x14:negativeBorderColor rgb="FFFF0000"/>
              <x14:axisColor rgb="FF000000"/>
            </x14:dataBar>
          </x14:cfRule>
          <x14:cfRule type="dataBar" id="{C7F418FD-2D55-4850-8167-ECB5CABEE4EB}">
            <x14:dataBar minLength="0" maxLength="100" border="1" negativeBarBorderColorSameAsPositive="0">
              <x14:cfvo type="autoMin"/>
              <x14:cfvo type="autoMax"/>
              <x14:borderColor rgb="FF638EC6"/>
              <x14:negativeFillColor rgb="FFFF0000"/>
              <x14:negativeBorderColor rgb="FFFF0000"/>
              <x14:axisColor rgb="FF000000"/>
            </x14:dataBar>
          </x14:cfRule>
          <xm:sqref>T67:T75</xm:sqref>
        </x14:conditionalFormatting>
        <x14:conditionalFormatting xmlns:xm="http://schemas.microsoft.com/office/excel/2006/main">
          <x14:cfRule type="dataBar" id="{DBC19883-A10B-4731-A746-21BE2099C6DB}">
            <x14:dataBar minLength="0" maxLength="100" border="1" negativeBarBorderColorSameAsPositive="0">
              <x14:cfvo type="autoMin"/>
              <x14:cfvo type="autoMax"/>
              <x14:borderColor rgb="FF638EC6"/>
              <x14:negativeFillColor rgb="FFFF0000"/>
              <x14:negativeBorderColor rgb="FFFF0000"/>
              <x14:axisColor rgb="FF000000"/>
            </x14:dataBar>
          </x14:cfRule>
          <xm:sqref>T315:T332</xm:sqref>
        </x14:conditionalFormatting>
        <x14:conditionalFormatting xmlns:xm="http://schemas.microsoft.com/office/excel/2006/main">
          <x14:cfRule type="dataBar" id="{1D548B49-0E95-45F8-9ED2-28CC1518BFA8}">
            <x14:dataBar minLength="0" maxLength="100" border="1" negativeBarBorderColorSameAsPositive="0">
              <x14:cfvo type="autoMin"/>
              <x14:cfvo type="autoMax"/>
              <x14:borderColor rgb="FF638EC6"/>
              <x14:negativeFillColor rgb="FFFF0000"/>
              <x14:negativeBorderColor rgb="FFFF0000"/>
              <x14:axisColor rgb="FF000000"/>
            </x14:dataBar>
          </x14:cfRule>
          <xm:sqref>U67</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513A1-DA9C-446E-9047-D754C14FF6F5}">
  <dimension ref="A1:M59"/>
  <sheetViews>
    <sheetView workbookViewId="0">
      <pane ySplit="2" topLeftCell="A10" activePane="bottomLeft" state="frozen"/>
      <selection pane="bottomLeft" activeCell="D10" sqref="D10"/>
    </sheetView>
  </sheetViews>
  <sheetFormatPr defaultColWidth="8.83203125" defaultRowHeight="14"/>
  <cols>
    <col min="2" max="2" width="11" bestFit="1" customWidth="1"/>
    <col min="3" max="3" width="9.83203125" bestFit="1" customWidth="1"/>
    <col min="4" max="12" width="11" bestFit="1" customWidth="1"/>
  </cols>
  <sheetData>
    <row r="1" spans="1:13" s="457" customFormat="1" ht="22.5">
      <c r="A1" s="457" t="s">
        <v>15</v>
      </c>
    </row>
    <row r="2" spans="1:13" s="458" customFormat="1" ht="22.5">
      <c r="B2" s="460">
        <v>2020</v>
      </c>
      <c r="C2" s="460">
        <v>2021</v>
      </c>
      <c r="D2" s="460" t="s">
        <v>14</v>
      </c>
      <c r="E2" s="460" t="s">
        <v>11</v>
      </c>
      <c r="F2" s="460" t="s">
        <v>12</v>
      </c>
      <c r="G2" s="460" t="s">
        <v>13</v>
      </c>
      <c r="H2" s="460" t="s">
        <v>2220</v>
      </c>
      <c r="I2" s="460" t="s">
        <v>2221</v>
      </c>
      <c r="J2" s="460" t="s">
        <v>2222</v>
      </c>
      <c r="K2" s="460" t="s">
        <v>2223</v>
      </c>
      <c r="L2" s="460" t="s">
        <v>2224</v>
      </c>
    </row>
    <row r="3" spans="1:13" s="421" customFormat="1">
      <c r="A3" s="421" t="s">
        <v>21</v>
      </c>
    </row>
    <row r="4" spans="1:13">
      <c r="A4" s="64" t="s">
        <v>2036</v>
      </c>
    </row>
    <row r="5" spans="1:13">
      <c r="A5" s="246" t="s">
        <v>2197</v>
      </c>
      <c r="B5" s="85">
        <f>'Tesla-Demand forecasting-detail'!B27</f>
        <v>0</v>
      </c>
      <c r="C5" s="85">
        <f>'Tesla-Demand forecasting-detail'!C27</f>
        <v>200131</v>
      </c>
      <c r="D5" s="85">
        <f>'Tesla-Demand forecasting-detail'!D27</f>
        <v>232114.50820831285</v>
      </c>
      <c r="E5" s="85">
        <f>'Tesla-Demand forecasting-detail'!E27</f>
        <v>288107.21583497041</v>
      </c>
      <c r="F5" s="85">
        <f>'Tesla-Demand forecasting-detail'!F27</f>
        <v>329563.46462859272</v>
      </c>
      <c r="G5" s="85">
        <f>'Tesla-Demand forecasting-detail'!G27</f>
        <v>379553.87240066408</v>
      </c>
      <c r="H5" s="85">
        <f>'Tesla-Demand forecasting-detail'!H27</f>
        <v>424644.23590254516</v>
      </c>
      <c r="I5" s="85">
        <f>'Tesla-Demand forecasting-detail'!I27</f>
        <v>472501.10393000429</v>
      </c>
      <c r="J5" s="85">
        <f>'Tesla-Demand forecasting-detail'!J27</f>
        <v>518816.47849943291</v>
      </c>
      <c r="K5" s="85">
        <f>'Tesla-Demand forecasting-detail'!K27</f>
        <v>565981.72039549751</v>
      </c>
      <c r="L5" s="85">
        <f>'Tesla-Demand forecasting-detail'!L27</f>
        <v>612682.46832943382</v>
      </c>
    </row>
    <row r="6" spans="1:13">
      <c r="A6" s="246" t="s">
        <v>140</v>
      </c>
      <c r="B6" s="85">
        <f>'Tesla-Demand forecasting-detail'!B196</f>
        <v>0</v>
      </c>
      <c r="C6" s="85">
        <f>'Tesla-Demand forecasting-detail'!C196</f>
        <v>27687</v>
      </c>
      <c r="D6" s="85">
        <f>'Tesla-Demand forecasting-detail'!D196</f>
        <v>100804.67344011767</v>
      </c>
      <c r="E6" s="85">
        <f>'Tesla-Demand forecasting-detail'!E196</f>
        <v>143898.79621165685</v>
      </c>
      <c r="F6" s="85">
        <f>'Tesla-Demand forecasting-detail'!F196</f>
        <v>180021.73801128691</v>
      </c>
      <c r="G6" s="85">
        <f>'Tesla-Demand forecasting-detail'!G196</f>
        <v>220679.89205039907</v>
      </c>
      <c r="H6" s="85">
        <f>'Tesla-Demand forecasting-detail'!H196</f>
        <v>258545.6290930064</v>
      </c>
      <c r="I6" s="85">
        <f>'Tesla-Demand forecasting-detail'!I196</f>
        <v>298069.98007224803</v>
      </c>
      <c r="J6" s="85">
        <f>'Tesla-Demand forecasting-detail'!J196</f>
        <v>336633.82136398152</v>
      </c>
      <c r="K6" s="85">
        <f>'Tesla-Demand forecasting-detail'!K196</f>
        <v>375743.51885906461</v>
      </c>
      <c r="L6" s="85">
        <f>'Tesla-Demand forecasting-detail'!L196</f>
        <v>414547.48757267516</v>
      </c>
    </row>
    <row r="7" spans="1:13">
      <c r="A7" s="246" t="s">
        <v>136</v>
      </c>
      <c r="B7" s="85">
        <f>'Tesla-Demand forecasting-detail'!B357</f>
        <v>10000</v>
      </c>
      <c r="C7" s="85">
        <f>'Tesla-Demand forecasting-detail'!C357</f>
        <v>161529</v>
      </c>
      <c r="D7" s="85">
        <f>'Tesla-Demand forecasting-detail'!D357</f>
        <v>225283.95743530468</v>
      </c>
      <c r="E7" s="85">
        <f>'Tesla-Demand forecasting-detail'!E357</f>
        <v>317924.5152982772</v>
      </c>
      <c r="F7" s="85">
        <f>'Tesla-Demand forecasting-detail'!F357</f>
        <v>404996.59783710627</v>
      </c>
      <c r="G7" s="85">
        <f>'Tesla-Demand forecasting-detail'!G357</f>
        <v>495720.00744242902</v>
      </c>
      <c r="H7" s="85">
        <f>'Tesla-Demand forecasting-detail'!H357</f>
        <v>584184.20881229395</v>
      </c>
      <c r="I7" s="85">
        <f>'Tesla-Demand forecasting-detail'!I357</f>
        <v>673994.78665099328</v>
      </c>
      <c r="J7" s="85">
        <f>'Tesla-Demand forecasting-detail'!J357</f>
        <v>763023.79007972276</v>
      </c>
      <c r="K7" s="85">
        <f>'Tesla-Demand forecasting-detail'!K357</f>
        <v>852497.7738012136</v>
      </c>
      <c r="L7" s="85">
        <f>'Tesla-Demand forecasting-detail'!L357</f>
        <v>941722.17083243537</v>
      </c>
    </row>
    <row r="8" spans="1:13">
      <c r="A8" s="246" t="s">
        <v>24</v>
      </c>
      <c r="B8" s="75">
        <f>SUM(B5:B7)</f>
        <v>10000</v>
      </c>
      <c r="C8" s="75">
        <f t="shared" ref="C8:L8" si="0">SUM(C5:C7)</f>
        <v>389347</v>
      </c>
      <c r="D8" s="75">
        <f t="shared" si="0"/>
        <v>558203.13908373518</v>
      </c>
      <c r="E8" s="75">
        <f t="shared" si="0"/>
        <v>749930.52734490437</v>
      </c>
      <c r="F8" s="75">
        <f t="shared" si="0"/>
        <v>914581.80047698598</v>
      </c>
      <c r="G8" s="75">
        <f t="shared" si="0"/>
        <v>1095953.7718934922</v>
      </c>
      <c r="H8" s="75">
        <f t="shared" si="0"/>
        <v>1267374.0738078454</v>
      </c>
      <c r="I8" s="75">
        <f t="shared" si="0"/>
        <v>1444565.8706532456</v>
      </c>
      <c r="J8" s="75">
        <f t="shared" si="0"/>
        <v>1618474.089943137</v>
      </c>
      <c r="K8" s="75">
        <f t="shared" si="0"/>
        <v>1794223.0130557758</v>
      </c>
      <c r="L8" s="75">
        <f t="shared" si="0"/>
        <v>1968952.1267345443</v>
      </c>
    </row>
    <row r="9" spans="1:13">
      <c r="A9" s="64" t="s">
        <v>2449</v>
      </c>
    </row>
    <row r="10" spans="1:13">
      <c r="A10" s="246" t="s">
        <v>2197</v>
      </c>
      <c r="B10" s="404">
        <f>'Tesla-Demand forecasting-detail'!B18</f>
        <v>0</v>
      </c>
      <c r="C10" s="404">
        <f>'Tesla-Demand forecasting-detail'!C18</f>
        <v>8.107429281637471E-2</v>
      </c>
      <c r="D10" s="404">
        <f>'Tesla-Demand forecasting-detail'!D18</f>
        <v>0.10097104417949314</v>
      </c>
      <c r="E10" s="404">
        <f>'Tesla-Demand forecasting-detail'!E18</f>
        <v>0.12086779554261157</v>
      </c>
      <c r="F10" s="404">
        <f>'Tesla-Demand forecasting-detail'!F18</f>
        <v>0.14076454690572998</v>
      </c>
      <c r="G10" s="404">
        <f>'Tesla-Demand forecasting-detail'!G18</f>
        <v>0.1606612982688484</v>
      </c>
      <c r="H10" s="404">
        <f>'Tesla-Demand forecasting-detail'!H18</f>
        <v>0.18055804963196681</v>
      </c>
      <c r="I10" s="404">
        <f>'Tesla-Demand forecasting-detail'!I18</f>
        <v>0.20045480099508522</v>
      </c>
      <c r="J10" s="404">
        <f>'Tesla-Demand forecasting-detail'!J18</f>
        <v>0.22035155235820364</v>
      </c>
      <c r="K10" s="404">
        <f>'Tesla-Demand forecasting-detail'!K18</f>
        <v>0.24024830372132205</v>
      </c>
      <c r="L10" s="404">
        <f>'Tesla-Demand forecasting-detail'!L18</f>
        <v>0.26014505508444047</v>
      </c>
    </row>
    <row r="11" spans="1:13">
      <c r="A11" s="246" t="s">
        <v>140</v>
      </c>
      <c r="B11" s="404">
        <f>'Tesla-Demand forecasting-detail'!B164</f>
        <v>0</v>
      </c>
      <c r="C11" s="404">
        <f>'Tesla-Demand forecasting-detail'!C164</f>
        <v>1.8660667287183672E-2</v>
      </c>
      <c r="D11" s="404">
        <f>'Tesla-Demand forecasting-detail'!D164</f>
        <v>7.2947988570649464E-2</v>
      </c>
      <c r="E11" s="404">
        <f>'Tesla-Demand forecasting-detail'!E164</f>
        <v>0.10043259746355447</v>
      </c>
      <c r="F11" s="404">
        <f>'Tesla-Demand forecasting-detail'!F164</f>
        <v>0.12791720635645948</v>
      </c>
      <c r="G11" s="404">
        <f>'Tesla-Demand forecasting-detail'!G164</f>
        <v>0.15540181524936447</v>
      </c>
      <c r="H11" s="404">
        <f>'Tesla-Demand forecasting-detail'!H164</f>
        <v>0.18288642414226947</v>
      </c>
      <c r="I11" s="404">
        <f>'Tesla-Demand forecasting-detail'!I164</f>
        <v>0.21037103303517446</v>
      </c>
      <c r="J11" s="404">
        <f>'Tesla-Demand forecasting-detail'!J164</f>
        <v>0.23785564192807945</v>
      </c>
      <c r="K11" s="404">
        <f>'Tesla-Demand forecasting-detail'!K164</f>
        <v>0.26534025082098445</v>
      </c>
      <c r="L11" s="404">
        <f>'Tesla-Demand forecasting-detail'!L164</f>
        <v>0.29282485971388944</v>
      </c>
      <c r="M11" t="s">
        <v>2450</v>
      </c>
    </row>
    <row r="12" spans="1:13">
      <c r="A12" s="246" t="s">
        <v>136</v>
      </c>
      <c r="B12" s="404">
        <f>'Tesla-Demand forecasting-detail'!B338</f>
        <v>2.6103124570114166E-3</v>
      </c>
      <c r="C12" s="404">
        <f>'Tesla-Demand forecasting-detail'!C338</f>
        <v>4.084089323098395E-2</v>
      </c>
      <c r="D12" s="404">
        <f>'Tesla-Demand forecasting-detail'!D338</f>
        <v>6.7286271334501449E-2</v>
      </c>
      <c r="E12" s="404">
        <f>'Tesla-Demand forecasting-detail'!E338</f>
        <v>9.3731649438018955E-2</v>
      </c>
      <c r="F12" s="404">
        <f>'Tesla-Demand forecasting-detail'!F338</f>
        <v>0.12017702754153645</v>
      </c>
      <c r="G12" s="404">
        <f>'Tesla-Demand forecasting-detail'!G338</f>
        <v>0.14662240564505394</v>
      </c>
      <c r="H12" s="404">
        <f>'Tesla-Demand forecasting-detail'!H338</f>
        <v>0.17306778374857143</v>
      </c>
      <c r="I12" s="404">
        <f>'Tesla-Demand forecasting-detail'!I338</f>
        <v>0.19951316185208892</v>
      </c>
      <c r="J12" s="404">
        <f>'Tesla-Demand forecasting-detail'!J338</f>
        <v>0.22595853995560641</v>
      </c>
      <c r="K12" s="404">
        <f>'Tesla-Demand forecasting-detail'!K338</f>
        <v>0.25240391805912393</v>
      </c>
      <c r="L12" s="404">
        <f>'Tesla-Demand forecasting-detail'!L338</f>
        <v>0.27884929616264142</v>
      </c>
    </row>
    <row r="13" spans="1:13">
      <c r="A13" s="246" t="s">
        <v>24</v>
      </c>
      <c r="B13" s="296">
        <f>B8/B54</f>
        <v>4.9446921350616943E-4</v>
      </c>
      <c r="C13" s="296">
        <f t="shared" ref="C13:L13" si="1">C8/C54</f>
        <v>1.7116962532797139E-2</v>
      </c>
      <c r="D13" s="296">
        <f t="shared" si="1"/>
        <v>2.5981079349700089E-2</v>
      </c>
      <c r="E13" s="296">
        <f t="shared" si="1"/>
        <v>3.3909530840897574E-2</v>
      </c>
      <c r="F13" s="296">
        <f t="shared" si="1"/>
        <v>4.1952703519691249E-2</v>
      </c>
      <c r="G13" s="296">
        <f t="shared" si="1"/>
        <v>4.9911441596155862E-2</v>
      </c>
      <c r="H13" s="296">
        <f>H8/H54</f>
        <v>5.7926146434384415E-2</v>
      </c>
      <c r="I13" s="296">
        <f t="shared" si="1"/>
        <v>6.5906082312311459E-2</v>
      </c>
      <c r="J13" s="296">
        <f t="shared" si="1"/>
        <v>7.3906827128308608E-2</v>
      </c>
      <c r="K13" s="296">
        <f t="shared" si="1"/>
        <v>8.1895465434493789E-2</v>
      </c>
      <c r="L13" s="296">
        <f t="shared" si="1"/>
        <v>8.9891011143588398E-2</v>
      </c>
    </row>
    <row r="14" spans="1:13" s="421" customFormat="1">
      <c r="A14" s="421" t="s">
        <v>148</v>
      </c>
    </row>
    <row r="15" spans="1:13">
      <c r="A15" s="64" t="s">
        <v>2036</v>
      </c>
    </row>
    <row r="16" spans="1:13">
      <c r="A16" s="246" t="s">
        <v>2197</v>
      </c>
      <c r="B16" s="85">
        <f>'Tesla-Demand forecasting-detail'!B63</f>
        <v>135449</v>
      </c>
      <c r="C16" s="85">
        <f>'Tesla-Demand forecasting-detail'!C63</f>
        <v>272972</v>
      </c>
      <c r="D16" s="85">
        <f>'Tesla-Demand forecasting-detail'!D63</f>
        <v>282142.40460423625</v>
      </c>
      <c r="E16" s="85">
        <f>'Tesla-Demand forecasting-detail'!E63</f>
        <v>308771.90701215313</v>
      </c>
      <c r="F16" s="85">
        <f>'Tesla-Demand forecasting-detail'!F63</f>
        <v>326030.30420581176</v>
      </c>
      <c r="G16" s="85">
        <f>'Tesla-Demand forecasting-detail'!G63</f>
        <v>348295.03216280846</v>
      </c>
      <c r="H16" s="85">
        <f>'Tesla-Demand forecasting-detail'!H63</f>
        <v>367896.2056600317</v>
      </c>
      <c r="I16" s="85">
        <f>'Tesla-Demand forecasting-detail'!I63</f>
        <v>388909.35092619387</v>
      </c>
      <c r="J16" s="85">
        <f>'Tesla-Demand forecasting-detail'!J63</f>
        <v>409176.41303836048</v>
      </c>
      <c r="K16" s="85">
        <f>'Tesla-Demand forecasting-detail'!K63</f>
        <v>429836.56536228798</v>
      </c>
      <c r="L16" s="85">
        <f>'Tesla-Demand forecasting-detail'!L63</f>
        <v>450290.14826295344</v>
      </c>
    </row>
    <row r="17" spans="1:13">
      <c r="A17" s="246" t="s">
        <v>140</v>
      </c>
      <c r="B17" s="85">
        <f>'Tesla-Demand forecasting-detail'!B258</f>
        <v>85979</v>
      </c>
      <c r="C17" s="85">
        <f>'Tesla-Demand forecasting-detail'!C258</f>
        <v>140868</v>
      </c>
      <c r="D17" s="85">
        <f>'Tesla-Demand forecasting-detail'!D258</f>
        <v>163513.04346796582</v>
      </c>
      <c r="E17" s="85">
        <f>'Tesla-Demand forecasting-detail'!E258</f>
        <v>176800.94893049647</v>
      </c>
      <c r="F17" s="85">
        <f>'Tesla-Demand forecasting-detail'!F258</f>
        <v>195266.72323474483</v>
      </c>
      <c r="G17" s="85">
        <f>'Tesla-Demand forecasting-detail'!G258</f>
        <v>210893.91319863428</v>
      </c>
      <c r="H17" s="85">
        <f>'Tesla-Demand forecasting-detail'!H258</f>
        <v>228065.22029245322</v>
      </c>
      <c r="I17" s="85">
        <f>'Tesla-Demand forecasting-detail'!I258</f>
        <v>244402.05634143238</v>
      </c>
      <c r="J17" s="85">
        <f>'Tesla-Demand forecasting-detail'!J258</f>
        <v>261187.33415276895</v>
      </c>
      <c r="K17" s="85">
        <f>'Tesla-Demand forecasting-detail'!K258</f>
        <v>277732.7879629581</v>
      </c>
      <c r="L17" s="85">
        <f>'Tesla-Demand forecasting-detail'!L258</f>
        <v>294405.95533370529</v>
      </c>
    </row>
    <row r="18" spans="1:13">
      <c r="A18" s="246" t="s">
        <v>136</v>
      </c>
      <c r="B18" s="85">
        <f>'Tesla-Demand forecasting-detail'!B402</f>
        <v>167500</v>
      </c>
      <c r="C18" s="85">
        <f>'Tesla-Demand forecasting-detail'!C402</f>
        <v>121610</v>
      </c>
      <c r="D18" s="85">
        <f>'Tesla-Demand forecasting-detail'!D402</f>
        <v>229526.96327686592</v>
      </c>
      <c r="E18" s="85">
        <f>'Tesla-Demand forecasting-detail'!E402</f>
        <v>251860.70138553687</v>
      </c>
      <c r="F18" s="85">
        <f>'Tesla-Demand forecasting-detail'!F402</f>
        <v>284766.20808679482</v>
      </c>
      <c r="G18" s="85">
        <f>'Tesla-Demand forecasting-detail'!G402</f>
        <v>311756.93170410173</v>
      </c>
      <c r="H18" s="85">
        <f>'Tesla-Demand forecasting-detail'!H402</f>
        <v>342019.49625721294</v>
      </c>
      <c r="I18" s="85">
        <f>'Tesla-Demand forecasting-detail'!I402</f>
        <v>370488.91564550757</v>
      </c>
      <c r="J18" s="85">
        <f>'Tesla-Demand forecasting-detail'!J402</f>
        <v>399933.51996466774</v>
      </c>
      <c r="K18" s="85">
        <f>'Tesla-Demand forecasting-detail'!K402</f>
        <v>428851.22564416652</v>
      </c>
      <c r="L18" s="85">
        <f>'Tesla-Demand forecasting-detail'!L402</f>
        <v>458052.03373061027</v>
      </c>
    </row>
    <row r="19" spans="1:13">
      <c r="A19" s="246" t="s">
        <v>24</v>
      </c>
      <c r="B19" s="75">
        <f>SUM(B16:B18)</f>
        <v>388928</v>
      </c>
      <c r="C19" s="75">
        <f t="shared" ref="C19:L19" si="2">SUM(C16:C18)</f>
        <v>535450</v>
      </c>
      <c r="D19" s="75">
        <f t="shared" si="2"/>
        <v>675182.41134906793</v>
      </c>
      <c r="E19" s="75">
        <f t="shared" si="2"/>
        <v>737433.55732818646</v>
      </c>
      <c r="F19" s="75">
        <f t="shared" si="2"/>
        <v>806063.23552735138</v>
      </c>
      <c r="G19" s="75">
        <f t="shared" si="2"/>
        <v>870945.87706554448</v>
      </c>
      <c r="H19" s="75">
        <f t="shared" si="2"/>
        <v>937980.92220969789</v>
      </c>
      <c r="I19" s="75">
        <f t="shared" si="2"/>
        <v>1003800.3229131338</v>
      </c>
      <c r="J19" s="75">
        <f t="shared" si="2"/>
        <v>1070297.2671557972</v>
      </c>
      <c r="K19" s="75">
        <f t="shared" si="2"/>
        <v>1136420.5789694127</v>
      </c>
      <c r="L19" s="75">
        <f t="shared" si="2"/>
        <v>1202748.137327269</v>
      </c>
    </row>
    <row r="20" spans="1:13">
      <c r="A20" s="64" t="s">
        <v>2449</v>
      </c>
    </row>
    <row r="21" spans="1:13">
      <c r="A21" s="246" t="s">
        <v>2197</v>
      </c>
      <c r="B21" s="404">
        <f>'Tesla-Demand forecasting-detail'!B49</f>
        <v>6.0919241942251998E-2</v>
      </c>
      <c r="C21" s="404">
        <f>'Tesla-Demand forecasting-detail'!C49</f>
        <v>0.11281443015636526</v>
      </c>
      <c r="D21" s="404">
        <f>'Tesla-Demand forecasting-detail'!D49</f>
        <v>0.12153259009192455</v>
      </c>
      <c r="E21" s="404">
        <f>'Tesla-Demand forecasting-detail'!E49</f>
        <v>0.13025075002748385</v>
      </c>
      <c r="F21" s="404">
        <f>'Tesla-Demand forecasting-detail'!F49</f>
        <v>0.13896890996304315</v>
      </c>
      <c r="G21" s="404">
        <f>'Tesla-Demand forecasting-detail'!G49</f>
        <v>0.14768706989860245</v>
      </c>
      <c r="H21" s="404">
        <f>'Tesla-Demand forecasting-detail'!H49</f>
        <v>0.15640522983416175</v>
      </c>
      <c r="I21" s="404">
        <f>'Tesla-Demand forecasting-detail'!I49</f>
        <v>0.16512338976972105</v>
      </c>
      <c r="J21" s="404">
        <f>'Tesla-Demand forecasting-detail'!J49</f>
        <v>0.17384154970528035</v>
      </c>
      <c r="K21" s="404">
        <f>'Tesla-Demand forecasting-detail'!K49</f>
        <v>0.18255970964083965</v>
      </c>
      <c r="L21" s="404">
        <f>'Tesla-Demand forecasting-detail'!L49</f>
        <v>0.19127786957639895</v>
      </c>
    </row>
    <row r="22" spans="1:13">
      <c r="A22" s="246" t="s">
        <v>140</v>
      </c>
      <c r="B22" s="404">
        <f>'Tesla-Demand forecasting-detail'!B232</f>
        <v>8.3141786534509848E-2</v>
      </c>
      <c r="C22" s="404">
        <f>'Tesla-Demand forecasting-detail'!C232</f>
        <v>0.14742563988785151</v>
      </c>
      <c r="D22" s="404">
        <f>'Tesla-Demand forecasting-detail'!D232</f>
        <v>0.16436412088591307</v>
      </c>
      <c r="E22" s="404">
        <f>'Tesla-Demand forecasting-detail'!E232</f>
        <v>0.18130260188397462</v>
      </c>
      <c r="F22" s="404">
        <f>'Tesla-Demand forecasting-detail'!F232</f>
        <v>0.19824108288203618</v>
      </c>
      <c r="G22" s="404">
        <f>'Tesla-Demand forecasting-detail'!G232</f>
        <v>0.21517956388009774</v>
      </c>
      <c r="H22" s="404">
        <f>'Tesla-Demand forecasting-detail'!H232</f>
        <v>0.23211804487815929</v>
      </c>
      <c r="I22" s="404">
        <f>'Tesla-Demand forecasting-detail'!I232</f>
        <v>0.24905652587622085</v>
      </c>
      <c r="J22" s="404">
        <f>'Tesla-Demand forecasting-detail'!J232</f>
        <v>0.2659950068742824</v>
      </c>
      <c r="K22" s="404">
        <f>'Tesla-Demand forecasting-detail'!K232</f>
        <v>0.28293348787234396</v>
      </c>
      <c r="L22" s="404">
        <f>'Tesla-Demand forecasting-detail'!L232</f>
        <v>0.29987196887040551</v>
      </c>
      <c r="M22" t="s">
        <v>2451</v>
      </c>
    </row>
    <row r="23" spans="1:13">
      <c r="A23" s="246" t="s">
        <v>136</v>
      </c>
      <c r="B23" s="404">
        <f>'Tesla-Demand forecasting-detail'!B383</f>
        <v>0.11362210306033503</v>
      </c>
      <c r="C23" s="404">
        <f>'Tesla-Demand forecasting-detail'!C383</f>
        <v>8.478759525618948E-2</v>
      </c>
      <c r="D23" s="404">
        <f>'Tesla-Demand forecasting-detail'!D383</f>
        <v>0.15954229826308106</v>
      </c>
      <c r="E23" s="404">
        <f>'Tesla-Demand forecasting-detail'!E383</f>
        <v>0.18015948024251782</v>
      </c>
      <c r="F23" s="404">
        <f>'Tesla-Demand forecasting-detail'!F383</f>
        <v>0.20077666222195456</v>
      </c>
      <c r="G23" s="404">
        <f>'Tesla-Demand forecasting-detail'!G383</f>
        <v>0.2213938442013913</v>
      </c>
      <c r="H23" s="404">
        <f>'Tesla-Demand forecasting-detail'!H383</f>
        <v>0.24201102618082804</v>
      </c>
      <c r="I23" s="404">
        <f>'Tesla-Demand forecasting-detail'!I383</f>
        <v>0.26262820816026478</v>
      </c>
      <c r="J23" s="404">
        <f>'Tesla-Demand forecasting-detail'!J383</f>
        <v>0.28324539013970151</v>
      </c>
      <c r="K23" s="404">
        <f>'Tesla-Demand forecasting-detail'!K383</f>
        <v>0.30386257211913825</v>
      </c>
      <c r="L23" s="404">
        <f>'Tesla-Demand forecasting-detail'!L383</f>
        <v>0.32447975409857499</v>
      </c>
    </row>
    <row r="24" spans="1:13">
      <c r="A24" s="246" t="s">
        <v>24</v>
      </c>
      <c r="B24" s="296">
        <f>B19/B59</f>
        <v>2.23704865659053E-2</v>
      </c>
      <c r="C24" s="296">
        <f t="shared" ref="C24:L24" si="3">C19/C59</f>
        <v>2.8271215066675348E-2</v>
      </c>
      <c r="D24" s="296">
        <f t="shared" si="3"/>
        <v>3.7173995339258734E-2</v>
      </c>
      <c r="E24" s="296">
        <f t="shared" si="3"/>
        <v>3.9751129971247447E-2</v>
      </c>
      <c r="F24" s="296">
        <f t="shared" si="3"/>
        <v>4.3910375224820004E-2</v>
      </c>
      <c r="G24" s="296">
        <f t="shared" si="3"/>
        <v>4.7195159812056596E-2</v>
      </c>
      <c r="H24" s="296">
        <f t="shared" si="3"/>
        <v>5.0961788098735458E-2</v>
      </c>
      <c r="I24" s="296">
        <f t="shared" si="3"/>
        <v>5.4465993145542832E-2</v>
      </c>
      <c r="J24" s="296">
        <f t="shared" si="3"/>
        <v>5.8112384550323255E-2</v>
      </c>
      <c r="K24" s="296">
        <f t="shared" si="3"/>
        <v>6.1682256638796618E-2</v>
      </c>
      <c r="L24" s="296">
        <f t="shared" si="3"/>
        <v>6.5293118130832217E-2</v>
      </c>
    </row>
    <row r="25" spans="1:13" s="421" customFormat="1">
      <c r="A25" s="421" t="s">
        <v>2251</v>
      </c>
    </row>
    <row r="26" spans="1:13">
      <c r="A26" s="64" t="s">
        <v>2036</v>
      </c>
    </row>
    <row r="27" spans="1:13">
      <c r="A27" s="246" t="s">
        <v>2197</v>
      </c>
      <c r="B27" s="85">
        <f>'Tesla-Demand forecasting-detail'!B92</f>
        <v>3786</v>
      </c>
      <c r="C27" s="85">
        <f>'Tesla-Demand forecasting-detail'!C92</f>
        <v>5036</v>
      </c>
      <c r="D27" s="85">
        <f>'Tesla-Demand forecasting-detail'!D92</f>
        <v>7197.4157883513535</v>
      </c>
      <c r="E27" s="85">
        <f>'Tesla-Demand forecasting-detail'!E92</f>
        <v>9346.0294775500206</v>
      </c>
      <c r="F27" s="85">
        <f>'Tesla-Demand forecasting-detail'!F92</f>
        <v>11342.500928496913</v>
      </c>
      <c r="G27" s="85">
        <f>'Tesla-Demand forecasting-detail'!G92</f>
        <v>13433.171556231886</v>
      </c>
      <c r="H27" s="85">
        <f>'Tesla-Demand forecasting-detail'!H92</f>
        <v>15467.678566741723</v>
      </c>
      <c r="I27" s="85">
        <f>'Tesla-Demand forecasting-detail'!I92</f>
        <v>17534.799400279677</v>
      </c>
      <c r="J27" s="85">
        <f>'Tesla-Demand forecasting-detail'!J92</f>
        <v>19583.347315095798</v>
      </c>
      <c r="K27" s="85">
        <f>'Tesla-Demand forecasting-detail'!K92</f>
        <v>21642.31469287672</v>
      </c>
      <c r="L27" s="85">
        <f>'Tesla-Demand forecasting-detail'!L92</f>
        <v>23695.505837373297</v>
      </c>
    </row>
    <row r="28" spans="1:13">
      <c r="A28" s="246" t="s">
        <v>140</v>
      </c>
      <c r="B28" s="85">
        <f>'Tesla-Demand forecasting-detail'!B286</f>
        <v>5562</v>
      </c>
      <c r="C28" s="85">
        <f>'Tesla-Demand forecasting-detail'!C286</f>
        <v>456</v>
      </c>
      <c r="D28" s="85">
        <f>'Tesla-Demand forecasting-detail'!D286</f>
        <v>481.83239999999995</v>
      </c>
      <c r="E28" s="85">
        <f>'Tesla-Demand forecasting-detail'!E286</f>
        <v>464.12309999999997</v>
      </c>
      <c r="F28" s="85">
        <f>'Tesla-Demand forecasting-detail'!F286</f>
        <v>472.97774999999996</v>
      </c>
      <c r="G28" s="85">
        <f>'Tesla-Demand forecasting-detail'!G286</f>
        <v>468.55042499999996</v>
      </c>
      <c r="H28" s="85">
        <f>'Tesla-Demand forecasting-detail'!H286</f>
        <v>470.76408749999996</v>
      </c>
      <c r="I28" s="85">
        <f>'Tesla-Demand forecasting-detail'!I286</f>
        <v>469.65725624999999</v>
      </c>
      <c r="J28" s="85">
        <f>'Tesla-Demand forecasting-detail'!J286</f>
        <v>470.21067187499995</v>
      </c>
      <c r="K28" s="85">
        <f>'Tesla-Demand forecasting-detail'!K286</f>
        <v>469.93396406249997</v>
      </c>
      <c r="L28" s="85">
        <f>'Tesla-Demand forecasting-detail'!L286</f>
        <v>470.07231796874999</v>
      </c>
    </row>
    <row r="29" spans="1:13">
      <c r="A29" s="246" t="s">
        <v>136</v>
      </c>
      <c r="B29" s="85">
        <f>'Tesla-Demand forecasting-detail'!B428</f>
        <v>18600</v>
      </c>
      <c r="C29" s="85">
        <f>'Tesla-Demand forecasting-detail'!C428</f>
        <v>11555</v>
      </c>
      <c r="D29" s="85">
        <f>'Tesla-Demand forecasting-detail'!D428</f>
        <v>42694.231428867948</v>
      </c>
      <c r="E29" s="85">
        <f>'Tesla-Demand forecasting-detail'!E428</f>
        <v>43104.389835226189</v>
      </c>
      <c r="F29" s="85">
        <f>'Tesla-Demand forecasting-detail'!F428</f>
        <v>45372.071633268744</v>
      </c>
      <c r="G29" s="85">
        <f>'Tesla-Demand forecasting-detail'!G428</f>
        <v>46675.706222283763</v>
      </c>
      <c r="H29" s="85">
        <f>'Tesla-Demand forecasting-detail'!H428</f>
        <v>48479.00717240524</v>
      </c>
      <c r="I29" s="85">
        <f>'Tesla-Demand forecasting-detail'!I428</f>
        <v>50023.653563677144</v>
      </c>
      <c r="J29" s="85">
        <f>'Tesla-Demand forecasting-detail'!J428</f>
        <v>51702.037923522003</v>
      </c>
      <c r="K29" s="85">
        <f>'Tesla-Demand forecasting-detail'!K428</f>
        <v>53311.347954506302</v>
      </c>
      <c r="L29" s="85">
        <f>'Tesla-Demand forecasting-detail'!L428</f>
        <v>54956.297822207918</v>
      </c>
    </row>
    <row r="30" spans="1:13">
      <c r="A30" s="246" t="s">
        <v>24</v>
      </c>
      <c r="B30" s="75">
        <f>SUM(B27:B29)</f>
        <v>27948</v>
      </c>
      <c r="C30" s="75">
        <f t="shared" ref="C30:L30" si="4">SUM(C27:C29)</f>
        <v>17047</v>
      </c>
      <c r="D30" s="75">
        <f t="shared" si="4"/>
        <v>50373.479617219302</v>
      </c>
      <c r="E30" s="75">
        <f t="shared" si="4"/>
        <v>52914.542412776209</v>
      </c>
      <c r="F30" s="75">
        <f t="shared" si="4"/>
        <v>57187.550311765655</v>
      </c>
      <c r="G30" s="75">
        <f t="shared" si="4"/>
        <v>60577.42820351565</v>
      </c>
      <c r="H30" s="75">
        <f t="shared" si="4"/>
        <v>64417.44982664696</v>
      </c>
      <c r="I30" s="75">
        <f t="shared" si="4"/>
        <v>68028.110220206814</v>
      </c>
      <c r="J30" s="75">
        <f t="shared" si="4"/>
        <v>71755.595910492804</v>
      </c>
      <c r="K30" s="75">
        <f t="shared" si="4"/>
        <v>75423.596611445522</v>
      </c>
      <c r="L30" s="75">
        <f t="shared" si="4"/>
        <v>79121.875977549964</v>
      </c>
    </row>
    <row r="31" spans="1:13">
      <c r="A31" s="64" t="s">
        <v>2449</v>
      </c>
    </row>
    <row r="32" spans="1:13">
      <c r="A32" s="246" t="s">
        <v>2197</v>
      </c>
      <c r="B32" s="404">
        <f>'Tesla-Demand forecasting-detail'!B83</f>
        <v>3.1170909785492107E-3</v>
      </c>
      <c r="C32" s="404">
        <f>'Tesla-Demand forecasting-detail'!C83</f>
        <v>4.1462414601093041E-3</v>
      </c>
      <c r="D32" s="404">
        <f>'Tesla-Demand forecasting-detail'!D83</f>
        <v>5.7852970858973778E-3</v>
      </c>
      <c r="E32" s="404">
        <f>'Tesla-Demand forecasting-detail'!E83</f>
        <v>7.4243527116854514E-3</v>
      </c>
      <c r="F32" s="404">
        <f>'Tesla-Demand forecasting-detail'!F83</f>
        <v>9.063408337473525E-3</v>
      </c>
      <c r="G32" s="404">
        <f>'Tesla-Demand forecasting-detail'!G83</f>
        <v>1.07024639632616E-2</v>
      </c>
      <c r="H32" s="404">
        <f>'Tesla-Demand forecasting-detail'!H83</f>
        <v>1.2341519589049674E-2</v>
      </c>
      <c r="I32" s="404">
        <f>'Tesla-Demand forecasting-detail'!I83</f>
        <v>1.3980575214837749E-2</v>
      </c>
      <c r="J32" s="404">
        <f>'Tesla-Demand forecasting-detail'!J83</f>
        <v>1.5619630840625823E-2</v>
      </c>
      <c r="K32" s="404">
        <f>'Tesla-Demand forecasting-detail'!K83</f>
        <v>1.7258686466413896E-2</v>
      </c>
      <c r="L32" s="404">
        <f>'Tesla-Demand forecasting-detail'!L83</f>
        <v>1.889774209220197E-2</v>
      </c>
    </row>
    <row r="33" spans="1:12" s="5" customFormat="1">
      <c r="A33" s="459" t="s">
        <v>140</v>
      </c>
      <c r="B33" s="447">
        <f>'Tesla-Demand forecasting-detail'!B276</f>
        <v>2.2581299987820228E-2</v>
      </c>
      <c r="C33" s="447">
        <f>'Tesla-Demand forecasting-detail'!C276</f>
        <v>2.1450949769025959E-3</v>
      </c>
      <c r="D33" s="447">
        <f>'Tesla-Demand forecasting-detail'!D276</f>
        <v>-1.1016933377015108E-2</v>
      </c>
      <c r="E33" s="447">
        <f>'Tesla-Demand forecasting-detail'!E276</f>
        <v>-2.4178961730932813E-2</v>
      </c>
      <c r="F33" s="447">
        <f>'Tesla-Demand forecasting-detail'!F276</f>
        <v>-3.734099008485052E-2</v>
      </c>
      <c r="G33" s="447">
        <f>'Tesla-Demand forecasting-detail'!G276</f>
        <v>-5.0503018438768227E-2</v>
      </c>
      <c r="H33" s="447">
        <f>'Tesla-Demand forecasting-detail'!H276</f>
        <v>-6.3665046792685934E-2</v>
      </c>
      <c r="I33" s="447">
        <f>'Tesla-Demand forecasting-detail'!I276</f>
        <v>-7.6827075146603641E-2</v>
      </c>
      <c r="J33" s="447">
        <f>'Tesla-Demand forecasting-detail'!J276</f>
        <v>-8.9989103500521347E-2</v>
      </c>
      <c r="K33" s="447">
        <f>'Tesla-Demand forecasting-detail'!K276</f>
        <v>-0.10315113185443905</v>
      </c>
      <c r="L33" s="447">
        <f>'Tesla-Demand forecasting-detail'!L276</f>
        <v>-0.11631316020835676</v>
      </c>
    </row>
    <row r="34" spans="1:12">
      <c r="A34" s="246" t="s">
        <v>136</v>
      </c>
      <c r="B34" s="404">
        <f>'Tesla-Demand forecasting-detail'!B419</f>
        <v>1.2027212538304409E-2</v>
      </c>
      <c r="C34" s="404">
        <f>'Tesla-Demand forecasting-detail'!C419</f>
        <v>1.0921911405386757E-2</v>
      </c>
      <c r="D34" s="404">
        <f>'Tesla-Demand forecasting-detail'!D419</f>
        <v>2.9676407980534614E-2</v>
      </c>
      <c r="E34" s="404">
        <f>'Tesla-Demand forecasting-detail'!E419</f>
        <v>3.0833172567870736E-2</v>
      </c>
      <c r="F34" s="404">
        <f>'Tesla-Demand forecasting-detail'!F419</f>
        <v>3.1989937155206857E-2</v>
      </c>
      <c r="G34" s="404">
        <f>'Tesla-Demand forecasting-detail'!G419</f>
        <v>3.3146701742542979E-2</v>
      </c>
      <c r="H34" s="404">
        <f>'Tesla-Demand forecasting-detail'!H419</f>
        <v>3.4303466329879101E-2</v>
      </c>
      <c r="I34" s="404">
        <f>'Tesla-Demand forecasting-detail'!I419</f>
        <v>3.5460230917215223E-2</v>
      </c>
      <c r="J34" s="404">
        <f>'Tesla-Demand forecasting-detail'!J419</f>
        <v>3.6616995504551345E-2</v>
      </c>
      <c r="K34" s="404">
        <f>'Tesla-Demand forecasting-detail'!K419</f>
        <v>3.7773760091887466E-2</v>
      </c>
      <c r="L34" s="404">
        <f>'Tesla-Demand forecasting-detail'!L419</f>
        <v>3.8930524679223588E-2</v>
      </c>
    </row>
    <row r="35" spans="1:12">
      <c r="A35" s="246" t="s">
        <v>24</v>
      </c>
      <c r="B35" s="296">
        <f>B30/B59</f>
        <v>1.6075221083180469E-3</v>
      </c>
      <c r="C35" s="296">
        <f t="shared" ref="C35:L35" si="5">C30/C59</f>
        <v>9.000642510815476E-4</v>
      </c>
      <c r="D35" s="296">
        <f t="shared" si="5"/>
        <v>2.7734482786232317E-3</v>
      </c>
      <c r="E35" s="296">
        <f t="shared" si="5"/>
        <v>2.8523421966858671E-3</v>
      </c>
      <c r="F35" s="296">
        <f t="shared" si="5"/>
        <v>3.1152975122789787E-3</v>
      </c>
      <c r="G35" s="296">
        <f t="shared" si="5"/>
        <v>3.2825936494480356E-3</v>
      </c>
      <c r="H35" s="296">
        <f t="shared" si="5"/>
        <v>3.4998882708539639E-3</v>
      </c>
      <c r="I35" s="296">
        <f t="shared" si="5"/>
        <v>3.6911908677266453E-3</v>
      </c>
      <c r="J35" s="296">
        <f t="shared" si="5"/>
        <v>3.896009932146424E-3</v>
      </c>
      <c r="K35" s="296">
        <f t="shared" si="5"/>
        <v>4.0938167865873119E-3</v>
      </c>
      <c r="L35" s="296">
        <f t="shared" si="5"/>
        <v>4.2952583625822912E-3</v>
      </c>
    </row>
    <row r="36" spans="1:12" s="421" customFormat="1">
      <c r="A36" s="421" t="s">
        <v>2281</v>
      </c>
    </row>
    <row r="37" spans="1:12">
      <c r="A37" s="64" t="s">
        <v>2036</v>
      </c>
    </row>
    <row r="38" spans="1:12">
      <c r="A38" s="246" t="s">
        <v>2197</v>
      </c>
      <c r="B38" s="85">
        <f>'Tesla-Demand forecasting-detail'!B120</f>
        <v>4565</v>
      </c>
      <c r="C38" s="85">
        <f>'Tesla-Demand forecasting-detail'!C120</f>
        <v>2302</v>
      </c>
      <c r="D38" s="85">
        <f>'Tesla-Demand forecasting-detail'!D120</f>
        <v>7800.4314896540927</v>
      </c>
      <c r="E38" s="85">
        <f>'Tesla-Demand forecasting-detail'!E120</f>
        <v>15011.328285657908</v>
      </c>
      <c r="F38" s="85">
        <f>'Tesla-Demand forecasting-detail'!F120</f>
        <v>20504.988780280841</v>
      </c>
      <c r="G38" s="85">
        <f>'Tesla-Demand forecasting-detail'!G120</f>
        <v>27287.769249697227</v>
      </c>
      <c r="H38" s="85">
        <f>'Tesla-Demand forecasting-detail'!H120</f>
        <v>33210.738819665377</v>
      </c>
      <c r="I38" s="85">
        <f>'Tesla-Demand forecasting-detail'!I120</f>
        <v>39671.239295383406</v>
      </c>
      <c r="J38" s="85">
        <f>'Tesla-Demand forecasting-detail'!J120</f>
        <v>45809.161590213618</v>
      </c>
      <c r="K38" s="85">
        <f>'Tesla-Demand forecasting-detail'!K120</f>
        <v>52135.279339494169</v>
      </c>
      <c r="L38" s="85">
        <f>'Tesla-Demand forecasting-detail'!L120</f>
        <v>58353.846179546337</v>
      </c>
    </row>
    <row r="39" spans="1:12">
      <c r="A39" s="246" t="s">
        <v>140</v>
      </c>
      <c r="B39" s="85">
        <f>'Tesla-Demand forecasting-detail'!B310</f>
        <v>6007</v>
      </c>
      <c r="C39" s="85">
        <f>'Tesla-Demand forecasting-detail'!C310</f>
        <v>496</v>
      </c>
      <c r="D39" s="85">
        <f>'Tesla-Demand forecasting-detail'!D310</f>
        <v>495.90300000000002</v>
      </c>
      <c r="E39" s="85">
        <f>'Tesla-Demand forecasting-detail'!E310</f>
        <v>503.08125000000001</v>
      </c>
      <c r="F39" s="85">
        <f>'Tesla-Demand forecasting-detail'!F310</f>
        <v>499.49212499999999</v>
      </c>
      <c r="G39" s="85">
        <f>'Tesla-Demand forecasting-detail'!G310</f>
        <v>501.28668750000003</v>
      </c>
      <c r="H39" s="85">
        <f>'Tesla-Demand forecasting-detail'!H310</f>
        <v>500.38940625000004</v>
      </c>
      <c r="I39" s="85">
        <f>'Tesla-Demand forecasting-detail'!I310</f>
        <v>500.83804687500003</v>
      </c>
      <c r="J39" s="85">
        <f>'Tesla-Demand forecasting-detail'!J310</f>
        <v>500.61372656250001</v>
      </c>
      <c r="K39" s="85">
        <f>'Tesla-Demand forecasting-detail'!K310</f>
        <v>500.72588671875002</v>
      </c>
      <c r="L39" s="85">
        <f>'Tesla-Demand forecasting-detail'!L310</f>
        <v>500.66980664062498</v>
      </c>
    </row>
    <row r="40" spans="1:12">
      <c r="A40" s="246" t="s">
        <v>136</v>
      </c>
      <c r="B40" s="85">
        <f>'Tesla-Demand forecasting-detail'!B458</f>
        <v>25000</v>
      </c>
      <c r="C40" s="85">
        <f>'Tesla-Demand forecasting-detail'!C458</f>
        <v>7306</v>
      </c>
      <c r="D40" s="85">
        <f>'Tesla-Demand forecasting-detail'!D458</f>
        <v>20370.851756689721</v>
      </c>
      <c r="E40" s="85">
        <f>'Tesla-Demand forecasting-detail'!E458</f>
        <v>24223.405295862696</v>
      </c>
      <c r="F40" s="85">
        <f>'Tesla-Demand forecasting-detail'!F458</f>
        <v>27202.208155927481</v>
      </c>
      <c r="G40" s="85">
        <f>'Tesla-Demand forecasting-detail'!G458</f>
        <v>30680.747334918178</v>
      </c>
      <c r="H40" s="85">
        <f>'Tesla-Demand forecasting-detail'!H458</f>
        <v>33877.987864760013</v>
      </c>
      <c r="I40" s="85">
        <f>'Tesla-Demand forecasting-detail'!I458</f>
        <v>37231.592964019233</v>
      </c>
      <c r="J40" s="85">
        <f>'Tesla-Demand forecasting-detail'!J458</f>
        <v>40499.158156148282</v>
      </c>
      <c r="K40" s="85">
        <f>'Tesla-Demand forecasting-detail'!K458</f>
        <v>43813.672113053151</v>
      </c>
      <c r="L40" s="85">
        <f>'Tesla-Demand forecasting-detail'!L458</f>
        <v>47102.747281964745</v>
      </c>
    </row>
    <row r="41" spans="1:12">
      <c r="A41" s="246" t="s">
        <v>24</v>
      </c>
      <c r="B41" s="75">
        <f>SUM(B38:B40)</f>
        <v>35572</v>
      </c>
      <c r="C41" s="75">
        <f t="shared" ref="C41:L41" si="6">SUM(C38:C40)</f>
        <v>10104</v>
      </c>
      <c r="D41" s="75">
        <f t="shared" si="6"/>
        <v>28667.186246343816</v>
      </c>
      <c r="E41" s="75">
        <f t="shared" si="6"/>
        <v>39737.814831520605</v>
      </c>
      <c r="F41" s="75">
        <f t="shared" si="6"/>
        <v>48206.689061208323</v>
      </c>
      <c r="G41" s="75">
        <f t="shared" si="6"/>
        <v>58469.803272115401</v>
      </c>
      <c r="H41" s="75">
        <f t="shared" si="6"/>
        <v>67589.116090675379</v>
      </c>
      <c r="I41" s="75">
        <f t="shared" si="6"/>
        <v>77403.670306277636</v>
      </c>
      <c r="J41" s="75">
        <f t="shared" si="6"/>
        <v>86808.9334729244</v>
      </c>
      <c r="K41" s="75">
        <f t="shared" si="6"/>
        <v>96449.677339266069</v>
      </c>
      <c r="L41" s="75">
        <f t="shared" si="6"/>
        <v>105957.2632681517</v>
      </c>
    </row>
    <row r="42" spans="1:12">
      <c r="A42" s="64" t="s">
        <v>2449</v>
      </c>
    </row>
    <row r="43" spans="1:12">
      <c r="A43" s="246" t="s">
        <v>2197</v>
      </c>
      <c r="B43" s="404">
        <f>'Tesla-Demand forecasting-detail'!B110</f>
        <v>1.375895160706966E-2</v>
      </c>
      <c r="C43" s="404">
        <f>'Tesla-Demand forecasting-detail'!C110</f>
        <v>4.669863758449167E-3</v>
      </c>
      <c r="D43" s="404">
        <f>'Tesla-Demand forecasting-detail'!D110</f>
        <v>1.8916281870120458E-2</v>
      </c>
      <c r="E43" s="404">
        <f>'Tesla-Demand forecasting-detail'!E110</f>
        <v>3.3162699981791749E-2</v>
      </c>
      <c r="F43" s="404">
        <f>'Tesla-Demand forecasting-detail'!F110</f>
        <v>4.7409118093463043E-2</v>
      </c>
      <c r="G43" s="404">
        <f>'Tesla-Demand forecasting-detail'!G110</f>
        <v>6.1655536205134337E-2</v>
      </c>
      <c r="H43" s="404">
        <f>'Tesla-Demand forecasting-detail'!H110</f>
        <v>7.5901954316805631E-2</v>
      </c>
      <c r="I43" s="404">
        <f>'Tesla-Demand forecasting-detail'!I110</f>
        <v>9.0148372428476925E-2</v>
      </c>
      <c r="J43" s="404">
        <f>'Tesla-Demand forecasting-detail'!J110</f>
        <v>0.10439479054014822</v>
      </c>
      <c r="K43" s="404">
        <f>'Tesla-Demand forecasting-detail'!K110</f>
        <v>0.11864120865181951</v>
      </c>
      <c r="L43" s="404">
        <f>'Tesla-Demand forecasting-detail'!L110</f>
        <v>0.13288762676349081</v>
      </c>
    </row>
    <row r="44" spans="1:12" s="5" customFormat="1">
      <c r="A44" s="459" t="s">
        <v>140</v>
      </c>
      <c r="B44" s="447">
        <f>'Tesla-Demand forecasting-detail'!B302</f>
        <v>1.8711588600477835E-2</v>
      </c>
      <c r="C44" s="447">
        <f>'Tesla-Demand forecasting-detail'!C302</f>
        <v>1.4580816231740908E-3</v>
      </c>
      <c r="D44" s="447">
        <f>'Tesla-Demand forecasting-detail'!D302</f>
        <v>-1.7299137406981634E-3</v>
      </c>
      <c r="E44" s="447">
        <f>'Tesla-Demand forecasting-detail'!E302</f>
        <v>-4.9179091045704181E-3</v>
      </c>
      <c r="F44" s="447">
        <f>'Tesla-Demand forecasting-detail'!F302</f>
        <v>-8.1059044684426724E-3</v>
      </c>
      <c r="G44" s="447">
        <f>'Tesla-Demand forecasting-detail'!G302</f>
        <v>-1.1293899832314927E-2</v>
      </c>
      <c r="H44" s="447">
        <f>'Tesla-Demand forecasting-detail'!H302</f>
        <v>-1.4481895196187181E-2</v>
      </c>
      <c r="I44" s="447">
        <f>'Tesla-Demand forecasting-detail'!I302</f>
        <v>-1.7669890560059437E-2</v>
      </c>
      <c r="J44" s="447">
        <f>'Tesla-Demand forecasting-detail'!J302</f>
        <v>-2.0857885923931691E-2</v>
      </c>
      <c r="K44" s="447">
        <f>'Tesla-Demand forecasting-detail'!K302</f>
        <v>-2.4045881287803945E-2</v>
      </c>
      <c r="L44" s="447">
        <f>'Tesla-Demand forecasting-detail'!L302</f>
        <v>-2.72338766516762E-2</v>
      </c>
    </row>
    <row r="45" spans="1:12">
      <c r="A45" s="246" t="s">
        <v>136</v>
      </c>
      <c r="B45" s="404">
        <f>'Tesla-Demand forecasting-detail'!B447</f>
        <v>8.176887667225529E-3</v>
      </c>
      <c r="C45" s="404">
        <f>'Tesla-Demand forecasting-detail'!C447</f>
        <v>2.1275214084389743E-3</v>
      </c>
      <c r="D45" s="404">
        <f>'Tesla-Demand forecasting-detail'!D447</f>
        <v>7.0646538817001623E-3</v>
      </c>
      <c r="E45" s="404">
        <f>'Tesla-Demand forecasting-detail'!E447</f>
        <v>8.1890260826622749E-3</v>
      </c>
      <c r="F45" s="404">
        <f>'Tesla-Demand forecasting-detail'!F447</f>
        <v>9.3133982836243884E-3</v>
      </c>
      <c r="G45" s="404">
        <f>'Tesla-Demand forecasting-detail'!G447</f>
        <v>1.0437770484586502E-2</v>
      </c>
      <c r="H45" s="404">
        <f>'Tesla-Demand forecasting-detail'!H447</f>
        <v>1.1562142685548615E-2</v>
      </c>
      <c r="I45" s="404">
        <f>'Tesla-Demand forecasting-detail'!I447</f>
        <v>1.2686514886510729E-2</v>
      </c>
      <c r="J45" s="404">
        <f>'Tesla-Demand forecasting-detail'!J447</f>
        <v>1.3810887087472842E-2</v>
      </c>
      <c r="K45" s="404">
        <f>'Tesla-Demand forecasting-detail'!K447</f>
        <v>1.4935259288434956E-2</v>
      </c>
      <c r="L45" s="404">
        <f>'Tesla-Demand forecasting-detail'!L447</f>
        <v>1.6059631489397069E-2</v>
      </c>
    </row>
    <row r="46" spans="1:12">
      <c r="A46" s="246" t="s">
        <v>24</v>
      </c>
      <c r="B46" s="296">
        <f>B41/B54</f>
        <v>1.7589258862841458E-3</v>
      </c>
      <c r="C46" s="296">
        <f t="shared" ref="C46:K46" si="7">C41/C54</f>
        <v>4.4420475676294486E-4</v>
      </c>
      <c r="D46" s="296">
        <f t="shared" si="7"/>
        <v>1.3342892371072152E-3</v>
      </c>
      <c r="E46" s="296">
        <f t="shared" si="7"/>
        <v>1.7968206499741459E-3</v>
      </c>
      <c r="F46" s="296">
        <f t="shared" si="7"/>
        <v>2.2112849094483009E-3</v>
      </c>
      <c r="G46" s="296">
        <f t="shared" si="7"/>
        <v>2.662805901122005E-3</v>
      </c>
      <c r="H46" s="296">
        <f t="shared" si="7"/>
        <v>3.0892039824326365E-3</v>
      </c>
      <c r="I46" s="296">
        <f t="shared" si="7"/>
        <v>3.5314226717634311E-3</v>
      </c>
      <c r="J46" s="296">
        <f t="shared" si="7"/>
        <v>3.9640874569710754E-3</v>
      </c>
      <c r="K46" s="296">
        <f t="shared" si="7"/>
        <v>4.4023463968692273E-3</v>
      </c>
      <c r="L46" s="296">
        <f>L41/L54</f>
        <v>4.8373982301834137E-3</v>
      </c>
    </row>
    <row r="47" spans="1:12" s="462" customFormat="1" ht="16.5">
      <c r="A47" s="462" t="s">
        <v>2452</v>
      </c>
    </row>
    <row r="48" spans="1:12">
      <c r="A48" t="s">
        <v>2036</v>
      </c>
      <c r="B48" s="75">
        <f>B41+B30+B19+B8</f>
        <v>462448</v>
      </c>
      <c r="C48" s="75">
        <f t="shared" ref="C48:L48" si="8">C41+C30+C19+C8</f>
        <v>951948</v>
      </c>
      <c r="D48" s="75">
        <f t="shared" si="8"/>
        <v>1312426.2162963662</v>
      </c>
      <c r="E48" s="75">
        <f t="shared" si="8"/>
        <v>1580016.4419173878</v>
      </c>
      <c r="F48" s="75">
        <f t="shared" si="8"/>
        <v>1826039.2753773113</v>
      </c>
      <c r="G48" s="75">
        <f t="shared" si="8"/>
        <v>2085946.8804346677</v>
      </c>
      <c r="H48" s="75">
        <f t="shared" si="8"/>
        <v>2337361.5619348655</v>
      </c>
      <c r="I48" s="75">
        <f t="shared" si="8"/>
        <v>2593797.9740928635</v>
      </c>
      <c r="J48" s="75">
        <f t="shared" si="8"/>
        <v>2847335.8864823515</v>
      </c>
      <c r="K48" s="75">
        <f t="shared" si="8"/>
        <v>3102516.8659759001</v>
      </c>
      <c r="L48" s="75">
        <f t="shared" si="8"/>
        <v>3356779.4033075152</v>
      </c>
    </row>
    <row r="49" spans="1:13" s="421" customFormat="1">
      <c r="A49" s="421" t="s">
        <v>2227</v>
      </c>
    </row>
    <row r="50" spans="1:13">
      <c r="A50" s="64" t="s">
        <v>2199</v>
      </c>
    </row>
    <row r="51" spans="1:13">
      <c r="A51" s="246" t="s">
        <v>2197</v>
      </c>
      <c r="B51" s="78">
        <v>9461000</v>
      </c>
      <c r="C51" s="78">
        <v>9221000</v>
      </c>
      <c r="D51" s="238">
        <f>AVERAGE(B51:C51)</f>
        <v>9341000</v>
      </c>
      <c r="E51" s="238">
        <f t="shared" ref="E51:L51" si="9">AVERAGE(C51:D51)</f>
        <v>9281000</v>
      </c>
      <c r="F51" s="238">
        <f t="shared" si="9"/>
        <v>9311000</v>
      </c>
      <c r="G51" s="238">
        <f t="shared" si="9"/>
        <v>9296000</v>
      </c>
      <c r="H51" s="238">
        <f t="shared" si="9"/>
        <v>9303500</v>
      </c>
      <c r="I51" s="238">
        <f t="shared" si="9"/>
        <v>9299750</v>
      </c>
      <c r="J51" s="238">
        <f t="shared" si="9"/>
        <v>9301625</v>
      </c>
      <c r="K51" s="238">
        <f t="shared" si="9"/>
        <v>9300687.5</v>
      </c>
      <c r="L51" s="238">
        <f t="shared" si="9"/>
        <v>9301156.25</v>
      </c>
      <c r="M51" t="s">
        <v>2453</v>
      </c>
    </row>
    <row r="52" spans="1:13">
      <c r="A52" s="246" t="s">
        <v>140</v>
      </c>
      <c r="B52" s="78">
        <v>3268339</v>
      </c>
      <c r="C52" s="78">
        <v>5342697</v>
      </c>
      <c r="D52" s="238">
        <f>AVERAGE(B52:C52)</f>
        <v>4305518</v>
      </c>
      <c r="E52" s="238">
        <f t="shared" ref="E52:L52" si="10">AVERAGE(C52:D52)</f>
        <v>4824107.5</v>
      </c>
      <c r="F52" s="238">
        <f t="shared" si="10"/>
        <v>4564812.75</v>
      </c>
      <c r="G52" s="238">
        <f t="shared" si="10"/>
        <v>4694460.125</v>
      </c>
      <c r="H52" s="238">
        <f t="shared" si="10"/>
        <v>4629636.4375</v>
      </c>
      <c r="I52" s="238">
        <f t="shared" si="10"/>
        <v>4662048.28125</v>
      </c>
      <c r="J52" s="238">
        <f t="shared" si="10"/>
        <v>4645842.359375</v>
      </c>
      <c r="K52" s="238">
        <f t="shared" si="10"/>
        <v>4653945.3203125</v>
      </c>
      <c r="L52" s="238">
        <f t="shared" si="10"/>
        <v>4649893.83984375</v>
      </c>
      <c r="M52" t="s">
        <v>2454</v>
      </c>
    </row>
    <row r="53" spans="1:13">
      <c r="A53" s="246" t="s">
        <v>136</v>
      </c>
      <c r="B53" s="78">
        <v>7494367</v>
      </c>
      <c r="C53" s="78">
        <v>8182570</v>
      </c>
      <c r="D53" s="238">
        <f>AVERAGE(B53:C53)</f>
        <v>7838468.5</v>
      </c>
      <c r="E53" s="238">
        <f t="shared" ref="E53:L53" si="11">AVERAGE(C53:D53)</f>
        <v>8010519.25</v>
      </c>
      <c r="F53" s="238">
        <f t="shared" si="11"/>
        <v>7924493.875</v>
      </c>
      <c r="G53" s="238">
        <f t="shared" si="11"/>
        <v>7967506.5625</v>
      </c>
      <c r="H53" s="238">
        <f t="shared" si="11"/>
        <v>7946000.21875</v>
      </c>
      <c r="I53" s="238">
        <f t="shared" si="11"/>
        <v>7956753.390625</v>
      </c>
      <c r="J53" s="238">
        <f t="shared" si="11"/>
        <v>7951376.8046875</v>
      </c>
      <c r="K53" s="238">
        <f t="shared" si="11"/>
        <v>7954065.09765625</v>
      </c>
      <c r="L53" s="238">
        <f t="shared" si="11"/>
        <v>7952720.951171875</v>
      </c>
      <c r="M53" t="s">
        <v>2455</v>
      </c>
    </row>
    <row r="54" spans="1:13">
      <c r="A54" s="246" t="s">
        <v>24</v>
      </c>
      <c r="B54" s="75">
        <f>SUM(B51:B53)</f>
        <v>20223706</v>
      </c>
      <c r="C54" s="75">
        <f t="shared" ref="C54:L54" si="12">SUM(C51:C53)</f>
        <v>22746267</v>
      </c>
      <c r="D54" s="75">
        <f t="shared" si="12"/>
        <v>21484986.5</v>
      </c>
      <c r="E54" s="75">
        <f t="shared" si="12"/>
        <v>22115626.75</v>
      </c>
      <c r="F54" s="75">
        <f t="shared" si="12"/>
        <v>21800306.625</v>
      </c>
      <c r="G54" s="75">
        <f t="shared" si="12"/>
        <v>21957966.6875</v>
      </c>
      <c r="H54" s="75">
        <f t="shared" si="12"/>
        <v>21879136.65625</v>
      </c>
      <c r="I54" s="75">
        <f t="shared" si="12"/>
        <v>21918551.671875</v>
      </c>
      <c r="J54" s="75">
        <f t="shared" si="12"/>
        <v>21898844.1640625</v>
      </c>
      <c r="K54" s="75">
        <f t="shared" si="12"/>
        <v>21908697.91796875</v>
      </c>
      <c r="L54" s="75">
        <f t="shared" si="12"/>
        <v>21903771.041015625</v>
      </c>
    </row>
    <row r="55" spans="1:13">
      <c r="A55" s="64" t="s">
        <v>2353</v>
      </c>
    </row>
    <row r="56" spans="1:13">
      <c r="A56" s="246" t="s">
        <v>2197</v>
      </c>
      <c r="B56" s="78">
        <v>9275000</v>
      </c>
      <c r="C56" s="78">
        <v>9846000</v>
      </c>
      <c r="D56" s="238">
        <f>AVERAGE(B56:C56)</f>
        <v>9560500</v>
      </c>
      <c r="E56" s="238">
        <f t="shared" ref="E56:L56" si="13">AVERAGE(C56:D56)</f>
        <v>9703250</v>
      </c>
      <c r="F56" s="238">
        <f t="shared" si="13"/>
        <v>9631875</v>
      </c>
      <c r="G56" s="238">
        <f t="shared" si="13"/>
        <v>9667562.5</v>
      </c>
      <c r="H56" s="238">
        <f t="shared" si="13"/>
        <v>9649718.75</v>
      </c>
      <c r="I56" s="238">
        <f t="shared" si="13"/>
        <v>9658640.625</v>
      </c>
      <c r="J56" s="238">
        <f t="shared" si="13"/>
        <v>9654179.6875</v>
      </c>
      <c r="K56" s="238">
        <f t="shared" si="13"/>
        <v>9656410.15625</v>
      </c>
      <c r="L56" s="238">
        <f t="shared" si="13"/>
        <v>9655294.921875</v>
      </c>
    </row>
    <row r="57" spans="1:13">
      <c r="A57" s="246" t="s">
        <v>140</v>
      </c>
      <c r="B57" s="78">
        <v>4555496</v>
      </c>
      <c r="C57" s="78">
        <v>5785092</v>
      </c>
      <c r="D57" s="238">
        <f>AVERAGE(B57:C57)</f>
        <v>5170294</v>
      </c>
      <c r="E57" s="238">
        <f t="shared" ref="E57:L57" si="14">AVERAGE(C57:D57)</f>
        <v>5477693</v>
      </c>
      <c r="F57" s="238">
        <f t="shared" si="14"/>
        <v>5323993.5</v>
      </c>
      <c r="G57" s="238">
        <f t="shared" si="14"/>
        <v>5400843.25</v>
      </c>
      <c r="H57" s="238">
        <f t="shared" si="14"/>
        <v>5362418.375</v>
      </c>
      <c r="I57" s="238">
        <f t="shared" si="14"/>
        <v>5381630.8125</v>
      </c>
      <c r="J57" s="238">
        <f t="shared" si="14"/>
        <v>5372024.59375</v>
      </c>
      <c r="K57" s="238">
        <f t="shared" si="14"/>
        <v>5376827.703125</v>
      </c>
      <c r="L57" s="238">
        <f t="shared" si="14"/>
        <v>5374426.1484375</v>
      </c>
    </row>
    <row r="58" spans="1:13">
      <c r="A58" s="246" t="s">
        <v>136</v>
      </c>
      <c r="B58" s="78">
        <v>3555268</v>
      </c>
      <c r="C58" s="78">
        <v>3308667</v>
      </c>
      <c r="D58" s="238">
        <f>AVERAGE(B58:C58)</f>
        <v>3431967.5</v>
      </c>
      <c r="E58" s="238">
        <f t="shared" ref="E58:L58" si="15">AVERAGE(C58:D58)</f>
        <v>3370317.25</v>
      </c>
      <c r="F58" s="238">
        <f t="shared" si="15"/>
        <v>3401142.375</v>
      </c>
      <c r="G58" s="238">
        <f t="shared" si="15"/>
        <v>3385729.8125</v>
      </c>
      <c r="H58" s="238">
        <f t="shared" si="15"/>
        <v>3393436.09375</v>
      </c>
      <c r="I58" s="238">
        <f t="shared" si="15"/>
        <v>3389582.953125</v>
      </c>
      <c r="J58" s="238">
        <f t="shared" si="15"/>
        <v>3391509.5234375</v>
      </c>
      <c r="K58" s="238">
        <f t="shared" si="15"/>
        <v>3390546.23828125</v>
      </c>
      <c r="L58" s="238">
        <f t="shared" si="15"/>
        <v>3391027.880859375</v>
      </c>
    </row>
    <row r="59" spans="1:13">
      <c r="A59" s="246" t="s">
        <v>24</v>
      </c>
      <c r="B59" s="75">
        <f>SUM(B56:B58)</f>
        <v>17385764</v>
      </c>
      <c r="C59" s="75">
        <f t="shared" ref="C59:L59" si="16">SUM(C56:C58)</f>
        <v>18939759</v>
      </c>
      <c r="D59" s="75">
        <f t="shared" si="16"/>
        <v>18162761.5</v>
      </c>
      <c r="E59" s="75">
        <f t="shared" si="16"/>
        <v>18551260.25</v>
      </c>
      <c r="F59" s="75">
        <f t="shared" si="16"/>
        <v>18357010.875</v>
      </c>
      <c r="G59" s="75">
        <f t="shared" si="16"/>
        <v>18454135.5625</v>
      </c>
      <c r="H59" s="75">
        <f t="shared" si="16"/>
        <v>18405573.21875</v>
      </c>
      <c r="I59" s="75">
        <f t="shared" si="16"/>
        <v>18429854.390625</v>
      </c>
      <c r="J59" s="75">
        <f t="shared" si="16"/>
        <v>18417713.8046875</v>
      </c>
      <c r="K59" s="75">
        <f t="shared" si="16"/>
        <v>18423784.09765625</v>
      </c>
      <c r="L59" s="75">
        <f t="shared" si="16"/>
        <v>18420748.951171875</v>
      </c>
    </row>
  </sheetData>
  <phoneticPr fontId="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ECFB-C647-4375-A21A-493A53BABA87}">
  <dimension ref="A1:W589"/>
  <sheetViews>
    <sheetView workbookViewId="0">
      <selection activeCell="A26" sqref="A26:XFD26"/>
    </sheetView>
  </sheetViews>
  <sheetFormatPr defaultColWidth="8.83203125" defaultRowHeight="14"/>
  <cols>
    <col min="1" max="1" width="13.25" bestFit="1" customWidth="1"/>
    <col min="2" max="2" width="11.75" customWidth="1"/>
    <col min="3" max="3" width="9.75" customWidth="1"/>
    <col min="4" max="4" width="9.1640625" customWidth="1"/>
    <col min="5" max="5" width="9" customWidth="1"/>
    <col min="8" max="8" width="12" bestFit="1" customWidth="1"/>
    <col min="9" max="10" width="9.75" bestFit="1" customWidth="1"/>
  </cols>
  <sheetData>
    <row r="1" spans="1:20" s="457" customFormat="1" ht="19.5" customHeight="1">
      <c r="A1" s="457" t="s">
        <v>25</v>
      </c>
    </row>
    <row r="2" spans="1:20" s="420" customFormat="1" ht="19">
      <c r="A2" s="420" t="s">
        <v>2197</v>
      </c>
    </row>
    <row r="3" spans="1:20" s="421" customFormat="1">
      <c r="A3" s="421" t="s">
        <v>167</v>
      </c>
    </row>
    <row r="4" spans="1:20" ht="70">
      <c r="A4" s="527" t="s">
        <v>0</v>
      </c>
      <c r="B4" s="527" t="s">
        <v>2018</v>
      </c>
      <c r="C4" s="527" t="s">
        <v>2019</v>
      </c>
      <c r="D4" s="527" t="s">
        <v>2020</v>
      </c>
      <c r="E4" s="527" t="s">
        <v>2021</v>
      </c>
      <c r="F4" s="527" t="s">
        <v>2022</v>
      </c>
      <c r="G4" s="527" t="s">
        <v>1840</v>
      </c>
      <c r="H4" s="527" t="s">
        <v>2023</v>
      </c>
      <c r="I4" s="527" t="s">
        <v>2024</v>
      </c>
      <c r="J4" s="527" t="s">
        <v>2025</v>
      </c>
      <c r="K4" s="527" t="s">
        <v>2456</v>
      </c>
      <c r="L4" s="527" t="s">
        <v>2027</v>
      </c>
      <c r="M4" s="527" t="s">
        <v>2028</v>
      </c>
      <c r="N4" s="527" t="s">
        <v>2457</v>
      </c>
      <c r="O4" s="527" t="s">
        <v>2030</v>
      </c>
      <c r="P4" s="527" t="s">
        <v>2031</v>
      </c>
      <c r="Q4" s="527" t="s">
        <v>2032</v>
      </c>
      <c r="R4" s="527" t="s">
        <v>2033</v>
      </c>
      <c r="S4" s="527" t="s">
        <v>2034</v>
      </c>
      <c r="T4" s="527" t="s">
        <v>2035</v>
      </c>
    </row>
    <row r="5" spans="1:20" s="64" customFormat="1">
      <c r="A5" s="392" t="s">
        <v>25</v>
      </c>
      <c r="B5" s="392" t="s">
        <v>167</v>
      </c>
      <c r="C5" s="392" t="s">
        <v>2036</v>
      </c>
      <c r="D5" s="409" t="s">
        <v>2199</v>
      </c>
      <c r="E5" s="409" t="s">
        <v>2038</v>
      </c>
      <c r="F5" s="481" t="s">
        <v>2039</v>
      </c>
      <c r="G5" s="413">
        <v>23689.348000000002</v>
      </c>
      <c r="H5" s="390" t="s">
        <v>2458</v>
      </c>
      <c r="I5" s="398">
        <v>0</v>
      </c>
      <c r="J5" s="398">
        <v>76384</v>
      </c>
      <c r="K5" s="398">
        <v>131007</v>
      </c>
      <c r="L5" s="412">
        <v>0</v>
      </c>
      <c r="M5" s="412">
        <v>1.3553682405480525E-2</v>
      </c>
      <c r="N5" s="412">
        <v>5.120597303348301E-2</v>
      </c>
      <c r="O5" s="412">
        <f>M5-L5</f>
        <v>1.3553682405480525E-2</v>
      </c>
      <c r="P5" s="412">
        <f>N5-M5</f>
        <v>3.7652290628002488E-2</v>
      </c>
      <c r="Q5" s="412">
        <f>N5-L5</f>
        <v>5.120597303348301E-2</v>
      </c>
      <c r="R5" s="436">
        <f>(SUM(Q6:Q20))/2.5</f>
        <v>-7.9016354602255111E-3</v>
      </c>
      <c r="S5" s="436">
        <f>T5+R5</f>
        <v>1.2580753753167691E-2</v>
      </c>
      <c r="T5" s="472">
        <f>Q5/2.5</f>
        <v>2.0482389213393203E-2</v>
      </c>
    </row>
    <row r="6" spans="1:20">
      <c r="A6" s="441" t="s">
        <v>2243</v>
      </c>
      <c r="B6" s="320" t="s">
        <v>214</v>
      </c>
      <c r="C6" s="320" t="s">
        <v>2036</v>
      </c>
      <c r="D6" s="528" t="s">
        <v>2199</v>
      </c>
      <c r="E6" s="528" t="s">
        <v>2038</v>
      </c>
      <c r="F6" s="549" t="s">
        <v>2060</v>
      </c>
      <c r="G6" s="410">
        <v>23224.243000000002</v>
      </c>
      <c r="H6" s="529" t="s">
        <v>2458</v>
      </c>
      <c r="I6" s="397">
        <v>11691</v>
      </c>
      <c r="J6" s="397">
        <v>29721</v>
      </c>
      <c r="K6" s="397">
        <v>10239</v>
      </c>
      <c r="L6" s="404">
        <v>2.1199356639146731E-3</v>
      </c>
      <c r="M6" s="404">
        <v>5.2737352688165939E-3</v>
      </c>
      <c r="N6" s="404">
        <v>4.0020606371402485E-3</v>
      </c>
      <c r="O6" s="404">
        <f t="shared" ref="O6:O20" si="0">M6-L6</f>
        <v>3.1537996049019208E-3</v>
      </c>
      <c r="P6" s="404">
        <f t="shared" ref="P6:P20" si="1">N6-M6</f>
        <v>-1.2716746316763453E-3</v>
      </c>
      <c r="Q6" s="404">
        <f t="shared" ref="Q6:Q20" si="2">N6-L6</f>
        <v>1.8821249732255754E-3</v>
      </c>
      <c r="T6" s="364">
        <f t="shared" ref="T6:T21" si="3">Q6/2.5</f>
        <v>7.5284998929023013E-4</v>
      </c>
    </row>
    <row r="7" spans="1:20">
      <c r="A7" s="320" t="s">
        <v>2459</v>
      </c>
      <c r="B7" s="320" t="s">
        <v>2460</v>
      </c>
      <c r="C7" s="320" t="s">
        <v>2036</v>
      </c>
      <c r="D7" s="528" t="s">
        <v>2199</v>
      </c>
      <c r="E7" s="528" t="s">
        <v>2038</v>
      </c>
      <c r="F7" s="549" t="s">
        <v>2060</v>
      </c>
      <c r="G7" s="410">
        <v>23224.240000000002</v>
      </c>
      <c r="H7" s="529" t="s">
        <v>2458</v>
      </c>
      <c r="I7" s="397">
        <v>22109</v>
      </c>
      <c r="J7" s="397">
        <v>12121</v>
      </c>
      <c r="K7" s="397">
        <v>2800</v>
      </c>
      <c r="L7" s="404">
        <v>4.0090375154810971E-3</v>
      </c>
      <c r="M7" s="404">
        <v>2.1507669726229242E-3</v>
      </c>
      <c r="N7" s="404">
        <v>1.0944203324536278E-3</v>
      </c>
      <c r="O7" s="404">
        <f t="shared" si="0"/>
        <v>-1.8582705428581729E-3</v>
      </c>
      <c r="P7" s="404">
        <f t="shared" si="1"/>
        <v>-1.0563466401692964E-3</v>
      </c>
      <c r="Q7" s="404">
        <f t="shared" si="2"/>
        <v>-2.9146171830274695E-3</v>
      </c>
      <c r="T7" s="364">
        <f t="shared" si="3"/>
        <v>-1.1658468732109878E-3</v>
      </c>
    </row>
    <row r="8" spans="1:20">
      <c r="A8" s="441" t="s">
        <v>2055</v>
      </c>
      <c r="B8" s="320" t="s">
        <v>2461</v>
      </c>
      <c r="C8" s="320" t="s">
        <v>2036</v>
      </c>
      <c r="D8" s="528" t="s">
        <v>2199</v>
      </c>
      <c r="E8" s="528" t="s">
        <v>2038</v>
      </c>
      <c r="F8" s="550" t="s">
        <v>2039</v>
      </c>
      <c r="G8" s="410">
        <v>23689.35</v>
      </c>
      <c r="H8" s="529" t="s">
        <v>2458</v>
      </c>
      <c r="I8" s="397">
        <v>289</v>
      </c>
      <c r="J8" s="397">
        <v>17349</v>
      </c>
      <c r="K8" s="397">
        <v>3402</v>
      </c>
      <c r="L8" s="404">
        <v>5.2404533989508212E-5</v>
      </c>
      <c r="M8" s="404">
        <v>3.0784305096968165E-3</v>
      </c>
      <c r="N8" s="404">
        <v>1.3297207039311579E-3</v>
      </c>
      <c r="O8" s="404">
        <f t="shared" si="0"/>
        <v>3.0260259757073082E-3</v>
      </c>
      <c r="P8" s="404">
        <f t="shared" si="1"/>
        <v>-1.7487098057656586E-3</v>
      </c>
      <c r="Q8" s="404">
        <f t="shared" si="2"/>
        <v>1.2773161699416496E-3</v>
      </c>
      <c r="T8" s="364">
        <f t="shared" si="3"/>
        <v>5.109264679766599E-4</v>
      </c>
    </row>
    <row r="9" spans="1:20">
      <c r="A9" s="441" t="s">
        <v>2041</v>
      </c>
      <c r="B9" s="320" t="s">
        <v>2462</v>
      </c>
      <c r="C9" s="320" t="s">
        <v>2036</v>
      </c>
      <c r="D9" s="528" t="s">
        <v>2199</v>
      </c>
      <c r="E9" s="528" t="s">
        <v>2038</v>
      </c>
      <c r="F9" s="550" t="s">
        <v>2039</v>
      </c>
      <c r="G9" s="410">
        <v>24154.45</v>
      </c>
      <c r="H9" s="529" t="s">
        <v>2463</v>
      </c>
      <c r="I9" s="397">
        <v>418</v>
      </c>
      <c r="J9" s="397">
        <v>1996</v>
      </c>
      <c r="K9" s="397">
        <v>18127</v>
      </c>
      <c r="L9" s="404">
        <v>7.579617718897728E-5</v>
      </c>
      <c r="M9" s="404">
        <v>3.5417299540923663E-4</v>
      </c>
      <c r="N9" s="404">
        <v>7.0851990594238967E-3</v>
      </c>
      <c r="O9" s="404">
        <f t="shared" si="0"/>
        <v>2.7837681822025933E-4</v>
      </c>
      <c r="P9" s="404">
        <f t="shared" si="1"/>
        <v>6.7310260640146601E-3</v>
      </c>
      <c r="Q9" s="404">
        <f t="shared" si="2"/>
        <v>7.0094028822349193E-3</v>
      </c>
      <c r="T9" s="364">
        <f t="shared" si="3"/>
        <v>2.8037611528939676E-3</v>
      </c>
    </row>
    <row r="10" spans="1:20">
      <c r="A10" s="441" t="s">
        <v>2464</v>
      </c>
      <c r="B10" s="320" t="s">
        <v>2465</v>
      </c>
      <c r="C10" s="320" t="s">
        <v>2252</v>
      </c>
      <c r="D10" s="528" t="s">
        <v>2199</v>
      </c>
      <c r="E10" s="528" t="s">
        <v>2038</v>
      </c>
      <c r="F10" s="549" t="s">
        <v>2060</v>
      </c>
      <c r="G10" s="410">
        <v>23239.746500000001</v>
      </c>
      <c r="H10" s="529" t="s">
        <v>2458</v>
      </c>
      <c r="I10" s="397">
        <v>0</v>
      </c>
      <c r="J10" s="397">
        <v>537</v>
      </c>
      <c r="K10" s="397">
        <v>714</v>
      </c>
      <c r="L10" s="404">
        <v>0</v>
      </c>
      <c r="M10" s="404">
        <v>9.5286021310000025E-5</v>
      </c>
      <c r="N10" s="404">
        <v>2.7907718477567509E-4</v>
      </c>
      <c r="O10" s="404">
        <f t="shared" si="0"/>
        <v>9.5286021310000025E-5</v>
      </c>
      <c r="P10" s="404">
        <f t="shared" si="1"/>
        <v>1.8379116346567507E-4</v>
      </c>
      <c r="Q10" s="404">
        <f t="shared" si="2"/>
        <v>2.7907718477567509E-4</v>
      </c>
      <c r="T10" s="364">
        <f t="shared" si="3"/>
        <v>1.1163087391027004E-4</v>
      </c>
    </row>
    <row r="11" spans="1:20">
      <c r="A11" s="320" t="s">
        <v>2466</v>
      </c>
      <c r="B11" s="320" t="s">
        <v>2467</v>
      </c>
      <c r="C11" s="320" t="s">
        <v>2036</v>
      </c>
      <c r="D11" s="528" t="s">
        <v>2199</v>
      </c>
      <c r="E11" s="528" t="s">
        <v>2038</v>
      </c>
      <c r="F11" s="428" t="s">
        <v>2043</v>
      </c>
      <c r="G11" s="410">
        <v>24014.92</v>
      </c>
      <c r="H11" s="529" t="s">
        <v>2463</v>
      </c>
      <c r="I11" s="397">
        <v>161193</v>
      </c>
      <c r="J11" s="397">
        <v>156890</v>
      </c>
      <c r="K11" s="397">
        <v>77365</v>
      </c>
      <c r="L11" s="404">
        <v>2.9229218156992379E-2</v>
      </c>
      <c r="M11" s="404">
        <v>2.7838778181240045E-2</v>
      </c>
      <c r="N11" s="404">
        <v>3.0239224650098186E-2</v>
      </c>
      <c r="O11" s="404">
        <f t="shared" si="0"/>
        <v>-1.3904399757523334E-3</v>
      </c>
      <c r="P11" s="404">
        <f t="shared" si="1"/>
        <v>2.4004464688581403E-3</v>
      </c>
      <c r="Q11" s="404">
        <f t="shared" si="2"/>
        <v>1.010006493105807E-3</v>
      </c>
      <c r="T11" s="364">
        <f t="shared" si="3"/>
        <v>4.040025972423228E-4</v>
      </c>
    </row>
    <row r="12" spans="1:20">
      <c r="A12" s="441" t="s">
        <v>2468</v>
      </c>
      <c r="B12" s="320" t="s">
        <v>2469</v>
      </c>
      <c r="C12" s="320" t="s">
        <v>2036</v>
      </c>
      <c r="D12" s="528" t="s">
        <v>2199</v>
      </c>
      <c r="E12" s="528" t="s">
        <v>2038</v>
      </c>
      <c r="F12" s="428" t="s">
        <v>2043</v>
      </c>
      <c r="G12" s="410">
        <v>23689.35</v>
      </c>
      <c r="H12" s="529" t="s">
        <v>2458</v>
      </c>
      <c r="I12" s="397">
        <v>68750</v>
      </c>
      <c r="J12" s="397">
        <v>31751</v>
      </c>
      <c r="K12" s="397">
        <v>8296</v>
      </c>
      <c r="L12" s="404">
        <v>1.2466476511344946E-2</v>
      </c>
      <c r="M12" s="404">
        <v>5.633941271161659E-3</v>
      </c>
      <c r="N12" s="404">
        <v>3.2426110992983203E-3</v>
      </c>
      <c r="O12" s="404">
        <f t="shared" si="0"/>
        <v>-6.8325352401832871E-3</v>
      </c>
      <c r="P12" s="404">
        <f t="shared" si="1"/>
        <v>-2.3913301718633388E-3</v>
      </c>
      <c r="Q12" s="404">
        <f t="shared" si="2"/>
        <v>-9.2238654120466255E-3</v>
      </c>
      <c r="T12" s="364">
        <f t="shared" si="3"/>
        <v>-3.6895461648186502E-3</v>
      </c>
    </row>
    <row r="13" spans="1:20">
      <c r="A13" s="441" t="s">
        <v>2044</v>
      </c>
      <c r="B13" s="320" t="s">
        <v>2470</v>
      </c>
      <c r="C13" s="320" t="s">
        <v>2036</v>
      </c>
      <c r="D13" s="528" t="s">
        <v>2199</v>
      </c>
      <c r="E13" s="528" t="s">
        <v>2038</v>
      </c>
      <c r="F13" s="428" t="s">
        <v>2043</v>
      </c>
      <c r="G13" s="410">
        <v>23069.207999999999</v>
      </c>
      <c r="H13" s="529" t="s">
        <v>2458</v>
      </c>
      <c r="I13" s="397">
        <v>48796</v>
      </c>
      <c r="J13" s="397">
        <v>19383</v>
      </c>
      <c r="K13" s="397">
        <v>3160</v>
      </c>
      <c r="L13" s="404">
        <v>8.8482063686921887E-3</v>
      </c>
      <c r="M13" s="404">
        <v>3.4393462775637439E-3</v>
      </c>
      <c r="N13" s="404">
        <v>1.2351315180548087E-3</v>
      </c>
      <c r="O13" s="404">
        <f t="shared" si="0"/>
        <v>-5.4088600911284448E-3</v>
      </c>
      <c r="P13" s="404">
        <f t="shared" si="1"/>
        <v>-2.2042147595089353E-3</v>
      </c>
      <c r="Q13" s="404">
        <f t="shared" si="2"/>
        <v>-7.61307485063738E-3</v>
      </c>
      <c r="T13" s="364">
        <f t="shared" si="3"/>
        <v>-3.045229940254952E-3</v>
      </c>
    </row>
    <row r="14" spans="1:20">
      <c r="A14" s="441" t="s">
        <v>2066</v>
      </c>
      <c r="B14" s="320" t="s">
        <v>2471</v>
      </c>
      <c r="C14" s="320" t="s">
        <v>2036</v>
      </c>
      <c r="D14" s="528" t="s">
        <v>2199</v>
      </c>
      <c r="E14" s="528" t="s">
        <v>2038</v>
      </c>
      <c r="F14" s="428" t="s">
        <v>2043</v>
      </c>
      <c r="G14" s="410">
        <v>24169.96</v>
      </c>
      <c r="H14" s="529" t="s">
        <v>2463</v>
      </c>
      <c r="I14" s="397">
        <v>21400</v>
      </c>
      <c r="J14" s="397">
        <v>4700</v>
      </c>
      <c r="K14" s="397">
        <v>1633</v>
      </c>
      <c r="L14" s="404">
        <v>3.8804741431677364E-3</v>
      </c>
      <c r="M14" s="404">
        <v>8.3397448818808221E-4</v>
      </c>
      <c r="N14" s="404">
        <v>6.3828157246313363E-4</v>
      </c>
      <c r="O14" s="404">
        <f t="shared" si="0"/>
        <v>-3.0464996549796541E-3</v>
      </c>
      <c r="P14" s="404">
        <f t="shared" si="1"/>
        <v>-1.9569291572494858E-4</v>
      </c>
      <c r="Q14" s="404">
        <f t="shared" si="2"/>
        <v>-3.242192570704603E-3</v>
      </c>
      <c r="T14" s="364">
        <f t="shared" si="3"/>
        <v>-1.2968770282818412E-3</v>
      </c>
    </row>
    <row r="15" spans="1:20">
      <c r="A15" s="394" t="s">
        <v>2064</v>
      </c>
      <c r="B15" t="s">
        <v>2472</v>
      </c>
      <c r="C15" s="320" t="s">
        <v>2036</v>
      </c>
      <c r="D15" s="533" t="s">
        <v>2199</v>
      </c>
      <c r="E15" s="395" t="s">
        <v>2038</v>
      </c>
      <c r="F15" s="395" t="s">
        <v>2043</v>
      </c>
      <c r="G15" s="410">
        <f>159800*0.155035</f>
        <v>24774.593000000001</v>
      </c>
      <c r="H15" s="529" t="s">
        <v>2463</v>
      </c>
      <c r="I15" s="402">
        <v>249983</v>
      </c>
      <c r="J15" s="402">
        <v>200502</v>
      </c>
      <c r="K15" s="402">
        <v>108248</v>
      </c>
      <c r="L15" s="404">
        <v>4.5329559239789728E-2</v>
      </c>
      <c r="M15" s="404">
        <v>3.5577351666103589E-2</v>
      </c>
      <c r="N15" s="404">
        <v>4.2310290052657254E-2</v>
      </c>
      <c r="O15" s="404">
        <f t="shared" si="0"/>
        <v>-9.7522075736861391E-3</v>
      </c>
      <c r="P15" s="404">
        <f t="shared" si="1"/>
        <v>6.7329383865536649E-3</v>
      </c>
      <c r="Q15" s="404">
        <f t="shared" si="2"/>
        <v>-3.0192691871324742E-3</v>
      </c>
      <c r="T15" s="364">
        <f t="shared" si="3"/>
        <v>-1.2077076748529896E-3</v>
      </c>
    </row>
    <row r="16" spans="1:20">
      <c r="A16" s="394" t="s">
        <v>2071</v>
      </c>
      <c r="B16" t="s">
        <v>2473</v>
      </c>
      <c r="C16" s="320" t="s">
        <v>2036</v>
      </c>
      <c r="D16" s="533" t="s">
        <v>2199</v>
      </c>
      <c r="E16" s="395" t="s">
        <v>2038</v>
      </c>
      <c r="F16" s="395" t="s">
        <v>2043</v>
      </c>
      <c r="G16" s="410">
        <f>144800*0.155035</f>
        <v>22449.067999999999</v>
      </c>
      <c r="H16" s="529" t="s">
        <v>2458</v>
      </c>
      <c r="I16" s="402">
        <v>147614</v>
      </c>
      <c r="J16" s="402">
        <v>164447</v>
      </c>
      <c r="K16" s="402">
        <v>53004</v>
      </c>
      <c r="L16" s="404">
        <v>2.6766930381755243E-2</v>
      </c>
      <c r="M16" s="404">
        <v>2.9179702693418203E-2</v>
      </c>
      <c r="N16" s="404">
        <v>2.0717376893347177E-2</v>
      </c>
      <c r="O16" s="404">
        <f t="shared" si="0"/>
        <v>2.4127723116629599E-3</v>
      </c>
      <c r="P16" s="404">
        <f t="shared" si="1"/>
        <v>-8.4623258000710265E-3</v>
      </c>
      <c r="Q16" s="404">
        <f t="shared" si="2"/>
        <v>-6.0495534884080666E-3</v>
      </c>
      <c r="T16" s="364">
        <f t="shared" si="3"/>
        <v>-2.4198213953632265E-3</v>
      </c>
    </row>
    <row r="17" spans="1:20">
      <c r="A17" s="394" t="s">
        <v>2474</v>
      </c>
      <c r="B17" t="s">
        <v>2475</v>
      </c>
      <c r="C17" s="320" t="s">
        <v>2036</v>
      </c>
      <c r="D17" s="533" t="s">
        <v>2199</v>
      </c>
      <c r="E17" s="395" t="s">
        <v>2038</v>
      </c>
      <c r="F17" s="395" t="s">
        <v>2043</v>
      </c>
      <c r="G17" s="410">
        <f>141800*0.155035</f>
        <v>21983.963</v>
      </c>
      <c r="H17" s="529" t="s">
        <v>2476</v>
      </c>
      <c r="I17" s="402">
        <v>57096</v>
      </c>
      <c r="J17" s="402">
        <v>55856</v>
      </c>
      <c r="K17" s="402">
        <v>17169</v>
      </c>
      <c r="L17" s="404">
        <v>1.0353250078425471E-2</v>
      </c>
      <c r="M17" s="404">
        <v>9.9111657472837275E-3</v>
      </c>
      <c r="N17" s="404">
        <v>6.7107509599629777E-3</v>
      </c>
      <c r="O17" s="404">
        <f t="shared" si="0"/>
        <v>-4.4208433114174307E-4</v>
      </c>
      <c r="P17" s="404">
        <f t="shared" si="1"/>
        <v>-3.2004147873207498E-3</v>
      </c>
      <c r="Q17" s="404">
        <f t="shared" si="2"/>
        <v>-3.6424991184624929E-3</v>
      </c>
      <c r="T17" s="364">
        <f t="shared" si="3"/>
        <v>-1.4569996473849972E-3</v>
      </c>
    </row>
    <row r="18" spans="1:20">
      <c r="A18" s="394" t="s">
        <v>2046</v>
      </c>
      <c r="B18" t="s">
        <v>2477</v>
      </c>
      <c r="C18" s="320" t="s">
        <v>2036</v>
      </c>
      <c r="D18" s="533" t="s">
        <v>2199</v>
      </c>
      <c r="E18" s="395" t="s">
        <v>2038</v>
      </c>
      <c r="F18" s="395" t="s">
        <v>2043</v>
      </c>
      <c r="G18" s="410">
        <f>148800*0.155035</f>
        <v>23069.208000000002</v>
      </c>
      <c r="H18" s="529" t="s">
        <v>2458</v>
      </c>
      <c r="I18" s="402">
        <v>60737</v>
      </c>
      <c r="J18" s="402">
        <v>125939</v>
      </c>
      <c r="K18" s="402">
        <v>65350</v>
      </c>
      <c r="L18" s="404">
        <v>1.1013474674466299E-2</v>
      </c>
      <c r="M18" s="404">
        <v>2.2346790014450828E-2</v>
      </c>
      <c r="N18" s="404">
        <v>2.5542988830658777E-2</v>
      </c>
      <c r="O18" s="404">
        <f t="shared" si="0"/>
        <v>1.1333315339984528E-2</v>
      </c>
      <c r="P18" s="404">
        <f t="shared" si="1"/>
        <v>3.1961988162079492E-3</v>
      </c>
      <c r="Q18" s="404">
        <f t="shared" si="2"/>
        <v>1.4529514156192478E-2</v>
      </c>
      <c r="T18" s="364">
        <f t="shared" si="3"/>
        <v>5.8118056624769914E-3</v>
      </c>
    </row>
    <row r="19" spans="1:20">
      <c r="A19" s="394" t="s">
        <v>2478</v>
      </c>
      <c r="B19" t="s">
        <v>2479</v>
      </c>
      <c r="C19" s="320" t="s">
        <v>2036</v>
      </c>
      <c r="D19" s="533" t="s">
        <v>2199</v>
      </c>
      <c r="E19" s="395" t="s">
        <v>2038</v>
      </c>
      <c r="F19" s="395" t="s">
        <v>2043</v>
      </c>
      <c r="G19" s="410">
        <f>148000*0.155035</f>
        <v>22945.18</v>
      </c>
      <c r="H19" s="529" t="s">
        <v>2458</v>
      </c>
      <c r="I19" s="402">
        <v>42293</v>
      </c>
      <c r="J19" s="402">
        <v>11991</v>
      </c>
      <c r="K19" s="402">
        <v>0</v>
      </c>
      <c r="L19" s="404">
        <v>7.6690136886445361E-3</v>
      </c>
      <c r="M19" s="404">
        <v>2.1276995931624027E-3</v>
      </c>
      <c r="N19" s="404">
        <v>0</v>
      </c>
      <c r="O19" s="404">
        <f t="shared" si="0"/>
        <v>-5.5413140954821329E-3</v>
      </c>
      <c r="P19" s="404">
        <f t="shared" si="1"/>
        <v>-2.1276995931624027E-3</v>
      </c>
      <c r="Q19" s="404">
        <f t="shared" si="2"/>
        <v>-7.6690136886445361E-3</v>
      </c>
      <c r="T19" s="364">
        <f t="shared" si="3"/>
        <v>-3.0676054754578143E-3</v>
      </c>
    </row>
    <row r="20" spans="1:20">
      <c r="A20" s="394" t="s">
        <v>2053</v>
      </c>
      <c r="B20" t="s">
        <v>2480</v>
      </c>
      <c r="C20" s="320" t="s">
        <v>2036</v>
      </c>
      <c r="D20" s="533" t="s">
        <v>2199</v>
      </c>
      <c r="E20" s="395" t="s">
        <v>2038</v>
      </c>
      <c r="F20" s="395" t="s">
        <v>2043</v>
      </c>
      <c r="G20" s="410">
        <f>159800*0.155035</f>
        <v>24774.593000000001</v>
      </c>
      <c r="H20" s="529" t="s">
        <v>2463</v>
      </c>
      <c r="I20" s="402">
        <v>39513</v>
      </c>
      <c r="J20" s="402">
        <v>32780</v>
      </c>
      <c r="K20" s="402">
        <v>12274</v>
      </c>
      <c r="L20" s="404">
        <v>7.1649147111676054E-3</v>
      </c>
      <c r="M20" s="404">
        <v>5.8165284516607093E-3</v>
      </c>
      <c r="N20" s="404">
        <v>4.7974697001913671E-3</v>
      </c>
      <c r="O20" s="404">
        <f t="shared" si="0"/>
        <v>-1.348386259506896E-3</v>
      </c>
      <c r="P20" s="404">
        <f t="shared" si="1"/>
        <v>-1.0190587514693423E-3</v>
      </c>
      <c r="Q20" s="404">
        <f t="shared" si="2"/>
        <v>-2.3674450109762383E-3</v>
      </c>
      <c r="T20" s="364">
        <f t="shared" si="3"/>
        <v>-9.4697800439049536E-4</v>
      </c>
    </row>
    <row r="21" spans="1:20">
      <c r="A21" t="s">
        <v>24</v>
      </c>
      <c r="I21" s="403">
        <f t="shared" ref="I21:Q21" si="4">SUM(I5:I20)</f>
        <v>931882</v>
      </c>
      <c r="J21" s="403">
        <f t="shared" si="4"/>
        <v>942347</v>
      </c>
      <c r="K21" s="403">
        <f t="shared" si="4"/>
        <v>512788</v>
      </c>
      <c r="L21" s="296">
        <f t="shared" si="4"/>
        <v>0.1689786918450204</v>
      </c>
      <c r="M21" s="296">
        <f t="shared" si="4"/>
        <v>0.16721135255756908</v>
      </c>
      <c r="N21" s="296">
        <f t="shared" si="4"/>
        <v>0.20043057622793964</v>
      </c>
      <c r="O21" s="296">
        <f t="shared" si="4"/>
        <v>-1.7673392874513012E-3</v>
      </c>
      <c r="P21" s="296">
        <f t="shared" si="4"/>
        <v>3.3219223670370522E-2</v>
      </c>
      <c r="Q21" s="296">
        <f t="shared" si="4"/>
        <v>3.1451884382919244E-2</v>
      </c>
      <c r="T21" s="364">
        <f t="shared" si="3"/>
        <v>1.2580753753167698E-2</v>
      </c>
    </row>
    <row r="22" spans="1:20">
      <c r="A22" s="64" t="s">
        <v>2218</v>
      </c>
    </row>
    <row r="23" spans="1:20">
      <c r="A23" t="s">
        <v>2481</v>
      </c>
      <c r="B23">
        <v>2020</v>
      </c>
      <c r="C23">
        <v>2021</v>
      </c>
      <c r="D23" t="s">
        <v>14</v>
      </c>
      <c r="E23" t="s">
        <v>11</v>
      </c>
      <c r="F23" t="s">
        <v>12</v>
      </c>
      <c r="G23" t="s">
        <v>13</v>
      </c>
      <c r="H23" t="s">
        <v>2220</v>
      </c>
      <c r="I23" t="s">
        <v>2221</v>
      </c>
      <c r="J23" t="s">
        <v>2222</v>
      </c>
      <c r="K23" t="s">
        <v>2223</v>
      </c>
      <c r="L23" t="s">
        <v>2224</v>
      </c>
      <c r="M23" t="s">
        <v>2482</v>
      </c>
      <c r="N23" t="s">
        <v>2225</v>
      </c>
      <c r="O23" t="s">
        <v>2226</v>
      </c>
    </row>
    <row r="24" spans="1:20">
      <c r="A24" t="s">
        <v>2227</v>
      </c>
      <c r="B24" s="402">
        <v>5514790</v>
      </c>
      <c r="C24" s="402">
        <v>5635664</v>
      </c>
      <c r="D24" s="279">
        <f>AVERAGE(B24:C24)</f>
        <v>5575227</v>
      </c>
      <c r="E24" s="279">
        <f t="shared" ref="E24:L24" si="5">AVERAGE(C24:D24)</f>
        <v>5605445.5</v>
      </c>
      <c r="F24" s="279">
        <f t="shared" si="5"/>
        <v>5590336.25</v>
      </c>
      <c r="G24" s="279">
        <f t="shared" si="5"/>
        <v>5597890.875</v>
      </c>
      <c r="H24" s="279">
        <f t="shared" si="5"/>
        <v>5594113.5625</v>
      </c>
      <c r="I24" s="279">
        <f t="shared" si="5"/>
        <v>5596002.21875</v>
      </c>
      <c r="J24" s="279">
        <f t="shared" si="5"/>
        <v>5595057.890625</v>
      </c>
      <c r="K24" s="279">
        <f t="shared" si="5"/>
        <v>5595530.0546875</v>
      </c>
      <c r="L24" s="279">
        <f t="shared" si="5"/>
        <v>5595293.97265625</v>
      </c>
      <c r="N24" s="279"/>
      <c r="O24" t="s">
        <v>162</v>
      </c>
    </row>
    <row r="25" spans="1:20">
      <c r="A25" s="64" t="s">
        <v>2228</v>
      </c>
    </row>
    <row r="26" spans="1:20">
      <c r="A26" s="392" t="s">
        <v>167</v>
      </c>
      <c r="B26" s="404">
        <f>L5</f>
        <v>0</v>
      </c>
      <c r="C26" s="404">
        <f>M5</f>
        <v>1.3553682405480525E-2</v>
      </c>
      <c r="D26" s="296">
        <f>N5+$O26/2</f>
        <v>5.8402620121262752E-2</v>
      </c>
      <c r="E26" s="296">
        <f t="shared" ref="E26:L35" si="6">D26+$O26</f>
        <v>7.2795914296822237E-2</v>
      </c>
      <c r="F26" s="296">
        <f t="shared" si="6"/>
        <v>8.7189208472381721E-2</v>
      </c>
      <c r="G26" s="296">
        <f t="shared" si="6"/>
        <v>0.10158250264794121</v>
      </c>
      <c r="H26" s="296">
        <f t="shared" si="6"/>
        <v>0.11597579682350069</v>
      </c>
      <c r="I26" s="296">
        <f t="shared" si="6"/>
        <v>0.13036909099906019</v>
      </c>
      <c r="J26" s="296">
        <f t="shared" si="6"/>
        <v>0.14476238517461967</v>
      </c>
      <c r="K26" s="296">
        <f t="shared" si="6"/>
        <v>0.15915567935017916</v>
      </c>
      <c r="L26" s="296">
        <f t="shared" si="6"/>
        <v>0.17354897352573864</v>
      </c>
      <c r="O26" s="296">
        <f>-SUM(O27:O41)+S5</f>
        <v>1.4393294175559486E-2</v>
      </c>
    </row>
    <row r="27" spans="1:20">
      <c r="A27" s="320" t="s">
        <v>214</v>
      </c>
      <c r="B27" s="404">
        <f t="shared" ref="B27:C27" si="7">L6</f>
        <v>2.1199356639146731E-3</v>
      </c>
      <c r="C27" s="404">
        <f t="shared" si="7"/>
        <v>5.2737352688165939E-3</v>
      </c>
      <c r="D27" s="296">
        <f t="shared" ref="D27:D41" si="8">C27+$O27</f>
        <v>5.6501602634617086E-3</v>
      </c>
      <c r="E27" s="296">
        <f t="shared" si="6"/>
        <v>6.0265852581068233E-3</v>
      </c>
      <c r="F27" s="296">
        <f t="shared" si="6"/>
        <v>6.4030102527519381E-3</v>
      </c>
      <c r="G27" s="296">
        <f t="shared" si="6"/>
        <v>6.7794352473970528E-3</v>
      </c>
      <c r="H27" s="296">
        <f t="shared" si="6"/>
        <v>7.1558602420421676E-3</v>
      </c>
      <c r="I27" s="296">
        <f t="shared" si="6"/>
        <v>7.5322852366872823E-3</v>
      </c>
      <c r="J27" s="296">
        <f t="shared" si="6"/>
        <v>7.908710231332397E-3</v>
      </c>
      <c r="K27" s="296">
        <f t="shared" si="6"/>
        <v>8.2851352259775118E-3</v>
      </c>
      <c r="L27" s="296">
        <f t="shared" si="6"/>
        <v>8.6615602206226265E-3</v>
      </c>
      <c r="M27" t="s">
        <v>2483</v>
      </c>
      <c r="N27" s="419">
        <v>0.5</v>
      </c>
      <c r="O27" s="406">
        <f t="shared" ref="O27:O41" si="9">N27*T6</f>
        <v>3.7642499464511506E-4</v>
      </c>
    </row>
    <row r="28" spans="1:20">
      <c r="A28" s="320" t="s">
        <v>2460</v>
      </c>
      <c r="B28" s="404">
        <f t="shared" ref="B28:C28" si="10">L7</f>
        <v>4.0090375154810971E-3</v>
      </c>
      <c r="C28" s="404">
        <f t="shared" si="10"/>
        <v>2.1507669726229242E-3</v>
      </c>
      <c r="D28" s="296">
        <f t="shared" si="8"/>
        <v>1.9175975979807266E-3</v>
      </c>
      <c r="E28" s="296">
        <f t="shared" si="6"/>
        <v>1.6844282233385291E-3</v>
      </c>
      <c r="F28" s="296">
        <f t="shared" si="6"/>
        <v>1.4512588486963315E-3</v>
      </c>
      <c r="G28" s="296">
        <f t="shared" si="6"/>
        <v>1.2180894740541339E-3</v>
      </c>
      <c r="H28" s="296">
        <f t="shared" si="6"/>
        <v>9.8492009941193639E-4</v>
      </c>
      <c r="I28" s="296">
        <f t="shared" si="6"/>
        <v>7.5175072476973883E-4</v>
      </c>
      <c r="J28" s="296">
        <f t="shared" si="6"/>
        <v>5.1858135012754127E-4</v>
      </c>
      <c r="K28" s="296">
        <f t="shared" si="6"/>
        <v>2.8541197548534371E-4</v>
      </c>
      <c r="L28" s="296">
        <f t="shared" si="6"/>
        <v>5.2242600843146157E-5</v>
      </c>
      <c r="M28" t="s">
        <v>2483</v>
      </c>
      <c r="N28" s="419">
        <v>0.2</v>
      </c>
      <c r="O28" s="406">
        <f t="shared" si="9"/>
        <v>-2.3316937464219756E-4</v>
      </c>
    </row>
    <row r="29" spans="1:20">
      <c r="A29" s="320" t="s">
        <v>2461</v>
      </c>
      <c r="B29" s="404">
        <f t="shared" ref="B29:C29" si="11">L8</f>
        <v>5.2404533989508212E-5</v>
      </c>
      <c r="C29" s="404">
        <f t="shared" si="11"/>
        <v>3.0784305096968165E-3</v>
      </c>
      <c r="D29" s="296">
        <f t="shared" si="8"/>
        <v>3.3338937436851466E-3</v>
      </c>
      <c r="E29" s="296">
        <f t="shared" si="6"/>
        <v>3.5893569776734766E-3</v>
      </c>
      <c r="F29" s="296">
        <f t="shared" si="6"/>
        <v>3.8448202116618067E-3</v>
      </c>
      <c r="G29" s="296">
        <f t="shared" si="6"/>
        <v>4.1002834456501363E-3</v>
      </c>
      <c r="H29" s="296">
        <f t="shared" si="6"/>
        <v>4.3557466796384659E-3</v>
      </c>
      <c r="I29" s="296">
        <f t="shared" si="6"/>
        <v>4.6112099136267955E-3</v>
      </c>
      <c r="J29" s="296">
        <f t="shared" si="6"/>
        <v>4.8666731476151252E-3</v>
      </c>
      <c r="K29" s="296">
        <f t="shared" si="6"/>
        <v>5.1221363816034548E-3</v>
      </c>
      <c r="L29" s="296">
        <f t="shared" si="6"/>
        <v>5.3775996155917844E-3</v>
      </c>
      <c r="M29" t="s">
        <v>2483</v>
      </c>
      <c r="N29" s="419">
        <v>0.5</v>
      </c>
      <c r="O29" s="406">
        <f t="shared" si="9"/>
        <v>2.5546323398832995E-4</v>
      </c>
    </row>
    <row r="30" spans="1:20">
      <c r="A30" s="320" t="s">
        <v>2462</v>
      </c>
      <c r="B30" s="404">
        <f t="shared" ref="B30:C30" si="12">L9</f>
        <v>7.579617718897728E-5</v>
      </c>
      <c r="C30" s="404">
        <f t="shared" si="12"/>
        <v>3.5417299540923663E-4</v>
      </c>
      <c r="D30" s="296">
        <f t="shared" si="8"/>
        <v>1.0551132836327285E-3</v>
      </c>
      <c r="E30" s="296">
        <f t="shared" si="6"/>
        <v>1.7560535718562204E-3</v>
      </c>
      <c r="F30" s="296">
        <f t="shared" si="6"/>
        <v>2.4569938600797125E-3</v>
      </c>
      <c r="G30" s="296">
        <f t="shared" si="6"/>
        <v>3.1579341483032042E-3</v>
      </c>
      <c r="H30" s="296">
        <f t="shared" si="6"/>
        <v>3.8588744365266959E-3</v>
      </c>
      <c r="I30" s="296">
        <f t="shared" si="6"/>
        <v>4.5598147247501875E-3</v>
      </c>
      <c r="J30" s="296">
        <f t="shared" si="6"/>
        <v>5.2607550129736792E-3</v>
      </c>
      <c r="K30" s="296">
        <f t="shared" si="6"/>
        <v>5.9616953011971709E-3</v>
      </c>
      <c r="L30" s="296">
        <f t="shared" si="6"/>
        <v>6.6626355894206625E-3</v>
      </c>
      <c r="M30" t="s">
        <v>2483</v>
      </c>
      <c r="N30" s="419">
        <v>0.25</v>
      </c>
      <c r="O30" s="406">
        <f t="shared" si="9"/>
        <v>7.0094028822349189E-4</v>
      </c>
    </row>
    <row r="31" spans="1:20">
      <c r="A31" s="320" t="s">
        <v>2465</v>
      </c>
      <c r="B31" s="404">
        <f t="shared" ref="B31:C31" si="13">L10</f>
        <v>0</v>
      </c>
      <c r="C31" s="404">
        <f t="shared" si="13"/>
        <v>9.5286021310000025E-5</v>
      </c>
      <c r="D31" s="296">
        <f t="shared" si="8"/>
        <v>1.5110145826513504E-4</v>
      </c>
      <c r="E31" s="296">
        <f t="shared" si="6"/>
        <v>2.0691689522027006E-4</v>
      </c>
      <c r="F31" s="296">
        <f t="shared" si="6"/>
        <v>2.6273233217540508E-4</v>
      </c>
      <c r="G31" s="296">
        <f t="shared" si="6"/>
        <v>3.185477691305401E-4</v>
      </c>
      <c r="H31" s="296">
        <f t="shared" si="6"/>
        <v>3.7436320608567512E-4</v>
      </c>
      <c r="I31" s="296">
        <f t="shared" si="6"/>
        <v>4.3017864304081013E-4</v>
      </c>
      <c r="J31" s="296">
        <f t="shared" si="6"/>
        <v>4.8599407999594515E-4</v>
      </c>
      <c r="K31" s="296">
        <f t="shared" si="6"/>
        <v>5.4180951695108012E-4</v>
      </c>
      <c r="L31" s="296">
        <f t="shared" si="6"/>
        <v>5.9762495390621514E-4</v>
      </c>
      <c r="M31" t="s">
        <v>2483</v>
      </c>
      <c r="N31" s="419">
        <v>0.5</v>
      </c>
      <c r="O31" s="406">
        <f t="shared" si="9"/>
        <v>5.5815436955135018E-5</v>
      </c>
    </row>
    <row r="32" spans="1:20">
      <c r="A32" s="320" t="s">
        <v>2467</v>
      </c>
      <c r="B32" s="404">
        <f t="shared" ref="B32:C32" si="14">L11</f>
        <v>2.9229218156992379E-2</v>
      </c>
      <c r="C32" s="404">
        <f t="shared" si="14"/>
        <v>2.7838778181240045E-2</v>
      </c>
      <c r="D32" s="296">
        <f t="shared" si="8"/>
        <v>2.8040779479861208E-2</v>
      </c>
      <c r="E32" s="296">
        <f t="shared" si="6"/>
        <v>2.8242780778482371E-2</v>
      </c>
      <c r="F32" s="296">
        <f t="shared" si="6"/>
        <v>2.8444782077103534E-2</v>
      </c>
      <c r="G32" s="296">
        <f t="shared" si="6"/>
        <v>2.8646783375724696E-2</v>
      </c>
      <c r="H32" s="296">
        <f t="shared" si="6"/>
        <v>2.8848784674345859E-2</v>
      </c>
      <c r="I32" s="296">
        <f t="shared" si="6"/>
        <v>2.9050785972967022E-2</v>
      </c>
      <c r="J32" s="296">
        <f t="shared" si="6"/>
        <v>2.9252787271588185E-2</v>
      </c>
      <c r="K32" s="296">
        <f t="shared" si="6"/>
        <v>2.9454788570209348E-2</v>
      </c>
      <c r="L32" s="296">
        <f t="shared" si="6"/>
        <v>2.965678986883051E-2</v>
      </c>
      <c r="M32" t="s">
        <v>2483</v>
      </c>
      <c r="N32" s="419">
        <v>0.5</v>
      </c>
      <c r="O32" s="406">
        <f t="shared" si="9"/>
        <v>2.020012986211614E-4</v>
      </c>
    </row>
    <row r="33" spans="1:20">
      <c r="A33" s="320" t="s">
        <v>2469</v>
      </c>
      <c r="B33" s="404">
        <f t="shared" ref="B33:C33" si="15">L12</f>
        <v>1.2466476511344946E-2</v>
      </c>
      <c r="C33" s="404">
        <f t="shared" si="15"/>
        <v>5.633941271161659E-3</v>
      </c>
      <c r="D33" s="296">
        <f t="shared" si="8"/>
        <v>5.019016910358551E-3</v>
      </c>
      <c r="E33" s="296">
        <f t="shared" si="6"/>
        <v>4.4040925495554429E-3</v>
      </c>
      <c r="F33" s="296">
        <f t="shared" si="6"/>
        <v>3.7891681887523348E-3</v>
      </c>
      <c r="G33" s="296">
        <f t="shared" si="6"/>
        <v>3.1742438279492267E-3</v>
      </c>
      <c r="H33" s="296">
        <f t="shared" si="6"/>
        <v>2.5593194671461187E-3</v>
      </c>
      <c r="I33" s="296">
        <f t="shared" si="6"/>
        <v>1.9443951063430104E-3</v>
      </c>
      <c r="J33" s="296">
        <f t="shared" si="6"/>
        <v>1.3294707455399021E-3</v>
      </c>
      <c r="K33" s="296">
        <f t="shared" si="6"/>
        <v>7.1454638473679379E-4</v>
      </c>
      <c r="L33" s="296">
        <f t="shared" si="6"/>
        <v>9.9622023933685494E-5</v>
      </c>
      <c r="M33" t="s">
        <v>2483</v>
      </c>
      <c r="N33" s="419">
        <v>0.16666666666666666</v>
      </c>
      <c r="O33" s="406">
        <f t="shared" si="9"/>
        <v>-6.1492436080310829E-4</v>
      </c>
    </row>
    <row r="34" spans="1:20">
      <c r="A34" s="320" t="s">
        <v>2470</v>
      </c>
      <c r="B34" s="404">
        <f t="shared" ref="B34:C34" si="16">L13</f>
        <v>8.8482063686921887E-3</v>
      </c>
      <c r="C34" s="404">
        <f t="shared" si="16"/>
        <v>3.4393462775637439E-3</v>
      </c>
      <c r="D34" s="296">
        <f t="shared" si="8"/>
        <v>3.0586925350318747E-3</v>
      </c>
      <c r="E34" s="296">
        <f t="shared" si="6"/>
        <v>2.6780387925000055E-3</v>
      </c>
      <c r="F34" s="296">
        <f t="shared" si="6"/>
        <v>2.2973850499681363E-3</v>
      </c>
      <c r="G34" s="296">
        <f t="shared" si="6"/>
        <v>1.9167313074362673E-3</v>
      </c>
      <c r="H34" s="296">
        <f t="shared" si="6"/>
        <v>1.5360775649043983E-3</v>
      </c>
      <c r="I34" s="296">
        <f t="shared" si="6"/>
        <v>1.1554238223725293E-3</v>
      </c>
      <c r="J34" s="296">
        <f t="shared" si="6"/>
        <v>7.7477007984066027E-4</v>
      </c>
      <c r="K34" s="296">
        <f t="shared" si="6"/>
        <v>3.9411633730879127E-4</v>
      </c>
      <c r="L34" s="296">
        <f t="shared" si="6"/>
        <v>1.3462594776922267E-5</v>
      </c>
      <c r="M34" t="s">
        <v>2483</v>
      </c>
      <c r="N34" s="419">
        <v>0.125</v>
      </c>
      <c r="O34" s="406">
        <f t="shared" si="9"/>
        <v>-3.80653742531869E-4</v>
      </c>
    </row>
    <row r="35" spans="1:20">
      <c r="A35" s="320" t="s">
        <v>2471</v>
      </c>
      <c r="B35" s="404">
        <f t="shared" ref="B35:C35" si="17">L14</f>
        <v>3.8804741431677364E-3</v>
      </c>
      <c r="C35" s="404">
        <f t="shared" si="17"/>
        <v>8.3397448818808221E-4</v>
      </c>
      <c r="D35" s="296">
        <f t="shared" si="8"/>
        <v>7.4134041473937929E-4</v>
      </c>
      <c r="E35" s="296">
        <f t="shared" si="6"/>
        <v>6.4870634129067636E-4</v>
      </c>
      <c r="F35" s="296">
        <f t="shared" si="6"/>
        <v>5.5607226784197344E-4</v>
      </c>
      <c r="G35" s="296">
        <f t="shared" si="6"/>
        <v>4.6343819439327051E-4</v>
      </c>
      <c r="H35" s="296">
        <f t="shared" si="6"/>
        <v>3.7080412094456759E-4</v>
      </c>
      <c r="I35" s="296">
        <f t="shared" si="6"/>
        <v>2.7817004749586466E-4</v>
      </c>
      <c r="J35" s="296">
        <f t="shared" si="6"/>
        <v>1.8553597404716174E-4</v>
      </c>
      <c r="K35" s="296">
        <f t="shared" si="6"/>
        <v>9.2901900598458802E-5</v>
      </c>
      <c r="L35" s="296">
        <f t="shared" si="6"/>
        <v>2.6782714975586374E-7</v>
      </c>
      <c r="M35" t="s">
        <v>2483</v>
      </c>
      <c r="N35" s="419">
        <v>7.1428571428571425E-2</v>
      </c>
      <c r="O35" s="406">
        <f t="shared" si="9"/>
        <v>-9.2634073448702938E-5</v>
      </c>
    </row>
    <row r="36" spans="1:20">
      <c r="A36" t="s">
        <v>2472</v>
      </c>
      <c r="B36" s="404">
        <f t="shared" ref="B36:C36" si="18">L15</f>
        <v>4.5329559239789728E-2</v>
      </c>
      <c r="C36" s="404">
        <f t="shared" si="18"/>
        <v>3.5577351666103589E-2</v>
      </c>
      <c r="D36" s="296">
        <f t="shared" si="8"/>
        <v>3.5174782441152595E-2</v>
      </c>
      <c r="E36" s="296">
        <f t="shared" ref="E36:L41" si="19">D36+$O36</f>
        <v>3.4772213216201601E-2</v>
      </c>
      <c r="F36" s="296">
        <f t="shared" si="19"/>
        <v>3.4369643991250608E-2</v>
      </c>
      <c r="G36" s="296">
        <f t="shared" si="19"/>
        <v>3.3967074766299614E-2</v>
      </c>
      <c r="H36" s="296">
        <f t="shared" si="19"/>
        <v>3.356450554134862E-2</v>
      </c>
      <c r="I36" s="296">
        <f t="shared" si="19"/>
        <v>3.3161936316397626E-2</v>
      </c>
      <c r="J36" s="296">
        <f t="shared" si="19"/>
        <v>3.2759367091446633E-2</v>
      </c>
      <c r="K36" s="296">
        <f t="shared" si="19"/>
        <v>3.2356797866495639E-2</v>
      </c>
      <c r="L36" s="296">
        <f t="shared" si="19"/>
        <v>3.1954228641544645E-2</v>
      </c>
      <c r="M36" t="s">
        <v>2484</v>
      </c>
      <c r="N36" s="419">
        <v>0.33333333333333331</v>
      </c>
      <c r="O36" s="406">
        <f t="shared" si="9"/>
        <v>-4.025692249509965E-4</v>
      </c>
    </row>
    <row r="37" spans="1:20">
      <c r="A37" t="s">
        <v>2473</v>
      </c>
      <c r="B37" s="404">
        <f t="shared" ref="B37:C37" si="20">L16</f>
        <v>2.6766930381755243E-2</v>
      </c>
      <c r="C37" s="404">
        <f t="shared" si="20"/>
        <v>2.9179702693418203E-2</v>
      </c>
      <c r="D37" s="296">
        <f t="shared" si="8"/>
        <v>2.7969791995736591E-2</v>
      </c>
      <c r="E37" s="296">
        <f t="shared" si="19"/>
        <v>2.6759881298054979E-2</v>
      </c>
      <c r="F37" s="296">
        <f t="shared" si="19"/>
        <v>2.5549970600373367E-2</v>
      </c>
      <c r="G37" s="296">
        <f t="shared" si="19"/>
        <v>2.4340059902691755E-2</v>
      </c>
      <c r="H37" s="296">
        <f t="shared" si="19"/>
        <v>2.3130149205010143E-2</v>
      </c>
      <c r="I37" s="296">
        <f t="shared" si="19"/>
        <v>2.1920238507328531E-2</v>
      </c>
      <c r="J37" s="296">
        <f t="shared" si="19"/>
        <v>2.071032780964692E-2</v>
      </c>
      <c r="K37" s="296">
        <f t="shared" si="19"/>
        <v>1.9500417111965308E-2</v>
      </c>
      <c r="L37" s="296">
        <f t="shared" si="19"/>
        <v>1.8290506414283696E-2</v>
      </c>
      <c r="M37" t="s">
        <v>2483</v>
      </c>
      <c r="N37" s="419">
        <v>0.5</v>
      </c>
      <c r="O37" s="406">
        <f t="shared" si="9"/>
        <v>-1.2099106976816132E-3</v>
      </c>
    </row>
    <row r="38" spans="1:20">
      <c r="A38" t="s">
        <v>2475</v>
      </c>
      <c r="B38" s="404">
        <f t="shared" ref="B38:C38" si="21">L17</f>
        <v>1.0353250078425471E-2</v>
      </c>
      <c r="C38" s="404">
        <f t="shared" si="21"/>
        <v>9.9111657472837275E-3</v>
      </c>
      <c r="D38" s="296">
        <f t="shared" si="8"/>
        <v>9.1826659235912291E-3</v>
      </c>
      <c r="E38" s="296">
        <f t="shared" si="19"/>
        <v>8.4541660998987307E-3</v>
      </c>
      <c r="F38" s="296">
        <f t="shared" si="19"/>
        <v>7.7256662762062323E-3</v>
      </c>
      <c r="G38" s="296">
        <f t="shared" si="19"/>
        <v>6.9971664525137339E-3</v>
      </c>
      <c r="H38" s="296">
        <f t="shared" si="19"/>
        <v>6.2686666288212355E-3</v>
      </c>
      <c r="I38" s="296">
        <f t="shared" si="19"/>
        <v>5.5401668051287371E-3</v>
      </c>
      <c r="J38" s="296">
        <f t="shared" si="19"/>
        <v>4.8116669814362387E-3</v>
      </c>
      <c r="K38" s="296">
        <f t="shared" si="19"/>
        <v>4.0831671577437403E-3</v>
      </c>
      <c r="L38" s="296">
        <f t="shared" si="19"/>
        <v>3.3546673340512419E-3</v>
      </c>
      <c r="M38" t="s">
        <v>2483</v>
      </c>
      <c r="N38" s="419">
        <v>0.5</v>
      </c>
      <c r="O38" s="406">
        <f t="shared" si="9"/>
        <v>-7.2849982369249861E-4</v>
      </c>
    </row>
    <row r="39" spans="1:20">
      <c r="A39" t="s">
        <v>2477</v>
      </c>
      <c r="B39" s="404">
        <f t="shared" ref="B39:C39" si="22">L18</f>
        <v>1.1013474674466299E-2</v>
      </c>
      <c r="C39" s="404">
        <f t="shared" si="22"/>
        <v>2.2346790014450828E-2</v>
      </c>
      <c r="D39" s="296">
        <f t="shared" si="8"/>
        <v>2.3315424291530325E-2</v>
      </c>
      <c r="E39" s="296">
        <f t="shared" si="19"/>
        <v>2.4284058568609823E-2</v>
      </c>
      <c r="F39" s="296">
        <f t="shared" si="19"/>
        <v>2.5252692845689321E-2</v>
      </c>
      <c r="G39" s="296">
        <f t="shared" si="19"/>
        <v>2.6221327122768819E-2</v>
      </c>
      <c r="H39" s="296">
        <f t="shared" si="19"/>
        <v>2.7189961399848316E-2</v>
      </c>
      <c r="I39" s="296">
        <f t="shared" si="19"/>
        <v>2.8158595676927814E-2</v>
      </c>
      <c r="J39" s="296">
        <f t="shared" si="19"/>
        <v>2.9127229954007312E-2</v>
      </c>
      <c r="K39" s="296">
        <f t="shared" si="19"/>
        <v>3.0095864231086809E-2</v>
      </c>
      <c r="L39" s="296">
        <f t="shared" si="19"/>
        <v>3.1064498508166307E-2</v>
      </c>
      <c r="M39" t="s">
        <v>2483</v>
      </c>
      <c r="N39" s="419">
        <v>0.16666666666666666</v>
      </c>
      <c r="O39" s="406">
        <f t="shared" si="9"/>
        <v>9.6863427707949857E-4</v>
      </c>
    </row>
    <row r="40" spans="1:20">
      <c r="A40" t="s">
        <v>2479</v>
      </c>
      <c r="B40" s="404">
        <f t="shared" ref="B40:C40" si="23">L19</f>
        <v>7.6690136886445361E-3</v>
      </c>
      <c r="C40" s="404">
        <f t="shared" si="23"/>
        <v>2.1276995931624027E-3</v>
      </c>
      <c r="D40" s="296">
        <f t="shared" si="8"/>
        <v>1.8917299412041092E-3</v>
      </c>
      <c r="E40" s="296">
        <f t="shared" si="19"/>
        <v>1.6557602892458157E-3</v>
      </c>
      <c r="F40" s="296">
        <f t="shared" si="19"/>
        <v>1.4197906372875222E-3</v>
      </c>
      <c r="G40" s="296">
        <f t="shared" si="19"/>
        <v>1.1838209853292287E-3</v>
      </c>
      <c r="H40" s="296">
        <f t="shared" si="19"/>
        <v>9.4785133337093534E-4</v>
      </c>
      <c r="I40" s="296">
        <f t="shared" si="19"/>
        <v>7.1188168141264195E-4</v>
      </c>
      <c r="J40" s="296">
        <f t="shared" si="19"/>
        <v>4.7591202945434857E-4</v>
      </c>
      <c r="K40" s="296">
        <f t="shared" si="19"/>
        <v>2.3994237749605515E-4</v>
      </c>
      <c r="L40" s="296">
        <f t="shared" si="19"/>
        <v>3.9727255377617417E-6</v>
      </c>
      <c r="M40" t="s">
        <v>2483</v>
      </c>
      <c r="N40" s="419">
        <v>7.6923076923076927E-2</v>
      </c>
      <c r="O40" s="406">
        <f t="shared" si="9"/>
        <v>-2.3596965195829341E-4</v>
      </c>
    </row>
    <row r="41" spans="1:20">
      <c r="A41" t="s">
        <v>2480</v>
      </c>
      <c r="B41" s="404">
        <f t="shared" ref="B41:C41" si="24">L20</f>
        <v>7.1649147111676054E-3</v>
      </c>
      <c r="C41" s="404">
        <f t="shared" si="24"/>
        <v>5.8165284516607093E-3</v>
      </c>
      <c r="D41" s="296">
        <f t="shared" si="8"/>
        <v>5.3430394494654613E-3</v>
      </c>
      <c r="E41" s="296">
        <f t="shared" si="19"/>
        <v>4.8695504472702133E-3</v>
      </c>
      <c r="F41" s="296">
        <f t="shared" si="19"/>
        <v>4.3960614450749653E-3</v>
      </c>
      <c r="G41" s="296">
        <f t="shared" si="19"/>
        <v>3.9225724428797173E-3</v>
      </c>
      <c r="H41" s="296">
        <f t="shared" si="19"/>
        <v>3.4490834406844697E-3</v>
      </c>
      <c r="I41" s="296">
        <f t="shared" si="19"/>
        <v>2.9755944384892222E-3</v>
      </c>
      <c r="J41" s="296">
        <f t="shared" si="19"/>
        <v>2.5021054362939746E-3</v>
      </c>
      <c r="K41" s="296">
        <f t="shared" si="19"/>
        <v>2.028616434098727E-3</v>
      </c>
      <c r="L41" s="296">
        <f t="shared" si="19"/>
        <v>1.5551274319034795E-3</v>
      </c>
      <c r="M41" t="s">
        <v>2483</v>
      </c>
      <c r="N41" s="419">
        <v>0.5</v>
      </c>
      <c r="O41" s="406">
        <f t="shared" si="9"/>
        <v>-4.7348900219524768E-4</v>
      </c>
    </row>
    <row r="42" spans="1:20">
      <c r="A42" s="64" t="s">
        <v>2036</v>
      </c>
    </row>
    <row r="43" spans="1:20" ht="14.5">
      <c r="A43" s="215" t="s">
        <v>167</v>
      </c>
      <c r="B43" s="85">
        <f>I5</f>
        <v>0</v>
      </c>
      <c r="C43" s="85">
        <f>J5</f>
        <v>76384</v>
      </c>
      <c r="D43" s="403">
        <f>D26*D24</f>
        <v>325607.86457080737</v>
      </c>
      <c r="E43" s="403">
        <f t="shared" ref="E43:L43" si="25">E26*E24</f>
        <v>408053.53021350788</v>
      </c>
      <c r="F43" s="403">
        <f t="shared" si="25"/>
        <v>487416.99273196264</v>
      </c>
      <c r="G43" s="403">
        <f t="shared" si="25"/>
        <v>568647.76463257347</v>
      </c>
      <c r="H43" s="403">
        <f t="shared" si="25"/>
        <v>648781.77793208964</v>
      </c>
      <c r="I43" s="403">
        <f t="shared" si="25"/>
        <v>729545.72248716152</v>
      </c>
      <c r="J43" s="403">
        <f t="shared" si="25"/>
        <v>809953.92543695134</v>
      </c>
      <c r="K43" s="403">
        <f t="shared" si="25"/>
        <v>890560.38717813417</v>
      </c>
      <c r="L43" s="403">
        <f t="shared" si="25"/>
        <v>971057.52552924457</v>
      </c>
    </row>
    <row r="45" spans="1:20" s="423" customFormat="1">
      <c r="A45" s="423" t="s">
        <v>168</v>
      </c>
    </row>
    <row r="46" spans="1:20" ht="70">
      <c r="A46" s="527" t="s">
        <v>0</v>
      </c>
      <c r="B46" s="527" t="s">
        <v>2018</v>
      </c>
      <c r="C46" s="527" t="s">
        <v>2019</v>
      </c>
      <c r="D46" s="527" t="s">
        <v>2020</v>
      </c>
      <c r="E46" s="527" t="s">
        <v>2021</v>
      </c>
      <c r="F46" s="527" t="s">
        <v>2022</v>
      </c>
      <c r="G46" s="527" t="s">
        <v>1840</v>
      </c>
      <c r="H46" s="527" t="s">
        <v>2023</v>
      </c>
      <c r="I46" s="527" t="s">
        <v>2024</v>
      </c>
      <c r="J46" s="527" t="s">
        <v>2025</v>
      </c>
      <c r="K46" s="527" t="s">
        <v>2456</v>
      </c>
      <c r="L46" s="527" t="s">
        <v>2027</v>
      </c>
      <c r="M46" s="527" t="s">
        <v>2028</v>
      </c>
      <c r="N46" s="527" t="s">
        <v>2457</v>
      </c>
      <c r="O46" s="527" t="s">
        <v>2030</v>
      </c>
      <c r="P46" s="527" t="s">
        <v>2031</v>
      </c>
      <c r="Q46" s="527" t="s">
        <v>2032</v>
      </c>
      <c r="R46" s="527" t="s">
        <v>2033</v>
      </c>
      <c r="S46" s="527" t="s">
        <v>2034</v>
      </c>
      <c r="T46" s="527" t="s">
        <v>2035</v>
      </c>
    </row>
    <row r="47" spans="1:20" s="64" customFormat="1">
      <c r="A47" s="391" t="s">
        <v>25</v>
      </c>
      <c r="B47" s="392" t="s">
        <v>168</v>
      </c>
      <c r="C47" s="392" t="s">
        <v>2036</v>
      </c>
      <c r="D47" s="409" t="s">
        <v>2199</v>
      </c>
      <c r="E47" s="409" t="s">
        <v>2038</v>
      </c>
      <c r="F47" s="399" t="s">
        <v>2060</v>
      </c>
      <c r="G47" s="413">
        <f>180800*0.155035</f>
        <v>28030.328000000001</v>
      </c>
      <c r="H47" s="390" t="s">
        <v>2485</v>
      </c>
      <c r="I47" s="398">
        <v>4000</v>
      </c>
      <c r="J47" s="398">
        <v>29340</v>
      </c>
      <c r="K47" s="398">
        <v>28324</v>
      </c>
      <c r="L47" s="412">
        <v>7.2532226975097875E-4</v>
      </c>
      <c r="M47" s="412">
        <v>5.2061301028592192E-3</v>
      </c>
      <c r="N47" s="412">
        <v>1.107084339157734E-2</v>
      </c>
      <c r="O47" s="444">
        <f t="shared" ref="O47:O59" si="26">M47-L47</f>
        <v>4.4808078331082402E-3</v>
      </c>
      <c r="P47" s="444">
        <f t="shared" ref="P47:P59" si="27">N47-M47</f>
        <v>5.8647132887181212E-3</v>
      </c>
      <c r="Q47" s="444">
        <f t="shared" ref="Q47:Q59" si="28">N47-L47</f>
        <v>1.0345521121826361E-2</v>
      </c>
      <c r="R47" s="436">
        <f>(SUM(Q48:Q60))/2.5</f>
        <v>-5.6253668653516945E-3</v>
      </c>
      <c r="S47" s="436">
        <f>T47+R47</f>
        <v>-1.4871584166211496E-3</v>
      </c>
      <c r="T47" s="472">
        <f t="shared" ref="T47:T59" si="29">Q47/2.5</f>
        <v>4.1382084487305449E-3</v>
      </c>
    </row>
    <row r="48" spans="1:20">
      <c r="A48" s="441" t="s">
        <v>2064</v>
      </c>
      <c r="B48" s="551" t="s">
        <v>2472</v>
      </c>
      <c r="C48" s="320" t="s">
        <v>2036</v>
      </c>
      <c r="D48" s="528" t="s">
        <v>2199</v>
      </c>
      <c r="E48" s="528" t="s">
        <v>2038</v>
      </c>
      <c r="F48" s="428" t="s">
        <v>2043</v>
      </c>
      <c r="G48" s="410">
        <f>159800*0.155035</f>
        <v>24774.593000000001</v>
      </c>
      <c r="H48" s="529" t="s">
        <v>2463</v>
      </c>
      <c r="I48" s="402">
        <v>249983</v>
      </c>
      <c r="J48" s="402">
        <v>200502</v>
      </c>
      <c r="K48" s="402">
        <v>108248</v>
      </c>
      <c r="L48" s="404">
        <v>4.5329559239789728E-2</v>
      </c>
      <c r="M48" s="404">
        <v>3.5577351666103589E-2</v>
      </c>
      <c r="N48" s="404">
        <v>4.2310290052657254E-2</v>
      </c>
      <c r="O48" s="444">
        <f t="shared" si="26"/>
        <v>-9.7522075736861391E-3</v>
      </c>
      <c r="P48" s="444">
        <f t="shared" si="27"/>
        <v>6.7329383865536649E-3</v>
      </c>
      <c r="Q48" s="444">
        <f t="shared" si="28"/>
        <v>-3.0192691871324742E-3</v>
      </c>
      <c r="T48" s="472">
        <f t="shared" si="29"/>
        <v>-1.2077076748529896E-3</v>
      </c>
    </row>
    <row r="49" spans="1:20">
      <c r="A49" s="394" t="s">
        <v>2328</v>
      </c>
      <c r="B49" s="394" t="s">
        <v>2486</v>
      </c>
      <c r="C49" s="320" t="s">
        <v>2036</v>
      </c>
      <c r="D49" s="395" t="s">
        <v>2199</v>
      </c>
      <c r="E49" s="395" t="s">
        <v>2038</v>
      </c>
      <c r="F49" s="482" t="s">
        <v>2060</v>
      </c>
      <c r="G49" s="410">
        <v>30992</v>
      </c>
      <c r="H49" s="529" t="s">
        <v>2487</v>
      </c>
      <c r="I49" s="402">
        <v>0</v>
      </c>
      <c r="J49" s="402">
        <v>26853</v>
      </c>
      <c r="K49" s="402">
        <v>19967</v>
      </c>
      <c r="L49" s="404">
        <v>0</v>
      </c>
      <c r="M49" s="404">
        <v>4.7648333896413977E-3</v>
      </c>
      <c r="N49" s="404">
        <v>7.8043895636077101E-3</v>
      </c>
      <c r="O49" s="444">
        <f t="shared" si="26"/>
        <v>4.7648333896413977E-3</v>
      </c>
      <c r="P49" s="444">
        <f t="shared" si="27"/>
        <v>3.0395561739663124E-3</v>
      </c>
      <c r="Q49" s="444">
        <f t="shared" si="28"/>
        <v>7.8043895636077101E-3</v>
      </c>
      <c r="T49" s="472">
        <f t="shared" si="29"/>
        <v>3.121755825443084E-3</v>
      </c>
    </row>
    <row r="50" spans="1:20">
      <c r="A50" s="393" t="s">
        <v>2488</v>
      </c>
      <c r="B50" s="394" t="s">
        <v>2489</v>
      </c>
      <c r="C50" s="320" t="s">
        <v>2036</v>
      </c>
      <c r="D50" s="428" t="s">
        <v>2199</v>
      </c>
      <c r="E50" s="428" t="s">
        <v>2038</v>
      </c>
      <c r="F50" s="395" t="s">
        <v>2043</v>
      </c>
      <c r="G50" s="410">
        <v>30356</v>
      </c>
      <c r="H50" s="529" t="s">
        <v>2487</v>
      </c>
      <c r="I50" s="402">
        <v>0</v>
      </c>
      <c r="J50" s="402">
        <v>84588</v>
      </c>
      <c r="K50" s="402">
        <v>48819</v>
      </c>
      <c r="L50" s="404">
        <v>0</v>
      </c>
      <c r="M50" s="404">
        <v>1.5009411490819892E-2</v>
      </c>
      <c r="N50" s="404">
        <v>1.9081609360733449E-2</v>
      </c>
      <c r="O50" s="444">
        <f t="shared" si="26"/>
        <v>1.5009411490819892E-2</v>
      </c>
      <c r="P50" s="444">
        <f t="shared" si="27"/>
        <v>4.0721978699135575E-3</v>
      </c>
      <c r="Q50" s="444">
        <f t="shared" si="28"/>
        <v>1.9081609360733449E-2</v>
      </c>
      <c r="T50" s="472">
        <f t="shared" si="29"/>
        <v>7.6326437442933801E-3</v>
      </c>
    </row>
    <row r="51" spans="1:20">
      <c r="A51" s="393" t="s">
        <v>2490</v>
      </c>
      <c r="B51" s="394" t="s">
        <v>2491</v>
      </c>
      <c r="C51" s="320" t="s">
        <v>2036</v>
      </c>
      <c r="D51" s="428" t="s">
        <v>2199</v>
      </c>
      <c r="E51" s="428" t="s">
        <v>2038</v>
      </c>
      <c r="F51" s="395" t="s">
        <v>2039</v>
      </c>
      <c r="G51" s="410">
        <v>29426</v>
      </c>
      <c r="H51" s="529" t="s">
        <v>2485</v>
      </c>
      <c r="I51" s="471">
        <v>4054</v>
      </c>
      <c r="J51" s="471">
        <v>24600</v>
      </c>
      <c r="K51" s="471">
        <v>1998</v>
      </c>
      <c r="L51" s="404">
        <v>7.3511412039261692E-4</v>
      </c>
      <c r="M51" s="404">
        <v>4.3650579594525151E-3</v>
      </c>
      <c r="N51" s="404">
        <v>7.8094708008655299E-4</v>
      </c>
      <c r="O51" s="444">
        <f t="shared" si="26"/>
        <v>3.629943839059898E-3</v>
      </c>
      <c r="P51" s="444">
        <f t="shared" si="27"/>
        <v>-3.5841108793659622E-3</v>
      </c>
      <c r="Q51" s="444">
        <f t="shared" si="28"/>
        <v>4.5832959693936073E-5</v>
      </c>
      <c r="T51" s="472">
        <f t="shared" si="29"/>
        <v>1.8333183877574431E-5</v>
      </c>
    </row>
    <row r="52" spans="1:20" ht="14.5">
      <c r="A52" s="552" t="s">
        <v>2492</v>
      </c>
      <c r="B52" s="394" t="s">
        <v>2493</v>
      </c>
      <c r="C52" s="320" t="s">
        <v>2036</v>
      </c>
      <c r="D52" s="428" t="s">
        <v>2199</v>
      </c>
      <c r="E52" s="428" t="s">
        <v>2038</v>
      </c>
      <c r="F52" s="395" t="s">
        <v>49</v>
      </c>
      <c r="G52" s="410">
        <v>27534.216</v>
      </c>
      <c r="H52" s="529" t="s">
        <v>2494</v>
      </c>
      <c r="I52" s="397">
        <v>11173</v>
      </c>
      <c r="J52" s="397">
        <v>15826</v>
      </c>
      <c r="K52" s="397">
        <v>14145</v>
      </c>
      <c r="L52" s="404">
        <v>2.0260064299819215E-3</v>
      </c>
      <c r="M52" s="404">
        <v>2.8081872872477848E-3</v>
      </c>
      <c r="N52" s="404">
        <v>5.528777000913059E-3</v>
      </c>
      <c r="O52" s="444">
        <f t="shared" si="26"/>
        <v>7.8218085726586327E-4</v>
      </c>
      <c r="P52" s="444">
        <f t="shared" si="27"/>
        <v>2.7205897136652743E-3</v>
      </c>
      <c r="Q52" s="444">
        <f t="shared" si="28"/>
        <v>3.5027705709311375E-3</v>
      </c>
      <c r="T52" s="472">
        <f t="shared" si="29"/>
        <v>1.4011082283724549E-3</v>
      </c>
    </row>
    <row r="53" spans="1:20">
      <c r="A53" s="393" t="s">
        <v>2466</v>
      </c>
      <c r="B53" s="394" t="s">
        <v>2495</v>
      </c>
      <c r="C53" s="320" t="s">
        <v>2036</v>
      </c>
      <c r="D53" s="428" t="s">
        <v>2199</v>
      </c>
      <c r="E53" s="428" t="s">
        <v>2038</v>
      </c>
      <c r="F53" s="395" t="s">
        <v>2043</v>
      </c>
      <c r="G53" s="410">
        <v>26651</v>
      </c>
      <c r="H53" s="529" t="s">
        <v>2494</v>
      </c>
      <c r="I53" s="471">
        <v>175177</v>
      </c>
      <c r="J53" s="402">
        <v>81085</v>
      </c>
      <c r="K53" s="402">
        <v>7462</v>
      </c>
      <c r="L53" s="404">
        <v>3.1764944812041798E-2</v>
      </c>
      <c r="M53" s="404">
        <v>1.4387834335049074E-2</v>
      </c>
      <c r="N53" s="404">
        <v>2.9166301859889182E-3</v>
      </c>
      <c r="O53" s="444">
        <f t="shared" si="26"/>
        <v>-1.7377110476992724E-2</v>
      </c>
      <c r="P53" s="444">
        <f t="shared" si="27"/>
        <v>-1.1471204149060155E-2</v>
      </c>
      <c r="Q53" s="444">
        <f t="shared" si="28"/>
        <v>-2.884831462605288E-2</v>
      </c>
      <c r="T53" s="472">
        <f t="shared" si="29"/>
        <v>-1.1539325850421151E-2</v>
      </c>
    </row>
    <row r="54" spans="1:20">
      <c r="A54" s="394" t="s">
        <v>2328</v>
      </c>
      <c r="B54" s="394" t="s">
        <v>2496</v>
      </c>
      <c r="C54" s="320" t="s">
        <v>2036</v>
      </c>
      <c r="D54" s="395" t="s">
        <v>2199</v>
      </c>
      <c r="E54" s="395" t="s">
        <v>2038</v>
      </c>
      <c r="F54" s="482" t="s">
        <v>2060</v>
      </c>
      <c r="G54" s="410">
        <v>30992</v>
      </c>
      <c r="H54" s="529" t="s">
        <v>2487</v>
      </c>
      <c r="I54" s="402">
        <v>0</v>
      </c>
      <c r="J54" s="402">
        <v>23174</v>
      </c>
      <c r="K54" s="402">
        <v>14283</v>
      </c>
      <c r="L54" s="404">
        <v>0</v>
      </c>
      <c r="M54" s="404">
        <v>4.112026550908642E-3</v>
      </c>
      <c r="N54" s="404">
        <v>5.5827162887268451E-3</v>
      </c>
      <c r="O54" s="444">
        <f t="shared" si="26"/>
        <v>4.112026550908642E-3</v>
      </c>
      <c r="P54" s="444">
        <f t="shared" si="27"/>
        <v>1.4706897378182031E-3</v>
      </c>
      <c r="Q54" s="444">
        <f t="shared" si="28"/>
        <v>5.5827162887268451E-3</v>
      </c>
      <c r="T54" s="472">
        <f t="shared" si="29"/>
        <v>2.2330865154907382E-3</v>
      </c>
    </row>
    <row r="55" spans="1:20">
      <c r="A55" s="393" t="s">
        <v>2073</v>
      </c>
      <c r="B55" s="394" t="s">
        <v>2497</v>
      </c>
      <c r="C55" s="320" t="s">
        <v>2036</v>
      </c>
      <c r="D55" s="428" t="s">
        <v>2199</v>
      </c>
      <c r="E55" s="428" t="s">
        <v>2038</v>
      </c>
      <c r="F55" s="395" t="s">
        <v>2043</v>
      </c>
      <c r="G55" s="410">
        <v>27255</v>
      </c>
      <c r="H55" s="529" t="s">
        <v>2494</v>
      </c>
      <c r="I55" s="402">
        <v>173383</v>
      </c>
      <c r="J55" s="402">
        <v>203410</v>
      </c>
      <c r="K55" s="402">
        <v>68953</v>
      </c>
      <c r="L55" s="404">
        <v>3.1439637774058483E-2</v>
      </c>
      <c r="M55" s="404">
        <v>3.6093351200497406E-2</v>
      </c>
      <c r="N55" s="404">
        <v>2.695127327988393E-2</v>
      </c>
      <c r="O55" s="444">
        <f t="shared" si="26"/>
        <v>4.6537134264389227E-3</v>
      </c>
      <c r="P55" s="444">
        <f t="shared" si="27"/>
        <v>-9.1420779206134763E-3</v>
      </c>
      <c r="Q55" s="444">
        <f t="shared" si="28"/>
        <v>-4.4883644941745536E-3</v>
      </c>
      <c r="T55" s="472">
        <f t="shared" si="29"/>
        <v>-1.7953457976698215E-3</v>
      </c>
    </row>
    <row r="56" spans="1:20">
      <c r="A56" s="394" t="s">
        <v>2498</v>
      </c>
      <c r="B56" t="s">
        <v>2419</v>
      </c>
      <c r="C56" s="320" t="s">
        <v>2036</v>
      </c>
      <c r="D56" s="533" t="s">
        <v>2199</v>
      </c>
      <c r="E56" s="395" t="s">
        <v>2038</v>
      </c>
      <c r="F56" s="395" t="s">
        <v>2043</v>
      </c>
      <c r="G56" s="410">
        <v>31270.559500000003</v>
      </c>
      <c r="H56" s="529" t="s">
        <v>2487</v>
      </c>
      <c r="I56" s="402">
        <v>58032</v>
      </c>
      <c r="J56" s="402">
        <v>47521</v>
      </c>
      <c r="K56" s="402">
        <v>15967</v>
      </c>
      <c r="L56" s="404">
        <v>1.05229754895472E-2</v>
      </c>
      <c r="M56" s="404">
        <v>8.4321918411033731E-3</v>
      </c>
      <c r="N56" s="404">
        <v>6.2409319458168128E-3</v>
      </c>
      <c r="O56" s="444">
        <f t="shared" si="26"/>
        <v>-2.090783648443827E-3</v>
      </c>
      <c r="P56" s="444">
        <f t="shared" si="27"/>
        <v>-2.1912598952865603E-3</v>
      </c>
      <c r="Q56" s="444">
        <f t="shared" si="28"/>
        <v>-4.2820435437303872E-3</v>
      </c>
      <c r="T56" s="472">
        <f t="shared" si="29"/>
        <v>-1.7128174174921549E-3</v>
      </c>
    </row>
    <row r="57" spans="1:20">
      <c r="A57" s="394" t="s">
        <v>2499</v>
      </c>
      <c r="B57" t="s">
        <v>2500</v>
      </c>
      <c r="C57" s="320" t="s">
        <v>2036</v>
      </c>
      <c r="D57" s="533" t="s">
        <v>2199</v>
      </c>
      <c r="E57" s="395" t="s">
        <v>2038</v>
      </c>
      <c r="F57" s="482" t="s">
        <v>2060</v>
      </c>
      <c r="G57" s="410">
        <v>29425.643</v>
      </c>
      <c r="H57" s="529" t="s">
        <v>2485</v>
      </c>
      <c r="I57" s="402">
        <v>4054</v>
      </c>
      <c r="J57" s="402">
        <v>24600</v>
      </c>
      <c r="K57" s="402">
        <v>157</v>
      </c>
      <c r="L57" s="404">
        <v>7.3511412039261692E-4</v>
      </c>
      <c r="M57" s="404">
        <v>4.3650579594525151E-3</v>
      </c>
      <c r="N57" s="404">
        <v>6.1365711498292703E-5</v>
      </c>
      <c r="O57" s="444">
        <f t="shared" si="26"/>
        <v>3.629943839059898E-3</v>
      </c>
      <c r="P57" s="444">
        <f t="shared" si="27"/>
        <v>-4.3036922479542227E-3</v>
      </c>
      <c r="Q57" s="444">
        <f t="shared" si="28"/>
        <v>-6.7374840889432427E-4</v>
      </c>
      <c r="T57" s="472">
        <f t="shared" si="29"/>
        <v>-2.6949936355772969E-4</v>
      </c>
    </row>
    <row r="58" spans="1:20">
      <c r="A58" s="394" t="s">
        <v>2501</v>
      </c>
      <c r="B58" t="s">
        <v>2502</v>
      </c>
      <c r="C58" s="320" t="s">
        <v>2036</v>
      </c>
      <c r="D58" s="533" t="s">
        <v>2199</v>
      </c>
      <c r="E58" s="395" t="s">
        <v>2038</v>
      </c>
      <c r="F58" s="395" t="s">
        <v>2043</v>
      </c>
      <c r="G58" s="410">
        <v>27255.153000000002</v>
      </c>
      <c r="H58" s="529" t="s">
        <v>2494</v>
      </c>
      <c r="I58" s="402">
        <v>30836</v>
      </c>
      <c r="J58" s="402">
        <v>45868</v>
      </c>
      <c r="K58" s="402">
        <v>5276</v>
      </c>
      <c r="L58" s="404">
        <v>5.5915093775102953E-3</v>
      </c>
      <c r="M58" s="404">
        <v>8.1388812391938199E-3</v>
      </c>
      <c r="N58" s="404">
        <v>2.0622005978661929E-3</v>
      </c>
      <c r="O58" s="444">
        <f t="shared" si="26"/>
        <v>2.5473718616835245E-3</v>
      </c>
      <c r="P58" s="444">
        <f t="shared" si="27"/>
        <v>-6.0766806413276274E-3</v>
      </c>
      <c r="Q58" s="444">
        <f t="shared" si="28"/>
        <v>-3.5293087796441024E-3</v>
      </c>
      <c r="T58" s="472">
        <f t="shared" si="29"/>
        <v>-1.4117235118576411E-3</v>
      </c>
    </row>
    <row r="59" spans="1:20">
      <c r="A59" s="394" t="s">
        <v>2501</v>
      </c>
      <c r="B59" t="s">
        <v>2503</v>
      </c>
      <c r="C59" s="320" t="s">
        <v>2036</v>
      </c>
      <c r="D59" s="533" t="s">
        <v>2199</v>
      </c>
      <c r="E59" s="395" t="s">
        <v>2038</v>
      </c>
      <c r="F59" s="395" t="s">
        <v>2043</v>
      </c>
      <c r="G59" s="410">
        <v>26790.048000000003</v>
      </c>
      <c r="H59" s="529" t="s">
        <v>2494</v>
      </c>
      <c r="I59" s="402">
        <v>32502</v>
      </c>
      <c r="J59" s="402">
        <v>22538</v>
      </c>
      <c r="K59" s="402">
        <v>6429</v>
      </c>
      <c r="L59" s="404">
        <v>5.8936061028615778E-3</v>
      </c>
      <c r="M59" s="404">
        <v>3.9991738329325528E-3</v>
      </c>
      <c r="N59" s="404">
        <v>2.5128672561944192E-3</v>
      </c>
      <c r="O59" s="444">
        <f t="shared" si="26"/>
        <v>-1.894432269929025E-3</v>
      </c>
      <c r="P59" s="444">
        <f t="shared" si="27"/>
        <v>-1.4863065767381336E-3</v>
      </c>
      <c r="Q59" s="444">
        <f t="shared" si="28"/>
        <v>-3.3807388466671586E-3</v>
      </c>
      <c r="T59" s="472">
        <f t="shared" si="29"/>
        <v>-1.3522955386668634E-3</v>
      </c>
    </row>
    <row r="60" spans="1:20">
      <c r="A60" t="s">
        <v>24</v>
      </c>
      <c r="I60" s="403">
        <f t="shared" ref="I60:Q60" si="30">SUM(I47:I59)</f>
        <v>743194</v>
      </c>
      <c r="J60" s="403">
        <f t="shared" si="30"/>
        <v>829905</v>
      </c>
      <c r="K60" s="403">
        <f t="shared" si="30"/>
        <v>340028</v>
      </c>
      <c r="L60" s="296">
        <f t="shared" si="30"/>
        <v>0.13476378973632722</v>
      </c>
      <c r="M60" s="296">
        <f t="shared" si="30"/>
        <v>0.14725948885526177</v>
      </c>
      <c r="N60" s="296">
        <f t="shared" si="30"/>
        <v>0.13290484171555078</v>
      </c>
      <c r="O60" s="296">
        <f t="shared" si="30"/>
        <v>1.2495699118934563E-2</v>
      </c>
      <c r="P60" s="296">
        <f t="shared" si="30"/>
        <v>-1.4354647139711005E-2</v>
      </c>
      <c r="Q60" s="296">
        <f t="shared" si="30"/>
        <v>-1.8589480207764322E-3</v>
      </c>
    </row>
    <row r="61" spans="1:20">
      <c r="A61" s="64" t="s">
        <v>2218</v>
      </c>
    </row>
    <row r="62" spans="1:20">
      <c r="A62" t="s">
        <v>2481</v>
      </c>
      <c r="B62">
        <v>2020</v>
      </c>
      <c r="C62">
        <v>2021</v>
      </c>
      <c r="D62" t="s">
        <v>14</v>
      </c>
      <c r="E62" t="s">
        <v>11</v>
      </c>
      <c r="F62" t="s">
        <v>12</v>
      </c>
      <c r="G62" t="s">
        <v>13</v>
      </c>
      <c r="H62" t="s">
        <v>2220</v>
      </c>
      <c r="I62" t="s">
        <v>2221</v>
      </c>
      <c r="J62" t="s">
        <v>2222</v>
      </c>
      <c r="K62" t="s">
        <v>2223</v>
      </c>
      <c r="L62" t="s">
        <v>2224</v>
      </c>
      <c r="M62" t="s">
        <v>2225</v>
      </c>
      <c r="N62" t="s">
        <v>2226</v>
      </c>
    </row>
    <row r="63" spans="1:20">
      <c r="A63" t="s">
        <v>2227</v>
      </c>
      <c r="B63" s="402">
        <v>5514790</v>
      </c>
      <c r="C63" s="402">
        <v>5635664</v>
      </c>
      <c r="D63" s="279">
        <f t="shared" ref="D63:L63" si="31">AVERAGE(B63:C63)</f>
        <v>5575227</v>
      </c>
      <c r="E63" s="279">
        <f t="shared" si="31"/>
        <v>5605445.5</v>
      </c>
      <c r="F63" s="279">
        <f t="shared" si="31"/>
        <v>5590336.25</v>
      </c>
      <c r="G63" s="279">
        <f t="shared" si="31"/>
        <v>5597890.875</v>
      </c>
      <c r="H63" s="279">
        <f t="shared" si="31"/>
        <v>5594113.5625</v>
      </c>
      <c r="I63" s="279">
        <f t="shared" si="31"/>
        <v>5596002.21875</v>
      </c>
      <c r="J63" s="279">
        <f t="shared" si="31"/>
        <v>5595057.890625</v>
      </c>
      <c r="K63" s="279">
        <f t="shared" si="31"/>
        <v>5595530.0546875</v>
      </c>
      <c r="L63" s="279">
        <f t="shared" si="31"/>
        <v>5595293.97265625</v>
      </c>
      <c r="M63" s="279"/>
      <c r="N63" t="s">
        <v>162</v>
      </c>
    </row>
    <row r="64" spans="1:20">
      <c r="A64" s="64" t="s">
        <v>2228</v>
      </c>
    </row>
    <row r="65" spans="1:15">
      <c r="A65" s="392" t="s">
        <v>168</v>
      </c>
      <c r="B65" s="404">
        <f>L47</f>
        <v>7.2532226975097875E-4</v>
      </c>
      <c r="C65" s="404">
        <f>M47</f>
        <v>5.2061301028592192E-3</v>
      </c>
      <c r="D65" s="296">
        <f>N47+$N65/2</f>
        <v>1.1912461266207356E-2</v>
      </c>
      <c r="E65" s="296">
        <f t="shared" ref="E65:L65" si="32">D65+$N65</f>
        <v>1.3595697015467386E-2</v>
      </c>
      <c r="F65" s="296">
        <f t="shared" si="32"/>
        <v>1.5278932764727417E-2</v>
      </c>
      <c r="G65" s="296">
        <f t="shared" si="32"/>
        <v>1.696216851398745E-2</v>
      </c>
      <c r="H65" s="296">
        <f t="shared" si="32"/>
        <v>1.864540426324748E-2</v>
      </c>
      <c r="I65" s="296">
        <f t="shared" si="32"/>
        <v>2.0328640012507511E-2</v>
      </c>
      <c r="J65" s="296">
        <f t="shared" si="32"/>
        <v>2.2011875761767542E-2</v>
      </c>
      <c r="K65" s="296">
        <f t="shared" si="32"/>
        <v>2.3695111511027572E-2</v>
      </c>
      <c r="L65" s="296">
        <f t="shared" si="32"/>
        <v>2.5378347260287603E-2</v>
      </c>
      <c r="M65" s="419"/>
      <c r="N65" s="296">
        <f>-SUM(N66:N77)</f>
        <v>1.6832357492600311E-3</v>
      </c>
    </row>
    <row r="66" spans="1:15">
      <c r="A66" s="394" t="s">
        <v>2472</v>
      </c>
      <c r="B66" s="404">
        <f>B36</f>
        <v>4.5329559239789728E-2</v>
      </c>
      <c r="C66" s="404">
        <f t="shared" ref="C66:L66" si="33">C36</f>
        <v>3.5577351666103589E-2</v>
      </c>
      <c r="D66" s="404">
        <f t="shared" si="33"/>
        <v>3.5174782441152595E-2</v>
      </c>
      <c r="E66" s="404">
        <f t="shared" si="33"/>
        <v>3.4772213216201601E-2</v>
      </c>
      <c r="F66" s="404">
        <f t="shared" si="33"/>
        <v>3.4369643991250608E-2</v>
      </c>
      <c r="G66" s="404">
        <f t="shared" si="33"/>
        <v>3.3967074766299614E-2</v>
      </c>
      <c r="H66" s="404">
        <f t="shared" si="33"/>
        <v>3.356450554134862E-2</v>
      </c>
      <c r="I66" s="404">
        <f t="shared" si="33"/>
        <v>3.3161936316397626E-2</v>
      </c>
      <c r="J66" s="404">
        <f t="shared" si="33"/>
        <v>3.2759367091446633E-2</v>
      </c>
      <c r="K66" s="404">
        <f t="shared" si="33"/>
        <v>3.2356797866495639E-2</v>
      </c>
      <c r="L66" s="404">
        <f t="shared" si="33"/>
        <v>3.1954228641544645E-2</v>
      </c>
      <c r="M66" s="483">
        <f>N36</f>
        <v>0.33333333333333331</v>
      </c>
      <c r="N66" s="404">
        <f>O36</f>
        <v>-4.025692249509965E-4</v>
      </c>
      <c r="O66" t="s">
        <v>2504</v>
      </c>
    </row>
    <row r="67" spans="1:15">
      <c r="A67" s="394" t="s">
        <v>2486</v>
      </c>
      <c r="B67" s="404">
        <f t="shared" ref="B67:B77" si="34">L49</f>
        <v>0</v>
      </c>
      <c r="C67" s="404">
        <f t="shared" ref="C67:C77" si="35">M49</f>
        <v>4.7648333896413977E-3</v>
      </c>
      <c r="D67" s="296">
        <f t="shared" ref="D67:L67" si="36">C67+$N67</f>
        <v>6.3257113023629397E-3</v>
      </c>
      <c r="E67" s="296">
        <f t="shared" si="36"/>
        <v>7.8865892150844809E-3</v>
      </c>
      <c r="F67" s="296">
        <f t="shared" si="36"/>
        <v>9.4474671278060238E-3</v>
      </c>
      <c r="G67" s="296">
        <f t="shared" si="36"/>
        <v>1.1008345040527567E-2</v>
      </c>
      <c r="H67" s="296">
        <f t="shared" si="36"/>
        <v>1.256922295324911E-2</v>
      </c>
      <c r="I67" s="296">
        <f t="shared" si="36"/>
        <v>1.4130100865970652E-2</v>
      </c>
      <c r="J67" s="296">
        <f t="shared" si="36"/>
        <v>1.5690978778692195E-2</v>
      </c>
      <c r="K67" s="296">
        <f t="shared" si="36"/>
        <v>1.7251856691413738E-2</v>
      </c>
      <c r="L67" s="296">
        <f t="shared" si="36"/>
        <v>1.8812734604135281E-2</v>
      </c>
      <c r="M67" s="419">
        <v>0.5</v>
      </c>
      <c r="N67" s="406">
        <f t="shared" ref="N67:N77" si="37">M67*T49</f>
        <v>1.560877912721542E-3</v>
      </c>
      <c r="O67" t="s">
        <v>2505</v>
      </c>
    </row>
    <row r="68" spans="1:15">
      <c r="A68" s="394" t="s">
        <v>2489</v>
      </c>
      <c r="B68" s="404">
        <f t="shared" si="34"/>
        <v>0</v>
      </c>
      <c r="C68" s="404">
        <f t="shared" si="35"/>
        <v>1.5009411490819892E-2</v>
      </c>
      <c r="D68" s="296">
        <f t="shared" ref="D68:L68" si="38">C68+$N68</f>
        <v>1.6281518781535456E-2</v>
      </c>
      <c r="E68" s="296">
        <f t="shared" si="38"/>
        <v>1.755362607225102E-2</v>
      </c>
      <c r="F68" s="296">
        <f t="shared" si="38"/>
        <v>1.8825733362966585E-2</v>
      </c>
      <c r="G68" s="296">
        <f t="shared" si="38"/>
        <v>2.0097840653682149E-2</v>
      </c>
      <c r="H68" s="296">
        <f t="shared" si="38"/>
        <v>2.1369947944397713E-2</v>
      </c>
      <c r="I68" s="296">
        <f t="shared" si="38"/>
        <v>2.2642055235113277E-2</v>
      </c>
      <c r="J68" s="296">
        <f t="shared" si="38"/>
        <v>2.3914162525828841E-2</v>
      </c>
      <c r="K68" s="296">
        <f t="shared" si="38"/>
        <v>2.5186269816544406E-2</v>
      </c>
      <c r="L68" s="296">
        <f t="shared" si="38"/>
        <v>2.645837710725997E-2</v>
      </c>
      <c r="M68" s="419">
        <v>0.16666666666666666</v>
      </c>
      <c r="N68" s="406">
        <f t="shared" si="37"/>
        <v>1.2721072907155634E-3</v>
      </c>
      <c r="O68" t="s">
        <v>2421</v>
      </c>
    </row>
    <row r="69" spans="1:15">
      <c r="A69" s="394" t="s">
        <v>2491</v>
      </c>
      <c r="B69" s="404">
        <f t="shared" si="34"/>
        <v>7.3511412039261692E-4</v>
      </c>
      <c r="C69" s="404">
        <f t="shared" si="35"/>
        <v>4.3650579594525151E-3</v>
      </c>
      <c r="D69" s="296">
        <f t="shared" ref="D69:L69" si="39">C69+$N69</f>
        <v>4.3833911433300895E-3</v>
      </c>
      <c r="E69" s="296">
        <f t="shared" si="39"/>
        <v>4.4017243272076638E-3</v>
      </c>
      <c r="F69" s="296">
        <f t="shared" si="39"/>
        <v>4.4200575110852382E-3</v>
      </c>
      <c r="G69" s="296">
        <f t="shared" si="39"/>
        <v>4.4383906949628125E-3</v>
      </c>
      <c r="H69" s="296">
        <f t="shared" si="39"/>
        <v>4.4567238788403869E-3</v>
      </c>
      <c r="I69" s="296">
        <f t="shared" si="39"/>
        <v>4.4750570627179612E-3</v>
      </c>
      <c r="J69" s="296">
        <f t="shared" si="39"/>
        <v>4.4933902465955355E-3</v>
      </c>
      <c r="K69" s="296">
        <f t="shared" si="39"/>
        <v>4.5117234304731099E-3</v>
      </c>
      <c r="L69" s="296">
        <f t="shared" si="39"/>
        <v>4.5300566143506842E-3</v>
      </c>
      <c r="M69" s="419">
        <v>1</v>
      </c>
      <c r="N69" s="406">
        <f t="shared" si="37"/>
        <v>1.8333183877574431E-5</v>
      </c>
    </row>
    <row r="70" spans="1:15">
      <c r="A70" s="394" t="s">
        <v>2493</v>
      </c>
      <c r="B70" s="404">
        <f t="shared" si="34"/>
        <v>2.0260064299819215E-3</v>
      </c>
      <c r="C70" s="404">
        <f t="shared" si="35"/>
        <v>2.8081872872477848E-3</v>
      </c>
      <c r="D70" s="296">
        <f t="shared" ref="D70:L70" si="40">C70+$N70</f>
        <v>3.508741401434012E-3</v>
      </c>
      <c r="E70" s="296">
        <f t="shared" si="40"/>
        <v>4.2092955156202393E-3</v>
      </c>
      <c r="F70" s="296">
        <f t="shared" si="40"/>
        <v>4.9098496298064665E-3</v>
      </c>
      <c r="G70" s="296">
        <f t="shared" si="40"/>
        <v>5.6104037439926938E-3</v>
      </c>
      <c r="H70" s="296">
        <f t="shared" si="40"/>
        <v>6.310957858178921E-3</v>
      </c>
      <c r="I70" s="296">
        <f t="shared" si="40"/>
        <v>7.0115119723651483E-3</v>
      </c>
      <c r="J70" s="296">
        <f t="shared" si="40"/>
        <v>7.7120660865513755E-3</v>
      </c>
      <c r="K70" s="296">
        <f t="shared" si="40"/>
        <v>8.4126202007376027E-3</v>
      </c>
      <c r="L70" s="296">
        <f t="shared" si="40"/>
        <v>9.11317431492383E-3</v>
      </c>
      <c r="M70" s="419">
        <v>0.5</v>
      </c>
      <c r="N70" s="406">
        <f t="shared" si="37"/>
        <v>7.0055411418622746E-4</v>
      </c>
      <c r="O70" t="s">
        <v>2505</v>
      </c>
    </row>
    <row r="71" spans="1:15">
      <c r="A71" s="394" t="s">
        <v>2495</v>
      </c>
      <c r="B71" s="404">
        <f t="shared" si="34"/>
        <v>3.1764944812041798E-2</v>
      </c>
      <c r="C71" s="404">
        <f t="shared" si="35"/>
        <v>1.4387834335049074E-2</v>
      </c>
      <c r="D71" s="296">
        <f t="shared" ref="D71:L71" si="41">C71+$N71</f>
        <v>1.2795407367690956E-2</v>
      </c>
      <c r="E71" s="296">
        <f t="shared" si="41"/>
        <v>1.1202980400332838E-2</v>
      </c>
      <c r="F71" s="296">
        <f t="shared" si="41"/>
        <v>9.6105534329747194E-3</v>
      </c>
      <c r="G71" s="296">
        <f t="shared" si="41"/>
        <v>8.0181264656166013E-3</v>
      </c>
      <c r="H71" s="296">
        <f t="shared" si="41"/>
        <v>6.4256994982584822E-3</v>
      </c>
      <c r="I71" s="296">
        <f t="shared" si="41"/>
        <v>4.8332725309003632E-3</v>
      </c>
      <c r="J71" s="296">
        <f t="shared" si="41"/>
        <v>3.2408455635422441E-3</v>
      </c>
      <c r="K71" s="296">
        <f t="shared" si="41"/>
        <v>1.6484185961841251E-3</v>
      </c>
      <c r="L71" s="296">
        <f t="shared" si="41"/>
        <v>5.599162882600605E-5</v>
      </c>
      <c r="M71" s="419">
        <v>0.13800000000000001</v>
      </c>
      <c r="N71" s="406">
        <f t="shared" si="37"/>
        <v>-1.592426967358119E-3</v>
      </c>
    </row>
    <row r="72" spans="1:15">
      <c r="A72" s="394" t="s">
        <v>2496</v>
      </c>
      <c r="B72" s="404">
        <f t="shared" si="34"/>
        <v>0</v>
      </c>
      <c r="C72" s="404">
        <f t="shared" si="35"/>
        <v>4.112026550908642E-3</v>
      </c>
      <c r="D72" s="296">
        <f t="shared" ref="D72:L72" si="42">C72+$N72</f>
        <v>5.2285698086540107E-3</v>
      </c>
      <c r="E72" s="296">
        <f t="shared" si="42"/>
        <v>6.3451130663993802E-3</v>
      </c>
      <c r="F72" s="296">
        <f t="shared" si="42"/>
        <v>7.4616563241447498E-3</v>
      </c>
      <c r="G72" s="296">
        <f t="shared" si="42"/>
        <v>8.5781995818901193E-3</v>
      </c>
      <c r="H72" s="296">
        <f t="shared" si="42"/>
        <v>9.6947428396354889E-3</v>
      </c>
      <c r="I72" s="296">
        <f t="shared" si="42"/>
        <v>1.0811286097380858E-2</v>
      </c>
      <c r="J72" s="296">
        <f t="shared" si="42"/>
        <v>1.1927829355126228E-2</v>
      </c>
      <c r="K72" s="296">
        <f t="shared" si="42"/>
        <v>1.3044372612871597E-2</v>
      </c>
      <c r="L72" s="296">
        <f t="shared" si="42"/>
        <v>1.4160915870616967E-2</v>
      </c>
      <c r="M72" s="419">
        <v>0.5</v>
      </c>
      <c r="N72" s="406">
        <f t="shared" si="37"/>
        <v>1.1165432577453691E-3</v>
      </c>
      <c r="O72" t="s">
        <v>2505</v>
      </c>
    </row>
    <row r="73" spans="1:15">
      <c r="A73" s="394" t="s">
        <v>2497</v>
      </c>
      <c r="B73" s="404">
        <f t="shared" si="34"/>
        <v>3.1439637774058483E-2</v>
      </c>
      <c r="C73" s="404">
        <f t="shared" si="35"/>
        <v>3.6093351200497406E-2</v>
      </c>
      <c r="D73" s="296">
        <f t="shared" ref="D73:L73" si="43">C73+$N73</f>
        <v>3.4298005402827583E-2</v>
      </c>
      <c r="E73" s="296">
        <f t="shared" si="43"/>
        <v>3.250265960515776E-2</v>
      </c>
      <c r="F73" s="296">
        <f t="shared" si="43"/>
        <v>3.0707313807487938E-2</v>
      </c>
      <c r="G73" s="296">
        <f t="shared" si="43"/>
        <v>2.8911968009818115E-2</v>
      </c>
      <c r="H73" s="296">
        <f t="shared" si="43"/>
        <v>2.7116622212148292E-2</v>
      </c>
      <c r="I73" s="296">
        <f t="shared" si="43"/>
        <v>2.5321276414478469E-2</v>
      </c>
      <c r="J73" s="296">
        <f t="shared" si="43"/>
        <v>2.3525930616808646E-2</v>
      </c>
      <c r="K73" s="296">
        <f t="shared" si="43"/>
        <v>2.1730584819138823E-2</v>
      </c>
      <c r="L73" s="296">
        <f t="shared" si="43"/>
        <v>1.9935239021469001E-2</v>
      </c>
      <c r="M73" s="419">
        <v>1</v>
      </c>
      <c r="N73" s="406">
        <f t="shared" si="37"/>
        <v>-1.7953457976698215E-3</v>
      </c>
    </row>
    <row r="74" spans="1:15">
      <c r="A74" t="s">
        <v>2419</v>
      </c>
      <c r="B74" s="404">
        <f t="shared" si="34"/>
        <v>1.05229754895472E-2</v>
      </c>
      <c r="C74" s="404">
        <f t="shared" si="35"/>
        <v>8.4321918411033731E-3</v>
      </c>
      <c r="D74" s="296">
        <f t="shared" ref="D74:L74" si="44">C74+$N74</f>
        <v>7.4901422614826879E-3</v>
      </c>
      <c r="E74" s="296">
        <f t="shared" si="44"/>
        <v>6.5480926818620028E-3</v>
      </c>
      <c r="F74" s="296">
        <f t="shared" si="44"/>
        <v>5.6060431022413176E-3</v>
      </c>
      <c r="G74" s="296">
        <f t="shared" si="44"/>
        <v>4.6639935226206325E-3</v>
      </c>
      <c r="H74" s="296">
        <f t="shared" si="44"/>
        <v>3.7219439429999474E-3</v>
      </c>
      <c r="I74" s="296">
        <f t="shared" si="44"/>
        <v>2.7798943633792622E-3</v>
      </c>
      <c r="J74" s="296">
        <f t="shared" si="44"/>
        <v>1.8378447837585771E-3</v>
      </c>
      <c r="K74" s="296">
        <f t="shared" si="44"/>
        <v>8.9579520413789182E-4</v>
      </c>
      <c r="L74" s="296">
        <f t="shared" si="44"/>
        <v>-4.6254375482793425E-5</v>
      </c>
      <c r="M74" s="419">
        <v>0.55000000000000004</v>
      </c>
      <c r="N74" s="406">
        <f t="shared" si="37"/>
        <v>-9.4204957962068525E-4</v>
      </c>
    </row>
    <row r="75" spans="1:15">
      <c r="A75" t="s">
        <v>2500</v>
      </c>
      <c r="B75" s="404">
        <f t="shared" si="34"/>
        <v>7.3511412039261692E-4</v>
      </c>
      <c r="C75" s="404">
        <f t="shared" si="35"/>
        <v>4.3650579594525151E-3</v>
      </c>
      <c r="D75" s="296">
        <f t="shared" ref="D75:L75" si="45">C75+$N75</f>
        <v>4.0955585958947858E-3</v>
      </c>
      <c r="E75" s="296">
        <f t="shared" si="45"/>
        <v>3.826059232337056E-3</v>
      </c>
      <c r="F75" s="296">
        <f t="shared" si="45"/>
        <v>3.5565598687793262E-3</v>
      </c>
      <c r="G75" s="296">
        <f t="shared" si="45"/>
        <v>3.2870605052215964E-3</v>
      </c>
      <c r="H75" s="296">
        <f t="shared" si="45"/>
        <v>3.0175611416638666E-3</v>
      </c>
      <c r="I75" s="296">
        <f t="shared" si="45"/>
        <v>2.7480617781061368E-3</v>
      </c>
      <c r="J75" s="296">
        <f t="shared" si="45"/>
        <v>2.478562414548407E-3</v>
      </c>
      <c r="K75" s="296">
        <f t="shared" si="45"/>
        <v>2.2090630509906772E-3</v>
      </c>
      <c r="L75" s="296">
        <f t="shared" si="45"/>
        <v>1.9395636874329474E-3</v>
      </c>
      <c r="M75" s="419">
        <v>1</v>
      </c>
      <c r="N75" s="406">
        <f t="shared" si="37"/>
        <v>-2.6949936355772969E-4</v>
      </c>
    </row>
    <row r="76" spans="1:15">
      <c r="A76" t="s">
        <v>2502</v>
      </c>
      <c r="B76" s="404">
        <f t="shared" si="34"/>
        <v>5.5915093775102953E-3</v>
      </c>
      <c r="C76" s="404">
        <f t="shared" si="35"/>
        <v>8.1388812391938199E-3</v>
      </c>
      <c r="D76" s="296">
        <f t="shared" ref="D76:L76" si="46">C76+$N76</f>
        <v>7.2353781916049296E-3</v>
      </c>
      <c r="E76" s="296">
        <f t="shared" si="46"/>
        <v>6.3318751440160394E-3</v>
      </c>
      <c r="F76" s="296">
        <f t="shared" si="46"/>
        <v>5.4283720964271491E-3</v>
      </c>
      <c r="G76" s="296">
        <f t="shared" si="46"/>
        <v>4.5248690488382589E-3</v>
      </c>
      <c r="H76" s="296">
        <f t="shared" si="46"/>
        <v>3.6213660012493687E-3</v>
      </c>
      <c r="I76" s="296">
        <f t="shared" si="46"/>
        <v>2.7178629536604784E-3</v>
      </c>
      <c r="J76" s="296">
        <f t="shared" si="46"/>
        <v>1.8143599060715882E-3</v>
      </c>
      <c r="K76" s="296">
        <f t="shared" si="46"/>
        <v>9.1085685848269794E-4</v>
      </c>
      <c r="L76" s="296">
        <f t="shared" si="46"/>
        <v>7.3538108938077038E-6</v>
      </c>
      <c r="M76" s="419">
        <v>0.64</v>
      </c>
      <c r="N76" s="406">
        <f t="shared" si="37"/>
        <v>-9.0350304758889024E-4</v>
      </c>
    </row>
    <row r="77" spans="1:15">
      <c r="A77" t="s">
        <v>2503</v>
      </c>
      <c r="B77" s="404">
        <f t="shared" si="34"/>
        <v>5.8936061028615778E-3</v>
      </c>
      <c r="C77" s="404">
        <f t="shared" si="35"/>
        <v>3.9991738329325528E-3</v>
      </c>
      <c r="D77" s="296">
        <f t="shared" ref="D77:L77" si="47">C77+$N77</f>
        <v>3.5529163051724877E-3</v>
      </c>
      <c r="E77" s="296">
        <f t="shared" si="47"/>
        <v>3.1066587774124226E-3</v>
      </c>
      <c r="F77" s="296">
        <f t="shared" si="47"/>
        <v>2.6604012496523576E-3</v>
      </c>
      <c r="G77" s="296">
        <f t="shared" si="47"/>
        <v>2.2141437218922925E-3</v>
      </c>
      <c r="H77" s="296">
        <f t="shared" si="47"/>
        <v>1.7678861941322274E-3</v>
      </c>
      <c r="I77" s="296">
        <f t="shared" si="47"/>
        <v>1.3216286663721624E-3</v>
      </c>
      <c r="J77" s="296">
        <f t="shared" si="47"/>
        <v>8.7537113861209739E-4</v>
      </c>
      <c r="K77" s="296">
        <f t="shared" si="47"/>
        <v>4.2911361085203243E-4</v>
      </c>
      <c r="L77" s="296">
        <f t="shared" si="47"/>
        <v>-1.7143916908032527E-5</v>
      </c>
      <c r="M77" s="419">
        <v>0.33</v>
      </c>
      <c r="N77" s="406">
        <f t="shared" si="37"/>
        <v>-4.4625752776006496E-4</v>
      </c>
    </row>
    <row r="78" spans="1:15">
      <c r="A78" s="64" t="s">
        <v>2036</v>
      </c>
    </row>
    <row r="79" spans="1:15" ht="14.5">
      <c r="A79" s="552" t="s">
        <v>168</v>
      </c>
      <c r="B79" s="85">
        <f>I47</f>
        <v>4000</v>
      </c>
      <c r="C79" s="85">
        <f>J47</f>
        <v>29340</v>
      </c>
      <c r="D79" s="403">
        <f t="shared" ref="D79:L79" si="48">D65*D63</f>
        <v>66414.675687813433</v>
      </c>
      <c r="E79" s="403">
        <f t="shared" si="48"/>
        <v>76209.938654715093</v>
      </c>
      <c r="F79" s="403">
        <f t="shared" si="48"/>
        <v>85414.371695968395</v>
      </c>
      <c r="G79" s="403">
        <f t="shared" si="48"/>
        <v>94952.368344662653</v>
      </c>
      <c r="H79" s="403">
        <f t="shared" si="48"/>
        <v>104304.50886732806</v>
      </c>
      <c r="I79" s="403">
        <f t="shared" si="48"/>
        <v>113759.11461416206</v>
      </c>
      <c r="J79" s="403">
        <f t="shared" si="48"/>
        <v>123157.71916833466</v>
      </c>
      <c r="K79" s="403">
        <f t="shared" si="48"/>
        <v>132586.70860912651</v>
      </c>
      <c r="L79" s="403">
        <f t="shared" si="48"/>
        <v>141999.31346146448</v>
      </c>
    </row>
    <row r="81" spans="1:21" s="421" customFormat="1">
      <c r="A81" s="421" t="s">
        <v>170</v>
      </c>
    </row>
    <row r="82" spans="1:21" s="400" customFormat="1" ht="70">
      <c r="A82" s="527" t="s">
        <v>0</v>
      </c>
      <c r="B82" s="527" t="s">
        <v>2018</v>
      </c>
      <c r="C82" s="527" t="s">
        <v>2019</v>
      </c>
      <c r="D82" s="527" t="s">
        <v>2020</v>
      </c>
      <c r="E82" s="527" t="s">
        <v>2021</v>
      </c>
      <c r="F82" s="527" t="s">
        <v>2022</v>
      </c>
      <c r="G82" s="527" t="s">
        <v>1840</v>
      </c>
      <c r="H82" s="527" t="s">
        <v>2023</v>
      </c>
      <c r="I82" s="527" t="s">
        <v>2024</v>
      </c>
      <c r="J82" s="527" t="s">
        <v>2025</v>
      </c>
      <c r="K82" s="527" t="s">
        <v>2456</v>
      </c>
      <c r="L82" s="527" t="s">
        <v>2027</v>
      </c>
      <c r="M82" s="527" t="s">
        <v>2028</v>
      </c>
      <c r="N82" s="527" t="s">
        <v>2457</v>
      </c>
      <c r="O82" s="527" t="s">
        <v>2030</v>
      </c>
      <c r="P82" s="527" t="s">
        <v>2031</v>
      </c>
      <c r="Q82" s="527" t="s">
        <v>2032</v>
      </c>
      <c r="R82" s="527" t="s">
        <v>2033</v>
      </c>
      <c r="S82" s="527" t="s">
        <v>2034</v>
      </c>
      <c r="T82" s="527" t="s">
        <v>2035</v>
      </c>
      <c r="U82" s="527"/>
    </row>
    <row r="83" spans="1:21" s="64" customFormat="1">
      <c r="A83" s="424" t="s">
        <v>25</v>
      </c>
      <c r="B83" s="425" t="s">
        <v>170</v>
      </c>
      <c r="C83" s="425" t="s">
        <v>2036</v>
      </c>
      <c r="D83" s="442" t="s">
        <v>2199</v>
      </c>
      <c r="E83" s="442" t="s">
        <v>2506</v>
      </c>
      <c r="F83" s="484" t="s">
        <v>2060</v>
      </c>
      <c r="G83" s="413">
        <f>8.99*0.155035*10000</f>
        <v>13937.646500000001</v>
      </c>
      <c r="H83" s="418" t="s">
        <v>2507</v>
      </c>
      <c r="I83" s="398">
        <v>16300</v>
      </c>
      <c r="J83" s="398">
        <v>41402</v>
      </c>
      <c r="K83" s="398">
        <v>23816</v>
      </c>
      <c r="L83" s="430">
        <v>1.0376527911905188E-2</v>
      </c>
      <c r="M83" s="430">
        <v>2.7121233262127158E-2</v>
      </c>
      <c r="N83" s="430">
        <v>3.7740692789556336E-2</v>
      </c>
      <c r="O83" s="430">
        <f t="shared" ref="O83:O103" si="49">M83-L83</f>
        <v>1.6744705350221968E-2</v>
      </c>
      <c r="P83" s="430">
        <f t="shared" ref="P83:P103" si="50">N83-M83</f>
        <v>1.0619459527429178E-2</v>
      </c>
      <c r="Q83" s="430">
        <f t="shared" ref="Q83:Q103" si="51">N83-L83</f>
        <v>2.736416487765115E-2</v>
      </c>
      <c r="R83" s="436">
        <f>SUM(Q84:Q103)/2.5</f>
        <v>-1.377921700601922E-2</v>
      </c>
      <c r="S83" s="436">
        <f>R83+T83</f>
        <v>-2.8335510549587599E-3</v>
      </c>
      <c r="T83" s="436">
        <f>Q83/2.5</f>
        <v>1.094566595106046E-2</v>
      </c>
    </row>
    <row r="84" spans="1:21">
      <c r="A84" s="394" t="s">
        <v>2499</v>
      </c>
      <c r="B84" s="396" t="s">
        <v>2508</v>
      </c>
      <c r="C84" s="394" t="s">
        <v>2036</v>
      </c>
      <c r="D84" s="533" t="s">
        <v>2199</v>
      </c>
      <c r="E84" s="395" t="s">
        <v>2506</v>
      </c>
      <c r="F84" s="395" t="s">
        <v>2043</v>
      </c>
      <c r="G84" s="410">
        <f>7.88*10000*0.155035</f>
        <v>12216.758</v>
      </c>
      <c r="H84" s="417" t="s">
        <v>2507</v>
      </c>
      <c r="I84" s="402">
        <v>92890</v>
      </c>
      <c r="J84" s="402">
        <v>138367</v>
      </c>
      <c r="K84" s="402">
        <v>44457</v>
      </c>
      <c r="L84" s="431">
        <v>5.9133477161771343E-2</v>
      </c>
      <c r="M84" s="431">
        <v>9.0640154649068855E-2</v>
      </c>
      <c r="N84" s="431">
        <v>7.0450032723602035E-2</v>
      </c>
      <c r="O84" s="431">
        <f t="shared" si="49"/>
        <v>3.1506677487297512E-2</v>
      </c>
      <c r="P84" s="431">
        <f t="shared" si="50"/>
        <v>-2.019012192546682E-2</v>
      </c>
      <c r="Q84" s="431">
        <f t="shared" si="51"/>
        <v>1.1316555561830692E-2</v>
      </c>
      <c r="T84" s="437">
        <f>Q84/2.5</f>
        <v>4.5266222247322772E-3</v>
      </c>
      <c r="U84" s="467"/>
    </row>
    <row r="85" spans="1:21">
      <c r="A85" s="394" t="s">
        <v>2041</v>
      </c>
      <c r="B85" s="396" t="s">
        <v>2509</v>
      </c>
      <c r="C85" s="394" t="s">
        <v>2036</v>
      </c>
      <c r="D85" s="533" t="s">
        <v>2199</v>
      </c>
      <c r="E85" s="395" t="s">
        <v>2506</v>
      </c>
      <c r="F85" s="395" t="s">
        <v>2043</v>
      </c>
      <c r="G85" s="410">
        <f>9.98*10000*0.155035</f>
        <v>15472.493</v>
      </c>
      <c r="H85" s="417" t="s">
        <v>2061</v>
      </c>
      <c r="I85" s="402">
        <v>124456</v>
      </c>
      <c r="J85" s="402">
        <v>144367</v>
      </c>
      <c r="K85" s="402">
        <v>76071</v>
      </c>
      <c r="L85" s="431">
        <v>7.9228291889820376E-2</v>
      </c>
      <c r="M85" s="431">
        <v>9.4570578289780965E-2</v>
      </c>
      <c r="N85" s="431">
        <v>0.12054804506190545</v>
      </c>
      <c r="O85" s="431">
        <f t="shared" si="49"/>
        <v>1.5342286399960589E-2</v>
      </c>
      <c r="P85" s="431">
        <f t="shared" si="50"/>
        <v>2.597746677212448E-2</v>
      </c>
      <c r="Q85" s="431">
        <f t="shared" si="51"/>
        <v>4.1319753172085069E-2</v>
      </c>
      <c r="T85" s="437">
        <f t="shared" ref="T85:T103" si="52">Q85/2.5</f>
        <v>1.6527901268834029E-2</v>
      </c>
      <c r="U85" s="467"/>
    </row>
    <row r="86" spans="1:21">
      <c r="A86" s="394" t="s">
        <v>2071</v>
      </c>
      <c r="B86" s="396" t="s">
        <v>2510</v>
      </c>
      <c r="C86" s="394" t="s">
        <v>2036</v>
      </c>
      <c r="D86" s="533" t="s">
        <v>2199</v>
      </c>
      <c r="E86" s="395" t="s">
        <v>2506</v>
      </c>
      <c r="F86" s="395" t="s">
        <v>2043</v>
      </c>
      <c r="G86" s="410">
        <f>9.78*10000*0.155035</f>
        <v>15162.423000000001</v>
      </c>
      <c r="H86" s="417" t="s">
        <v>2061</v>
      </c>
      <c r="I86" s="402">
        <v>150363</v>
      </c>
      <c r="J86" s="402">
        <v>173899</v>
      </c>
      <c r="K86" s="402">
        <v>68039</v>
      </c>
      <c r="L86" s="431">
        <v>9.5720605301705508E-2</v>
      </c>
      <c r="M86" s="431">
        <v>0.11391612344936598</v>
      </c>
      <c r="N86" s="431">
        <v>0.10781991084601208</v>
      </c>
      <c r="O86" s="431">
        <f t="shared" si="49"/>
        <v>1.8195518147660475E-2</v>
      </c>
      <c r="P86" s="431">
        <f t="shared" si="50"/>
        <v>-6.0962126033538983E-3</v>
      </c>
      <c r="Q86" s="431">
        <f t="shared" si="51"/>
        <v>1.2099305544306577E-2</v>
      </c>
      <c r="T86" s="437">
        <f t="shared" si="52"/>
        <v>4.839722217722631E-3</v>
      </c>
      <c r="U86" s="467"/>
    </row>
    <row r="87" spans="1:21">
      <c r="A87" s="394" t="s">
        <v>2511</v>
      </c>
      <c r="B87" s="396" t="s">
        <v>2512</v>
      </c>
      <c r="C87" s="394" t="s">
        <v>2036</v>
      </c>
      <c r="D87" s="533" t="s">
        <v>2199</v>
      </c>
      <c r="E87" s="395" t="s">
        <v>2506</v>
      </c>
      <c r="F87" s="395" t="s">
        <v>2043</v>
      </c>
      <c r="G87" s="410">
        <f>63800*0.166035</f>
        <v>10593.032999999999</v>
      </c>
      <c r="H87" s="417" t="s">
        <v>2513</v>
      </c>
      <c r="I87" s="402">
        <v>66587</v>
      </c>
      <c r="J87" s="402">
        <v>18202</v>
      </c>
      <c r="K87" s="402">
        <v>7393</v>
      </c>
      <c r="L87" s="431">
        <v>4.2389071415339312E-2</v>
      </c>
      <c r="M87" s="431">
        <v>1.1923595184706984E-2</v>
      </c>
      <c r="N87" s="431">
        <v>1.1715524932532331E-2</v>
      </c>
      <c r="O87" s="431">
        <f t="shared" si="49"/>
        <v>-3.0465476230632327E-2</v>
      </c>
      <c r="P87" s="431">
        <f t="shared" si="50"/>
        <v>-2.0807025217465386E-4</v>
      </c>
      <c r="Q87" s="431">
        <f t="shared" si="51"/>
        <v>-3.0673546482806981E-2</v>
      </c>
      <c r="T87" s="437">
        <f t="shared" si="52"/>
        <v>-1.2269418593122793E-2</v>
      </c>
      <c r="U87" s="467"/>
    </row>
    <row r="88" spans="1:21">
      <c r="A88" s="394" t="s">
        <v>2514</v>
      </c>
      <c r="B88" s="396" t="s">
        <v>2515</v>
      </c>
      <c r="C88" s="394" t="s">
        <v>2036</v>
      </c>
      <c r="D88" s="533" t="s">
        <v>2199</v>
      </c>
      <c r="E88" s="395" t="s">
        <v>2506</v>
      </c>
      <c r="F88" s="395" t="s">
        <v>2043</v>
      </c>
      <c r="G88" s="410">
        <f>93900*0.155035</f>
        <v>14557.7865</v>
      </c>
      <c r="H88" s="417" t="s">
        <v>2061</v>
      </c>
      <c r="I88" s="402">
        <v>95211</v>
      </c>
      <c r="J88" s="402">
        <v>80152</v>
      </c>
      <c r="K88" s="402">
        <v>30398</v>
      </c>
      <c r="L88" s="431">
        <v>6.0611018344810114E-2</v>
      </c>
      <c r="M88" s="431">
        <v>5.2505219275059564E-2</v>
      </c>
      <c r="N88" s="431">
        <v>4.8171043811594455E-2</v>
      </c>
      <c r="O88" s="431">
        <f t="shared" si="49"/>
        <v>-8.1057990697505494E-3</v>
      </c>
      <c r="P88" s="431">
        <f t="shared" si="50"/>
        <v>-4.3341754634651092E-3</v>
      </c>
      <c r="Q88" s="431">
        <f t="shared" si="51"/>
        <v>-1.2439974533215659E-2</v>
      </c>
      <c r="T88" s="437">
        <f t="shared" si="52"/>
        <v>-4.9759898132862631E-3</v>
      </c>
      <c r="U88" s="467"/>
    </row>
    <row r="89" spans="1:21">
      <c r="A89" s="394" t="s">
        <v>2068</v>
      </c>
      <c r="B89" s="396" t="s">
        <v>2516</v>
      </c>
      <c r="C89" s="394" t="s">
        <v>2036</v>
      </c>
      <c r="D89" s="533" t="s">
        <v>2199</v>
      </c>
      <c r="E89" s="395" t="s">
        <v>2506</v>
      </c>
      <c r="F89" s="395" t="s">
        <v>2043</v>
      </c>
      <c r="G89" s="410">
        <f>78800*0.155035</f>
        <v>12216.758</v>
      </c>
      <c r="H89" s="417" t="s">
        <v>2507</v>
      </c>
      <c r="I89" s="402">
        <v>43399</v>
      </c>
      <c r="J89" s="402">
        <v>36516</v>
      </c>
      <c r="K89" s="402">
        <v>18011</v>
      </c>
      <c r="L89" s="431">
        <v>2.7627664714648666E-2</v>
      </c>
      <c r="M89" s="431">
        <v>2.3920558277373927E-2</v>
      </c>
      <c r="N89" s="431">
        <v>2.8541636623811689E-2</v>
      </c>
      <c r="O89" s="431">
        <f t="shared" si="49"/>
        <v>-3.7071064372747389E-3</v>
      </c>
      <c r="P89" s="431">
        <f t="shared" si="50"/>
        <v>4.6210783464377611E-3</v>
      </c>
      <c r="Q89" s="431">
        <f t="shared" si="51"/>
        <v>9.1397190916302218E-4</v>
      </c>
      <c r="T89" s="437">
        <f t="shared" si="52"/>
        <v>3.6558876366520889E-4</v>
      </c>
      <c r="U89" s="467"/>
    </row>
    <row r="90" spans="1:21">
      <c r="A90" s="394" t="s">
        <v>2049</v>
      </c>
      <c r="B90" s="396" t="s">
        <v>2517</v>
      </c>
      <c r="C90" s="394" t="s">
        <v>2036</v>
      </c>
      <c r="D90" s="533" t="s">
        <v>2199</v>
      </c>
      <c r="E90" s="395" t="s">
        <v>2506</v>
      </c>
      <c r="F90" s="395" t="s">
        <v>2043</v>
      </c>
      <c r="G90" s="410">
        <f>93800*0.155035</f>
        <v>14542.283000000001</v>
      </c>
      <c r="H90" s="417" t="s">
        <v>2061</v>
      </c>
      <c r="I90" s="402">
        <v>38297</v>
      </c>
      <c r="J90" s="402">
        <v>16201</v>
      </c>
      <c r="K90" s="402">
        <v>709</v>
      </c>
      <c r="L90" s="431">
        <v>2.4379747818541901E-2</v>
      </c>
      <c r="M90" s="431">
        <v>1.0612798900529494E-2</v>
      </c>
      <c r="N90" s="431">
        <v>1.1235367478919819E-3</v>
      </c>
      <c r="O90" s="431">
        <f t="shared" si="49"/>
        <v>-1.3766948918012407E-2</v>
      </c>
      <c r="P90" s="431">
        <f t="shared" si="50"/>
        <v>-9.489262152637512E-3</v>
      </c>
      <c r="Q90" s="431">
        <f t="shared" si="51"/>
        <v>-2.3256211070649919E-2</v>
      </c>
      <c r="T90" s="437">
        <f t="shared" si="52"/>
        <v>-9.3024844282599672E-3</v>
      </c>
      <c r="U90" s="467"/>
    </row>
    <row r="91" spans="1:21">
      <c r="A91" s="394" t="s">
        <v>2066</v>
      </c>
      <c r="B91" s="396" t="s">
        <v>2518</v>
      </c>
      <c r="C91" s="394" t="s">
        <v>2036</v>
      </c>
      <c r="D91" s="533" t="s">
        <v>2199</v>
      </c>
      <c r="E91" s="395" t="s">
        <v>2506</v>
      </c>
      <c r="F91" s="395" t="s">
        <v>2043</v>
      </c>
      <c r="G91" s="410">
        <f>99900*0.155035</f>
        <v>15487.996500000001</v>
      </c>
      <c r="H91" s="417" t="s">
        <v>2061</v>
      </c>
      <c r="I91" s="402">
        <v>20538</v>
      </c>
      <c r="J91" s="402">
        <v>3239</v>
      </c>
      <c r="K91" s="402">
        <v>1200</v>
      </c>
      <c r="L91" s="431">
        <v>1.3074425169000536E-2</v>
      </c>
      <c r="M91" s="431">
        <v>2.1217736953777562E-3</v>
      </c>
      <c r="N91" s="431">
        <v>1.9016136776733123E-3</v>
      </c>
      <c r="O91" s="431">
        <f t="shared" si="49"/>
        <v>-1.0952651473622781E-2</v>
      </c>
      <c r="P91" s="431">
        <f t="shared" si="50"/>
        <v>-2.2016001770444387E-4</v>
      </c>
      <c r="Q91" s="431">
        <f t="shared" si="51"/>
        <v>-1.1172811491327223E-2</v>
      </c>
      <c r="T91" s="437">
        <f t="shared" si="52"/>
        <v>-4.4691245965308895E-3</v>
      </c>
      <c r="U91" s="467"/>
    </row>
    <row r="92" spans="1:21">
      <c r="A92" s="394" t="s">
        <v>2519</v>
      </c>
      <c r="B92" s="396" t="s">
        <v>2520</v>
      </c>
      <c r="C92" s="394" t="s">
        <v>2036</v>
      </c>
      <c r="D92" s="533" t="s">
        <v>2199</v>
      </c>
      <c r="E92" s="395" t="s">
        <v>2506</v>
      </c>
      <c r="F92" s="395" t="s">
        <v>2043</v>
      </c>
      <c r="G92" s="410">
        <f>78800*0.155035</f>
        <v>12216.758</v>
      </c>
      <c r="H92" s="417" t="s">
        <v>2507</v>
      </c>
      <c r="I92" s="402">
        <v>17262</v>
      </c>
      <c r="J92" s="402">
        <v>13016</v>
      </c>
      <c r="K92" s="402">
        <v>3370</v>
      </c>
      <c r="L92" s="431">
        <v>1.0988934037748917E-2</v>
      </c>
      <c r="M92" s="431">
        <v>8.5263990179181466E-3</v>
      </c>
      <c r="N92" s="431">
        <v>5.3403650781325522E-3</v>
      </c>
      <c r="O92" s="431">
        <f t="shared" si="49"/>
        <v>-2.4625350198307708E-3</v>
      </c>
      <c r="P92" s="431">
        <f t="shared" si="50"/>
        <v>-3.1860339397855944E-3</v>
      </c>
      <c r="Q92" s="431">
        <f t="shared" si="51"/>
        <v>-5.6485689596163652E-3</v>
      </c>
      <c r="T92" s="437">
        <f t="shared" si="52"/>
        <v>-2.2594275838465462E-3</v>
      </c>
      <c r="U92" s="467"/>
    </row>
    <row r="93" spans="1:21">
      <c r="A93" s="394" t="s">
        <v>2521</v>
      </c>
      <c r="B93" s="396" t="s">
        <v>2522</v>
      </c>
      <c r="C93" s="394" t="s">
        <v>2036</v>
      </c>
      <c r="D93" s="533" t="s">
        <v>2199</v>
      </c>
      <c r="E93" s="395" t="s">
        <v>2506</v>
      </c>
      <c r="F93" s="395" t="s">
        <v>2043</v>
      </c>
      <c r="G93" s="410">
        <f>91000*0.155035</f>
        <v>14108.185000000001</v>
      </c>
      <c r="H93" s="417" t="s">
        <v>2061</v>
      </c>
      <c r="I93" s="402">
        <v>39975</v>
      </c>
      <c r="J93" s="402">
        <v>21541</v>
      </c>
      <c r="K93" s="402">
        <v>7333</v>
      </c>
      <c r="L93" s="431">
        <v>2.5447957256344165E-2</v>
      </c>
      <c r="M93" s="431">
        <v>1.4110875940763275E-2</v>
      </c>
      <c r="N93" s="431">
        <v>1.1620444248648666E-2</v>
      </c>
      <c r="O93" s="431">
        <f t="shared" si="49"/>
        <v>-1.133708131558089E-2</v>
      </c>
      <c r="P93" s="431">
        <f t="shared" si="50"/>
        <v>-2.4904316921146082E-3</v>
      </c>
      <c r="Q93" s="431">
        <f t="shared" si="51"/>
        <v>-1.3827513007695498E-2</v>
      </c>
      <c r="T93" s="437">
        <f t="shared" si="52"/>
        <v>-5.5310052030781995E-3</v>
      </c>
      <c r="U93" s="467"/>
    </row>
    <row r="94" spans="1:21">
      <c r="A94" s="394" t="s">
        <v>2466</v>
      </c>
      <c r="B94" s="396" t="s">
        <v>2523</v>
      </c>
      <c r="C94" s="394" t="s">
        <v>2036</v>
      </c>
      <c r="D94" s="533" t="s">
        <v>2199</v>
      </c>
      <c r="E94" s="395" t="s">
        <v>2506</v>
      </c>
      <c r="F94" s="395" t="s">
        <v>2043</v>
      </c>
      <c r="G94" s="410">
        <f>99800*0.155035</f>
        <v>15472.493</v>
      </c>
      <c r="H94" s="417" t="s">
        <v>2061</v>
      </c>
      <c r="I94" s="402">
        <v>26373</v>
      </c>
      <c r="J94" s="402">
        <v>18813</v>
      </c>
      <c r="K94" s="402">
        <v>5501</v>
      </c>
      <c r="L94" s="431">
        <v>1.6788967522740828E-2</v>
      </c>
      <c r="M94" s="431">
        <v>1.2323843325452834E-2</v>
      </c>
      <c r="N94" s="431">
        <v>8.7173140340674089E-3</v>
      </c>
      <c r="O94" s="431">
        <f t="shared" si="49"/>
        <v>-4.4651241972879941E-3</v>
      </c>
      <c r="P94" s="431">
        <f t="shared" si="50"/>
        <v>-3.6065292913854251E-3</v>
      </c>
      <c r="Q94" s="431">
        <f t="shared" si="51"/>
        <v>-8.0716534886734193E-3</v>
      </c>
      <c r="T94" s="437">
        <f t="shared" si="52"/>
        <v>-3.2286613954693676E-3</v>
      </c>
      <c r="U94" s="467"/>
    </row>
    <row r="95" spans="1:21">
      <c r="A95" s="394" t="s">
        <v>2524</v>
      </c>
      <c r="B95" s="396" t="s">
        <v>2525</v>
      </c>
      <c r="C95" s="394" t="s">
        <v>2036</v>
      </c>
      <c r="D95" s="533" t="s">
        <v>2199</v>
      </c>
      <c r="E95" s="395" t="s">
        <v>2506</v>
      </c>
      <c r="F95" s="395" t="s">
        <v>2043</v>
      </c>
      <c r="G95" s="410">
        <f>68900*0.155035</f>
        <v>10681.9115</v>
      </c>
      <c r="H95" s="417" t="s">
        <v>2513</v>
      </c>
      <c r="I95" s="402">
        <v>6760</v>
      </c>
      <c r="J95" s="402">
        <v>3562</v>
      </c>
      <c r="K95" s="402">
        <v>0</v>
      </c>
      <c r="L95" s="431">
        <v>4.3033943978208018E-3</v>
      </c>
      <c r="M95" s="431">
        <v>2.3333615013694251E-3</v>
      </c>
      <c r="N95" s="431">
        <v>0</v>
      </c>
      <c r="O95" s="431">
        <f t="shared" si="49"/>
        <v>-1.9700328964513767E-3</v>
      </c>
      <c r="P95" s="431">
        <f t="shared" si="50"/>
        <v>-2.3333615013694251E-3</v>
      </c>
      <c r="Q95" s="431">
        <f t="shared" si="51"/>
        <v>-4.3033943978208018E-3</v>
      </c>
      <c r="T95" s="437">
        <f t="shared" si="52"/>
        <v>-1.7213577591283207E-3</v>
      </c>
      <c r="U95" s="467"/>
    </row>
    <row r="96" spans="1:21">
      <c r="A96" s="394" t="s">
        <v>2521</v>
      </c>
      <c r="B96" s="396" t="s">
        <v>2526</v>
      </c>
      <c r="C96" s="394" t="s">
        <v>2036</v>
      </c>
      <c r="D96" s="533" t="s">
        <v>2199</v>
      </c>
      <c r="E96" s="395" t="s">
        <v>2506</v>
      </c>
      <c r="F96" s="395" t="s">
        <v>2043</v>
      </c>
      <c r="G96" s="410">
        <f>66800*0.155035</f>
        <v>10356.338</v>
      </c>
      <c r="H96" s="417" t="s">
        <v>2513</v>
      </c>
      <c r="I96" s="402">
        <v>20315</v>
      </c>
      <c r="J96" s="402">
        <v>18146</v>
      </c>
      <c r="K96" s="402">
        <v>7735</v>
      </c>
      <c r="L96" s="431">
        <v>1.2932464081616803E-2</v>
      </c>
      <c r="M96" s="431">
        <v>1.1886911230727003E-2</v>
      </c>
      <c r="N96" s="431">
        <v>1.2257484830669225E-2</v>
      </c>
      <c r="O96" s="431">
        <f t="shared" si="49"/>
        <v>-1.0455528508897995E-3</v>
      </c>
      <c r="P96" s="431">
        <f t="shared" si="50"/>
        <v>3.7057359994222168E-4</v>
      </c>
      <c r="Q96" s="431">
        <f t="shared" si="51"/>
        <v>-6.7497925094757785E-4</v>
      </c>
      <c r="T96" s="437">
        <f t="shared" si="52"/>
        <v>-2.6999170037903116E-4</v>
      </c>
      <c r="U96" s="467"/>
    </row>
    <row r="97" spans="1:21">
      <c r="A97" s="394" t="s">
        <v>2527</v>
      </c>
      <c r="B97" s="396" t="s">
        <v>2528</v>
      </c>
      <c r="C97" s="394" t="s">
        <v>2036</v>
      </c>
      <c r="D97" s="533" t="s">
        <v>2199</v>
      </c>
      <c r="E97" s="395" t="s">
        <v>2506</v>
      </c>
      <c r="F97" s="395" t="s">
        <v>2043</v>
      </c>
      <c r="G97" s="410">
        <f>75800*0.155035</f>
        <v>11751.653</v>
      </c>
      <c r="H97" s="417" t="s">
        <v>2513</v>
      </c>
      <c r="I97" s="402">
        <v>4882</v>
      </c>
      <c r="J97" s="402">
        <v>1429</v>
      </c>
      <c r="K97" s="402">
        <v>0</v>
      </c>
      <c r="L97" s="431">
        <v>3.1078655991362654E-3</v>
      </c>
      <c r="M97" s="431">
        <v>9.3609589709626854E-4</v>
      </c>
      <c r="N97" s="431">
        <v>0</v>
      </c>
      <c r="O97" s="431">
        <f t="shared" si="49"/>
        <v>-2.1717697020399969E-3</v>
      </c>
      <c r="P97" s="431">
        <f t="shared" si="50"/>
        <v>-9.3609589709626854E-4</v>
      </c>
      <c r="Q97" s="431">
        <f t="shared" si="51"/>
        <v>-3.1078655991362654E-3</v>
      </c>
      <c r="T97" s="437">
        <f t="shared" si="52"/>
        <v>-1.2431462396545062E-3</v>
      </c>
      <c r="U97" s="467"/>
    </row>
    <row r="98" spans="1:21">
      <c r="A98" s="394" t="s">
        <v>2529</v>
      </c>
      <c r="B98" s="396" t="s">
        <v>2530</v>
      </c>
      <c r="C98" s="394" t="s">
        <v>2036</v>
      </c>
      <c r="D98" s="533" t="s">
        <v>2199</v>
      </c>
      <c r="E98" s="395" t="s">
        <v>2506</v>
      </c>
      <c r="F98" s="395" t="s">
        <v>2043</v>
      </c>
      <c r="G98" s="410">
        <f>69900*0.166035</f>
        <v>11605.8465</v>
      </c>
      <c r="H98" s="417" t="s">
        <v>2513</v>
      </c>
      <c r="I98" s="402">
        <v>6265</v>
      </c>
      <c r="J98" s="402">
        <v>2529</v>
      </c>
      <c r="K98" s="402">
        <v>743</v>
      </c>
      <c r="L98" s="431">
        <v>3.9882789796371783E-3</v>
      </c>
      <c r="M98" s="431">
        <v>1.6566735645601562E-3</v>
      </c>
      <c r="N98" s="431">
        <v>1.1774158020927258E-3</v>
      </c>
      <c r="O98" s="431">
        <f t="shared" si="49"/>
        <v>-2.3316054150770218E-3</v>
      </c>
      <c r="P98" s="431">
        <f t="shared" si="50"/>
        <v>-4.7925776246743042E-4</v>
      </c>
      <c r="Q98" s="431">
        <f t="shared" si="51"/>
        <v>-2.8108631775444525E-3</v>
      </c>
      <c r="T98" s="437">
        <f t="shared" si="52"/>
        <v>-1.124345271017781E-3</v>
      </c>
      <c r="U98" s="467"/>
    </row>
    <row r="99" spans="1:21">
      <c r="A99" s="394" t="s">
        <v>2531</v>
      </c>
      <c r="B99" s="396" t="s">
        <v>2532</v>
      </c>
      <c r="C99" s="394" t="s">
        <v>2036</v>
      </c>
      <c r="D99" s="533" t="s">
        <v>2199</v>
      </c>
      <c r="E99" s="395" t="s">
        <v>2506</v>
      </c>
      <c r="F99" s="482" t="s">
        <v>2060</v>
      </c>
      <c r="G99" s="410">
        <f>66800*0.155035</f>
        <v>10356.338</v>
      </c>
      <c r="H99" s="417" t="s">
        <v>2513</v>
      </c>
      <c r="I99" s="402">
        <v>8158</v>
      </c>
      <c r="J99" s="402">
        <v>0</v>
      </c>
      <c r="K99" s="402">
        <v>0</v>
      </c>
      <c r="L99" s="431">
        <v>5.1933567303878844E-3</v>
      </c>
      <c r="M99" s="431">
        <v>0</v>
      </c>
      <c r="N99" s="431">
        <v>0</v>
      </c>
      <c r="O99" s="431">
        <f t="shared" si="49"/>
        <v>-5.1933567303878844E-3</v>
      </c>
      <c r="P99" s="431">
        <f t="shared" si="50"/>
        <v>0</v>
      </c>
      <c r="Q99" s="431">
        <f t="shared" si="51"/>
        <v>-5.1933567303878844E-3</v>
      </c>
      <c r="T99" s="437">
        <f t="shared" si="52"/>
        <v>-2.0773426921551538E-3</v>
      </c>
      <c r="U99" s="467"/>
    </row>
    <row r="100" spans="1:21">
      <c r="A100" s="394" t="s">
        <v>2533</v>
      </c>
      <c r="B100" s="463">
        <v>2008</v>
      </c>
      <c r="C100" s="394" t="s">
        <v>2036</v>
      </c>
      <c r="D100" s="533" t="s">
        <v>2199</v>
      </c>
      <c r="E100" s="395" t="s">
        <v>2506</v>
      </c>
      <c r="F100" s="395" t="s">
        <v>2043</v>
      </c>
      <c r="G100" s="410">
        <f>99700*0.155035</f>
        <v>15456.989500000001</v>
      </c>
      <c r="H100" s="417" t="s">
        <v>2061</v>
      </c>
      <c r="I100" s="402">
        <v>1312</v>
      </c>
      <c r="J100" s="402">
        <v>6923</v>
      </c>
      <c r="K100" s="402">
        <v>6251</v>
      </c>
      <c r="L100" s="431">
        <v>8.3521500738770594E-4</v>
      </c>
      <c r="M100" s="431">
        <v>4.5350538107749947E-3</v>
      </c>
      <c r="N100" s="431">
        <v>9.9058225826132284E-3</v>
      </c>
      <c r="O100" s="431">
        <f t="shared" si="49"/>
        <v>3.6998388033872886E-3</v>
      </c>
      <c r="P100" s="431">
        <f t="shared" si="50"/>
        <v>5.3707687718382337E-3</v>
      </c>
      <c r="Q100" s="431">
        <f t="shared" si="51"/>
        <v>9.0706075752255231E-3</v>
      </c>
      <c r="T100" s="437">
        <f t="shared" si="52"/>
        <v>3.6282430300902092E-3</v>
      </c>
      <c r="U100" s="467"/>
    </row>
    <row r="101" spans="1:21">
      <c r="A101" s="394" t="s">
        <v>2534</v>
      </c>
      <c r="B101" s="396" t="s">
        <v>2535</v>
      </c>
      <c r="C101" s="394" t="s">
        <v>2036</v>
      </c>
      <c r="D101" s="533" t="s">
        <v>2199</v>
      </c>
      <c r="E101" s="395" t="s">
        <v>2506</v>
      </c>
      <c r="F101" s="395" t="s">
        <v>2043</v>
      </c>
      <c r="G101" s="410">
        <f>83900*0.155035</f>
        <v>13007.4365</v>
      </c>
      <c r="H101" s="417" t="s">
        <v>2507</v>
      </c>
      <c r="I101" s="402">
        <v>2904</v>
      </c>
      <c r="J101" s="402">
        <v>9552</v>
      </c>
      <c r="K101" s="402">
        <v>892</v>
      </c>
      <c r="L101" s="431">
        <v>1.848677120010593E-3</v>
      </c>
      <c r="M101" s="431">
        <v>6.2572344360136856E-3</v>
      </c>
      <c r="N101" s="431">
        <v>1.4135328337371621E-3</v>
      </c>
      <c r="O101" s="431">
        <f t="shared" si="49"/>
        <v>4.4085573160030922E-3</v>
      </c>
      <c r="P101" s="431">
        <f t="shared" si="50"/>
        <v>-4.8437016022765235E-3</v>
      </c>
      <c r="Q101" s="431">
        <f t="shared" si="51"/>
        <v>-4.351442862734309E-4</v>
      </c>
      <c r="T101" s="437">
        <f t="shared" si="52"/>
        <v>-1.7405771450937235E-4</v>
      </c>
      <c r="U101" s="467"/>
    </row>
    <row r="102" spans="1:21">
      <c r="A102" s="394" t="s">
        <v>2536</v>
      </c>
      <c r="B102" s="396" t="s">
        <v>2537</v>
      </c>
      <c r="C102" s="394" t="s">
        <v>2036</v>
      </c>
      <c r="D102" s="533" t="s">
        <v>2199</v>
      </c>
      <c r="E102" s="395" t="s">
        <v>2506</v>
      </c>
      <c r="F102" s="482" t="s">
        <v>2060</v>
      </c>
      <c r="G102" s="410">
        <f>81800*0.155035</f>
        <v>12681.863000000001</v>
      </c>
      <c r="H102" s="417" t="s">
        <v>2507</v>
      </c>
      <c r="I102" s="402">
        <v>0</v>
      </c>
      <c r="J102" s="402">
        <v>1283</v>
      </c>
      <c r="K102" s="402">
        <v>3822</v>
      </c>
      <c r="L102" s="431">
        <v>0</v>
      </c>
      <c r="M102" s="431">
        <v>8.4045558850560703E-4</v>
      </c>
      <c r="N102" s="431">
        <v>6.0566395633894999E-3</v>
      </c>
      <c r="O102" s="431">
        <f t="shared" si="49"/>
        <v>8.4045558850560703E-4</v>
      </c>
      <c r="P102" s="431">
        <f t="shared" si="50"/>
        <v>5.2161839748838933E-3</v>
      </c>
      <c r="Q102" s="431">
        <f t="shared" si="51"/>
        <v>6.0566395633894999E-3</v>
      </c>
      <c r="T102" s="437">
        <f t="shared" si="52"/>
        <v>2.4226558253557999E-3</v>
      </c>
      <c r="U102" s="467"/>
    </row>
    <row r="103" spans="1:21">
      <c r="A103" s="394" t="s">
        <v>2538</v>
      </c>
      <c r="B103" s="396" t="s">
        <v>2539</v>
      </c>
      <c r="C103" s="394" t="s">
        <v>2036</v>
      </c>
      <c r="D103" s="533" t="s">
        <v>2199</v>
      </c>
      <c r="E103" s="395" t="s">
        <v>2506</v>
      </c>
      <c r="F103" s="482" t="s">
        <v>2060</v>
      </c>
      <c r="G103" s="410">
        <f>84800*0.155035</f>
        <v>13146.968000000001</v>
      </c>
      <c r="H103" s="417" t="s">
        <v>2507</v>
      </c>
      <c r="I103" s="402">
        <v>0</v>
      </c>
      <c r="J103" s="402">
        <v>0</v>
      </c>
      <c r="K103" s="402">
        <v>4033</v>
      </c>
      <c r="L103" s="431">
        <v>0</v>
      </c>
      <c r="M103" s="431">
        <v>0</v>
      </c>
      <c r="N103" s="431">
        <v>6.3910066350470569E-3</v>
      </c>
      <c r="O103" s="431">
        <f t="shared" si="49"/>
        <v>0</v>
      </c>
      <c r="P103" s="431">
        <f t="shared" si="50"/>
        <v>6.3910066350470569E-3</v>
      </c>
      <c r="Q103" s="431">
        <f t="shared" si="51"/>
        <v>6.3910066350470569E-3</v>
      </c>
      <c r="T103" s="437">
        <f t="shared" si="52"/>
        <v>2.5564026540188228E-3</v>
      </c>
      <c r="U103" s="467"/>
    </row>
    <row r="104" spans="1:21">
      <c r="A104" t="s">
        <v>24</v>
      </c>
      <c r="B104" s="396"/>
      <c r="C104" s="394"/>
      <c r="D104" s="533"/>
      <c r="E104" s="395"/>
      <c r="F104" s="395"/>
      <c r="G104" s="410"/>
      <c r="H104" s="417"/>
      <c r="I104" s="465">
        <f>SUM(I83:I103)</f>
        <v>782247</v>
      </c>
      <c r="J104" s="465">
        <f t="shared" ref="J104:K104" si="53">SUM(J83:J103)</f>
        <v>749139</v>
      </c>
      <c r="K104" s="465">
        <f t="shared" si="53"/>
        <v>309774</v>
      </c>
      <c r="L104" s="437">
        <f>SUM(L83:L103)</f>
        <v>0.49797594046037408</v>
      </c>
      <c r="M104" s="437">
        <f t="shared" ref="M104:N104" si="54">SUM(M83:M103)</f>
        <v>0.49073893929657209</v>
      </c>
      <c r="N104" s="437">
        <f t="shared" si="54"/>
        <v>0.49089206282297732</v>
      </c>
      <c r="O104" s="437">
        <f t="shared" ref="O104" si="55">SUM(O83:O103)</f>
        <v>-7.2370011638020048E-3</v>
      </c>
      <c r="P104" s="437">
        <f t="shared" ref="P104" si="56">SUM(P83:P103)</f>
        <v>1.5312352640511288E-4</v>
      </c>
      <c r="Q104" s="437">
        <f t="shared" ref="Q104" si="57">SUM(Q83:Q103)</f>
        <v>-7.0838776373968919E-3</v>
      </c>
      <c r="T104" s="437"/>
    </row>
    <row r="105" spans="1:21">
      <c r="A105" s="64" t="s">
        <v>2218</v>
      </c>
      <c r="B105" s="396"/>
      <c r="C105" s="394"/>
      <c r="D105" s="533"/>
      <c r="E105" s="395"/>
      <c r="F105" s="395"/>
      <c r="G105" s="410"/>
      <c r="H105" s="417"/>
      <c r="I105" s="402"/>
      <c r="J105" s="402"/>
      <c r="K105" s="402"/>
      <c r="L105" s="431"/>
      <c r="M105" s="431"/>
      <c r="N105" s="431"/>
      <c r="O105" s="431"/>
      <c r="P105" s="431"/>
      <c r="Q105" s="431"/>
      <c r="T105" s="437"/>
    </row>
    <row r="106" spans="1:21">
      <c r="A106" t="s">
        <v>2540</v>
      </c>
      <c r="B106">
        <v>2020</v>
      </c>
      <c r="C106">
        <v>2021</v>
      </c>
      <c r="D106" t="s">
        <v>14</v>
      </c>
      <c r="E106" t="s">
        <v>11</v>
      </c>
      <c r="F106" t="s">
        <v>12</v>
      </c>
      <c r="G106" t="s">
        <v>13</v>
      </c>
      <c r="H106" t="s">
        <v>2220</v>
      </c>
      <c r="I106" t="s">
        <v>2221</v>
      </c>
      <c r="J106" t="s">
        <v>2222</v>
      </c>
      <c r="K106" t="s">
        <v>2223</v>
      </c>
      <c r="L106" t="s">
        <v>2224</v>
      </c>
      <c r="M106" t="s">
        <v>2225</v>
      </c>
      <c r="N106" t="s">
        <v>2226</v>
      </c>
      <c r="O106" s="431"/>
      <c r="P106" s="431"/>
      <c r="Q106" s="431"/>
      <c r="T106" s="437"/>
    </row>
    <row r="107" spans="1:21">
      <c r="A107" t="s">
        <v>2227</v>
      </c>
      <c r="B107" s="405">
        <v>1570853</v>
      </c>
      <c r="C107" s="405">
        <v>1526553</v>
      </c>
      <c r="D107" s="466">
        <f>AVERAGE(B107:C107)</f>
        <v>1548703</v>
      </c>
      <c r="E107" s="466">
        <f t="shared" ref="E107:L107" si="58">AVERAGE(C107:D107)</f>
        <v>1537628</v>
      </c>
      <c r="F107" s="466">
        <f t="shared" si="58"/>
        <v>1543165.5</v>
      </c>
      <c r="G107" s="466">
        <f t="shared" si="58"/>
        <v>1540396.75</v>
      </c>
      <c r="H107" s="466">
        <f t="shared" si="58"/>
        <v>1541781.125</v>
      </c>
      <c r="I107" s="466">
        <f t="shared" si="58"/>
        <v>1541088.9375</v>
      </c>
      <c r="J107" s="466">
        <f t="shared" si="58"/>
        <v>1541435.03125</v>
      </c>
      <c r="K107" s="466">
        <f t="shared" si="58"/>
        <v>1541261.984375</v>
      </c>
      <c r="L107" s="466">
        <f t="shared" si="58"/>
        <v>1541348.5078125</v>
      </c>
      <c r="M107" s="431"/>
      <c r="N107" t="s">
        <v>162</v>
      </c>
      <c r="O107" s="431"/>
      <c r="P107" s="431"/>
      <c r="Q107" s="431"/>
      <c r="T107" s="437"/>
    </row>
    <row r="108" spans="1:21">
      <c r="A108" s="64" t="s">
        <v>2228</v>
      </c>
      <c r="B108" s="396"/>
      <c r="C108" s="394"/>
      <c r="D108" s="533"/>
      <c r="E108" s="395"/>
      <c r="F108" s="395"/>
      <c r="G108" s="410"/>
      <c r="H108" s="417"/>
      <c r="I108" s="402"/>
      <c r="J108" s="402"/>
      <c r="K108" s="402"/>
      <c r="L108" s="431"/>
      <c r="M108" s="431"/>
      <c r="N108" s="431"/>
      <c r="O108" s="431"/>
      <c r="P108" s="431"/>
      <c r="Q108" s="431"/>
      <c r="T108" s="437"/>
    </row>
    <row r="109" spans="1:21">
      <c r="A109" s="425" t="s">
        <v>170</v>
      </c>
      <c r="B109" s="430">
        <v>1.0376527911905188E-2</v>
      </c>
      <c r="C109" s="430">
        <v>2.7121233262127158E-2</v>
      </c>
      <c r="D109" s="296">
        <f>N83+$N109/2</f>
        <v>3.9727538574493522E-2</v>
      </c>
      <c r="E109" s="479">
        <f t="shared" ref="E109:L109" si="59">D109+$N109</f>
        <v>4.3701230144367893E-2</v>
      </c>
      <c r="F109" s="479">
        <f t="shared" si="59"/>
        <v>4.7674921714242265E-2</v>
      </c>
      <c r="G109" s="479">
        <f t="shared" si="59"/>
        <v>5.1648613284116636E-2</v>
      </c>
      <c r="H109" s="479">
        <f t="shared" si="59"/>
        <v>5.5622304853991007E-2</v>
      </c>
      <c r="I109" s="479">
        <f>H109+$N109</f>
        <v>5.9595996423865379E-2</v>
      </c>
      <c r="J109" s="479">
        <f t="shared" si="59"/>
        <v>6.3569687993739743E-2</v>
      </c>
      <c r="K109" s="479">
        <f t="shared" si="59"/>
        <v>6.7543379563614114E-2</v>
      </c>
      <c r="L109" s="479">
        <f t="shared" si="59"/>
        <v>7.1517071133488486E-2</v>
      </c>
      <c r="M109" s="431"/>
      <c r="N109" s="437">
        <f>-SUM(N110:N129)</f>
        <v>3.9736915698743687E-3</v>
      </c>
      <c r="O109" s="431"/>
      <c r="P109" s="431"/>
      <c r="Q109" s="431"/>
      <c r="T109" s="437"/>
    </row>
    <row r="110" spans="1:21">
      <c r="A110" s="396" t="s">
        <v>2508</v>
      </c>
      <c r="B110" s="431">
        <v>5.9133477161771343E-2</v>
      </c>
      <c r="C110" s="431">
        <v>9.0640154649068855E-2</v>
      </c>
      <c r="D110" s="479">
        <f t="shared" ref="D110:L129" si="60">C110+$N110</f>
        <v>9.1138083093789402E-2</v>
      </c>
      <c r="E110" s="479">
        <f t="shared" si="60"/>
        <v>9.1636011538509948E-2</v>
      </c>
      <c r="F110" s="479">
        <f t="shared" si="60"/>
        <v>9.2133939983230495E-2</v>
      </c>
      <c r="G110" s="479">
        <f t="shared" si="60"/>
        <v>9.2631868427951042E-2</v>
      </c>
      <c r="H110" s="479">
        <f t="shared" si="60"/>
        <v>9.3129796872671589E-2</v>
      </c>
      <c r="I110" s="479">
        <f t="shared" si="60"/>
        <v>9.3627725317392135E-2</v>
      </c>
      <c r="J110" s="479">
        <f t="shared" si="60"/>
        <v>9.4125653762112682E-2</v>
      </c>
      <c r="K110" s="479">
        <f t="shared" si="60"/>
        <v>9.4623582206833229E-2</v>
      </c>
      <c r="L110" s="479">
        <f t="shared" si="60"/>
        <v>9.5121510651553776E-2</v>
      </c>
      <c r="M110" s="439">
        <v>0.11</v>
      </c>
      <c r="N110" s="440">
        <f>M110*T84</f>
        <v>4.9792844472055045E-4</v>
      </c>
      <c r="O110" s="431"/>
      <c r="P110" s="431"/>
      <c r="Q110" s="431"/>
      <c r="T110" s="437"/>
    </row>
    <row r="111" spans="1:21">
      <c r="A111" s="396" t="s">
        <v>2509</v>
      </c>
      <c r="B111" s="431">
        <v>7.9228291889820376E-2</v>
      </c>
      <c r="C111" s="431">
        <v>9.4570578289780965E-2</v>
      </c>
      <c r="D111" s="479">
        <f t="shared" si="60"/>
        <v>9.7876158543547767E-2</v>
      </c>
      <c r="E111" s="479">
        <f t="shared" si="60"/>
        <v>0.10118173879731457</v>
      </c>
      <c r="F111" s="479">
        <f t="shared" si="60"/>
        <v>0.10448731905108137</v>
      </c>
      <c r="G111" s="479">
        <f t="shared" si="60"/>
        <v>0.10779289930484817</v>
      </c>
      <c r="H111" s="479">
        <f t="shared" si="60"/>
        <v>0.11109847955861497</v>
      </c>
      <c r="I111" s="479">
        <f t="shared" si="60"/>
        <v>0.11440405981238178</v>
      </c>
      <c r="J111" s="479">
        <f t="shared" si="60"/>
        <v>0.11770964006614858</v>
      </c>
      <c r="K111" s="479">
        <f t="shared" si="60"/>
        <v>0.12101522031991538</v>
      </c>
      <c r="L111" s="479">
        <f t="shared" si="60"/>
        <v>0.12432080057368218</v>
      </c>
      <c r="M111" s="439">
        <v>0.2</v>
      </c>
      <c r="N111" s="440">
        <f t="shared" ref="N111:N129" si="61">M111*T85</f>
        <v>3.305580253766806E-3</v>
      </c>
      <c r="O111" s="431"/>
      <c r="P111" s="431"/>
      <c r="Q111" s="431"/>
      <c r="T111" s="437"/>
    </row>
    <row r="112" spans="1:21">
      <c r="A112" s="396" t="s">
        <v>2510</v>
      </c>
      <c r="B112" s="431">
        <v>9.5720605301705508E-2</v>
      </c>
      <c r="C112" s="431">
        <v>0.11391612344936598</v>
      </c>
      <c r="D112" s="479">
        <f>C112+$N112</f>
        <v>0.11512605400379664</v>
      </c>
      <c r="E112" s="479">
        <f t="shared" ref="E112:L113" si="62">D112+$N112</f>
        <v>0.11633598455822729</v>
      </c>
      <c r="F112" s="479">
        <f t="shared" si="62"/>
        <v>0.11754591511265794</v>
      </c>
      <c r="G112" s="479">
        <f t="shared" si="62"/>
        <v>0.11875584566708859</v>
      </c>
      <c r="H112" s="479">
        <f t="shared" si="62"/>
        <v>0.11996577622151924</v>
      </c>
      <c r="I112" s="479">
        <f t="shared" si="62"/>
        <v>0.1211757067759499</v>
      </c>
      <c r="J112" s="479">
        <f t="shared" si="62"/>
        <v>0.12238563733038055</v>
      </c>
      <c r="K112" s="479">
        <f t="shared" si="62"/>
        <v>0.1235955678848112</v>
      </c>
      <c r="L112" s="479">
        <f t="shared" si="62"/>
        <v>0.12480549843924185</v>
      </c>
      <c r="M112" s="439">
        <v>0.25</v>
      </c>
      <c r="N112" s="440">
        <f t="shared" si="61"/>
        <v>1.2099305544306578E-3</v>
      </c>
      <c r="O112" s="431"/>
      <c r="P112" s="431"/>
      <c r="Q112" s="431"/>
      <c r="T112" s="437"/>
    </row>
    <row r="113" spans="1:20">
      <c r="A113" s="396" t="s">
        <v>2512</v>
      </c>
      <c r="B113" s="431">
        <v>4.2389071415339312E-2</v>
      </c>
      <c r="C113" s="431">
        <v>1.1923595184706984E-2</v>
      </c>
      <c r="D113" s="479">
        <f t="shared" si="60"/>
        <v>1.0696653325394705E-2</v>
      </c>
      <c r="E113" s="479">
        <f t="shared" si="60"/>
        <v>9.4697114660824248E-3</v>
      </c>
      <c r="F113" s="479">
        <f t="shared" si="60"/>
        <v>8.242769606770145E-3</v>
      </c>
      <c r="G113" s="479">
        <f t="shared" si="60"/>
        <v>7.0158277474578652E-3</v>
      </c>
      <c r="H113" s="479">
        <f t="shared" si="60"/>
        <v>5.7888858881455854E-3</v>
      </c>
      <c r="I113" s="479">
        <f t="shared" si="60"/>
        <v>4.5619440288333056E-3</v>
      </c>
      <c r="J113" s="479">
        <f t="shared" si="60"/>
        <v>3.3350021695210262E-3</v>
      </c>
      <c r="K113" s="479">
        <f t="shared" si="62"/>
        <v>2.1080603102087469E-3</v>
      </c>
      <c r="L113" s="479">
        <f t="shared" si="62"/>
        <v>8.8111845089646748E-4</v>
      </c>
      <c r="M113" s="439">
        <v>0.1</v>
      </c>
      <c r="N113" s="440">
        <f t="shared" si="61"/>
        <v>-1.2269418593122794E-3</v>
      </c>
      <c r="O113" s="431"/>
      <c r="P113" s="431"/>
      <c r="Q113" s="431"/>
      <c r="T113" s="437"/>
    </row>
    <row r="114" spans="1:20">
      <c r="A114" s="396" t="s">
        <v>2515</v>
      </c>
      <c r="B114" s="431">
        <v>6.0611018344810114E-2</v>
      </c>
      <c r="C114" s="431">
        <v>5.2505219275059564E-2</v>
      </c>
      <c r="D114" s="479">
        <f t="shared" si="60"/>
        <v>4.7529229461773299E-2</v>
      </c>
      <c r="E114" s="479">
        <f t="shared" si="60"/>
        <v>4.2553239648487035E-2</v>
      </c>
      <c r="F114" s="479">
        <f t="shared" si="60"/>
        <v>3.757724983520077E-2</v>
      </c>
      <c r="G114" s="479">
        <f t="shared" si="60"/>
        <v>3.2601260021914505E-2</v>
      </c>
      <c r="H114" s="479">
        <f t="shared" si="60"/>
        <v>2.762527020862824E-2</v>
      </c>
      <c r="I114" s="479">
        <f t="shared" si="60"/>
        <v>2.2649280395341975E-2</v>
      </c>
      <c r="J114" s="479">
        <f t="shared" si="60"/>
        <v>1.767329058205571E-2</v>
      </c>
      <c r="K114" s="479">
        <f t="shared" si="60"/>
        <v>1.2697300768769447E-2</v>
      </c>
      <c r="L114" s="479">
        <f t="shared" si="60"/>
        <v>7.7213109554831842E-3</v>
      </c>
      <c r="M114" s="439">
        <v>1</v>
      </c>
      <c r="N114" s="440">
        <f t="shared" si="61"/>
        <v>-4.9759898132862631E-3</v>
      </c>
      <c r="O114" s="431"/>
      <c r="P114" s="431"/>
      <c r="Q114" s="431"/>
      <c r="T114" s="437"/>
    </row>
    <row r="115" spans="1:20">
      <c r="A115" s="396" t="s">
        <v>2516</v>
      </c>
      <c r="B115" s="431">
        <v>2.7627664714648666E-2</v>
      </c>
      <c r="C115" s="431">
        <v>2.3920558277373927E-2</v>
      </c>
      <c r="D115" s="479">
        <f t="shared" si="60"/>
        <v>2.3960773041377101E-2</v>
      </c>
      <c r="E115" s="479">
        <f t="shared" si="60"/>
        <v>2.4000987805380274E-2</v>
      </c>
      <c r="F115" s="479">
        <f t="shared" si="60"/>
        <v>2.4041202569383448E-2</v>
      </c>
      <c r="G115" s="479">
        <f t="shared" si="60"/>
        <v>2.4081417333386621E-2</v>
      </c>
      <c r="H115" s="479">
        <f t="shared" si="60"/>
        <v>2.4121632097389795E-2</v>
      </c>
      <c r="I115" s="479">
        <f t="shared" si="60"/>
        <v>2.4161846861392968E-2</v>
      </c>
      <c r="J115" s="479">
        <f t="shared" si="60"/>
        <v>2.4202061625396142E-2</v>
      </c>
      <c r="K115" s="479">
        <f t="shared" si="60"/>
        <v>2.4242276389399315E-2</v>
      </c>
      <c r="L115" s="479">
        <f t="shared" si="60"/>
        <v>2.4282491153402488E-2</v>
      </c>
      <c r="M115" s="439">
        <v>0.11</v>
      </c>
      <c r="N115" s="440">
        <f t="shared" si="61"/>
        <v>4.021476400317298E-5</v>
      </c>
      <c r="O115" s="431"/>
      <c r="P115" s="431"/>
      <c r="Q115" s="431"/>
      <c r="T115" s="437"/>
    </row>
    <row r="116" spans="1:20">
      <c r="A116" s="396" t="s">
        <v>2517</v>
      </c>
      <c r="B116" s="431">
        <v>2.4379747818541901E-2</v>
      </c>
      <c r="C116" s="431">
        <v>1.0612798900529494E-2</v>
      </c>
      <c r="D116" s="479">
        <f t="shared" si="60"/>
        <v>9.4965007691382979E-3</v>
      </c>
      <c r="E116" s="479">
        <f t="shared" si="60"/>
        <v>8.3802026377471014E-3</v>
      </c>
      <c r="F116" s="479">
        <f t="shared" si="60"/>
        <v>7.263904506355905E-3</v>
      </c>
      <c r="G116" s="479">
        <f t="shared" si="60"/>
        <v>6.1476063749647085E-3</v>
      </c>
      <c r="H116" s="479">
        <f t="shared" si="60"/>
        <v>5.031308243573512E-3</v>
      </c>
      <c r="I116" s="479">
        <f t="shared" si="60"/>
        <v>3.9150101121823155E-3</v>
      </c>
      <c r="J116" s="479">
        <f t="shared" si="60"/>
        <v>2.7987119807911195E-3</v>
      </c>
      <c r="K116" s="479">
        <f t="shared" si="60"/>
        <v>1.6824138493999235E-3</v>
      </c>
      <c r="L116" s="479">
        <f t="shared" si="60"/>
        <v>5.6611571800872741E-4</v>
      </c>
      <c r="M116" s="439">
        <v>0.12</v>
      </c>
      <c r="N116" s="440">
        <f t="shared" si="61"/>
        <v>-1.116298131391196E-3</v>
      </c>
      <c r="O116" s="431"/>
      <c r="P116" s="431"/>
      <c r="Q116" s="431"/>
      <c r="T116" s="437"/>
    </row>
    <row r="117" spans="1:20">
      <c r="A117" s="396" t="s">
        <v>2518</v>
      </c>
      <c r="B117" s="431">
        <v>1.3074425169000536E-2</v>
      </c>
      <c r="C117" s="431">
        <v>2.1217736953777562E-3</v>
      </c>
      <c r="D117" s="479">
        <f t="shared" si="60"/>
        <v>1.8983174655512118E-3</v>
      </c>
      <c r="E117" s="479">
        <f t="shared" si="60"/>
        <v>1.6748612357246674E-3</v>
      </c>
      <c r="F117" s="479">
        <f t="shared" si="60"/>
        <v>1.4514050058981229E-3</v>
      </c>
      <c r="G117" s="479">
        <f t="shared" si="60"/>
        <v>1.2279487760715785E-3</v>
      </c>
      <c r="H117" s="479">
        <f t="shared" ref="H117" si="63">G117+$N117</f>
        <v>1.0044925462450341E-3</v>
      </c>
      <c r="I117" s="479">
        <f t="shared" ref="I117" si="64">H117+$N117</f>
        <v>7.8103631641848964E-4</v>
      </c>
      <c r="J117" s="479">
        <f t="shared" ref="J117" si="65">I117+$N117</f>
        <v>5.5758008659194521E-4</v>
      </c>
      <c r="K117" s="479">
        <f t="shared" ref="K117" si="66">J117+$N117</f>
        <v>3.3412385676540073E-4</v>
      </c>
      <c r="L117" s="479">
        <f t="shared" ref="L117" si="67">K117+$N117</f>
        <v>1.1066762693885625E-4</v>
      </c>
      <c r="M117" s="439">
        <v>0.05</v>
      </c>
      <c r="N117" s="440">
        <f t="shared" si="61"/>
        <v>-2.2345622982654448E-4</v>
      </c>
      <c r="O117" s="431"/>
      <c r="P117" s="431"/>
      <c r="Q117" s="431"/>
      <c r="T117" s="437"/>
    </row>
    <row r="118" spans="1:20">
      <c r="A118" s="396" t="s">
        <v>2520</v>
      </c>
      <c r="B118" s="431">
        <v>1.0988934037748917E-2</v>
      </c>
      <c r="C118" s="431">
        <v>8.5263990179181466E-3</v>
      </c>
      <c r="D118" s="479">
        <f t="shared" si="60"/>
        <v>7.6226279843795283E-3</v>
      </c>
      <c r="E118" s="479">
        <f t="shared" si="60"/>
        <v>6.71885695084091E-3</v>
      </c>
      <c r="F118" s="479">
        <f t="shared" si="60"/>
        <v>5.8150859173022916E-3</v>
      </c>
      <c r="G118" s="479">
        <f t="shared" si="60"/>
        <v>4.9113148837636733E-3</v>
      </c>
      <c r="H118" s="479">
        <f t="shared" si="60"/>
        <v>4.007543850225055E-3</v>
      </c>
      <c r="I118" s="479">
        <f t="shared" si="60"/>
        <v>3.1037728166864367E-3</v>
      </c>
      <c r="J118" s="479">
        <f t="shared" si="60"/>
        <v>2.2000017831478183E-3</v>
      </c>
      <c r="K118" s="479">
        <f t="shared" si="60"/>
        <v>1.2962307496091998E-3</v>
      </c>
      <c r="L118" s="479">
        <f t="shared" si="60"/>
        <v>3.9245971607058125E-4</v>
      </c>
      <c r="M118" s="439">
        <v>0.4</v>
      </c>
      <c r="N118" s="440">
        <f t="shared" si="61"/>
        <v>-9.0377103353861854E-4</v>
      </c>
      <c r="O118" s="431"/>
      <c r="P118" s="431"/>
      <c r="Q118" s="431"/>
      <c r="T118" s="437"/>
    </row>
    <row r="119" spans="1:20">
      <c r="A119" s="396" t="s">
        <v>2522</v>
      </c>
      <c r="B119" s="431">
        <v>2.5447957256344165E-2</v>
      </c>
      <c r="C119" s="431">
        <v>1.4110875940763275E-2</v>
      </c>
      <c r="D119" s="479">
        <f t="shared" si="60"/>
        <v>1.2728124639993725E-2</v>
      </c>
      <c r="E119" s="479">
        <f t="shared" si="60"/>
        <v>1.1345373339224175E-2</v>
      </c>
      <c r="F119" s="479">
        <f t="shared" si="60"/>
        <v>9.9626220384546257E-3</v>
      </c>
      <c r="G119" s="479">
        <f t="shared" si="60"/>
        <v>8.5798707376850761E-3</v>
      </c>
      <c r="H119" s="479">
        <f t="shared" si="60"/>
        <v>7.1971194369155264E-3</v>
      </c>
      <c r="I119" s="479">
        <f t="shared" si="60"/>
        <v>5.8143681361459768E-3</v>
      </c>
      <c r="J119" s="479">
        <f t="shared" si="60"/>
        <v>4.4316168353764271E-3</v>
      </c>
      <c r="K119" s="479">
        <f t="shared" si="60"/>
        <v>3.0488655346068774E-3</v>
      </c>
      <c r="L119" s="479">
        <f t="shared" si="60"/>
        <v>1.6661142338373275E-3</v>
      </c>
      <c r="M119" s="439">
        <v>0.25</v>
      </c>
      <c r="N119" s="440">
        <f t="shared" si="61"/>
        <v>-1.3827513007695499E-3</v>
      </c>
      <c r="O119" s="431"/>
      <c r="P119" s="431"/>
      <c r="Q119" s="431"/>
      <c r="T119" s="437"/>
    </row>
    <row r="120" spans="1:20">
      <c r="A120" s="396" t="s">
        <v>2523</v>
      </c>
      <c r="B120" s="431">
        <v>1.6788967522740828E-2</v>
      </c>
      <c r="C120" s="431">
        <v>1.2323843325452834E-2</v>
      </c>
      <c r="D120" s="479">
        <f t="shared" si="60"/>
        <v>1.1032378767265087E-2</v>
      </c>
      <c r="E120" s="479">
        <f t="shared" si="60"/>
        <v>9.7409142090773403E-3</v>
      </c>
      <c r="F120" s="479">
        <f t="shared" si="60"/>
        <v>8.4494496508895935E-3</v>
      </c>
      <c r="G120" s="479">
        <f t="shared" si="60"/>
        <v>7.1579850927018466E-3</v>
      </c>
      <c r="H120" s="479">
        <f t="shared" si="60"/>
        <v>5.8665205345140997E-3</v>
      </c>
      <c r="I120" s="479">
        <f t="shared" ref="I120" si="68">H120+$N120</f>
        <v>4.5750559763263528E-3</v>
      </c>
      <c r="J120" s="479">
        <f t="shared" ref="J120" si="69">I120+$N120</f>
        <v>3.283591418138606E-3</v>
      </c>
      <c r="K120" s="479">
        <f t="shared" ref="K120" si="70">J120+$N120</f>
        <v>1.9921268599508591E-3</v>
      </c>
      <c r="L120" s="479">
        <f t="shared" ref="L120" si="71">K120+$N120</f>
        <v>7.0066230176311201E-4</v>
      </c>
      <c r="M120" s="439">
        <v>0.4</v>
      </c>
      <c r="N120" s="440">
        <f t="shared" si="61"/>
        <v>-1.2914645581877471E-3</v>
      </c>
      <c r="O120" s="431"/>
      <c r="P120" s="431"/>
      <c r="Q120" s="431"/>
      <c r="T120" s="437"/>
    </row>
    <row r="121" spans="1:20">
      <c r="A121" s="396" t="s">
        <v>2525</v>
      </c>
      <c r="B121" s="431">
        <v>4.3033943978208018E-3</v>
      </c>
      <c r="C121" s="431">
        <v>2.3333615013694251E-3</v>
      </c>
      <c r="D121" s="479">
        <v>0</v>
      </c>
      <c r="E121" s="479">
        <v>0</v>
      </c>
      <c r="F121" s="479">
        <v>0</v>
      </c>
      <c r="G121" s="479">
        <v>0</v>
      </c>
      <c r="H121" s="479">
        <v>0</v>
      </c>
      <c r="I121" s="479">
        <v>0</v>
      </c>
      <c r="J121" s="479">
        <v>0</v>
      </c>
      <c r="K121" s="479">
        <v>0</v>
      </c>
      <c r="L121" s="479">
        <v>0</v>
      </c>
      <c r="M121" s="439">
        <v>0</v>
      </c>
      <c r="N121" s="440">
        <f t="shared" si="61"/>
        <v>0</v>
      </c>
      <c r="O121" s="431"/>
      <c r="P121" s="431"/>
      <c r="Q121" s="431"/>
      <c r="T121" s="437"/>
    </row>
    <row r="122" spans="1:20">
      <c r="A122" s="396" t="s">
        <v>2526</v>
      </c>
      <c r="B122" s="431">
        <v>1.2932464081616803E-2</v>
      </c>
      <c r="C122" s="431">
        <v>1.1886911230727003E-2</v>
      </c>
      <c r="D122" s="479">
        <f t="shared" si="60"/>
        <v>1.1616919530347972E-2</v>
      </c>
      <c r="E122" s="479">
        <f t="shared" si="60"/>
        <v>1.1346927829968941E-2</v>
      </c>
      <c r="F122" s="479">
        <f t="shared" si="60"/>
        <v>1.1076936129589909E-2</v>
      </c>
      <c r="G122" s="479">
        <f t="shared" si="60"/>
        <v>1.0806944429210878E-2</v>
      </c>
      <c r="H122" s="479">
        <f t="shared" si="60"/>
        <v>1.0536952728831846E-2</v>
      </c>
      <c r="I122" s="479">
        <f t="shared" si="60"/>
        <v>1.0266961028452815E-2</v>
      </c>
      <c r="J122" s="479">
        <f t="shared" si="60"/>
        <v>9.9969693280737831E-3</v>
      </c>
      <c r="K122" s="479">
        <f t="shared" si="60"/>
        <v>9.7269776276947516E-3</v>
      </c>
      <c r="L122" s="479">
        <f t="shared" si="60"/>
        <v>9.4569859273157201E-3</v>
      </c>
      <c r="M122" s="439">
        <v>1</v>
      </c>
      <c r="N122" s="440">
        <f t="shared" si="61"/>
        <v>-2.6999170037903116E-4</v>
      </c>
      <c r="O122" s="431"/>
      <c r="P122" s="431"/>
      <c r="Q122" s="431"/>
      <c r="T122" s="437"/>
    </row>
    <row r="123" spans="1:20">
      <c r="A123" s="396" t="s">
        <v>2528</v>
      </c>
      <c r="B123" s="431">
        <v>3.1078655991362654E-3</v>
      </c>
      <c r="C123" s="431">
        <v>9.3609589709626854E-4</v>
      </c>
      <c r="D123" s="479">
        <v>0</v>
      </c>
      <c r="E123" s="479">
        <v>0</v>
      </c>
      <c r="F123" s="479">
        <v>0</v>
      </c>
      <c r="G123" s="479">
        <v>0</v>
      </c>
      <c r="H123" s="479">
        <v>0</v>
      </c>
      <c r="I123" s="479">
        <v>0</v>
      </c>
      <c r="J123" s="479">
        <v>0</v>
      </c>
      <c r="K123" s="479">
        <v>0</v>
      </c>
      <c r="L123" s="479">
        <v>0</v>
      </c>
      <c r="M123" s="439">
        <v>0</v>
      </c>
      <c r="N123" s="440">
        <f t="shared" si="61"/>
        <v>0</v>
      </c>
      <c r="O123" s="431"/>
      <c r="P123" s="431"/>
      <c r="Q123" s="431"/>
      <c r="T123" s="437"/>
    </row>
    <row r="124" spans="1:20">
      <c r="A124" s="396" t="s">
        <v>2530</v>
      </c>
      <c r="B124" s="431">
        <v>3.9882789796371783E-3</v>
      </c>
      <c r="C124" s="431">
        <v>1.6566735645601562E-3</v>
      </c>
      <c r="D124" s="479">
        <f t="shared" si="60"/>
        <v>1.4767783211973111E-3</v>
      </c>
      <c r="E124" s="479">
        <f t="shared" si="60"/>
        <v>1.2968830778344663E-3</v>
      </c>
      <c r="F124" s="479">
        <f t="shared" si="60"/>
        <v>1.1169878344716214E-3</v>
      </c>
      <c r="G124" s="479">
        <f t="shared" si="60"/>
        <v>9.3709259110877645E-4</v>
      </c>
      <c r="H124" s="479">
        <f t="shared" si="60"/>
        <v>7.5719734774593148E-4</v>
      </c>
      <c r="I124" s="479">
        <f t="shared" si="60"/>
        <v>5.7730210438308651E-4</v>
      </c>
      <c r="J124" s="479">
        <f t="shared" si="60"/>
        <v>3.9740686102024154E-4</v>
      </c>
      <c r="K124" s="479">
        <f t="shared" si="60"/>
        <v>2.1751161765739657E-4</v>
      </c>
      <c r="L124" s="479">
        <f t="shared" si="60"/>
        <v>3.7616374294551598E-5</v>
      </c>
      <c r="M124" s="439">
        <v>0.16</v>
      </c>
      <c r="N124" s="440">
        <f t="shared" si="61"/>
        <v>-1.7989524336284497E-4</v>
      </c>
      <c r="O124" s="431"/>
      <c r="P124" s="431"/>
      <c r="Q124" s="431"/>
      <c r="T124" s="437"/>
    </row>
    <row r="125" spans="1:20">
      <c r="A125" s="396" t="s">
        <v>2532</v>
      </c>
      <c r="B125" s="431">
        <v>5.1933567303878844E-3</v>
      </c>
      <c r="C125" s="431">
        <v>0</v>
      </c>
      <c r="D125" s="479">
        <f t="shared" si="60"/>
        <v>0</v>
      </c>
      <c r="E125" s="479">
        <f t="shared" si="60"/>
        <v>0</v>
      </c>
      <c r="F125" s="479">
        <f t="shared" si="60"/>
        <v>0</v>
      </c>
      <c r="G125" s="479">
        <f t="shared" si="60"/>
        <v>0</v>
      </c>
      <c r="H125" s="479">
        <f t="shared" si="60"/>
        <v>0</v>
      </c>
      <c r="I125" s="479">
        <f t="shared" si="60"/>
        <v>0</v>
      </c>
      <c r="J125" s="479">
        <f t="shared" si="60"/>
        <v>0</v>
      </c>
      <c r="K125" s="479">
        <f t="shared" si="60"/>
        <v>0</v>
      </c>
      <c r="L125" s="479">
        <f t="shared" si="60"/>
        <v>0</v>
      </c>
      <c r="M125" s="439">
        <v>0</v>
      </c>
      <c r="N125" s="440">
        <f t="shared" si="61"/>
        <v>0</v>
      </c>
      <c r="O125" s="431"/>
      <c r="P125" s="431"/>
      <c r="Q125" s="431"/>
      <c r="T125" s="437"/>
    </row>
    <row r="126" spans="1:20">
      <c r="A126" s="463">
        <v>2008</v>
      </c>
      <c r="B126" s="431">
        <v>8.3521500738770594E-4</v>
      </c>
      <c r="C126" s="431">
        <v>4.5350538107749947E-3</v>
      </c>
      <c r="D126" s="479">
        <f t="shared" si="60"/>
        <v>5.2607024167930366E-3</v>
      </c>
      <c r="E126" s="479">
        <f t="shared" si="60"/>
        <v>5.9863510228110785E-3</v>
      </c>
      <c r="F126" s="479">
        <f t="shared" si="60"/>
        <v>6.7119996288291205E-3</v>
      </c>
      <c r="G126" s="479">
        <f t="shared" si="60"/>
        <v>7.4376482348471624E-3</v>
      </c>
      <c r="H126" s="479">
        <f t="shared" si="60"/>
        <v>8.1632968408652043E-3</v>
      </c>
      <c r="I126" s="479">
        <f t="shared" si="60"/>
        <v>8.8889454468832462E-3</v>
      </c>
      <c r="J126" s="479">
        <f t="shared" si="60"/>
        <v>9.6145940529012881E-3</v>
      </c>
      <c r="K126" s="479">
        <f t="shared" si="60"/>
        <v>1.034024265891933E-2</v>
      </c>
      <c r="L126" s="479">
        <f t="shared" si="60"/>
        <v>1.1065891264937372E-2</v>
      </c>
      <c r="M126" s="439">
        <v>0.2</v>
      </c>
      <c r="N126" s="440">
        <f t="shared" si="61"/>
        <v>7.2564860601804192E-4</v>
      </c>
      <c r="O126" s="431"/>
      <c r="P126" s="431"/>
      <c r="Q126" s="431"/>
      <c r="T126" s="437"/>
    </row>
    <row r="127" spans="1:20">
      <c r="A127" s="396" t="s">
        <v>2535</v>
      </c>
      <c r="B127" s="431">
        <v>1.848677120010593E-3</v>
      </c>
      <c r="C127" s="431">
        <v>6.2572344360136856E-3</v>
      </c>
      <c r="D127" s="479">
        <f t="shared" si="60"/>
        <v>6.0831767215043129E-3</v>
      </c>
      <c r="E127" s="479">
        <f t="shared" si="60"/>
        <v>5.9091190069949402E-3</v>
      </c>
      <c r="F127" s="479">
        <f t="shared" si="60"/>
        <v>5.7350612924855675E-3</v>
      </c>
      <c r="G127" s="479">
        <f t="shared" si="60"/>
        <v>5.5610035779761948E-3</v>
      </c>
      <c r="H127" s="479">
        <f t="shared" si="60"/>
        <v>5.3869458634668221E-3</v>
      </c>
      <c r="I127" s="479">
        <f t="shared" si="60"/>
        <v>5.2128881489574494E-3</v>
      </c>
      <c r="J127" s="479">
        <f t="shared" si="60"/>
        <v>5.0388304344480767E-3</v>
      </c>
      <c r="K127" s="479">
        <f t="shared" si="60"/>
        <v>4.864772719938704E-3</v>
      </c>
      <c r="L127" s="479">
        <f t="shared" si="60"/>
        <v>4.6907150054293313E-3</v>
      </c>
      <c r="M127" s="439">
        <v>1</v>
      </c>
      <c r="N127" s="440">
        <f t="shared" si="61"/>
        <v>-1.7405771450937235E-4</v>
      </c>
      <c r="O127" s="431"/>
      <c r="P127" s="431"/>
      <c r="Q127" s="431"/>
      <c r="T127" s="437"/>
    </row>
    <row r="128" spans="1:20">
      <c r="A128" s="396" t="s">
        <v>2537</v>
      </c>
      <c r="B128" s="431">
        <v>0</v>
      </c>
      <c r="C128" s="431">
        <v>8.4045558850560703E-4</v>
      </c>
      <c r="D128" s="479">
        <f>C128+$N128</f>
        <v>1.8095179186479269E-3</v>
      </c>
      <c r="E128" s="479">
        <f t="shared" ref="E128:L128" si="72">D128+$N128</f>
        <v>2.7785802487902468E-3</v>
      </c>
      <c r="F128" s="479">
        <f t="shared" si="72"/>
        <v>3.7476425789325666E-3</v>
      </c>
      <c r="G128" s="479">
        <f t="shared" si="72"/>
        <v>4.7167049090748869E-3</v>
      </c>
      <c r="H128" s="479">
        <f t="shared" si="72"/>
        <v>5.6857672392172072E-3</v>
      </c>
      <c r="I128" s="479">
        <f t="shared" si="72"/>
        <v>6.6548295693595275E-3</v>
      </c>
      <c r="J128" s="479">
        <f t="shared" si="72"/>
        <v>7.6238918995018478E-3</v>
      </c>
      <c r="K128" s="479">
        <f t="shared" si="72"/>
        <v>8.5929542296441681E-3</v>
      </c>
      <c r="L128" s="479">
        <f t="shared" si="72"/>
        <v>9.5620165597864876E-3</v>
      </c>
      <c r="M128" s="439">
        <v>0.4</v>
      </c>
      <c r="N128" s="440">
        <f t="shared" si="61"/>
        <v>9.6906233014231998E-4</v>
      </c>
      <c r="O128" s="431"/>
      <c r="P128" s="431"/>
      <c r="Q128" s="431"/>
      <c r="T128" s="437"/>
    </row>
    <row r="129" spans="1:21">
      <c r="A129" s="396" t="s">
        <v>2539</v>
      </c>
      <c r="B129" s="431">
        <v>0</v>
      </c>
      <c r="C129" s="431">
        <v>0</v>
      </c>
      <c r="D129" s="479">
        <f t="shared" si="60"/>
        <v>1.0225610616075291E-3</v>
      </c>
      <c r="E129" s="479">
        <f t="shared" si="60"/>
        <v>2.0451221232150583E-3</v>
      </c>
      <c r="F129" s="479">
        <f t="shared" si="60"/>
        <v>3.0676831848225877E-3</v>
      </c>
      <c r="G129" s="479">
        <f t="shared" si="60"/>
        <v>4.0902442464301166E-3</v>
      </c>
      <c r="H129" s="479">
        <f t="shared" si="60"/>
        <v>5.1128053080376455E-3</v>
      </c>
      <c r="I129" s="479">
        <f t="shared" si="60"/>
        <v>6.1353663696451744E-3</v>
      </c>
      <c r="J129" s="479">
        <f t="shared" si="60"/>
        <v>7.1579274312527034E-3</v>
      </c>
      <c r="K129" s="479">
        <f t="shared" si="60"/>
        <v>8.1804884928602332E-3</v>
      </c>
      <c r="L129" s="479">
        <f t="shared" si="60"/>
        <v>9.203049554467763E-3</v>
      </c>
      <c r="M129" s="439">
        <v>0.4</v>
      </c>
      <c r="N129" s="440">
        <f t="shared" si="61"/>
        <v>1.0225610616075291E-3</v>
      </c>
      <c r="O129" s="431"/>
      <c r="P129" s="431"/>
      <c r="Q129" s="431"/>
      <c r="T129" s="437"/>
    </row>
    <row r="130" spans="1:21">
      <c r="A130" s="64" t="s">
        <v>2036</v>
      </c>
      <c r="B130" s="396"/>
      <c r="C130" s="394"/>
      <c r="D130" s="533"/>
      <c r="E130" s="395"/>
      <c r="F130" s="395"/>
      <c r="G130" s="410"/>
      <c r="H130" s="417"/>
      <c r="I130" s="402"/>
      <c r="J130" s="402"/>
      <c r="K130" s="402"/>
      <c r="L130" s="431"/>
      <c r="M130" s="431"/>
      <c r="N130" s="431"/>
      <c r="O130" s="431"/>
      <c r="P130" s="431"/>
      <c r="Q130" s="431"/>
      <c r="T130" s="437"/>
    </row>
    <row r="131" spans="1:21" ht="14.5">
      <c r="A131" s="215" t="s">
        <v>170</v>
      </c>
      <c r="B131" s="397">
        <v>16300</v>
      </c>
      <c r="C131" s="397">
        <v>41402</v>
      </c>
      <c r="D131" s="480">
        <f>D109*D107</f>
        <v>61526.158172933843</v>
      </c>
      <c r="E131" s="480">
        <f t="shared" ref="E131:L131" si="73">E109*E107</f>
        <v>67196.235104424122</v>
      </c>
      <c r="F131" s="480">
        <f t="shared" si="73"/>
        <v>73570.294404619519</v>
      </c>
      <c r="G131" s="480">
        <f t="shared" si="73"/>
        <v>79559.356044860091</v>
      </c>
      <c r="H131" s="480">
        <f t="shared" si="73"/>
        <v>85757.419752879214</v>
      </c>
      <c r="I131" s="480">
        <f t="shared" si="73"/>
        <v>91842.730808108492</v>
      </c>
      <c r="J131" s="480">
        <f t="shared" si="73"/>
        <v>97988.543999182977</v>
      </c>
      <c r="K131" s="480">
        <f t="shared" si="73"/>
        <v>104102.04321760971</v>
      </c>
      <c r="L131" s="480">
        <f t="shared" si="73"/>
        <v>110232.7308747229</v>
      </c>
      <c r="M131" s="431"/>
      <c r="N131" s="431"/>
      <c r="O131" s="431"/>
      <c r="P131" s="431"/>
      <c r="Q131" s="431"/>
      <c r="T131" s="437"/>
    </row>
    <row r="132" spans="1:21" ht="14.5">
      <c r="A132" s="215"/>
      <c r="B132" s="397"/>
      <c r="C132" s="397"/>
      <c r="D132" s="480"/>
      <c r="E132" s="480"/>
      <c r="F132" s="480"/>
      <c r="G132" s="480"/>
      <c r="H132" s="480"/>
      <c r="I132" s="480"/>
      <c r="J132" s="480"/>
      <c r="K132" s="480"/>
      <c r="L132" s="480"/>
      <c r="M132" s="431"/>
      <c r="N132" s="431"/>
      <c r="O132" s="431"/>
      <c r="P132" s="431"/>
      <c r="Q132" s="431"/>
      <c r="T132" s="437"/>
    </row>
    <row r="133" spans="1:21" s="421" customFormat="1">
      <c r="A133" s="421" t="s">
        <v>171</v>
      </c>
    </row>
    <row r="134" spans="1:21" s="400" customFormat="1" ht="70">
      <c r="A134" s="527" t="s">
        <v>0</v>
      </c>
      <c r="B134" s="527" t="s">
        <v>2018</v>
      </c>
      <c r="C134" s="527" t="s">
        <v>2019</v>
      </c>
      <c r="D134" s="527" t="s">
        <v>2020</v>
      </c>
      <c r="E134" s="527" t="s">
        <v>2021</v>
      </c>
      <c r="F134" s="527" t="s">
        <v>2022</v>
      </c>
      <c r="G134" s="527" t="s">
        <v>1840</v>
      </c>
      <c r="H134" s="527" t="s">
        <v>2023</v>
      </c>
      <c r="I134" s="527" t="s">
        <v>2024</v>
      </c>
      <c r="J134" s="527" t="s">
        <v>2025</v>
      </c>
      <c r="K134" s="527" t="s">
        <v>2456</v>
      </c>
      <c r="L134" s="527" t="s">
        <v>2027</v>
      </c>
      <c r="M134" s="527" t="s">
        <v>2028</v>
      </c>
      <c r="N134" s="527" t="s">
        <v>2457</v>
      </c>
      <c r="O134" s="527" t="s">
        <v>2030</v>
      </c>
      <c r="P134" s="527" t="s">
        <v>2031</v>
      </c>
      <c r="Q134" s="527" t="s">
        <v>2032</v>
      </c>
      <c r="R134" s="527" t="s">
        <v>2033</v>
      </c>
      <c r="S134" s="527" t="s">
        <v>2034</v>
      </c>
      <c r="T134" s="527" t="s">
        <v>2035</v>
      </c>
      <c r="U134" s="527"/>
    </row>
    <row r="135" spans="1:21" s="64" customFormat="1">
      <c r="A135" s="391" t="s">
        <v>25</v>
      </c>
      <c r="B135" s="392" t="s">
        <v>171</v>
      </c>
      <c r="C135" s="392" t="s">
        <v>2036</v>
      </c>
      <c r="D135" s="409" t="s">
        <v>2199</v>
      </c>
      <c r="E135" s="409" t="s">
        <v>2038</v>
      </c>
      <c r="F135" s="399" t="s">
        <v>2060</v>
      </c>
      <c r="G135" s="473">
        <v>21363.823</v>
      </c>
      <c r="H135" s="390" t="s">
        <v>2476</v>
      </c>
      <c r="I135" s="398">
        <v>0</v>
      </c>
      <c r="J135" s="398">
        <v>0</v>
      </c>
      <c r="K135" s="398">
        <v>54846</v>
      </c>
      <c r="L135" s="430">
        <v>0</v>
      </c>
      <c r="M135" s="430">
        <v>0</v>
      </c>
      <c r="N135" s="430">
        <v>2.1437349126339884E-2</v>
      </c>
      <c r="O135" s="436">
        <f t="shared" ref="O135:O154" si="74">M135-L135</f>
        <v>0</v>
      </c>
      <c r="P135" s="436">
        <f t="shared" ref="P135:P154" si="75">N135-M135</f>
        <v>2.1437349126339884E-2</v>
      </c>
      <c r="Q135" s="436">
        <f t="shared" ref="Q135:Q154" si="76">N135-L135</f>
        <v>2.1437349126339884E-2</v>
      </c>
      <c r="R135" s="436">
        <f>SUM(T136:T154)</f>
        <v>-1.1877213501082097E-2</v>
      </c>
      <c r="S135" s="553">
        <f>R135+T135</f>
        <v>3.0997484751597672E-2</v>
      </c>
      <c r="T135" s="436">
        <f>Q135/0.5</f>
        <v>4.2874698252679769E-2</v>
      </c>
    </row>
    <row r="136" spans="1:21">
      <c r="A136" s="394" t="s">
        <v>2064</v>
      </c>
      <c r="B136" t="s">
        <v>2472</v>
      </c>
      <c r="C136" s="320" t="s">
        <v>2036</v>
      </c>
      <c r="D136" s="533" t="s">
        <v>2199</v>
      </c>
      <c r="E136" s="395" t="s">
        <v>2038</v>
      </c>
      <c r="F136" s="395" t="s">
        <v>2043</v>
      </c>
      <c r="G136" s="474">
        <f>159800*0.155035</f>
        <v>24774.593000000001</v>
      </c>
      <c r="H136" s="529" t="s">
        <v>2463</v>
      </c>
      <c r="I136" s="402">
        <v>249983</v>
      </c>
      <c r="J136" s="402">
        <v>200502</v>
      </c>
      <c r="K136" s="402">
        <v>108248</v>
      </c>
      <c r="L136" s="431">
        <v>4.5329559239789728E-2</v>
      </c>
      <c r="M136" s="431">
        <v>3.5577351666103589E-2</v>
      </c>
      <c r="N136" s="431">
        <v>4.2310290052657254E-2</v>
      </c>
      <c r="O136" s="437">
        <f t="shared" si="74"/>
        <v>-9.7522075736861391E-3</v>
      </c>
      <c r="P136" s="437">
        <f t="shared" si="75"/>
        <v>6.7329383865536649E-3</v>
      </c>
      <c r="Q136" s="437">
        <f t="shared" si="76"/>
        <v>-3.0192691871324742E-3</v>
      </c>
      <c r="S136" s="467"/>
      <c r="T136" s="437">
        <f>Q136/2.5</f>
        <v>-1.2077076748529896E-3</v>
      </c>
      <c r="U136" s="467"/>
    </row>
    <row r="137" spans="1:21">
      <c r="A137" s="394" t="s">
        <v>2071</v>
      </c>
      <c r="B137" t="s">
        <v>2541</v>
      </c>
      <c r="C137" s="320" t="s">
        <v>2036</v>
      </c>
      <c r="D137" s="533" t="s">
        <v>2199</v>
      </c>
      <c r="E137" s="395" t="s">
        <v>2038</v>
      </c>
      <c r="F137" s="395" t="s">
        <v>2043</v>
      </c>
      <c r="G137" s="474">
        <f>144800*0.155035</f>
        <v>22449.067999999999</v>
      </c>
      <c r="H137" s="529" t="s">
        <v>2458</v>
      </c>
      <c r="I137" s="402">
        <v>147614</v>
      </c>
      <c r="J137" s="402">
        <v>164447</v>
      </c>
      <c r="K137" s="402">
        <v>53004</v>
      </c>
      <c r="L137" s="431">
        <v>2.6766930381755243E-2</v>
      </c>
      <c r="M137" s="431">
        <v>2.9179702693418203E-2</v>
      </c>
      <c r="N137" s="431">
        <v>2.0717376893347177E-2</v>
      </c>
      <c r="O137" s="437">
        <f t="shared" si="74"/>
        <v>2.4127723116629599E-3</v>
      </c>
      <c r="P137" s="437">
        <f t="shared" si="75"/>
        <v>-8.4623258000710265E-3</v>
      </c>
      <c r="Q137" s="437">
        <f t="shared" si="76"/>
        <v>-6.0495534884080666E-3</v>
      </c>
      <c r="S137" s="467"/>
      <c r="T137" s="437">
        <f t="shared" ref="T137:T153" si="77">Q137/2.5</f>
        <v>-2.4198213953632265E-3</v>
      </c>
      <c r="U137" s="467"/>
    </row>
    <row r="138" spans="1:21">
      <c r="A138" s="394" t="s">
        <v>2474</v>
      </c>
      <c r="B138" t="s">
        <v>2475</v>
      </c>
      <c r="C138" s="320" t="s">
        <v>2036</v>
      </c>
      <c r="D138" s="533" t="s">
        <v>2199</v>
      </c>
      <c r="E138" s="395" t="s">
        <v>2038</v>
      </c>
      <c r="F138" s="395" t="s">
        <v>2043</v>
      </c>
      <c r="G138" s="474">
        <f>141800*0.155035</f>
        <v>21983.963</v>
      </c>
      <c r="H138" s="529" t="s">
        <v>2476</v>
      </c>
      <c r="I138" s="402">
        <v>57096</v>
      </c>
      <c r="J138" s="402">
        <v>55856</v>
      </c>
      <c r="K138" s="402">
        <v>17169</v>
      </c>
      <c r="L138" s="431">
        <v>1.0353250078425471E-2</v>
      </c>
      <c r="M138" s="431">
        <v>9.9111657472837275E-3</v>
      </c>
      <c r="N138" s="431">
        <v>6.7107509599629777E-3</v>
      </c>
      <c r="O138" s="437">
        <f t="shared" si="74"/>
        <v>-4.4208433114174307E-4</v>
      </c>
      <c r="P138" s="437">
        <f t="shared" si="75"/>
        <v>-3.2004147873207498E-3</v>
      </c>
      <c r="Q138" s="437">
        <f t="shared" si="76"/>
        <v>-3.6424991184624929E-3</v>
      </c>
      <c r="S138" s="467"/>
      <c r="T138" s="437">
        <f t="shared" si="77"/>
        <v>-1.4569996473849972E-3</v>
      </c>
      <c r="U138" s="467"/>
    </row>
    <row r="139" spans="1:21">
      <c r="A139" s="394" t="s">
        <v>2046</v>
      </c>
      <c r="B139" t="s">
        <v>2477</v>
      </c>
      <c r="C139" s="320" t="s">
        <v>2036</v>
      </c>
      <c r="D139" s="533" t="s">
        <v>2199</v>
      </c>
      <c r="E139" s="395" t="s">
        <v>2038</v>
      </c>
      <c r="F139" s="395" t="s">
        <v>2043</v>
      </c>
      <c r="G139" s="474">
        <f>148800*0.155035</f>
        <v>23069.208000000002</v>
      </c>
      <c r="H139" s="529" t="s">
        <v>2458</v>
      </c>
      <c r="I139" s="402">
        <v>60737</v>
      </c>
      <c r="J139" s="402">
        <v>125939</v>
      </c>
      <c r="K139" s="402">
        <v>65350</v>
      </c>
      <c r="L139" s="431">
        <v>1.1013474674466299E-2</v>
      </c>
      <c r="M139" s="431">
        <v>2.2346790014450828E-2</v>
      </c>
      <c r="N139" s="431">
        <v>2.5542988830658777E-2</v>
      </c>
      <c r="O139" s="437">
        <f t="shared" si="74"/>
        <v>1.1333315339984528E-2</v>
      </c>
      <c r="P139" s="437">
        <f t="shared" si="75"/>
        <v>3.1961988162079492E-3</v>
      </c>
      <c r="Q139" s="437">
        <f t="shared" si="76"/>
        <v>1.4529514156192478E-2</v>
      </c>
      <c r="S139" s="467"/>
      <c r="T139" s="437">
        <f t="shared" si="77"/>
        <v>5.8118056624769914E-3</v>
      </c>
      <c r="U139" s="467"/>
    </row>
    <row r="140" spans="1:21">
      <c r="A140" s="394" t="s">
        <v>2478</v>
      </c>
      <c r="B140" t="s">
        <v>2479</v>
      </c>
      <c r="C140" s="320" t="s">
        <v>2036</v>
      </c>
      <c r="D140" s="533" t="s">
        <v>2199</v>
      </c>
      <c r="E140" s="395" t="s">
        <v>2038</v>
      </c>
      <c r="F140" s="395" t="s">
        <v>2043</v>
      </c>
      <c r="G140" s="474">
        <f>148000*0.155035</f>
        <v>22945.18</v>
      </c>
      <c r="H140" s="529" t="s">
        <v>2458</v>
      </c>
      <c r="I140" s="402">
        <v>42293</v>
      </c>
      <c r="J140" s="402">
        <v>11991</v>
      </c>
      <c r="K140" s="402">
        <v>0</v>
      </c>
      <c r="L140" s="431">
        <v>7.6690136886445361E-3</v>
      </c>
      <c r="M140" s="431">
        <v>2.1276995931624027E-3</v>
      </c>
      <c r="N140" s="431">
        <v>0</v>
      </c>
      <c r="O140" s="437">
        <f t="shared" si="74"/>
        <v>-5.5413140954821329E-3</v>
      </c>
      <c r="P140" s="437">
        <f t="shared" si="75"/>
        <v>-2.1276995931624027E-3</v>
      </c>
      <c r="Q140" s="437">
        <f t="shared" si="76"/>
        <v>-7.6690136886445361E-3</v>
      </c>
      <c r="S140" s="467"/>
      <c r="T140" s="437">
        <f>Q140/2.5</f>
        <v>-3.0676054754578143E-3</v>
      </c>
      <c r="U140" s="467"/>
    </row>
    <row r="141" spans="1:21">
      <c r="A141" s="394" t="s">
        <v>2053</v>
      </c>
      <c r="B141" t="s">
        <v>2480</v>
      </c>
      <c r="C141" s="320" t="s">
        <v>2036</v>
      </c>
      <c r="D141" s="533" t="s">
        <v>2199</v>
      </c>
      <c r="E141" s="395" t="s">
        <v>2038</v>
      </c>
      <c r="F141" s="395" t="s">
        <v>2043</v>
      </c>
      <c r="G141" s="474">
        <f>159800*0.155035</f>
        <v>24774.593000000001</v>
      </c>
      <c r="H141" s="529" t="s">
        <v>2463</v>
      </c>
      <c r="I141" s="402">
        <v>39513</v>
      </c>
      <c r="J141" s="402">
        <v>32780</v>
      </c>
      <c r="K141" s="402">
        <v>12274</v>
      </c>
      <c r="L141" s="431">
        <v>7.1649147111676054E-3</v>
      </c>
      <c r="M141" s="431">
        <v>5.8165284516607093E-3</v>
      </c>
      <c r="N141" s="431">
        <v>4.7974697001913671E-3</v>
      </c>
      <c r="O141" s="437">
        <f t="shared" si="74"/>
        <v>-1.348386259506896E-3</v>
      </c>
      <c r="P141" s="437">
        <f t="shared" si="75"/>
        <v>-1.0190587514693423E-3</v>
      </c>
      <c r="Q141" s="437">
        <f t="shared" si="76"/>
        <v>-2.3674450109762383E-3</v>
      </c>
      <c r="S141" s="467"/>
      <c r="T141" s="437">
        <f t="shared" si="77"/>
        <v>-9.4697800439049536E-4</v>
      </c>
      <c r="U141" s="467"/>
    </row>
    <row r="142" spans="1:21">
      <c r="A142" s="394" t="s">
        <v>2542</v>
      </c>
      <c r="B142" t="s">
        <v>2543</v>
      </c>
      <c r="C142" s="320" t="s">
        <v>2036</v>
      </c>
      <c r="D142" s="533" t="s">
        <v>2199</v>
      </c>
      <c r="E142" s="395" t="s">
        <v>2038</v>
      </c>
      <c r="F142" s="395" t="s">
        <v>2043</v>
      </c>
      <c r="G142" s="474">
        <f>119800*0.155035</f>
        <v>18573.192999999999</v>
      </c>
      <c r="H142" s="529" t="s">
        <v>2075</v>
      </c>
      <c r="I142" s="402">
        <v>31024</v>
      </c>
      <c r="J142" s="402">
        <v>33835</v>
      </c>
      <c r="K142" s="402">
        <v>4447</v>
      </c>
      <c r="L142" s="431">
        <v>5.6255995241885912E-3</v>
      </c>
      <c r="M142" s="431">
        <v>6.0037291080518636E-3</v>
      </c>
      <c r="N142" s="431">
        <v>1.7381740065790297E-3</v>
      </c>
      <c r="O142" s="437">
        <f t="shared" si="74"/>
        <v>3.7812958386327245E-4</v>
      </c>
      <c r="P142" s="437">
        <f t="shared" si="75"/>
        <v>-4.2655551014728343E-3</v>
      </c>
      <c r="Q142" s="437">
        <f t="shared" si="76"/>
        <v>-3.8874255176095615E-3</v>
      </c>
      <c r="S142" s="467"/>
      <c r="T142" s="437">
        <f t="shared" si="77"/>
        <v>-1.5549702070438245E-3</v>
      </c>
      <c r="U142" s="467"/>
    </row>
    <row r="143" spans="1:21">
      <c r="A143" s="394" t="s">
        <v>2049</v>
      </c>
      <c r="B143" t="s">
        <v>2544</v>
      </c>
      <c r="C143" s="320" t="s">
        <v>2036</v>
      </c>
      <c r="D143" s="533" t="s">
        <v>2199</v>
      </c>
      <c r="E143" s="395" t="s">
        <v>2038</v>
      </c>
      <c r="F143" s="395" t="s">
        <v>2043</v>
      </c>
      <c r="G143" s="474">
        <f>118800*0.155035</f>
        <v>18418.157999999999</v>
      </c>
      <c r="H143" s="529" t="s">
        <v>2075</v>
      </c>
      <c r="I143" s="402">
        <v>58277</v>
      </c>
      <c r="J143" s="402">
        <v>82924</v>
      </c>
      <c r="K143" s="402">
        <v>22300</v>
      </c>
      <c r="L143" s="431">
        <v>1.0567401478569447E-2</v>
      </c>
      <c r="M143" s="431">
        <v>1.4714149033725218E-2</v>
      </c>
      <c r="N143" s="431">
        <v>8.7162762191842508E-3</v>
      </c>
      <c r="O143" s="437">
        <f t="shared" si="74"/>
        <v>4.1467475551557713E-3</v>
      </c>
      <c r="P143" s="437">
        <f t="shared" si="75"/>
        <v>-5.9978728145409672E-3</v>
      </c>
      <c r="Q143" s="437">
        <f t="shared" si="76"/>
        <v>-1.851125259385196E-3</v>
      </c>
      <c r="S143" s="467"/>
      <c r="T143" s="437">
        <f t="shared" si="77"/>
        <v>-7.4045010375407838E-4</v>
      </c>
      <c r="U143" s="467"/>
    </row>
    <row r="144" spans="1:21">
      <c r="A144" s="394" t="s">
        <v>2545</v>
      </c>
      <c r="B144" t="s">
        <v>2546</v>
      </c>
      <c r="C144" s="320" t="s">
        <v>2036</v>
      </c>
      <c r="D144" s="533" t="s">
        <v>2199</v>
      </c>
      <c r="E144" s="395" t="s">
        <v>2038</v>
      </c>
      <c r="F144" s="395" t="s">
        <v>2043</v>
      </c>
      <c r="G144" s="474">
        <f>126900*0.155035</f>
        <v>19673.941500000001</v>
      </c>
      <c r="H144" s="529" t="s">
        <v>2075</v>
      </c>
      <c r="I144" s="402">
        <v>23295</v>
      </c>
      <c r="J144" s="402">
        <v>10281</v>
      </c>
      <c r="K144" s="402">
        <v>3358</v>
      </c>
      <c r="L144" s="431">
        <v>4.2240955684622623E-3</v>
      </c>
      <c r="M144" s="431">
        <v>1.8242748325663135E-3</v>
      </c>
      <c r="N144" s="431">
        <v>1.312522670135458E-3</v>
      </c>
      <c r="O144" s="437">
        <f t="shared" si="74"/>
        <v>-2.3998207358959488E-3</v>
      </c>
      <c r="P144" s="437">
        <f t="shared" si="75"/>
        <v>-5.1175216243085552E-4</v>
      </c>
      <c r="Q144" s="437">
        <f t="shared" si="76"/>
        <v>-2.9115728983268043E-3</v>
      </c>
      <c r="S144" s="467"/>
      <c r="T144" s="437">
        <f t="shared" si="77"/>
        <v>-1.1646291593307217E-3</v>
      </c>
      <c r="U144" s="467"/>
    </row>
    <row r="145" spans="1:21">
      <c r="A145" s="394" t="s">
        <v>2501</v>
      </c>
      <c r="B145" t="s">
        <v>2547</v>
      </c>
      <c r="C145" s="320" t="s">
        <v>2036</v>
      </c>
      <c r="D145" s="533" t="s">
        <v>2199</v>
      </c>
      <c r="E145" s="395" t="s">
        <v>2038</v>
      </c>
      <c r="F145" s="395" t="s">
        <v>2043</v>
      </c>
      <c r="G145" s="474">
        <f>119800*0.155035</f>
        <v>18573.192999999999</v>
      </c>
      <c r="H145" s="529" t="s">
        <v>2075</v>
      </c>
      <c r="I145" s="402">
        <v>20870</v>
      </c>
      <c r="J145" s="402">
        <v>13650</v>
      </c>
      <c r="K145" s="402">
        <v>4186</v>
      </c>
      <c r="L145" s="431">
        <v>3.7843689424257314E-3</v>
      </c>
      <c r="M145" s="431">
        <v>2.4220748433547495E-3</v>
      </c>
      <c r="N145" s="431">
        <v>1.6361583970181737E-3</v>
      </c>
      <c r="O145" s="437">
        <f t="shared" si="74"/>
        <v>-1.3622940990709819E-3</v>
      </c>
      <c r="P145" s="437">
        <f t="shared" si="75"/>
        <v>-7.8591644633657577E-4</v>
      </c>
      <c r="Q145" s="437">
        <f t="shared" si="76"/>
        <v>-2.1482105454075579E-3</v>
      </c>
      <c r="S145" s="467"/>
      <c r="T145" s="437">
        <f>Q145/2.5</f>
        <v>-8.5928421816302311E-4</v>
      </c>
      <c r="U145" s="467"/>
    </row>
    <row r="146" spans="1:21">
      <c r="A146" s="441" t="s">
        <v>2243</v>
      </c>
      <c r="B146" s="320" t="s">
        <v>214</v>
      </c>
      <c r="C146" s="320" t="s">
        <v>2252</v>
      </c>
      <c r="D146" s="528" t="s">
        <v>2199</v>
      </c>
      <c r="E146" s="528" t="s">
        <v>2038</v>
      </c>
      <c r="F146" s="549" t="s">
        <v>2060</v>
      </c>
      <c r="G146" s="474">
        <v>23224.243000000002</v>
      </c>
      <c r="H146" s="529" t="s">
        <v>2458</v>
      </c>
      <c r="I146" s="397">
        <v>11691</v>
      </c>
      <c r="J146" s="397">
        <v>29721</v>
      </c>
      <c r="K146" s="397">
        <v>10239</v>
      </c>
      <c r="L146" s="431">
        <v>2.1199356639146731E-3</v>
      </c>
      <c r="M146" s="431">
        <v>5.2737352688165939E-3</v>
      </c>
      <c r="N146" s="431">
        <v>4.0020606371402485E-3</v>
      </c>
      <c r="O146" s="437">
        <f t="shared" si="74"/>
        <v>3.1537996049019208E-3</v>
      </c>
      <c r="P146" s="437">
        <f t="shared" si="75"/>
        <v>-1.2716746316763453E-3</v>
      </c>
      <c r="Q146" s="437">
        <f t="shared" si="76"/>
        <v>1.8821249732255754E-3</v>
      </c>
      <c r="S146" s="467"/>
      <c r="T146" s="437">
        <f t="shared" si="77"/>
        <v>7.5284998929023013E-4</v>
      </c>
      <c r="U146" s="467"/>
    </row>
    <row r="147" spans="1:21">
      <c r="A147" s="320" t="s">
        <v>2459</v>
      </c>
      <c r="B147" s="320" t="s">
        <v>2460</v>
      </c>
      <c r="C147" s="320" t="s">
        <v>2036</v>
      </c>
      <c r="D147" s="528" t="s">
        <v>2199</v>
      </c>
      <c r="E147" s="528" t="s">
        <v>2038</v>
      </c>
      <c r="F147" s="549" t="s">
        <v>2060</v>
      </c>
      <c r="G147" s="474">
        <v>23224.240000000002</v>
      </c>
      <c r="H147" s="529" t="s">
        <v>2458</v>
      </c>
      <c r="I147" s="397">
        <v>22109</v>
      </c>
      <c r="J147" s="397">
        <v>12121</v>
      </c>
      <c r="K147" s="397">
        <v>2800</v>
      </c>
      <c r="L147" s="431">
        <v>4.0090375154810971E-3</v>
      </c>
      <c r="M147" s="431">
        <v>2.1507669726229242E-3</v>
      </c>
      <c r="N147" s="431">
        <v>1.0944203324536278E-3</v>
      </c>
      <c r="O147" s="437">
        <f t="shared" si="74"/>
        <v>-1.8582705428581729E-3</v>
      </c>
      <c r="P147" s="437">
        <f t="shared" si="75"/>
        <v>-1.0563466401692964E-3</v>
      </c>
      <c r="Q147" s="437">
        <f t="shared" si="76"/>
        <v>-2.9146171830274695E-3</v>
      </c>
      <c r="S147" s="467"/>
      <c r="T147" s="437">
        <f t="shared" si="77"/>
        <v>-1.1658468732109878E-3</v>
      </c>
      <c r="U147" s="467"/>
    </row>
    <row r="148" spans="1:21">
      <c r="A148" s="441" t="s">
        <v>2055</v>
      </c>
      <c r="B148" s="320" t="s">
        <v>2461</v>
      </c>
      <c r="C148" s="320" t="s">
        <v>2036</v>
      </c>
      <c r="D148" s="528" t="s">
        <v>2199</v>
      </c>
      <c r="E148" s="528" t="s">
        <v>2038</v>
      </c>
      <c r="F148" s="550" t="s">
        <v>2039</v>
      </c>
      <c r="G148" s="474">
        <v>23689.35</v>
      </c>
      <c r="H148" s="529" t="s">
        <v>2458</v>
      </c>
      <c r="I148" s="397">
        <v>289</v>
      </c>
      <c r="J148" s="397">
        <v>17349</v>
      </c>
      <c r="K148" s="397">
        <v>3402</v>
      </c>
      <c r="L148" s="431">
        <v>5.2404533989508212E-5</v>
      </c>
      <c r="M148" s="431">
        <v>3.0784305096968165E-3</v>
      </c>
      <c r="N148" s="431">
        <v>1.3297207039311579E-3</v>
      </c>
      <c r="O148" s="437">
        <f t="shared" si="74"/>
        <v>3.0260259757073082E-3</v>
      </c>
      <c r="P148" s="437">
        <f t="shared" si="75"/>
        <v>-1.7487098057656586E-3</v>
      </c>
      <c r="Q148" s="437">
        <f t="shared" si="76"/>
        <v>1.2773161699416496E-3</v>
      </c>
      <c r="S148" s="467"/>
      <c r="T148" s="437">
        <f t="shared" si="77"/>
        <v>5.109264679766599E-4</v>
      </c>
      <c r="U148" s="467"/>
    </row>
    <row r="149" spans="1:21">
      <c r="A149" s="441" t="s">
        <v>2041</v>
      </c>
      <c r="B149" s="320" t="s">
        <v>2462</v>
      </c>
      <c r="C149" s="320" t="s">
        <v>2036</v>
      </c>
      <c r="D149" s="528" t="s">
        <v>2199</v>
      </c>
      <c r="E149" s="528" t="s">
        <v>2038</v>
      </c>
      <c r="F149" s="550" t="s">
        <v>2039</v>
      </c>
      <c r="G149" s="474">
        <v>24154.45</v>
      </c>
      <c r="H149" s="529" t="s">
        <v>2463</v>
      </c>
      <c r="I149" s="397">
        <v>418</v>
      </c>
      <c r="J149" s="397">
        <v>1996</v>
      </c>
      <c r="K149" s="397">
        <v>18127</v>
      </c>
      <c r="L149" s="431">
        <v>7.579617718897728E-5</v>
      </c>
      <c r="M149" s="431">
        <v>3.5417299540923663E-4</v>
      </c>
      <c r="N149" s="431">
        <v>7.0851990594238967E-3</v>
      </c>
      <c r="O149" s="437">
        <f t="shared" si="74"/>
        <v>2.7837681822025933E-4</v>
      </c>
      <c r="P149" s="437">
        <f t="shared" si="75"/>
        <v>6.7310260640146601E-3</v>
      </c>
      <c r="Q149" s="437">
        <f t="shared" si="76"/>
        <v>7.0094028822349193E-3</v>
      </c>
      <c r="S149" s="467"/>
      <c r="T149" s="437">
        <f t="shared" si="77"/>
        <v>2.8037611528939676E-3</v>
      </c>
      <c r="U149" s="467"/>
    </row>
    <row r="150" spans="1:21">
      <c r="A150" s="441" t="s">
        <v>2464</v>
      </c>
      <c r="B150" s="320" t="s">
        <v>2465</v>
      </c>
      <c r="C150" s="320" t="s">
        <v>2252</v>
      </c>
      <c r="D150" s="528" t="s">
        <v>2199</v>
      </c>
      <c r="E150" s="528" t="s">
        <v>2038</v>
      </c>
      <c r="F150" s="549" t="s">
        <v>2060</v>
      </c>
      <c r="G150" s="474">
        <v>23239.746500000001</v>
      </c>
      <c r="H150" s="529" t="s">
        <v>2458</v>
      </c>
      <c r="I150" s="397">
        <v>0</v>
      </c>
      <c r="J150" s="397">
        <v>537</v>
      </c>
      <c r="K150" s="397">
        <v>714</v>
      </c>
      <c r="L150" s="431">
        <v>0</v>
      </c>
      <c r="M150" s="431">
        <v>9.5286021310000025E-5</v>
      </c>
      <c r="N150" s="431">
        <v>2.7907718477567509E-4</v>
      </c>
      <c r="O150" s="437">
        <f t="shared" si="74"/>
        <v>9.5286021310000025E-5</v>
      </c>
      <c r="P150" s="437">
        <f t="shared" si="75"/>
        <v>1.8379116346567507E-4</v>
      </c>
      <c r="Q150" s="437">
        <f t="shared" si="76"/>
        <v>2.7907718477567509E-4</v>
      </c>
      <c r="S150" s="467"/>
      <c r="T150" s="437">
        <f>Q150/1.5</f>
        <v>1.8605145651711674E-4</v>
      </c>
      <c r="U150" s="467"/>
    </row>
    <row r="151" spans="1:21">
      <c r="A151" s="320" t="s">
        <v>2466</v>
      </c>
      <c r="B151" s="320" t="s">
        <v>2467</v>
      </c>
      <c r="C151" s="320" t="s">
        <v>2036</v>
      </c>
      <c r="D151" s="528" t="s">
        <v>2199</v>
      </c>
      <c r="E151" s="528" t="s">
        <v>2038</v>
      </c>
      <c r="F151" s="428" t="s">
        <v>2043</v>
      </c>
      <c r="G151" s="474">
        <v>24014.92</v>
      </c>
      <c r="H151" s="529" t="s">
        <v>2463</v>
      </c>
      <c r="I151" s="397">
        <v>161193</v>
      </c>
      <c r="J151" s="397">
        <v>156890</v>
      </c>
      <c r="K151" s="397">
        <v>77365</v>
      </c>
      <c r="L151" s="431">
        <v>2.9229218156992379E-2</v>
      </c>
      <c r="M151" s="431">
        <v>2.7838778181240045E-2</v>
      </c>
      <c r="N151" s="431">
        <v>3.0239224650098186E-2</v>
      </c>
      <c r="O151" s="437">
        <f t="shared" si="74"/>
        <v>-1.3904399757523334E-3</v>
      </c>
      <c r="P151" s="437">
        <f t="shared" si="75"/>
        <v>2.4004464688581403E-3</v>
      </c>
      <c r="Q151" s="437">
        <f t="shared" si="76"/>
        <v>1.010006493105807E-3</v>
      </c>
      <c r="S151" s="467"/>
      <c r="T151" s="437">
        <f>Q151/1.5</f>
        <v>6.7333766207053802E-4</v>
      </c>
      <c r="U151" s="467"/>
    </row>
    <row r="152" spans="1:21">
      <c r="A152" s="441" t="s">
        <v>2468</v>
      </c>
      <c r="B152" s="320" t="s">
        <v>2469</v>
      </c>
      <c r="C152" s="320" t="s">
        <v>2036</v>
      </c>
      <c r="D152" s="528" t="s">
        <v>2199</v>
      </c>
      <c r="E152" s="528" t="s">
        <v>2038</v>
      </c>
      <c r="F152" s="428" t="s">
        <v>2043</v>
      </c>
      <c r="G152" s="474">
        <v>23689.35</v>
      </c>
      <c r="H152" s="529" t="s">
        <v>2458</v>
      </c>
      <c r="I152" s="397">
        <v>68750</v>
      </c>
      <c r="J152" s="397">
        <v>31751</v>
      </c>
      <c r="K152" s="397">
        <v>8296</v>
      </c>
      <c r="L152" s="431">
        <v>1.2466476511344946E-2</v>
      </c>
      <c r="M152" s="431">
        <v>5.633941271161659E-3</v>
      </c>
      <c r="N152" s="431">
        <v>3.2426110992983203E-3</v>
      </c>
      <c r="O152" s="437">
        <f t="shared" si="74"/>
        <v>-6.8325352401832871E-3</v>
      </c>
      <c r="P152" s="437">
        <f t="shared" si="75"/>
        <v>-2.3913301718633388E-3</v>
      </c>
      <c r="Q152" s="437">
        <f t="shared" si="76"/>
        <v>-9.2238654120466255E-3</v>
      </c>
      <c r="S152" s="467"/>
      <c r="T152" s="437">
        <f t="shared" si="77"/>
        <v>-3.6895461648186502E-3</v>
      </c>
      <c r="U152" s="467"/>
    </row>
    <row r="153" spans="1:21">
      <c r="A153" s="441" t="s">
        <v>2044</v>
      </c>
      <c r="B153" s="320" t="s">
        <v>2470</v>
      </c>
      <c r="C153" s="320" t="s">
        <v>2036</v>
      </c>
      <c r="D153" s="528" t="s">
        <v>2199</v>
      </c>
      <c r="E153" s="528" t="s">
        <v>2038</v>
      </c>
      <c r="F153" s="428" t="s">
        <v>2043</v>
      </c>
      <c r="G153" s="474">
        <v>23069.207999999999</v>
      </c>
      <c r="H153" s="529" t="s">
        <v>2458</v>
      </c>
      <c r="I153" s="397">
        <v>48796</v>
      </c>
      <c r="J153" s="397">
        <v>19383</v>
      </c>
      <c r="K153" s="397">
        <v>3160</v>
      </c>
      <c r="L153" s="431">
        <v>8.8482063686921887E-3</v>
      </c>
      <c r="M153" s="431">
        <v>3.4393462775637439E-3</v>
      </c>
      <c r="N153" s="431">
        <v>1.2351315180548087E-3</v>
      </c>
      <c r="O153" s="437">
        <f t="shared" si="74"/>
        <v>-5.4088600911284448E-3</v>
      </c>
      <c r="P153" s="437">
        <f t="shared" si="75"/>
        <v>-2.2042147595089353E-3</v>
      </c>
      <c r="Q153" s="437">
        <f t="shared" si="76"/>
        <v>-7.61307485063738E-3</v>
      </c>
      <c r="S153" s="467"/>
      <c r="T153" s="437">
        <f t="shared" si="77"/>
        <v>-3.045229940254952E-3</v>
      </c>
      <c r="U153" s="467"/>
    </row>
    <row r="154" spans="1:21">
      <c r="A154" s="441" t="s">
        <v>2066</v>
      </c>
      <c r="B154" s="320" t="s">
        <v>2471</v>
      </c>
      <c r="C154" s="320" t="s">
        <v>2252</v>
      </c>
      <c r="D154" s="528" t="s">
        <v>2199</v>
      </c>
      <c r="E154" s="528" t="s">
        <v>2038</v>
      </c>
      <c r="F154" s="428" t="s">
        <v>2043</v>
      </c>
      <c r="G154" s="474">
        <v>24169.96</v>
      </c>
      <c r="H154" s="529" t="s">
        <v>2463</v>
      </c>
      <c r="I154" s="397">
        <v>21400</v>
      </c>
      <c r="J154" s="397">
        <v>4700</v>
      </c>
      <c r="K154" s="397">
        <v>1633</v>
      </c>
      <c r="L154" s="431">
        <v>3.8804741431677364E-3</v>
      </c>
      <c r="M154" s="431">
        <v>8.3397448818808221E-4</v>
      </c>
      <c r="N154" s="431">
        <v>6.3828157246313363E-4</v>
      </c>
      <c r="O154" s="437">
        <f t="shared" si="74"/>
        <v>-3.0464996549796541E-3</v>
      </c>
      <c r="P154" s="437">
        <f t="shared" si="75"/>
        <v>-1.9569291572494858E-4</v>
      </c>
      <c r="Q154" s="437">
        <f t="shared" si="76"/>
        <v>-3.242192570704603E-3</v>
      </c>
      <c r="S154" s="467"/>
      <c r="T154" s="437">
        <f>Q154/2.5</f>
        <v>-1.2968770282818412E-3</v>
      </c>
      <c r="U154" s="467"/>
    </row>
    <row r="155" spans="1:21">
      <c r="A155" t="s">
        <v>24</v>
      </c>
      <c r="B155" s="397"/>
      <c r="C155" s="397"/>
      <c r="D155" s="480"/>
      <c r="E155" s="480"/>
      <c r="F155" s="480"/>
      <c r="G155" s="480"/>
      <c r="H155" s="480"/>
      <c r="I155" s="480">
        <f t="shared" ref="I155:Q155" si="78">SUM(I135:I154)</f>
        <v>1065348</v>
      </c>
      <c r="J155" s="480">
        <f t="shared" si="78"/>
        <v>1006653</v>
      </c>
      <c r="K155" s="480">
        <f t="shared" si="78"/>
        <v>470918</v>
      </c>
      <c r="L155" s="479">
        <f t="shared" si="78"/>
        <v>0.19318015735866639</v>
      </c>
      <c r="M155" s="479">
        <f t="shared" si="78"/>
        <v>0.1786218979697867</v>
      </c>
      <c r="N155" s="479">
        <f t="shared" si="78"/>
        <v>0.18406508361371343</v>
      </c>
      <c r="O155" s="479">
        <f t="shared" si="78"/>
        <v>-1.4558259388879714E-2</v>
      </c>
      <c r="P155" s="479">
        <f t="shared" si="78"/>
        <v>5.4431856439266998E-3</v>
      </c>
      <c r="Q155" s="479">
        <f t="shared" si="78"/>
        <v>-9.1150737449530207E-3</v>
      </c>
      <c r="T155" s="437"/>
    </row>
    <row r="156" spans="1:21">
      <c r="A156" s="64" t="s">
        <v>2218</v>
      </c>
      <c r="B156" s="397"/>
      <c r="C156" s="397"/>
      <c r="D156" s="480"/>
      <c r="E156" s="480"/>
      <c r="F156" s="480"/>
      <c r="G156" s="480"/>
      <c r="H156" s="480"/>
      <c r="I156" s="480"/>
      <c r="J156" s="480"/>
      <c r="K156" s="480"/>
      <c r="L156" s="480"/>
      <c r="M156" s="431"/>
      <c r="N156" s="431"/>
      <c r="O156" s="444"/>
      <c r="P156" s="444"/>
      <c r="Q156" s="444"/>
      <c r="T156" s="437"/>
    </row>
    <row r="157" spans="1:21">
      <c r="A157" t="s">
        <v>2540</v>
      </c>
      <c r="B157">
        <v>2020</v>
      </c>
      <c r="C157">
        <v>2021</v>
      </c>
      <c r="D157" t="s">
        <v>14</v>
      </c>
      <c r="E157" t="s">
        <v>11</v>
      </c>
      <c r="F157" t="s">
        <v>12</v>
      </c>
      <c r="G157" t="s">
        <v>13</v>
      </c>
      <c r="H157" t="s">
        <v>2220</v>
      </c>
      <c r="I157" t="s">
        <v>2221</v>
      </c>
      <c r="J157" t="s">
        <v>2222</v>
      </c>
      <c r="K157" t="s">
        <v>2223</v>
      </c>
      <c r="L157" t="s">
        <v>2224</v>
      </c>
      <c r="M157" t="s">
        <v>2482</v>
      </c>
      <c r="N157" t="s">
        <v>2225</v>
      </c>
      <c r="O157" t="s">
        <v>2226</v>
      </c>
      <c r="P157" s="444"/>
      <c r="Q157" s="444"/>
      <c r="T157" s="437"/>
    </row>
    <row r="158" spans="1:21">
      <c r="A158" t="s">
        <v>2227</v>
      </c>
      <c r="B158" s="405">
        <v>5514790</v>
      </c>
      <c r="C158" s="405">
        <v>5635664</v>
      </c>
      <c r="D158" s="466">
        <f>AVERAGE(B158:C158)</f>
        <v>5575227</v>
      </c>
      <c r="E158" s="466">
        <f t="shared" ref="E158:L158" si="79">AVERAGE(C158:D158)</f>
        <v>5605445.5</v>
      </c>
      <c r="F158" s="466">
        <f t="shared" si="79"/>
        <v>5590336.25</v>
      </c>
      <c r="G158" s="466">
        <f t="shared" si="79"/>
        <v>5597890.875</v>
      </c>
      <c r="H158" s="466">
        <f t="shared" si="79"/>
        <v>5594113.5625</v>
      </c>
      <c r="I158" s="466">
        <f t="shared" si="79"/>
        <v>5596002.21875</v>
      </c>
      <c r="J158" s="466">
        <f t="shared" si="79"/>
        <v>5595057.890625</v>
      </c>
      <c r="K158" s="466">
        <f t="shared" si="79"/>
        <v>5595530.0546875</v>
      </c>
      <c r="L158" s="466">
        <f t="shared" si="79"/>
        <v>5595293.97265625</v>
      </c>
      <c r="N158" s="431"/>
      <c r="O158" s="554" t="s">
        <v>162</v>
      </c>
      <c r="P158" s="444"/>
      <c r="Q158" s="444"/>
      <c r="T158" s="437"/>
    </row>
    <row r="159" spans="1:21">
      <c r="A159" s="64" t="s">
        <v>2228</v>
      </c>
      <c r="B159" s="405"/>
      <c r="C159" s="405"/>
      <c r="D159" s="466"/>
      <c r="E159" s="466"/>
      <c r="F159" s="466"/>
      <c r="G159" s="466"/>
      <c r="H159" s="466"/>
      <c r="I159" s="466"/>
      <c r="J159" s="466"/>
      <c r="K159" s="466"/>
      <c r="L159" s="466"/>
      <c r="N159" s="431"/>
      <c r="O159" s="554"/>
      <c r="P159" s="444"/>
      <c r="Q159" s="444"/>
      <c r="T159" s="437"/>
    </row>
    <row r="160" spans="1:21">
      <c r="A160" s="392" t="s">
        <v>171</v>
      </c>
      <c r="B160" s="430">
        <f t="shared" ref="B160:B179" si="80">L135</f>
        <v>0</v>
      </c>
      <c r="C160" s="430">
        <f t="shared" ref="C160:C179" si="81">M135</f>
        <v>0</v>
      </c>
      <c r="D160" s="296">
        <f>N135+$O160/2</f>
        <v>3.092045323922062E-2</v>
      </c>
      <c r="E160" s="479">
        <f t="shared" ref="E160:L169" si="82">D160+$O160</f>
        <v>4.9886661464982093E-2</v>
      </c>
      <c r="F160" s="479">
        <f t="shared" si="82"/>
        <v>6.8852869690743557E-2</v>
      </c>
      <c r="G160" s="479">
        <f t="shared" si="82"/>
        <v>8.7819077916505034E-2</v>
      </c>
      <c r="H160" s="479">
        <f t="shared" si="82"/>
        <v>0.10678528614226651</v>
      </c>
      <c r="I160" s="479">
        <f t="shared" si="82"/>
        <v>0.12575149436802799</v>
      </c>
      <c r="J160" s="479">
        <f t="shared" si="82"/>
        <v>0.14471770259378947</v>
      </c>
      <c r="K160" s="479">
        <f t="shared" si="82"/>
        <v>0.16368391081955094</v>
      </c>
      <c r="L160" s="479">
        <f t="shared" si="82"/>
        <v>0.18265011904531242</v>
      </c>
      <c r="N160" s="431"/>
      <c r="O160" s="437">
        <f>-SUM(O161:O179)+S135*0.5</f>
        <v>1.896620822576147E-2</v>
      </c>
      <c r="P160" s="444"/>
      <c r="Q160" s="444"/>
      <c r="T160" s="437"/>
    </row>
    <row r="161" spans="1:20">
      <c r="A161" t="s">
        <v>2472</v>
      </c>
      <c r="B161" s="431">
        <f t="shared" si="80"/>
        <v>4.5329559239789728E-2</v>
      </c>
      <c r="C161" s="431">
        <f t="shared" si="81"/>
        <v>3.5577351666103589E-2</v>
      </c>
      <c r="D161" s="479">
        <f t="shared" ref="D161:D179" si="83">C161+$O161</f>
        <v>3.5174782441152595E-2</v>
      </c>
      <c r="E161" s="479">
        <f t="shared" si="82"/>
        <v>3.4772213216201601E-2</v>
      </c>
      <c r="F161" s="479">
        <f t="shared" si="82"/>
        <v>3.4369643991250608E-2</v>
      </c>
      <c r="G161" s="479">
        <f t="shared" si="82"/>
        <v>3.3967074766299614E-2</v>
      </c>
      <c r="H161" s="479">
        <f t="shared" si="82"/>
        <v>3.356450554134862E-2</v>
      </c>
      <c r="I161" s="479">
        <f t="shared" si="82"/>
        <v>3.3161936316397626E-2</v>
      </c>
      <c r="J161" s="479">
        <f t="shared" si="82"/>
        <v>3.2759367091446633E-2</v>
      </c>
      <c r="K161" s="479">
        <f t="shared" si="82"/>
        <v>3.2356797866495639E-2</v>
      </c>
      <c r="L161" s="479">
        <f t="shared" si="82"/>
        <v>3.1954228641544645E-2</v>
      </c>
      <c r="M161" t="s">
        <v>2548</v>
      </c>
      <c r="N161" s="555">
        <f t="shared" ref="N161:N166" si="84">N36</f>
        <v>0.33333333333333331</v>
      </c>
      <c r="O161" s="440">
        <f t="shared" ref="O161:O179" si="85">N161*T136</f>
        <v>-4.025692249509965E-4</v>
      </c>
      <c r="P161" s="444"/>
      <c r="Q161" s="444"/>
      <c r="T161" s="437"/>
    </row>
    <row r="162" spans="1:20">
      <c r="A162" t="s">
        <v>2473</v>
      </c>
      <c r="B162" s="431">
        <f t="shared" si="80"/>
        <v>2.6766930381755243E-2</v>
      </c>
      <c r="C162" s="431">
        <f t="shared" si="81"/>
        <v>2.9179702693418203E-2</v>
      </c>
      <c r="D162" s="479">
        <f t="shared" si="83"/>
        <v>2.7969791995736591E-2</v>
      </c>
      <c r="E162" s="479">
        <f t="shared" si="82"/>
        <v>2.6759881298054979E-2</v>
      </c>
      <c r="F162" s="479">
        <f t="shared" si="82"/>
        <v>2.5549970600373367E-2</v>
      </c>
      <c r="G162" s="479">
        <f t="shared" si="82"/>
        <v>2.4340059902691755E-2</v>
      </c>
      <c r="H162" s="479">
        <f t="shared" si="82"/>
        <v>2.3130149205010143E-2</v>
      </c>
      <c r="I162" s="479">
        <f t="shared" si="82"/>
        <v>2.1920238507328531E-2</v>
      </c>
      <c r="J162" s="479">
        <f t="shared" si="82"/>
        <v>2.071032780964692E-2</v>
      </c>
      <c r="K162" s="479">
        <f t="shared" si="82"/>
        <v>1.9500417111965308E-2</v>
      </c>
      <c r="L162" s="479">
        <f t="shared" si="82"/>
        <v>1.8290506414283696E-2</v>
      </c>
      <c r="M162" t="s">
        <v>2548</v>
      </c>
      <c r="N162" s="555">
        <f t="shared" si="84"/>
        <v>0.5</v>
      </c>
      <c r="O162" s="440">
        <f t="shared" si="85"/>
        <v>-1.2099106976816132E-3</v>
      </c>
      <c r="P162" s="444"/>
      <c r="Q162" s="444"/>
      <c r="T162" s="437"/>
    </row>
    <row r="163" spans="1:20">
      <c r="A163" t="s">
        <v>2475</v>
      </c>
      <c r="B163" s="431">
        <f t="shared" si="80"/>
        <v>1.0353250078425471E-2</v>
      </c>
      <c r="C163" s="431">
        <f t="shared" si="81"/>
        <v>9.9111657472837275E-3</v>
      </c>
      <c r="D163" s="479">
        <f t="shared" si="83"/>
        <v>9.1826659235912291E-3</v>
      </c>
      <c r="E163" s="479">
        <f t="shared" si="82"/>
        <v>8.4541660998987307E-3</v>
      </c>
      <c r="F163" s="479">
        <f t="shared" si="82"/>
        <v>7.7256662762062323E-3</v>
      </c>
      <c r="G163" s="479">
        <f t="shared" si="82"/>
        <v>6.9971664525137339E-3</v>
      </c>
      <c r="H163" s="479">
        <f t="shared" si="82"/>
        <v>6.2686666288212355E-3</v>
      </c>
      <c r="I163" s="479">
        <f t="shared" si="82"/>
        <v>5.5401668051287371E-3</v>
      </c>
      <c r="J163" s="479">
        <f t="shared" si="82"/>
        <v>4.8116669814362387E-3</v>
      </c>
      <c r="K163" s="479">
        <f t="shared" si="82"/>
        <v>4.0831671577437403E-3</v>
      </c>
      <c r="L163" s="479">
        <f t="shared" si="82"/>
        <v>3.3546673340512419E-3</v>
      </c>
      <c r="M163" t="s">
        <v>2548</v>
      </c>
      <c r="N163" s="555">
        <f t="shared" si="84"/>
        <v>0.5</v>
      </c>
      <c r="O163" s="440">
        <f t="shared" si="85"/>
        <v>-7.2849982369249861E-4</v>
      </c>
      <c r="P163" s="444"/>
      <c r="Q163" s="444"/>
      <c r="T163" s="437"/>
    </row>
    <row r="164" spans="1:20">
      <c r="A164" t="s">
        <v>2477</v>
      </c>
      <c r="B164" s="431">
        <f t="shared" si="80"/>
        <v>1.1013474674466299E-2</v>
      </c>
      <c r="C164" s="431">
        <f t="shared" si="81"/>
        <v>2.2346790014450828E-2</v>
      </c>
      <c r="D164" s="479">
        <f t="shared" si="83"/>
        <v>2.3315424291530325E-2</v>
      </c>
      <c r="E164" s="479">
        <f t="shared" si="82"/>
        <v>2.4284058568609823E-2</v>
      </c>
      <c r="F164" s="479">
        <f t="shared" si="82"/>
        <v>2.5252692845689321E-2</v>
      </c>
      <c r="G164" s="479">
        <f t="shared" si="82"/>
        <v>2.6221327122768819E-2</v>
      </c>
      <c r="H164" s="479">
        <f t="shared" si="82"/>
        <v>2.7189961399848316E-2</v>
      </c>
      <c r="I164" s="479">
        <f t="shared" si="82"/>
        <v>2.8158595676927814E-2</v>
      </c>
      <c r="J164" s="479">
        <f t="shared" si="82"/>
        <v>2.9127229954007312E-2</v>
      </c>
      <c r="K164" s="479">
        <f t="shared" si="82"/>
        <v>3.0095864231086809E-2</v>
      </c>
      <c r="L164" s="479">
        <f t="shared" si="82"/>
        <v>3.1064498508166307E-2</v>
      </c>
      <c r="M164" t="s">
        <v>2548</v>
      </c>
      <c r="N164" s="555">
        <f t="shared" si="84"/>
        <v>0.16666666666666666</v>
      </c>
      <c r="O164" s="440">
        <f t="shared" si="85"/>
        <v>9.6863427707949857E-4</v>
      </c>
      <c r="P164" s="444"/>
      <c r="Q164" s="444"/>
      <c r="T164" s="437"/>
    </row>
    <row r="165" spans="1:20">
      <c r="A165" t="s">
        <v>2479</v>
      </c>
      <c r="B165" s="431">
        <f t="shared" si="80"/>
        <v>7.6690136886445361E-3</v>
      </c>
      <c r="C165" s="431">
        <f t="shared" si="81"/>
        <v>2.1276995931624027E-3</v>
      </c>
      <c r="D165" s="479">
        <f t="shared" si="83"/>
        <v>1.8917299412041092E-3</v>
      </c>
      <c r="E165" s="479">
        <f t="shared" si="82"/>
        <v>1.6557602892458157E-3</v>
      </c>
      <c r="F165" s="479">
        <f t="shared" si="82"/>
        <v>1.4197906372875222E-3</v>
      </c>
      <c r="G165" s="479">
        <f t="shared" si="82"/>
        <v>1.1838209853292287E-3</v>
      </c>
      <c r="H165" s="479">
        <f t="shared" si="82"/>
        <v>9.4785133337093534E-4</v>
      </c>
      <c r="I165" s="479">
        <f t="shared" si="82"/>
        <v>7.1188168141264195E-4</v>
      </c>
      <c r="J165" s="479">
        <f t="shared" si="82"/>
        <v>4.7591202945434857E-4</v>
      </c>
      <c r="K165" s="479">
        <f t="shared" si="82"/>
        <v>2.3994237749605515E-4</v>
      </c>
      <c r="L165" s="479">
        <f t="shared" si="82"/>
        <v>3.9727255377617417E-6</v>
      </c>
      <c r="M165" t="s">
        <v>2548</v>
      </c>
      <c r="N165" s="555">
        <f t="shared" si="84"/>
        <v>7.6923076923076927E-2</v>
      </c>
      <c r="O165" s="440">
        <f t="shared" si="85"/>
        <v>-2.3596965195829341E-4</v>
      </c>
      <c r="P165" s="444"/>
      <c r="Q165" s="444"/>
      <c r="T165" s="437"/>
    </row>
    <row r="166" spans="1:20">
      <c r="A166" t="s">
        <v>2480</v>
      </c>
      <c r="B166" s="431">
        <f t="shared" si="80"/>
        <v>7.1649147111676054E-3</v>
      </c>
      <c r="C166" s="431">
        <f t="shared" si="81"/>
        <v>5.8165284516607093E-3</v>
      </c>
      <c r="D166" s="479">
        <f t="shared" si="83"/>
        <v>5.3430394494654613E-3</v>
      </c>
      <c r="E166" s="479">
        <f t="shared" si="82"/>
        <v>4.8695504472702133E-3</v>
      </c>
      <c r="F166" s="479">
        <f t="shared" si="82"/>
        <v>4.3960614450749653E-3</v>
      </c>
      <c r="G166" s="479">
        <f t="shared" si="82"/>
        <v>3.9225724428797173E-3</v>
      </c>
      <c r="H166" s="479">
        <f t="shared" si="82"/>
        <v>3.4490834406844697E-3</v>
      </c>
      <c r="I166" s="479">
        <f t="shared" si="82"/>
        <v>2.9755944384892222E-3</v>
      </c>
      <c r="J166" s="479">
        <f t="shared" si="82"/>
        <v>2.5021054362939746E-3</v>
      </c>
      <c r="K166" s="479">
        <f t="shared" si="82"/>
        <v>2.028616434098727E-3</v>
      </c>
      <c r="L166" s="479">
        <f t="shared" si="82"/>
        <v>1.5551274319034795E-3</v>
      </c>
      <c r="M166" t="s">
        <v>2548</v>
      </c>
      <c r="N166" s="555">
        <f t="shared" si="84"/>
        <v>0.5</v>
      </c>
      <c r="O166" s="440">
        <f t="shared" si="85"/>
        <v>-4.7348900219524768E-4</v>
      </c>
      <c r="P166" s="444"/>
      <c r="Q166" s="444"/>
      <c r="T166" s="437"/>
    </row>
    <row r="167" spans="1:20">
      <c r="A167" t="s">
        <v>2543</v>
      </c>
      <c r="B167" s="431">
        <f t="shared" si="80"/>
        <v>5.6255995241885912E-3</v>
      </c>
      <c r="C167" s="431">
        <f t="shared" si="81"/>
        <v>6.0037291080518636E-3</v>
      </c>
      <c r="D167" s="479">
        <f t="shared" si="83"/>
        <v>5.3817410252343335E-3</v>
      </c>
      <c r="E167" s="479">
        <f t="shared" si="82"/>
        <v>4.7597529424168034E-3</v>
      </c>
      <c r="F167" s="479">
        <f t="shared" si="82"/>
        <v>4.1377648595992732E-3</v>
      </c>
      <c r="G167" s="479">
        <f t="shared" si="82"/>
        <v>3.5157767767817435E-3</v>
      </c>
      <c r="H167" s="479">
        <f t="shared" si="82"/>
        <v>2.8937886939642138E-3</v>
      </c>
      <c r="I167" s="479">
        <f t="shared" si="82"/>
        <v>2.2718006111466841E-3</v>
      </c>
      <c r="J167" s="479">
        <f t="shared" si="82"/>
        <v>1.6498125283291544E-3</v>
      </c>
      <c r="K167" s="479">
        <f t="shared" si="82"/>
        <v>1.0278244455116247E-3</v>
      </c>
      <c r="L167" s="479">
        <f t="shared" si="82"/>
        <v>4.0583636269409483E-4</v>
      </c>
      <c r="N167" s="439">
        <v>0.4</v>
      </c>
      <c r="O167" s="440">
        <f t="shared" si="85"/>
        <v>-6.2198808281752982E-4</v>
      </c>
      <c r="P167" s="444"/>
      <c r="Q167" s="444"/>
      <c r="T167" s="437"/>
    </row>
    <row r="168" spans="1:20">
      <c r="A168" t="s">
        <v>2544</v>
      </c>
      <c r="B168" s="431">
        <f t="shared" si="80"/>
        <v>1.0567401478569447E-2</v>
      </c>
      <c r="C168" s="431">
        <f t="shared" si="81"/>
        <v>1.4714149033725218E-2</v>
      </c>
      <c r="D168" s="479">
        <f t="shared" si="83"/>
        <v>1.397369892997114E-2</v>
      </c>
      <c r="E168" s="479">
        <f t="shared" si="82"/>
        <v>1.3233248826217061E-2</v>
      </c>
      <c r="F168" s="479">
        <f t="shared" si="82"/>
        <v>1.2492798722462983E-2</v>
      </c>
      <c r="G168" s="479">
        <f t="shared" si="82"/>
        <v>1.1752348618708905E-2</v>
      </c>
      <c r="H168" s="479">
        <f t="shared" si="82"/>
        <v>1.1011898514954826E-2</v>
      </c>
      <c r="I168" s="479">
        <f t="shared" si="82"/>
        <v>1.0271448411200748E-2</v>
      </c>
      <c r="J168" s="479">
        <f t="shared" si="82"/>
        <v>9.5309983074466694E-3</v>
      </c>
      <c r="K168" s="479">
        <f t="shared" si="82"/>
        <v>8.790548203692591E-3</v>
      </c>
      <c r="L168" s="479">
        <f t="shared" si="82"/>
        <v>8.0500980999385126E-3</v>
      </c>
      <c r="N168" s="439">
        <v>1</v>
      </c>
      <c r="O168" s="440">
        <f t="shared" si="85"/>
        <v>-7.4045010375407838E-4</v>
      </c>
      <c r="P168" s="444"/>
      <c r="Q168" s="444"/>
      <c r="T168" s="437"/>
    </row>
    <row r="169" spans="1:20">
      <c r="A169" t="s">
        <v>2546</v>
      </c>
      <c r="B169" s="431">
        <f t="shared" si="80"/>
        <v>4.2240955684622623E-3</v>
      </c>
      <c r="C169" s="431">
        <f t="shared" si="81"/>
        <v>1.8242748325663135E-3</v>
      </c>
      <c r="D169" s="479">
        <f t="shared" si="83"/>
        <v>1.6262878754800909E-3</v>
      </c>
      <c r="E169" s="479">
        <f t="shared" si="82"/>
        <v>1.4283009183938683E-3</v>
      </c>
      <c r="F169" s="479">
        <f t="shared" si="82"/>
        <v>1.2303139613076457E-3</v>
      </c>
      <c r="G169" s="479">
        <f t="shared" si="82"/>
        <v>1.0323270042214231E-3</v>
      </c>
      <c r="H169" s="479">
        <f t="shared" si="82"/>
        <v>8.343400471352004E-4</v>
      </c>
      <c r="I169" s="479">
        <f t="shared" si="82"/>
        <v>6.363530900489777E-4</v>
      </c>
      <c r="J169" s="479">
        <f t="shared" si="82"/>
        <v>4.3836613296275499E-4</v>
      </c>
      <c r="K169" s="479">
        <f t="shared" si="82"/>
        <v>2.4037917587653229E-4</v>
      </c>
      <c r="L169" s="479">
        <f t="shared" si="82"/>
        <v>4.2392218790309583E-5</v>
      </c>
      <c r="N169" s="439">
        <v>0.17</v>
      </c>
      <c r="O169" s="440">
        <f t="shared" si="85"/>
        <v>-1.9798695708622271E-4</v>
      </c>
      <c r="P169" s="444"/>
      <c r="Q169" s="444"/>
      <c r="T169" s="437"/>
    </row>
    <row r="170" spans="1:20">
      <c r="A170" t="s">
        <v>2547</v>
      </c>
      <c r="B170" s="431">
        <f t="shared" si="80"/>
        <v>3.7843689424257314E-3</v>
      </c>
      <c r="C170" s="431">
        <f t="shared" si="81"/>
        <v>2.4220748433547495E-3</v>
      </c>
      <c r="D170" s="479">
        <f t="shared" si="83"/>
        <v>2.1556967357242124E-3</v>
      </c>
      <c r="E170" s="479">
        <f t="shared" ref="E170:L179" si="86">D170+$O170</f>
        <v>1.8893186280936752E-3</v>
      </c>
      <c r="F170" s="479">
        <f t="shared" si="86"/>
        <v>1.6229405204631381E-3</v>
      </c>
      <c r="G170" s="479">
        <f t="shared" si="86"/>
        <v>1.356562412832601E-3</v>
      </c>
      <c r="H170" s="479">
        <f t="shared" si="86"/>
        <v>1.0901843052020638E-3</v>
      </c>
      <c r="I170" s="479">
        <f t="shared" si="86"/>
        <v>8.2380619757152669E-4</v>
      </c>
      <c r="J170" s="479">
        <f t="shared" si="86"/>
        <v>5.5742808994098956E-4</v>
      </c>
      <c r="K170" s="479">
        <f t="shared" si="86"/>
        <v>2.9104998231045242E-4</v>
      </c>
      <c r="L170" s="479">
        <f t="shared" si="86"/>
        <v>2.4671874679915284E-5</v>
      </c>
      <c r="N170" s="439">
        <v>0.31</v>
      </c>
      <c r="O170" s="440">
        <f t="shared" si="85"/>
        <v>-2.6637810763053714E-4</v>
      </c>
      <c r="P170" s="444"/>
      <c r="Q170" s="444"/>
      <c r="T170" s="437"/>
    </row>
    <row r="171" spans="1:20">
      <c r="A171" s="320" t="s">
        <v>214</v>
      </c>
      <c r="B171" s="431">
        <f t="shared" si="80"/>
        <v>2.1199356639146731E-3</v>
      </c>
      <c r="C171" s="431">
        <f t="shared" si="81"/>
        <v>5.2737352688165939E-3</v>
      </c>
      <c r="D171" s="479">
        <f t="shared" si="83"/>
        <v>5.6501602634617086E-3</v>
      </c>
      <c r="E171" s="479">
        <f t="shared" si="86"/>
        <v>6.0265852581068233E-3</v>
      </c>
      <c r="F171" s="479">
        <f t="shared" si="86"/>
        <v>6.4030102527519381E-3</v>
      </c>
      <c r="G171" s="479">
        <f t="shared" si="86"/>
        <v>6.7794352473970528E-3</v>
      </c>
      <c r="H171" s="479">
        <f t="shared" si="86"/>
        <v>7.1558602420421676E-3</v>
      </c>
      <c r="I171" s="479">
        <f t="shared" si="86"/>
        <v>7.5322852366872823E-3</v>
      </c>
      <c r="J171" s="479">
        <f t="shared" si="86"/>
        <v>7.908710231332397E-3</v>
      </c>
      <c r="K171" s="479">
        <f t="shared" si="86"/>
        <v>8.2851352259775118E-3</v>
      </c>
      <c r="L171" s="479">
        <f t="shared" si="86"/>
        <v>8.6615602206226265E-3</v>
      </c>
      <c r="M171" t="s">
        <v>2548</v>
      </c>
      <c r="N171" s="555">
        <f t="shared" ref="N171:N179" si="87">N27</f>
        <v>0.5</v>
      </c>
      <c r="O171" s="440">
        <f t="shared" si="85"/>
        <v>3.7642499464511506E-4</v>
      </c>
      <c r="P171" s="444"/>
      <c r="Q171" s="444"/>
      <c r="T171" s="437"/>
    </row>
    <row r="172" spans="1:20">
      <c r="A172" s="320" t="s">
        <v>2460</v>
      </c>
      <c r="B172" s="431">
        <f t="shared" si="80"/>
        <v>4.0090375154810971E-3</v>
      </c>
      <c r="C172" s="431">
        <f t="shared" si="81"/>
        <v>2.1507669726229242E-3</v>
      </c>
      <c r="D172" s="479">
        <f t="shared" si="83"/>
        <v>1.9175975979807266E-3</v>
      </c>
      <c r="E172" s="479">
        <f t="shared" si="86"/>
        <v>1.6844282233385291E-3</v>
      </c>
      <c r="F172" s="479">
        <f t="shared" si="86"/>
        <v>1.4512588486963315E-3</v>
      </c>
      <c r="G172" s="479">
        <f t="shared" si="86"/>
        <v>1.2180894740541339E-3</v>
      </c>
      <c r="H172" s="479">
        <f t="shared" si="86"/>
        <v>9.8492009941193639E-4</v>
      </c>
      <c r="I172" s="479">
        <f t="shared" si="86"/>
        <v>7.5175072476973883E-4</v>
      </c>
      <c r="J172" s="479">
        <f t="shared" si="86"/>
        <v>5.1858135012754127E-4</v>
      </c>
      <c r="K172" s="479">
        <f t="shared" si="86"/>
        <v>2.8541197548534371E-4</v>
      </c>
      <c r="L172" s="479">
        <f t="shared" si="86"/>
        <v>5.2242600843146157E-5</v>
      </c>
      <c r="M172" t="s">
        <v>2548</v>
      </c>
      <c r="N172" s="555">
        <f t="shared" si="87"/>
        <v>0.2</v>
      </c>
      <c r="O172" s="440">
        <f t="shared" si="85"/>
        <v>-2.3316937464219756E-4</v>
      </c>
      <c r="P172" s="444"/>
      <c r="Q172" s="444"/>
      <c r="T172" s="437"/>
    </row>
    <row r="173" spans="1:20">
      <c r="A173" s="320" t="s">
        <v>2461</v>
      </c>
      <c r="B173" s="431">
        <f t="shared" si="80"/>
        <v>5.2404533989508212E-5</v>
      </c>
      <c r="C173" s="431">
        <f t="shared" si="81"/>
        <v>3.0784305096968165E-3</v>
      </c>
      <c r="D173" s="479">
        <f t="shared" si="83"/>
        <v>3.3338937436851466E-3</v>
      </c>
      <c r="E173" s="479">
        <f t="shared" si="86"/>
        <v>3.5893569776734766E-3</v>
      </c>
      <c r="F173" s="479">
        <f t="shared" si="86"/>
        <v>3.8448202116618067E-3</v>
      </c>
      <c r="G173" s="479">
        <f t="shared" si="86"/>
        <v>4.1002834456501363E-3</v>
      </c>
      <c r="H173" s="479">
        <f t="shared" si="86"/>
        <v>4.3557466796384659E-3</v>
      </c>
      <c r="I173" s="479">
        <f t="shared" si="86"/>
        <v>4.6112099136267955E-3</v>
      </c>
      <c r="J173" s="479">
        <f t="shared" si="86"/>
        <v>4.8666731476151252E-3</v>
      </c>
      <c r="K173" s="479">
        <f t="shared" si="86"/>
        <v>5.1221363816034548E-3</v>
      </c>
      <c r="L173" s="479">
        <f t="shared" si="86"/>
        <v>5.3775996155917844E-3</v>
      </c>
      <c r="M173" t="s">
        <v>2548</v>
      </c>
      <c r="N173" s="555">
        <f t="shared" si="87"/>
        <v>0.5</v>
      </c>
      <c r="O173" s="440">
        <f t="shared" si="85"/>
        <v>2.5546323398832995E-4</v>
      </c>
      <c r="P173" s="444"/>
      <c r="Q173" s="444"/>
      <c r="T173" s="437"/>
    </row>
    <row r="174" spans="1:20">
      <c r="A174" s="320" t="s">
        <v>2462</v>
      </c>
      <c r="B174" s="431">
        <f t="shared" si="80"/>
        <v>7.579617718897728E-5</v>
      </c>
      <c r="C174" s="431">
        <f t="shared" si="81"/>
        <v>3.5417299540923663E-4</v>
      </c>
      <c r="D174" s="479">
        <f t="shared" si="83"/>
        <v>1.0551132836327285E-3</v>
      </c>
      <c r="E174" s="479">
        <f t="shared" si="86"/>
        <v>1.7560535718562204E-3</v>
      </c>
      <c r="F174" s="479">
        <f t="shared" si="86"/>
        <v>2.4569938600797125E-3</v>
      </c>
      <c r="G174" s="479">
        <f t="shared" si="86"/>
        <v>3.1579341483032042E-3</v>
      </c>
      <c r="H174" s="479">
        <f t="shared" si="86"/>
        <v>3.8588744365266959E-3</v>
      </c>
      <c r="I174" s="479">
        <f t="shared" si="86"/>
        <v>4.5598147247501875E-3</v>
      </c>
      <c r="J174" s="479">
        <f t="shared" si="86"/>
        <v>5.2607550129736792E-3</v>
      </c>
      <c r="K174" s="479">
        <f t="shared" si="86"/>
        <v>5.9616953011971709E-3</v>
      </c>
      <c r="L174" s="479">
        <f t="shared" si="86"/>
        <v>6.6626355894206625E-3</v>
      </c>
      <c r="M174" t="s">
        <v>2548</v>
      </c>
      <c r="N174" s="555">
        <f t="shared" si="87"/>
        <v>0.25</v>
      </c>
      <c r="O174" s="440">
        <f t="shared" si="85"/>
        <v>7.0094028822349189E-4</v>
      </c>
      <c r="P174" s="444"/>
      <c r="Q174" s="444"/>
      <c r="T174" s="437"/>
    </row>
    <row r="175" spans="1:20">
      <c r="A175" s="320" t="s">
        <v>2465</v>
      </c>
      <c r="B175" s="431">
        <f t="shared" si="80"/>
        <v>0</v>
      </c>
      <c r="C175" s="431">
        <f t="shared" si="81"/>
        <v>9.5286021310000025E-5</v>
      </c>
      <c r="D175" s="479">
        <f t="shared" si="83"/>
        <v>1.8831174956855841E-4</v>
      </c>
      <c r="E175" s="479">
        <f t="shared" si="86"/>
        <v>2.8133747782711679E-4</v>
      </c>
      <c r="F175" s="479">
        <f t="shared" si="86"/>
        <v>3.7436320608567517E-4</v>
      </c>
      <c r="G175" s="479">
        <f t="shared" si="86"/>
        <v>4.6738893434423355E-4</v>
      </c>
      <c r="H175" s="479">
        <f t="shared" si="86"/>
        <v>5.6041466260279193E-4</v>
      </c>
      <c r="I175" s="479">
        <f t="shared" si="86"/>
        <v>6.5344039086135026E-4</v>
      </c>
      <c r="J175" s="479">
        <f t="shared" si="86"/>
        <v>7.4646611911990859E-4</v>
      </c>
      <c r="K175" s="479">
        <f t="shared" si="86"/>
        <v>8.3949184737846692E-4</v>
      </c>
      <c r="L175" s="479">
        <f t="shared" si="86"/>
        <v>9.3251757563702525E-4</v>
      </c>
      <c r="M175" t="s">
        <v>2548</v>
      </c>
      <c r="N175" s="555">
        <f t="shared" si="87"/>
        <v>0.5</v>
      </c>
      <c r="O175" s="440">
        <f t="shared" si="85"/>
        <v>9.3025728258558368E-5</v>
      </c>
      <c r="P175" s="444"/>
      <c r="Q175" s="444"/>
      <c r="T175" s="437"/>
    </row>
    <row r="176" spans="1:20">
      <c r="A176" s="320" t="s">
        <v>2467</v>
      </c>
      <c r="B176" s="431">
        <f t="shared" si="80"/>
        <v>2.9229218156992379E-2</v>
      </c>
      <c r="C176" s="431">
        <f t="shared" si="81"/>
        <v>2.7838778181240045E-2</v>
      </c>
      <c r="D176" s="479">
        <f t="shared" si="83"/>
        <v>2.8175447012275315E-2</v>
      </c>
      <c r="E176" s="479">
        <f t="shared" si="86"/>
        <v>2.8512115843310586E-2</v>
      </c>
      <c r="F176" s="479">
        <f t="shared" si="86"/>
        <v>2.8848784674345856E-2</v>
      </c>
      <c r="G176" s="479">
        <f t="shared" si="86"/>
        <v>2.9185453505381126E-2</v>
      </c>
      <c r="H176" s="479">
        <f t="shared" si="86"/>
        <v>2.9522122336416396E-2</v>
      </c>
      <c r="I176" s="479">
        <f t="shared" si="86"/>
        <v>2.9858791167451666E-2</v>
      </c>
      <c r="J176" s="479">
        <f t="shared" si="86"/>
        <v>3.0195459998486936E-2</v>
      </c>
      <c r="K176" s="479">
        <f t="shared" si="86"/>
        <v>3.0532128829522207E-2</v>
      </c>
      <c r="L176" s="479">
        <f t="shared" si="86"/>
        <v>3.0868797660557477E-2</v>
      </c>
      <c r="M176" t="s">
        <v>2548</v>
      </c>
      <c r="N176" s="555">
        <f t="shared" si="87"/>
        <v>0.5</v>
      </c>
      <c r="O176" s="440">
        <f t="shared" si="85"/>
        <v>3.3666883103526901E-4</v>
      </c>
      <c r="P176" s="444"/>
      <c r="Q176" s="444"/>
      <c r="T176" s="437"/>
    </row>
    <row r="177" spans="1:20">
      <c r="A177" s="320" t="s">
        <v>2469</v>
      </c>
      <c r="B177" s="431">
        <f t="shared" si="80"/>
        <v>1.2466476511344946E-2</v>
      </c>
      <c r="C177" s="431">
        <f t="shared" si="81"/>
        <v>5.633941271161659E-3</v>
      </c>
      <c r="D177" s="479">
        <f t="shared" si="83"/>
        <v>5.019016910358551E-3</v>
      </c>
      <c r="E177" s="479">
        <f t="shared" si="86"/>
        <v>4.4040925495554429E-3</v>
      </c>
      <c r="F177" s="479">
        <f t="shared" si="86"/>
        <v>3.7891681887523348E-3</v>
      </c>
      <c r="G177" s="479">
        <f t="shared" si="86"/>
        <v>3.1742438279492267E-3</v>
      </c>
      <c r="H177" s="479">
        <f t="shared" si="86"/>
        <v>2.5593194671461187E-3</v>
      </c>
      <c r="I177" s="479">
        <f t="shared" si="86"/>
        <v>1.9443951063430104E-3</v>
      </c>
      <c r="J177" s="479">
        <f t="shared" si="86"/>
        <v>1.3294707455399021E-3</v>
      </c>
      <c r="K177" s="479">
        <f t="shared" si="86"/>
        <v>7.1454638473679379E-4</v>
      </c>
      <c r="L177" s="479">
        <f t="shared" si="86"/>
        <v>9.9622023933685494E-5</v>
      </c>
      <c r="N177" s="555">
        <f t="shared" si="87"/>
        <v>0.16666666666666666</v>
      </c>
      <c r="O177" s="440">
        <f t="shared" si="85"/>
        <v>-6.1492436080310829E-4</v>
      </c>
      <c r="P177" s="444"/>
      <c r="Q177" s="444"/>
      <c r="T177" s="437"/>
    </row>
    <row r="178" spans="1:20">
      <c r="A178" s="320" t="s">
        <v>2470</v>
      </c>
      <c r="B178" s="431">
        <f t="shared" si="80"/>
        <v>8.8482063686921887E-3</v>
      </c>
      <c r="C178" s="431">
        <f t="shared" si="81"/>
        <v>3.4393462775637439E-3</v>
      </c>
      <c r="D178" s="479">
        <f t="shared" si="83"/>
        <v>3.0586925350318747E-3</v>
      </c>
      <c r="E178" s="479">
        <f t="shared" si="86"/>
        <v>2.6780387925000055E-3</v>
      </c>
      <c r="F178" s="479">
        <f t="shared" si="86"/>
        <v>2.2973850499681363E-3</v>
      </c>
      <c r="G178" s="479">
        <f t="shared" si="86"/>
        <v>1.9167313074362673E-3</v>
      </c>
      <c r="H178" s="479">
        <f t="shared" si="86"/>
        <v>1.5360775649043983E-3</v>
      </c>
      <c r="I178" s="479">
        <f t="shared" si="86"/>
        <v>1.1554238223725293E-3</v>
      </c>
      <c r="J178" s="479">
        <f t="shared" si="86"/>
        <v>7.7477007984066027E-4</v>
      </c>
      <c r="K178" s="479">
        <f t="shared" si="86"/>
        <v>3.9411633730879127E-4</v>
      </c>
      <c r="L178" s="479">
        <f t="shared" si="86"/>
        <v>1.3462594776922267E-5</v>
      </c>
      <c r="N178" s="555">
        <f t="shared" si="87"/>
        <v>0.125</v>
      </c>
      <c r="O178" s="440">
        <f t="shared" si="85"/>
        <v>-3.80653742531869E-4</v>
      </c>
      <c r="P178" s="444"/>
      <c r="Q178" s="444"/>
      <c r="T178" s="437"/>
    </row>
    <row r="179" spans="1:20">
      <c r="A179" s="320" t="s">
        <v>2471</v>
      </c>
      <c r="B179" s="431">
        <f t="shared" si="80"/>
        <v>3.8804741431677364E-3</v>
      </c>
      <c r="C179" s="431">
        <f t="shared" si="81"/>
        <v>8.3397448818808221E-4</v>
      </c>
      <c r="D179" s="479">
        <f t="shared" si="83"/>
        <v>7.4134041473937929E-4</v>
      </c>
      <c r="E179" s="479">
        <f t="shared" si="86"/>
        <v>6.4870634129067636E-4</v>
      </c>
      <c r="F179" s="479">
        <f t="shared" si="86"/>
        <v>5.5607226784197344E-4</v>
      </c>
      <c r="G179" s="479">
        <f t="shared" si="86"/>
        <v>4.6343819439327051E-4</v>
      </c>
      <c r="H179" s="479">
        <f t="shared" si="86"/>
        <v>3.7080412094456759E-4</v>
      </c>
      <c r="I179" s="479">
        <f t="shared" si="86"/>
        <v>2.7817004749586466E-4</v>
      </c>
      <c r="J179" s="479">
        <f t="shared" si="86"/>
        <v>1.8553597404716174E-4</v>
      </c>
      <c r="K179" s="479">
        <f t="shared" si="86"/>
        <v>9.2901900598458802E-5</v>
      </c>
      <c r="L179" s="479">
        <f t="shared" si="86"/>
        <v>2.6782714975586374E-7</v>
      </c>
      <c r="N179" s="555">
        <f t="shared" si="87"/>
        <v>7.1428571428571425E-2</v>
      </c>
      <c r="O179" s="440">
        <f t="shared" si="85"/>
        <v>-9.2634073448702938E-5</v>
      </c>
      <c r="P179" s="444"/>
      <c r="Q179" s="444"/>
      <c r="T179" s="437"/>
    </row>
    <row r="180" spans="1:20">
      <c r="A180" s="64" t="s">
        <v>2036</v>
      </c>
      <c r="B180" s="402"/>
      <c r="C180" s="402"/>
      <c r="D180" s="533"/>
      <c r="E180" s="395"/>
      <c r="F180" s="395"/>
      <c r="G180" s="410"/>
      <c r="H180" s="417"/>
      <c r="I180" s="402"/>
      <c r="J180" s="402"/>
      <c r="K180" s="402"/>
      <c r="L180" s="431"/>
      <c r="M180" s="431"/>
      <c r="N180" s="431"/>
      <c r="O180" s="444"/>
      <c r="P180" s="444"/>
      <c r="Q180" s="444"/>
      <c r="T180" s="437"/>
    </row>
    <row r="181" spans="1:20" ht="14.5">
      <c r="A181" s="215" t="s">
        <v>171</v>
      </c>
      <c r="B181" s="397">
        <v>0</v>
      </c>
      <c r="C181" s="397">
        <v>0</v>
      </c>
      <c r="D181" s="480">
        <f>D160*D158</f>
        <v>172388.54575154025</v>
      </c>
      <c r="E181" s="480">
        <f t="shared" ref="E181:L181" si="88">E160*E158</f>
        <v>279636.9620189073</v>
      </c>
      <c r="F181" s="480">
        <f t="shared" si="88"/>
        <v>384910.69334868999</v>
      </c>
      <c r="G181" s="480">
        <f t="shared" si="88"/>
        <v>491601.61491971754</v>
      </c>
      <c r="H181" s="480">
        <f t="shared" si="88"/>
        <v>597369.01748389634</v>
      </c>
      <c r="I181" s="480">
        <f t="shared" si="88"/>
        <v>703705.64149461279</v>
      </c>
      <c r="J181" s="480">
        <f t="shared" si="88"/>
        <v>809703.92381050379</v>
      </c>
      <c r="K181" s="480">
        <f t="shared" si="88"/>
        <v>915898.24245958577</v>
      </c>
      <c r="L181" s="480">
        <f t="shared" si="88"/>
        <v>1021981.1101991831</v>
      </c>
      <c r="M181" s="431"/>
      <c r="N181" s="431"/>
      <c r="O181" s="444"/>
      <c r="P181" s="444"/>
      <c r="Q181" s="444"/>
      <c r="T181" s="437"/>
    </row>
    <row r="182" spans="1:20">
      <c r="L182" s="60"/>
      <c r="M182" s="60"/>
      <c r="N182" s="60"/>
      <c r="O182" s="431"/>
      <c r="P182" s="431"/>
      <c r="Q182" s="431"/>
    </row>
    <row r="183" spans="1:20" s="423" customFormat="1">
      <c r="A183" s="423" t="s">
        <v>172</v>
      </c>
    </row>
    <row r="184" spans="1:20" s="400" customFormat="1" ht="70">
      <c r="A184" s="527" t="s">
        <v>0</v>
      </c>
      <c r="B184" s="527" t="s">
        <v>2018</v>
      </c>
      <c r="C184" s="527" t="s">
        <v>2019</v>
      </c>
      <c r="D184" s="527" t="s">
        <v>2020</v>
      </c>
      <c r="E184" s="527" t="s">
        <v>2021</v>
      </c>
      <c r="F184" s="527" t="s">
        <v>2022</v>
      </c>
      <c r="G184" s="527" t="s">
        <v>1840</v>
      </c>
      <c r="H184" s="527" t="s">
        <v>2023</v>
      </c>
      <c r="I184" s="527" t="s">
        <v>2024</v>
      </c>
      <c r="J184" s="527" t="s">
        <v>2025</v>
      </c>
      <c r="K184" s="527" t="s">
        <v>2456</v>
      </c>
      <c r="L184" s="527" t="s">
        <v>2027</v>
      </c>
      <c r="M184" s="527" t="s">
        <v>2028</v>
      </c>
      <c r="N184" s="527" t="s">
        <v>2457</v>
      </c>
      <c r="O184" s="527" t="s">
        <v>2030</v>
      </c>
      <c r="P184" s="527" t="s">
        <v>2031</v>
      </c>
      <c r="Q184" s="527" t="s">
        <v>2032</v>
      </c>
      <c r="R184" s="527" t="s">
        <v>2033</v>
      </c>
      <c r="S184" s="527" t="s">
        <v>2034</v>
      </c>
      <c r="T184" s="527" t="s">
        <v>2035</v>
      </c>
    </row>
    <row r="185" spans="1:20">
      <c r="A185" s="391" t="s">
        <v>25</v>
      </c>
      <c r="B185" s="392" t="s">
        <v>172</v>
      </c>
      <c r="C185" s="320" t="s">
        <v>2036</v>
      </c>
      <c r="D185" s="409" t="s">
        <v>2037</v>
      </c>
      <c r="E185" s="409" t="s">
        <v>2506</v>
      </c>
      <c r="F185" s="549" t="s">
        <v>2060</v>
      </c>
      <c r="G185" s="410">
        <f>10.28*0.155035*10000</f>
        <v>15937.598</v>
      </c>
      <c r="H185" s="390" t="s">
        <v>2061</v>
      </c>
      <c r="I185" s="397">
        <v>0</v>
      </c>
      <c r="J185" s="397">
        <v>29598</v>
      </c>
      <c r="K185" s="398">
        <v>58514</v>
      </c>
      <c r="L185" s="431">
        <v>0</v>
      </c>
      <c r="M185" s="431">
        <v>4.1539653401148596E-2</v>
      </c>
      <c r="N185" s="431">
        <v>0.16932849102194955</v>
      </c>
      <c r="O185" s="444">
        <f t="shared" ref="O185:O196" si="89">M185-L185</f>
        <v>4.1539653401148596E-2</v>
      </c>
      <c r="P185" s="444">
        <f t="shared" ref="P185:P196" si="90">N185-M185</f>
        <v>0.12778883762080095</v>
      </c>
      <c r="Q185" s="444">
        <f t="shared" ref="Q185:Q196" si="91">N185-L185</f>
        <v>0.16932849102194955</v>
      </c>
      <c r="R185" s="436">
        <f>(SUM(Q186:Q196))/2.5</f>
        <v>-7.7858632797720734E-2</v>
      </c>
      <c r="S185" s="436">
        <f>T185+R185</f>
        <v>-1.0127236388940919E-2</v>
      </c>
      <c r="T185" s="436">
        <f t="shared" ref="T185:T196" si="92">Q185/2.5</f>
        <v>6.7731396408779815E-2</v>
      </c>
    </row>
    <row r="186" spans="1:20">
      <c r="A186" s="394" t="s">
        <v>2073</v>
      </c>
      <c r="B186" t="s">
        <v>2549</v>
      </c>
      <c r="C186" s="320" t="s">
        <v>2036</v>
      </c>
      <c r="D186" s="533" t="s">
        <v>2037</v>
      </c>
      <c r="E186" s="395" t="s">
        <v>2506</v>
      </c>
      <c r="F186" s="395" t="s">
        <v>2043</v>
      </c>
      <c r="G186" s="410">
        <v>11441.583000000001</v>
      </c>
      <c r="H186" s="529" t="s">
        <v>2513</v>
      </c>
      <c r="I186" s="402">
        <v>53594</v>
      </c>
      <c r="J186" s="402">
        <v>52993</v>
      </c>
      <c r="K186" s="402">
        <v>17394</v>
      </c>
      <c r="L186" s="431">
        <v>9.6224731447285022E-2</v>
      </c>
      <c r="M186" s="431">
        <v>7.4373635133693744E-2</v>
      </c>
      <c r="N186" s="431">
        <v>5.0334958690839642E-2</v>
      </c>
      <c r="O186" s="444">
        <f t="shared" si="89"/>
        <v>-2.1851096313591278E-2</v>
      </c>
      <c r="P186" s="444">
        <f t="shared" si="90"/>
        <v>-2.4038676442854102E-2</v>
      </c>
      <c r="Q186" s="444">
        <f t="shared" si="91"/>
        <v>-4.5889772756445381E-2</v>
      </c>
      <c r="T186" s="436">
        <f t="shared" si="92"/>
        <v>-1.8355909102578151E-2</v>
      </c>
    </row>
    <row r="187" spans="1:20">
      <c r="A187" s="394" t="s">
        <v>2073</v>
      </c>
      <c r="B187" t="s">
        <v>2550</v>
      </c>
      <c r="C187" s="320" t="s">
        <v>2036</v>
      </c>
      <c r="D187" s="533" t="s">
        <v>2037</v>
      </c>
      <c r="E187" s="395" t="s">
        <v>2506</v>
      </c>
      <c r="F187" s="395" t="s">
        <v>2043</v>
      </c>
      <c r="G187" s="410">
        <v>11131.513000000001</v>
      </c>
      <c r="H187" s="529" t="s">
        <v>2513</v>
      </c>
      <c r="I187" s="402">
        <v>22135</v>
      </c>
      <c r="J187" s="402">
        <v>21410</v>
      </c>
      <c r="K187" s="402">
        <v>5777</v>
      </c>
      <c r="L187" s="431">
        <v>3.974203139503777E-2</v>
      </c>
      <c r="M187" s="431">
        <v>3.004811066013215E-2</v>
      </c>
      <c r="N187" s="431">
        <v>1.6717549520350729E-2</v>
      </c>
      <c r="O187" s="444">
        <f t="shared" si="89"/>
        <v>-9.6939207349056207E-3</v>
      </c>
      <c r="P187" s="444">
        <f t="shared" si="90"/>
        <v>-1.333056113978142E-2</v>
      </c>
      <c r="Q187" s="444">
        <f t="shared" si="91"/>
        <v>-2.3024481874687041E-2</v>
      </c>
      <c r="T187" s="436">
        <f t="shared" si="92"/>
        <v>-9.2097927498748164E-3</v>
      </c>
    </row>
    <row r="188" spans="1:20">
      <c r="A188" s="394" t="s">
        <v>2046</v>
      </c>
      <c r="B188" t="s">
        <v>2551</v>
      </c>
      <c r="C188" s="320" t="s">
        <v>2036</v>
      </c>
      <c r="D188" s="533" t="s">
        <v>2037</v>
      </c>
      <c r="E188" s="395" t="s">
        <v>2506</v>
      </c>
      <c r="F188" s="395" t="s">
        <v>2043</v>
      </c>
      <c r="G188" s="410">
        <v>13612.073</v>
      </c>
      <c r="H188" s="529" t="s">
        <v>2507</v>
      </c>
      <c r="I188" s="402">
        <v>25436</v>
      </c>
      <c r="J188" s="402">
        <v>12310</v>
      </c>
      <c r="K188" s="402">
        <v>2683</v>
      </c>
      <c r="L188" s="431">
        <v>4.5668773912996639E-2</v>
      </c>
      <c r="M188" s="431">
        <v>1.7276611033452908E-2</v>
      </c>
      <c r="N188" s="431">
        <v>7.7640964796782085E-3</v>
      </c>
      <c r="O188" s="444">
        <f t="shared" si="89"/>
        <v>-2.8392162879543732E-2</v>
      </c>
      <c r="P188" s="444">
        <f t="shared" si="90"/>
        <v>-9.5125145537746994E-3</v>
      </c>
      <c r="Q188" s="444">
        <f t="shared" si="91"/>
        <v>-3.7904677433318434E-2</v>
      </c>
      <c r="T188" s="436">
        <f t="shared" si="92"/>
        <v>-1.5161870973327374E-2</v>
      </c>
    </row>
    <row r="189" spans="1:20">
      <c r="A189" s="394" t="s">
        <v>2046</v>
      </c>
      <c r="B189" t="s">
        <v>2552</v>
      </c>
      <c r="C189" s="320" t="s">
        <v>2036</v>
      </c>
      <c r="D189" s="533" t="s">
        <v>2037</v>
      </c>
      <c r="E189" s="395" t="s">
        <v>2506</v>
      </c>
      <c r="F189" s="395" t="s">
        <v>2043</v>
      </c>
      <c r="G189" s="410">
        <v>13302.003000000001</v>
      </c>
      <c r="H189" s="529" t="s">
        <v>2507</v>
      </c>
      <c r="I189" s="402">
        <v>88300</v>
      </c>
      <c r="J189" s="402">
        <v>80873</v>
      </c>
      <c r="K189" s="402">
        <v>33903</v>
      </c>
      <c r="L189" s="431">
        <v>0.15853722033800927</v>
      </c>
      <c r="M189" s="431">
        <v>0.11350214168224509</v>
      </c>
      <c r="N189" s="431">
        <v>9.8108894129903201E-2</v>
      </c>
      <c r="O189" s="444">
        <f t="shared" si="89"/>
        <v>-4.5035078655764171E-2</v>
      </c>
      <c r="P189" s="444">
        <f t="shared" si="90"/>
        <v>-1.5393247552341893E-2</v>
      </c>
      <c r="Q189" s="444">
        <f t="shared" si="91"/>
        <v>-6.0428326208106065E-2</v>
      </c>
      <c r="T189" s="436">
        <f t="shared" si="92"/>
        <v>-2.4171330483242427E-2</v>
      </c>
    </row>
    <row r="190" spans="1:20">
      <c r="A190" s="394" t="s">
        <v>2071</v>
      </c>
      <c r="B190" t="s">
        <v>2553</v>
      </c>
      <c r="C190" s="320" t="s">
        <v>2036</v>
      </c>
      <c r="D190" s="533" t="s">
        <v>2037</v>
      </c>
      <c r="E190" s="395" t="s">
        <v>2506</v>
      </c>
      <c r="F190" s="395" t="s">
        <v>2043</v>
      </c>
      <c r="G190" s="410">
        <v>12681.862999999999</v>
      </c>
      <c r="H190" s="529" t="s">
        <v>2507</v>
      </c>
      <c r="I190" s="402">
        <v>62612</v>
      </c>
      <c r="J190" s="402">
        <v>96326</v>
      </c>
      <c r="K190" s="402">
        <v>28599</v>
      </c>
      <c r="L190" s="431">
        <v>0.11241599592076371</v>
      </c>
      <c r="M190" s="431">
        <v>0.13518983220214337</v>
      </c>
      <c r="N190" s="431">
        <v>8.2760117488750312E-2</v>
      </c>
      <c r="O190" s="444">
        <f t="shared" si="89"/>
        <v>2.2773836281379661E-2</v>
      </c>
      <c r="P190" s="444">
        <f t="shared" si="90"/>
        <v>-5.2429714713393055E-2</v>
      </c>
      <c r="Q190" s="444">
        <f t="shared" si="91"/>
        <v>-2.9655878432013394E-2</v>
      </c>
      <c r="T190" s="436">
        <f t="shared" si="92"/>
        <v>-1.1862351372805358E-2</v>
      </c>
    </row>
    <row r="191" spans="1:20">
      <c r="A191" s="394" t="s">
        <v>2057</v>
      </c>
      <c r="B191" t="s">
        <v>2554</v>
      </c>
      <c r="C191" s="320" t="s">
        <v>2036</v>
      </c>
      <c r="D191" s="533" t="s">
        <v>2037</v>
      </c>
      <c r="E191" s="395" t="s">
        <v>2506</v>
      </c>
      <c r="F191" s="395" t="s">
        <v>2043</v>
      </c>
      <c r="G191" s="410">
        <v>17038.3465</v>
      </c>
      <c r="H191" s="529" t="s">
        <v>2040</v>
      </c>
      <c r="I191" s="402">
        <v>45102</v>
      </c>
      <c r="J191" s="402">
        <v>39566</v>
      </c>
      <c r="K191" s="402">
        <v>10962</v>
      </c>
      <c r="L191" s="431">
        <v>8.0977867629500488E-2</v>
      </c>
      <c r="M191" s="431">
        <v>5.5529357607603393E-2</v>
      </c>
      <c r="N191" s="431">
        <v>3.1721962583016218E-2</v>
      </c>
      <c r="O191" s="444">
        <f t="shared" si="89"/>
        <v>-2.5448510021897096E-2</v>
      </c>
      <c r="P191" s="444">
        <f t="shared" si="90"/>
        <v>-2.3807395024587175E-2</v>
      </c>
      <c r="Q191" s="444">
        <f t="shared" si="91"/>
        <v>-4.925590504648427E-2</v>
      </c>
      <c r="T191" s="436">
        <f t="shared" si="92"/>
        <v>-1.9702362018593707E-2</v>
      </c>
    </row>
    <row r="192" spans="1:20">
      <c r="A192" s="394" t="s">
        <v>2555</v>
      </c>
      <c r="B192" t="s">
        <v>2556</v>
      </c>
      <c r="C192" s="320" t="s">
        <v>2036</v>
      </c>
      <c r="D192" s="533" t="s">
        <v>2037</v>
      </c>
      <c r="E192" s="395" t="s">
        <v>2506</v>
      </c>
      <c r="F192" s="482" t="s">
        <v>2060</v>
      </c>
      <c r="G192" s="410">
        <v>16108.136500000001</v>
      </c>
      <c r="H192" s="529" t="s">
        <v>2040</v>
      </c>
      <c r="I192" s="402">
        <v>2016</v>
      </c>
      <c r="J192" s="402">
        <v>50931</v>
      </c>
      <c r="K192" s="402">
        <v>31935</v>
      </c>
      <c r="L192" s="431">
        <v>3.6196040339912419E-3</v>
      </c>
      <c r="M192" s="431">
        <v>7.1479697525978075E-2</v>
      </c>
      <c r="N192" s="431">
        <v>9.2413872932733343E-2</v>
      </c>
      <c r="O192" s="444">
        <f t="shared" si="89"/>
        <v>6.7860093491986836E-2</v>
      </c>
      <c r="P192" s="444">
        <f t="shared" si="90"/>
        <v>2.0934175406755268E-2</v>
      </c>
      <c r="Q192" s="444">
        <f t="shared" si="91"/>
        <v>8.8794268898742104E-2</v>
      </c>
      <c r="T192" s="436">
        <f t="shared" si="92"/>
        <v>3.551770755949684E-2</v>
      </c>
    </row>
    <row r="193" spans="1:20">
      <c r="A193" s="394" t="s">
        <v>2064</v>
      </c>
      <c r="B193" t="s">
        <v>2557</v>
      </c>
      <c r="C193" s="320" t="s">
        <v>2036</v>
      </c>
      <c r="D193" s="533" t="s">
        <v>2037</v>
      </c>
      <c r="E193" s="395" t="s">
        <v>2506</v>
      </c>
      <c r="F193" s="395" t="s">
        <v>2043</v>
      </c>
      <c r="G193" s="410">
        <v>15162.423000000001</v>
      </c>
      <c r="H193" s="529" t="s">
        <v>2061</v>
      </c>
      <c r="I193" s="402">
        <v>6100</v>
      </c>
      <c r="J193" s="402">
        <v>24896</v>
      </c>
      <c r="K193" s="402">
        <v>7405</v>
      </c>
      <c r="L193" s="431">
        <v>1.0952174904437785E-2</v>
      </c>
      <c r="M193" s="431">
        <v>3.4940577440198503E-2</v>
      </c>
      <c r="N193" s="431">
        <v>2.1428674778985142E-2</v>
      </c>
      <c r="O193" s="444">
        <f t="shared" si="89"/>
        <v>2.3988402535760719E-2</v>
      </c>
      <c r="P193" s="444">
        <f t="shared" si="90"/>
        <v>-1.3511902661213361E-2</v>
      </c>
      <c r="Q193" s="444">
        <f t="shared" si="91"/>
        <v>1.0476499874547357E-2</v>
      </c>
      <c r="T193" s="436">
        <f t="shared" si="92"/>
        <v>4.1905999498189428E-3</v>
      </c>
    </row>
    <row r="194" spans="1:20">
      <c r="A194" s="394" t="s">
        <v>2049</v>
      </c>
      <c r="B194" t="s">
        <v>2558</v>
      </c>
      <c r="C194" s="320" t="s">
        <v>2036</v>
      </c>
      <c r="D194" s="533" t="s">
        <v>2037</v>
      </c>
      <c r="E194" s="395" t="s">
        <v>2506</v>
      </c>
      <c r="F194" s="395" t="s">
        <v>2043</v>
      </c>
      <c r="G194" s="410">
        <v>11286.548000000001</v>
      </c>
      <c r="H194" s="529" t="s">
        <v>2513</v>
      </c>
      <c r="I194" s="402">
        <v>27156</v>
      </c>
      <c r="J194" s="402">
        <v>16996</v>
      </c>
      <c r="K194" s="402">
        <v>1918</v>
      </c>
      <c r="L194" s="431">
        <v>4.8756928148346312E-2</v>
      </c>
      <c r="M194" s="431">
        <v>2.3853231610444E-2</v>
      </c>
      <c r="N194" s="431">
        <v>5.5503306179734641E-3</v>
      </c>
      <c r="O194" s="444">
        <f t="shared" si="89"/>
        <v>-2.4903696537902312E-2</v>
      </c>
      <c r="P194" s="444">
        <f t="shared" si="90"/>
        <v>-1.8302900992470537E-2</v>
      </c>
      <c r="Q194" s="444">
        <f t="shared" si="91"/>
        <v>-4.3206597530372849E-2</v>
      </c>
      <c r="T194" s="436">
        <f t="shared" si="92"/>
        <v>-1.7282639012149138E-2</v>
      </c>
    </row>
    <row r="195" spans="1:20">
      <c r="A195" s="394" t="s">
        <v>2559</v>
      </c>
      <c r="B195" t="s">
        <v>2560</v>
      </c>
      <c r="C195" s="320" t="s">
        <v>2036</v>
      </c>
      <c r="D195" s="533" t="s">
        <v>2037</v>
      </c>
      <c r="E195" s="395" t="s">
        <v>2506</v>
      </c>
      <c r="F195" s="482" t="s">
        <v>2060</v>
      </c>
      <c r="G195" s="410">
        <v>20294.0815</v>
      </c>
      <c r="H195" s="529" t="s">
        <v>2476</v>
      </c>
      <c r="I195" s="402">
        <v>1125</v>
      </c>
      <c r="J195" s="402">
        <v>640</v>
      </c>
      <c r="K195" s="402">
        <v>21</v>
      </c>
      <c r="L195" s="431">
        <v>2.0198683225397555E-3</v>
      </c>
      <c r="M195" s="431">
        <v>8.9821535835985877E-4</v>
      </c>
      <c r="N195" s="431">
        <v>6.0770043262483178E-5</v>
      </c>
      <c r="O195" s="444">
        <f t="shared" si="89"/>
        <v>-1.1216529641798968E-3</v>
      </c>
      <c r="P195" s="444">
        <f t="shared" si="90"/>
        <v>-8.3744531509737563E-4</v>
      </c>
      <c r="Q195" s="444">
        <f t="shared" si="91"/>
        <v>-1.9590982792772721E-3</v>
      </c>
      <c r="T195" s="436">
        <f t="shared" si="92"/>
        <v>-7.8363931171090886E-4</v>
      </c>
    </row>
    <row r="196" spans="1:20">
      <c r="A196" s="394" t="s">
        <v>2561</v>
      </c>
      <c r="B196" t="s">
        <v>2562</v>
      </c>
      <c r="C196" s="320" t="s">
        <v>2036</v>
      </c>
      <c r="D196" s="533" t="s">
        <v>2037</v>
      </c>
      <c r="E196" s="395" t="s">
        <v>2506</v>
      </c>
      <c r="F196" s="482" t="s">
        <v>2060</v>
      </c>
      <c r="G196" s="410">
        <v>11751.653</v>
      </c>
      <c r="H196" s="529" t="s">
        <v>2513</v>
      </c>
      <c r="I196" s="402">
        <v>1444</v>
      </c>
      <c r="J196" s="402">
        <v>230</v>
      </c>
      <c r="K196" s="402">
        <v>0</v>
      </c>
      <c r="L196" s="431">
        <v>2.5926132068865839E-3</v>
      </c>
      <c r="M196" s="431">
        <v>3.2279614441057424E-4</v>
      </c>
      <c r="N196" s="431">
        <v>0</v>
      </c>
      <c r="O196" s="444">
        <f t="shared" si="89"/>
        <v>-2.2698170624760095E-3</v>
      </c>
      <c r="P196" s="444">
        <f t="shared" si="90"/>
        <v>-3.2279614441057424E-4</v>
      </c>
      <c r="Q196" s="444">
        <f t="shared" si="91"/>
        <v>-2.5926132068865839E-3</v>
      </c>
      <c r="T196" s="436">
        <f t="shared" si="92"/>
        <v>-1.0370452827546336E-3</v>
      </c>
    </row>
    <row r="197" spans="1:20">
      <c r="A197" s="394"/>
      <c r="B197" t="s">
        <v>2563</v>
      </c>
      <c r="C197" s="320"/>
      <c r="D197" s="533"/>
      <c r="E197" s="395"/>
      <c r="F197" s="482" t="s">
        <v>2060</v>
      </c>
      <c r="G197" s="410"/>
      <c r="H197" s="529"/>
      <c r="I197" s="402"/>
      <c r="J197" s="402"/>
      <c r="K197" s="402"/>
      <c r="L197" s="431"/>
      <c r="M197" s="431"/>
      <c r="N197" s="431"/>
      <c r="O197" s="444"/>
      <c r="P197" s="444"/>
      <c r="Q197" s="444"/>
      <c r="T197" s="436"/>
    </row>
    <row r="198" spans="1:20">
      <c r="A198" t="s">
        <v>24</v>
      </c>
      <c r="I198" s="75">
        <f>SUM(I185:I197)</f>
        <v>335020</v>
      </c>
      <c r="J198" s="75">
        <f t="shared" ref="J198:K198" si="93">SUM(J185:J197)</f>
        <v>426769</v>
      </c>
      <c r="K198" s="75">
        <f t="shared" si="93"/>
        <v>199111</v>
      </c>
      <c r="L198" s="296">
        <f>SUM(L185:L197)</f>
        <v>0.60150780925979452</v>
      </c>
      <c r="M198" s="296">
        <f t="shared" ref="M198:N198" si="94">SUM(M185:M197)</f>
        <v>0.5989538597998102</v>
      </c>
      <c r="N198" s="296">
        <f t="shared" si="94"/>
        <v>0.57618971828744237</v>
      </c>
      <c r="O198" s="431"/>
      <c r="P198" s="431"/>
      <c r="Q198" s="431"/>
    </row>
    <row r="199" spans="1:20">
      <c r="A199" s="64" t="s">
        <v>2218</v>
      </c>
      <c r="O199" s="431"/>
      <c r="P199" s="431"/>
      <c r="Q199" s="431"/>
    </row>
    <row r="200" spans="1:20">
      <c r="A200" t="s">
        <v>2564</v>
      </c>
      <c r="B200">
        <v>2020</v>
      </c>
      <c r="C200">
        <v>2021</v>
      </c>
      <c r="D200" t="s">
        <v>14</v>
      </c>
      <c r="E200" t="s">
        <v>11</v>
      </c>
      <c r="F200" t="s">
        <v>12</v>
      </c>
      <c r="G200" t="s">
        <v>13</v>
      </c>
      <c r="H200" t="s">
        <v>2220</v>
      </c>
      <c r="I200" t="s">
        <v>2221</v>
      </c>
      <c r="J200" t="s">
        <v>2222</v>
      </c>
      <c r="K200" t="s">
        <v>2223</v>
      </c>
      <c r="L200" t="s">
        <v>2224</v>
      </c>
      <c r="M200" t="s">
        <v>2225</v>
      </c>
      <c r="N200" t="s">
        <v>2226</v>
      </c>
      <c r="O200" s="431"/>
      <c r="P200" s="431"/>
      <c r="Q200" s="431"/>
    </row>
    <row r="201" spans="1:20">
      <c r="A201" t="s">
        <v>2227</v>
      </c>
      <c r="B201" s="405">
        <v>556967</v>
      </c>
      <c r="C201" s="405">
        <v>712524</v>
      </c>
      <c r="D201" s="238">
        <f t="shared" ref="D201:L201" si="95">AVERAGE(B201:C201)</f>
        <v>634745.5</v>
      </c>
      <c r="E201" s="238">
        <f t="shared" si="95"/>
        <v>673634.75</v>
      </c>
      <c r="F201" s="238">
        <f t="shared" si="95"/>
        <v>654190.125</v>
      </c>
      <c r="G201" s="238">
        <f t="shared" si="95"/>
        <v>663912.4375</v>
      </c>
      <c r="H201" s="238">
        <f t="shared" si="95"/>
        <v>659051.28125</v>
      </c>
      <c r="I201" s="238">
        <f t="shared" si="95"/>
        <v>661481.859375</v>
      </c>
      <c r="J201" s="238">
        <f t="shared" si="95"/>
        <v>660266.5703125</v>
      </c>
      <c r="K201" s="238">
        <f t="shared" si="95"/>
        <v>660874.21484375</v>
      </c>
      <c r="L201" s="238">
        <f t="shared" si="95"/>
        <v>660570.392578125</v>
      </c>
      <c r="N201" t="s">
        <v>162</v>
      </c>
      <c r="O201" s="431"/>
      <c r="P201" s="431"/>
      <c r="Q201" s="431"/>
    </row>
    <row r="202" spans="1:20">
      <c r="A202" s="64" t="s">
        <v>2228</v>
      </c>
      <c r="O202" s="431"/>
      <c r="P202" s="431"/>
      <c r="Q202" s="431"/>
    </row>
    <row r="203" spans="1:20">
      <c r="A203" s="320" t="s">
        <v>172</v>
      </c>
      <c r="B203" s="431">
        <v>0</v>
      </c>
      <c r="C203" s="431">
        <v>4.1539653401148596E-2</v>
      </c>
      <c r="D203" s="296">
        <f>N185+$N203/2</f>
        <v>0.18499542971973909</v>
      </c>
      <c r="E203" s="296">
        <f t="shared" ref="E203:L214" si="96">D203+$N203</f>
        <v>0.21632930711531814</v>
      </c>
      <c r="F203" s="296">
        <f t="shared" si="96"/>
        <v>0.24766318451089719</v>
      </c>
      <c r="G203" s="296">
        <f t="shared" si="96"/>
        <v>0.27899706190647627</v>
      </c>
      <c r="H203" s="296">
        <f t="shared" si="96"/>
        <v>0.31033093930205535</v>
      </c>
      <c r="I203" s="296">
        <f t="shared" si="96"/>
        <v>0.34166481669763443</v>
      </c>
      <c r="J203" s="296">
        <f t="shared" si="96"/>
        <v>0.37299869409321351</v>
      </c>
      <c r="K203" s="296">
        <f t="shared" si="96"/>
        <v>0.40433257148879259</v>
      </c>
      <c r="L203" s="296">
        <f t="shared" si="96"/>
        <v>0.43566644888437167</v>
      </c>
      <c r="M203" s="296"/>
      <c r="N203" s="296">
        <f>-SUM(N204:N214)</f>
        <v>3.1333877395579059E-2</v>
      </c>
      <c r="O203" s="431"/>
      <c r="P203" s="431"/>
      <c r="Q203" s="431"/>
    </row>
    <row r="204" spans="1:20">
      <c r="A204" t="s">
        <v>2549</v>
      </c>
      <c r="B204" s="431">
        <v>9.6224731447285022E-2</v>
      </c>
      <c r="C204" s="431">
        <v>7.4373635133693744E-2</v>
      </c>
      <c r="D204" s="296">
        <f t="shared" ref="D204:D214" si="97">C204+$N204</f>
        <v>6.6113476037533578E-2</v>
      </c>
      <c r="E204" s="296">
        <f t="shared" si="96"/>
        <v>5.7853316941373412E-2</v>
      </c>
      <c r="F204" s="296">
        <f t="shared" si="96"/>
        <v>4.9593157845213245E-2</v>
      </c>
      <c r="G204" s="296">
        <f t="shared" si="96"/>
        <v>4.1332998749053079E-2</v>
      </c>
      <c r="H204" s="296">
        <f t="shared" si="96"/>
        <v>3.3072839652892913E-2</v>
      </c>
      <c r="I204" s="296">
        <f t="shared" si="96"/>
        <v>2.4812680556732747E-2</v>
      </c>
      <c r="J204" s="296">
        <f t="shared" si="96"/>
        <v>1.6552521460572581E-2</v>
      </c>
      <c r="K204" s="296">
        <f t="shared" si="96"/>
        <v>8.2923623644124127E-3</v>
      </c>
      <c r="L204" s="296">
        <f t="shared" si="96"/>
        <v>3.2203268252244815E-5</v>
      </c>
      <c r="M204" s="419">
        <v>0.45</v>
      </c>
      <c r="N204" s="406">
        <f t="shared" ref="N204:N214" si="98">M204*T186</f>
        <v>-8.2601590961601679E-3</v>
      </c>
      <c r="O204" s="431"/>
      <c r="P204" s="431"/>
      <c r="Q204" s="431"/>
    </row>
    <row r="205" spans="1:20">
      <c r="A205" t="s">
        <v>2550</v>
      </c>
      <c r="B205" s="431">
        <v>3.974203139503777E-2</v>
      </c>
      <c r="C205" s="431">
        <v>3.004811066013215E-2</v>
      </c>
      <c r="D205" s="296">
        <f t="shared" si="97"/>
        <v>2.6732585270177217E-2</v>
      </c>
      <c r="E205" s="296">
        <f t="shared" si="96"/>
        <v>2.3417059880222284E-2</v>
      </c>
      <c r="F205" s="296">
        <f t="shared" si="96"/>
        <v>2.0101534490267352E-2</v>
      </c>
      <c r="G205" s="296">
        <f t="shared" si="96"/>
        <v>1.6786009100312419E-2</v>
      </c>
      <c r="H205" s="296">
        <f t="shared" si="96"/>
        <v>1.3470483710357485E-2</v>
      </c>
      <c r="I205" s="296">
        <f t="shared" si="96"/>
        <v>1.015495832040255E-2</v>
      </c>
      <c r="J205" s="296">
        <f t="shared" si="96"/>
        <v>6.839432930447616E-3</v>
      </c>
      <c r="K205" s="296">
        <f t="shared" si="96"/>
        <v>3.523907540492682E-3</v>
      </c>
      <c r="L205" s="296">
        <f t="shared" si="96"/>
        <v>2.0838215053774808E-4</v>
      </c>
      <c r="M205" s="419">
        <v>0.36</v>
      </c>
      <c r="N205" s="406">
        <f t="shared" si="98"/>
        <v>-3.315525389954934E-3</v>
      </c>
      <c r="O205" s="431"/>
      <c r="P205" s="431"/>
      <c r="Q205" s="431"/>
    </row>
    <row r="206" spans="1:20">
      <c r="A206" t="s">
        <v>2551</v>
      </c>
      <c r="B206" s="431">
        <v>4.5668773912996639E-2</v>
      </c>
      <c r="C206" s="431">
        <v>1.7276611033452908E-2</v>
      </c>
      <c r="D206" s="296">
        <f t="shared" si="97"/>
        <v>1.5381377161786986E-2</v>
      </c>
      <c r="E206" s="296">
        <f t="shared" si="96"/>
        <v>1.3486143290121065E-2</v>
      </c>
      <c r="F206" s="296">
        <f t="shared" si="96"/>
        <v>1.1590909418455144E-2</v>
      </c>
      <c r="G206" s="296">
        <f t="shared" si="96"/>
        <v>9.6956755467892224E-3</v>
      </c>
      <c r="H206" s="296">
        <f t="shared" si="96"/>
        <v>7.800441675123301E-3</v>
      </c>
      <c r="I206" s="296">
        <f t="shared" si="96"/>
        <v>5.9052078034573796E-3</v>
      </c>
      <c r="J206" s="296">
        <f t="shared" si="96"/>
        <v>4.0099739317914582E-3</v>
      </c>
      <c r="K206" s="296">
        <f t="shared" si="96"/>
        <v>2.1147400601255364E-3</v>
      </c>
      <c r="L206" s="296">
        <f t="shared" si="96"/>
        <v>2.1950618845961462E-4</v>
      </c>
      <c r="M206" s="419">
        <v>0.125</v>
      </c>
      <c r="N206" s="406">
        <f t="shared" si="98"/>
        <v>-1.8952338716659218E-3</v>
      </c>
      <c r="O206" s="431"/>
      <c r="P206" s="431"/>
      <c r="Q206" s="431"/>
    </row>
    <row r="207" spans="1:20">
      <c r="A207" t="s">
        <v>2552</v>
      </c>
      <c r="B207" s="431">
        <v>0.15853722033800927</v>
      </c>
      <c r="C207" s="431">
        <v>0.11350214168224509</v>
      </c>
      <c r="D207" s="296">
        <f t="shared" si="97"/>
        <v>0.10383360948894813</v>
      </c>
      <c r="E207" s="296">
        <f t="shared" si="96"/>
        <v>9.4165077295651156E-2</v>
      </c>
      <c r="F207" s="296">
        <f t="shared" si="96"/>
        <v>8.4496545102354187E-2</v>
      </c>
      <c r="G207" s="296">
        <f t="shared" si="96"/>
        <v>7.4828012909057218E-2</v>
      </c>
      <c r="H207" s="296">
        <f t="shared" si="96"/>
        <v>6.5159480715760248E-2</v>
      </c>
      <c r="I207" s="296">
        <f t="shared" si="96"/>
        <v>5.5490948522463279E-2</v>
      </c>
      <c r="J207" s="296">
        <f t="shared" si="96"/>
        <v>4.582241632916631E-2</v>
      </c>
      <c r="K207" s="296">
        <f t="shared" si="96"/>
        <v>3.6153884135869341E-2</v>
      </c>
      <c r="L207" s="296">
        <f t="shared" si="96"/>
        <v>2.6485351942572372E-2</v>
      </c>
      <c r="M207" s="419">
        <v>0.4</v>
      </c>
      <c r="N207" s="406">
        <f t="shared" si="98"/>
        <v>-9.668532193296971E-3</v>
      </c>
      <c r="O207" s="431"/>
      <c r="P207" s="431"/>
      <c r="Q207" s="431"/>
    </row>
    <row r="208" spans="1:20">
      <c r="A208" t="s">
        <v>2553</v>
      </c>
      <c r="B208" s="431">
        <v>0.11241599592076371</v>
      </c>
      <c r="C208" s="431">
        <v>0.13518983220214337</v>
      </c>
      <c r="D208" s="296">
        <f t="shared" si="97"/>
        <v>0.123327480829338</v>
      </c>
      <c r="E208" s="296">
        <f t="shared" si="96"/>
        <v>0.11146512945653264</v>
      </c>
      <c r="F208" s="296">
        <f t="shared" si="96"/>
        <v>9.9602778083727278E-2</v>
      </c>
      <c r="G208" s="296">
        <f t="shared" si="96"/>
        <v>8.7740426710921915E-2</v>
      </c>
      <c r="H208" s="296">
        <f t="shared" si="96"/>
        <v>7.5878075338116552E-2</v>
      </c>
      <c r="I208" s="296">
        <f t="shared" si="96"/>
        <v>6.4015723965311189E-2</v>
      </c>
      <c r="J208" s="296">
        <f t="shared" si="96"/>
        <v>5.2153372592505833E-2</v>
      </c>
      <c r="K208" s="296">
        <f t="shared" si="96"/>
        <v>4.0291021219700476E-2</v>
      </c>
      <c r="L208" s="296">
        <f t="shared" si="96"/>
        <v>2.842866984689512E-2</v>
      </c>
      <c r="M208" s="419">
        <v>1</v>
      </c>
      <c r="N208" s="406">
        <f t="shared" si="98"/>
        <v>-1.1862351372805358E-2</v>
      </c>
      <c r="O208" s="431"/>
      <c r="P208" s="431"/>
      <c r="Q208" s="431"/>
    </row>
    <row r="209" spans="1:20">
      <c r="A209" t="s">
        <v>2554</v>
      </c>
      <c r="B209" s="431">
        <v>8.0977867629500488E-2</v>
      </c>
      <c r="C209" s="431">
        <v>5.5529357607603393E-2</v>
      </c>
      <c r="D209" s="296">
        <f t="shared" si="97"/>
        <v>4.9382220657802157E-2</v>
      </c>
      <c r="E209" s="296">
        <f t="shared" si="96"/>
        <v>4.3235083708000922E-2</v>
      </c>
      <c r="F209" s="296">
        <f t="shared" si="96"/>
        <v>3.7087946758199687E-2</v>
      </c>
      <c r="G209" s="296">
        <f t="shared" si="96"/>
        <v>3.0940809808398452E-2</v>
      </c>
      <c r="H209" s="296">
        <f t="shared" si="96"/>
        <v>2.4793672858597217E-2</v>
      </c>
      <c r="I209" s="296">
        <f t="shared" si="96"/>
        <v>1.8646535908795982E-2</v>
      </c>
      <c r="J209" s="296">
        <f t="shared" si="96"/>
        <v>1.2499398958994745E-2</v>
      </c>
      <c r="K209" s="296">
        <f t="shared" si="96"/>
        <v>6.3522620091935079E-3</v>
      </c>
      <c r="L209" s="296">
        <f t="shared" si="96"/>
        <v>2.0512505939227106E-4</v>
      </c>
      <c r="M209" s="419">
        <v>0.312</v>
      </c>
      <c r="N209" s="406">
        <f t="shared" si="98"/>
        <v>-6.1471369498012369E-3</v>
      </c>
      <c r="O209" s="431"/>
      <c r="P209" s="431"/>
      <c r="Q209" s="431"/>
    </row>
    <row r="210" spans="1:20">
      <c r="A210" t="s">
        <v>2556</v>
      </c>
      <c r="B210" s="431">
        <v>3.6196040339912419E-3</v>
      </c>
      <c r="C210" s="431">
        <v>7.1479697525978075E-2</v>
      </c>
      <c r="D210" s="296">
        <f t="shared" si="97"/>
        <v>8.3318933379143686E-2</v>
      </c>
      <c r="E210" s="296">
        <f t="shared" si="96"/>
        <v>9.5158169232309298E-2</v>
      </c>
      <c r="F210" s="296">
        <f t="shared" si="96"/>
        <v>0.10699740508547491</v>
      </c>
      <c r="G210" s="296">
        <f t="shared" si="96"/>
        <v>0.11883664093864052</v>
      </c>
      <c r="H210" s="296">
        <f t="shared" si="96"/>
        <v>0.13067587679180614</v>
      </c>
      <c r="I210" s="296">
        <f t="shared" si="96"/>
        <v>0.14251511264497177</v>
      </c>
      <c r="J210" s="296">
        <f t="shared" si="96"/>
        <v>0.15435434849813739</v>
      </c>
      <c r="K210" s="296">
        <f t="shared" si="96"/>
        <v>0.16619358435130302</v>
      </c>
      <c r="L210" s="296">
        <f t="shared" si="96"/>
        <v>0.17803282020446864</v>
      </c>
      <c r="M210" s="419">
        <v>0.33333333333333331</v>
      </c>
      <c r="N210" s="406">
        <f t="shared" si="98"/>
        <v>1.1839235853165613E-2</v>
      </c>
      <c r="P210" s="431"/>
      <c r="Q210" s="431"/>
    </row>
    <row r="211" spans="1:20">
      <c r="A211" t="s">
        <v>2557</v>
      </c>
      <c r="B211" s="431">
        <v>1.0952174904437785E-2</v>
      </c>
      <c r="C211" s="431">
        <v>3.4940577440198503E-2</v>
      </c>
      <c r="D211" s="296">
        <f t="shared" si="97"/>
        <v>3.563901076516833E-2</v>
      </c>
      <c r="E211" s="296">
        <f t="shared" si="96"/>
        <v>3.6337444090138157E-2</v>
      </c>
      <c r="F211" s="296">
        <f t="shared" si="96"/>
        <v>3.7035877415107984E-2</v>
      </c>
      <c r="G211" s="296">
        <f t="shared" si="96"/>
        <v>3.7734310740077812E-2</v>
      </c>
      <c r="H211" s="296">
        <f t="shared" si="96"/>
        <v>3.8432744065047639E-2</v>
      </c>
      <c r="I211" s="296">
        <f t="shared" si="96"/>
        <v>3.9131177390017466E-2</v>
      </c>
      <c r="J211" s="296">
        <f t="shared" si="96"/>
        <v>3.9829610714987293E-2</v>
      </c>
      <c r="K211" s="296">
        <f t="shared" si="96"/>
        <v>4.052804403995712E-2</v>
      </c>
      <c r="L211" s="296">
        <f t="shared" si="96"/>
        <v>4.1226477364926947E-2</v>
      </c>
      <c r="M211" s="419">
        <v>0.16666666666666666</v>
      </c>
      <c r="N211" s="406">
        <f t="shared" si="98"/>
        <v>6.9843332496982377E-4</v>
      </c>
      <c r="O211" t="s">
        <v>2421</v>
      </c>
      <c r="P211" s="431"/>
      <c r="Q211" s="431"/>
    </row>
    <row r="212" spans="1:20">
      <c r="A212" t="s">
        <v>2558</v>
      </c>
      <c r="B212" s="431">
        <v>4.8756928148346312E-2</v>
      </c>
      <c r="C212" s="431">
        <v>2.3853231610444E-2</v>
      </c>
      <c r="D212" s="296">
        <f t="shared" si="97"/>
        <v>2.1208987841585182E-2</v>
      </c>
      <c r="E212" s="296">
        <f t="shared" si="96"/>
        <v>1.8564744072726364E-2</v>
      </c>
      <c r="F212" s="296">
        <f t="shared" si="96"/>
        <v>1.5920500303867546E-2</v>
      </c>
      <c r="G212" s="296">
        <f t="shared" si="96"/>
        <v>1.3276256535008728E-2</v>
      </c>
      <c r="H212" s="296">
        <f t="shared" si="96"/>
        <v>1.0632012766149911E-2</v>
      </c>
      <c r="I212" s="296">
        <f t="shared" si="96"/>
        <v>7.9877689972910927E-3</v>
      </c>
      <c r="J212" s="296">
        <f t="shared" si="96"/>
        <v>5.3435252284322748E-3</v>
      </c>
      <c r="K212" s="296">
        <f t="shared" si="96"/>
        <v>2.6992814595734565E-3</v>
      </c>
      <c r="L212" s="296">
        <f t="shared" si="96"/>
        <v>5.5037690714638231E-5</v>
      </c>
      <c r="M212" s="419">
        <v>0.153</v>
      </c>
      <c r="N212" s="406">
        <f t="shared" si="98"/>
        <v>-2.6442437688588183E-3</v>
      </c>
      <c r="O212" s="431"/>
      <c r="P212" s="431"/>
      <c r="Q212" s="431"/>
    </row>
    <row r="213" spans="1:20">
      <c r="A213" t="s">
        <v>2560</v>
      </c>
      <c r="B213" s="431">
        <v>2.0198683225397555E-3</v>
      </c>
      <c r="C213" s="431">
        <v>8.9821535835985877E-4</v>
      </c>
      <c r="D213" s="296">
        <f t="shared" si="97"/>
        <v>8.1985142718876789E-4</v>
      </c>
      <c r="E213" s="296">
        <f t="shared" si="96"/>
        <v>7.41487496017677E-4</v>
      </c>
      <c r="F213" s="296">
        <f t="shared" si="96"/>
        <v>6.6312356484658612E-4</v>
      </c>
      <c r="G213" s="296">
        <f t="shared" si="96"/>
        <v>5.8475963367549523E-4</v>
      </c>
      <c r="H213" s="296">
        <f t="shared" si="96"/>
        <v>5.0639570250440435E-4</v>
      </c>
      <c r="I213" s="296">
        <f t="shared" si="96"/>
        <v>4.2803177133331346E-4</v>
      </c>
      <c r="J213" s="296">
        <f t="shared" si="96"/>
        <v>3.4966784016222257E-4</v>
      </c>
      <c r="K213" s="296">
        <f t="shared" si="96"/>
        <v>2.7130390899113169E-4</v>
      </c>
      <c r="L213" s="296">
        <f t="shared" si="96"/>
        <v>1.929399778200408E-4</v>
      </c>
      <c r="M213" s="419">
        <v>0.1</v>
      </c>
      <c r="N213" s="406">
        <f t="shared" si="98"/>
        <v>-7.8363931171090886E-5</v>
      </c>
      <c r="O213" s="431"/>
      <c r="P213" s="431"/>
      <c r="Q213" s="431"/>
    </row>
    <row r="214" spans="1:20">
      <c r="A214" t="s">
        <v>2562</v>
      </c>
      <c r="B214" s="431">
        <v>2.5926132068865839E-3</v>
      </c>
      <c r="C214" s="431">
        <v>3.2279614441057424E-4</v>
      </c>
      <c r="D214" s="296">
        <f t="shared" si="97"/>
        <v>3.2279614441057424E-4</v>
      </c>
      <c r="E214" s="296">
        <f t="shared" si="96"/>
        <v>3.2279614441057424E-4</v>
      </c>
      <c r="F214" s="296">
        <f t="shared" si="96"/>
        <v>3.2279614441057424E-4</v>
      </c>
      <c r="G214" s="296">
        <f t="shared" si="96"/>
        <v>3.2279614441057424E-4</v>
      </c>
      <c r="H214" s="296">
        <f t="shared" si="96"/>
        <v>3.2279614441057424E-4</v>
      </c>
      <c r="I214" s="296">
        <f t="shared" si="96"/>
        <v>3.2279614441057424E-4</v>
      </c>
      <c r="J214" s="296">
        <f t="shared" si="96"/>
        <v>3.2279614441057424E-4</v>
      </c>
      <c r="K214" s="296">
        <f t="shared" si="96"/>
        <v>3.2279614441057424E-4</v>
      </c>
      <c r="L214" s="296">
        <f t="shared" si="96"/>
        <v>3.2279614441057424E-4</v>
      </c>
      <c r="M214" s="419">
        <v>0</v>
      </c>
      <c r="N214" s="406">
        <f t="shared" si="98"/>
        <v>0</v>
      </c>
      <c r="O214" s="431"/>
      <c r="P214" s="431"/>
      <c r="Q214" s="431"/>
    </row>
    <row r="215" spans="1:20">
      <c r="A215" s="64" t="s">
        <v>2036</v>
      </c>
      <c r="O215" s="431"/>
      <c r="P215" s="431"/>
      <c r="Q215" s="431"/>
    </row>
    <row r="216" spans="1:20">
      <c r="A216" s="320" t="s">
        <v>172</v>
      </c>
      <c r="B216" s="85">
        <f>I185</f>
        <v>0</v>
      </c>
      <c r="C216" s="85">
        <f>J185</f>
        <v>29598</v>
      </c>
      <c r="D216" s="403">
        <f t="shared" ref="D216:L216" si="99">D203*D201</f>
        <v>117425.01653517065</v>
      </c>
      <c r="E216" s="403">
        <f t="shared" si="99"/>
        <v>145726.93871630056</v>
      </c>
      <c r="F216" s="403">
        <f t="shared" si="99"/>
        <v>162018.8096330819</v>
      </c>
      <c r="G216" s="403">
        <f t="shared" si="99"/>
        <v>185229.61942566707</v>
      </c>
      <c r="H216" s="403">
        <f t="shared" si="99"/>
        <v>204524.00315853558</v>
      </c>
      <c r="I216" s="403">
        <f t="shared" si="99"/>
        <v>226005.07823216976</v>
      </c>
      <c r="J216" s="403">
        <f t="shared" si="99"/>
        <v>246278.56847996745</v>
      </c>
      <c r="K216" s="403">
        <f t="shared" si="99"/>
        <v>267212.97071841022</v>
      </c>
      <c r="L216" s="403">
        <f t="shared" si="99"/>
        <v>287788.35717266705</v>
      </c>
      <c r="O216" s="431"/>
      <c r="P216" s="431"/>
      <c r="Q216" s="431"/>
    </row>
    <row r="218" spans="1:20" s="423" customFormat="1">
      <c r="A218" s="421" t="s">
        <v>173</v>
      </c>
    </row>
    <row r="219" spans="1:20" s="400" customFormat="1" ht="70">
      <c r="A219" s="527" t="s">
        <v>0</v>
      </c>
      <c r="B219" s="527" t="s">
        <v>2018</v>
      </c>
      <c r="C219" s="527" t="s">
        <v>2019</v>
      </c>
      <c r="D219" s="527" t="s">
        <v>2020</v>
      </c>
      <c r="E219" s="527" t="s">
        <v>2021</v>
      </c>
      <c r="F219" s="527" t="s">
        <v>2022</v>
      </c>
      <c r="G219" s="527" t="s">
        <v>1840</v>
      </c>
      <c r="H219" s="527" t="s">
        <v>2023</v>
      </c>
      <c r="I219" s="527" t="s">
        <v>2024</v>
      </c>
      <c r="J219" s="527" t="s">
        <v>2025</v>
      </c>
      <c r="K219" s="527" t="s">
        <v>2456</v>
      </c>
      <c r="L219" s="527" t="s">
        <v>2027</v>
      </c>
      <c r="M219" s="527" t="s">
        <v>2028</v>
      </c>
      <c r="N219" s="527" t="s">
        <v>2457</v>
      </c>
      <c r="O219" s="527" t="s">
        <v>2030</v>
      </c>
      <c r="P219" s="527" t="s">
        <v>2031</v>
      </c>
      <c r="Q219" s="527" t="s">
        <v>2032</v>
      </c>
      <c r="R219" s="527" t="s">
        <v>2033</v>
      </c>
      <c r="S219" s="527" t="s">
        <v>2034</v>
      </c>
      <c r="T219" s="527" t="s">
        <v>2035</v>
      </c>
    </row>
    <row r="220" spans="1:20">
      <c r="A220" s="391" t="s">
        <v>25</v>
      </c>
      <c r="B220" s="392" t="s">
        <v>173</v>
      </c>
      <c r="C220" s="320" t="s">
        <v>2036</v>
      </c>
      <c r="D220" s="409" t="s">
        <v>2199</v>
      </c>
      <c r="E220" s="409" t="s">
        <v>2200</v>
      </c>
      <c r="F220" s="389" t="s">
        <v>2039</v>
      </c>
      <c r="G220" s="413">
        <v>30355.852999999999</v>
      </c>
      <c r="H220" s="390" t="s">
        <v>2487</v>
      </c>
      <c r="I220" s="398">
        <v>21225</v>
      </c>
      <c r="J220" s="398">
        <v>46783</v>
      </c>
      <c r="K220" s="398">
        <v>48712</v>
      </c>
      <c r="L220" s="431">
        <v>9.9687387866365836E-3</v>
      </c>
      <c r="M220" s="431">
        <v>1.8952079592009525E-2</v>
      </c>
      <c r="N220" s="431">
        <v>3.5139658356417358E-2</v>
      </c>
      <c r="O220" s="444">
        <f t="shared" ref="O220:O233" si="100">M220-L220</f>
        <v>8.9833408053729413E-3</v>
      </c>
      <c r="P220" s="444">
        <f t="shared" ref="P220:P233" si="101">N220-M220</f>
        <v>1.6187578764407833E-2</v>
      </c>
      <c r="Q220" s="444">
        <f t="shared" ref="Q220:Q233" si="102">N220-L220</f>
        <v>2.5170919569780775E-2</v>
      </c>
      <c r="R220" s="436">
        <f>(SUM(Q221:Q233))/2.5</f>
        <v>-3.7751858553689198E-2</v>
      </c>
      <c r="S220" s="436">
        <f>T220+R220</f>
        <v>-2.7683490725776888E-2</v>
      </c>
      <c r="T220" s="436">
        <f t="shared" ref="T220:T233" si="103">Q220/2.5</f>
        <v>1.006836782791231E-2</v>
      </c>
    </row>
    <row r="221" spans="1:20">
      <c r="A221" s="441" t="s">
        <v>2459</v>
      </c>
      <c r="B221" s="320" t="s">
        <v>2565</v>
      </c>
      <c r="C221" s="320" t="s">
        <v>2036</v>
      </c>
      <c r="D221" s="528" t="s">
        <v>2199</v>
      </c>
      <c r="E221" s="528" t="s">
        <v>2200</v>
      </c>
      <c r="F221" s="549" t="s">
        <v>2060</v>
      </c>
      <c r="G221" s="410">
        <v>29425.64</v>
      </c>
      <c r="H221" s="529" t="s">
        <v>2485</v>
      </c>
      <c r="I221" s="397">
        <v>0</v>
      </c>
      <c r="J221" s="397">
        <v>7100</v>
      </c>
      <c r="K221" s="397">
        <v>3891</v>
      </c>
      <c r="L221" s="431">
        <v>0</v>
      </c>
      <c r="M221" s="431">
        <v>2.8762534489722253E-3</v>
      </c>
      <c r="N221" s="431">
        <v>2.8068732686980609E-3</v>
      </c>
      <c r="O221" s="444">
        <f t="shared" si="100"/>
        <v>2.8762534489722253E-3</v>
      </c>
      <c r="P221" s="444">
        <f t="shared" si="101"/>
        <v>-6.9380180274164482E-5</v>
      </c>
      <c r="Q221" s="444">
        <f t="shared" si="102"/>
        <v>2.8068732686980609E-3</v>
      </c>
      <c r="T221" s="436">
        <f t="shared" si="103"/>
        <v>1.1227493074792243E-3</v>
      </c>
    </row>
    <row r="222" spans="1:20">
      <c r="A222" s="441" t="s">
        <v>2566</v>
      </c>
      <c r="B222" s="320" t="s">
        <v>2567</v>
      </c>
      <c r="C222" s="320" t="s">
        <v>2036</v>
      </c>
      <c r="D222" s="528" t="s">
        <v>2199</v>
      </c>
      <c r="E222" s="528" t="s">
        <v>2200</v>
      </c>
      <c r="F222" s="549" t="s">
        <v>2060</v>
      </c>
      <c r="G222" s="410">
        <v>30510.89</v>
      </c>
      <c r="H222" s="529" t="s">
        <v>2487</v>
      </c>
      <c r="I222" s="397">
        <v>41</v>
      </c>
      <c r="J222" s="397">
        <v>129</v>
      </c>
      <c r="K222" s="397">
        <v>4</v>
      </c>
      <c r="L222" s="431">
        <v>1.925645654897997E-5</v>
      </c>
      <c r="M222" s="431">
        <v>5.2258689424988324E-5</v>
      </c>
      <c r="N222" s="431">
        <v>2.8855032317636194E-6</v>
      </c>
      <c r="O222" s="444">
        <f t="shared" si="100"/>
        <v>3.3002232876008353E-5</v>
      </c>
      <c r="P222" s="444">
        <f t="shared" si="101"/>
        <v>-4.9373186193224707E-5</v>
      </c>
      <c r="Q222" s="444">
        <f t="shared" si="102"/>
        <v>-1.637095331721635E-5</v>
      </c>
      <c r="T222" s="436">
        <f t="shared" si="103"/>
        <v>-6.5483813268865403E-6</v>
      </c>
    </row>
    <row r="223" spans="1:20">
      <c r="A223" s="441" t="s">
        <v>2488</v>
      </c>
      <c r="B223" s="320" t="s">
        <v>2568</v>
      </c>
      <c r="C223" s="320" t="s">
        <v>2036</v>
      </c>
      <c r="D223" s="528" t="s">
        <v>2199</v>
      </c>
      <c r="E223" s="528" t="s">
        <v>2200</v>
      </c>
      <c r="F223" s="428" t="s">
        <v>2048</v>
      </c>
      <c r="G223" s="410">
        <v>29890.75</v>
      </c>
      <c r="H223" s="529" t="s">
        <v>2485</v>
      </c>
      <c r="I223" s="397">
        <v>0</v>
      </c>
      <c r="J223" s="397">
        <v>28545</v>
      </c>
      <c r="K223" s="397">
        <v>9874</v>
      </c>
      <c r="L223" s="431">
        <v>0</v>
      </c>
      <c r="M223" s="431">
        <v>1.1563754183227068E-2</v>
      </c>
      <c r="N223" s="431">
        <v>7.1228647276084947E-3</v>
      </c>
      <c r="O223" s="444">
        <f t="shared" si="100"/>
        <v>1.1563754183227068E-2</v>
      </c>
      <c r="P223" s="444">
        <f t="shared" si="101"/>
        <v>-4.4408894556185732E-3</v>
      </c>
      <c r="Q223" s="444">
        <f t="shared" si="102"/>
        <v>7.1228647276084947E-3</v>
      </c>
      <c r="T223" s="436">
        <f t="shared" si="103"/>
        <v>2.8491458910433979E-3</v>
      </c>
    </row>
    <row r="224" spans="1:20">
      <c r="A224" s="441" t="s">
        <v>2236</v>
      </c>
      <c r="B224" s="320" t="s">
        <v>2569</v>
      </c>
      <c r="C224" s="320" t="s">
        <v>2036</v>
      </c>
      <c r="D224" s="528" t="s">
        <v>2199</v>
      </c>
      <c r="E224" s="528" t="s">
        <v>2200</v>
      </c>
      <c r="F224" s="428" t="s">
        <v>2043</v>
      </c>
      <c r="G224" s="410">
        <v>28976.04</v>
      </c>
      <c r="H224" s="529" t="s">
        <v>2485</v>
      </c>
      <c r="I224" s="397">
        <v>169507</v>
      </c>
      <c r="J224" s="397">
        <v>89339</v>
      </c>
      <c r="K224" s="397">
        <v>51691</v>
      </c>
      <c r="L224" s="431">
        <v>7.9612297079218242E-2</v>
      </c>
      <c r="M224" s="431">
        <v>3.6191775616581642E-2</v>
      </c>
      <c r="N224" s="431">
        <v>3.7288636888273316E-2</v>
      </c>
      <c r="O224" s="444">
        <f t="shared" si="100"/>
        <v>-4.3420521462636599E-2</v>
      </c>
      <c r="P224" s="444">
        <f t="shared" si="101"/>
        <v>1.0968612716916737E-3</v>
      </c>
      <c r="Q224" s="444">
        <f t="shared" si="102"/>
        <v>-4.2323660190944926E-2</v>
      </c>
      <c r="T224" s="436">
        <f t="shared" si="103"/>
        <v>-1.6929464076377972E-2</v>
      </c>
    </row>
    <row r="225" spans="1:20">
      <c r="A225" s="441" t="s">
        <v>2066</v>
      </c>
      <c r="B225" s="320" t="s">
        <v>2570</v>
      </c>
      <c r="C225" s="320" t="s">
        <v>2036</v>
      </c>
      <c r="D225" s="528" t="s">
        <v>2199</v>
      </c>
      <c r="E225" s="528" t="s">
        <v>2200</v>
      </c>
      <c r="F225" s="428" t="s">
        <v>2043</v>
      </c>
      <c r="G225" s="410">
        <v>29441.15</v>
      </c>
      <c r="H225" s="529" t="s">
        <v>2485</v>
      </c>
      <c r="I225" s="397">
        <v>167880</v>
      </c>
      <c r="J225" s="397">
        <v>146476</v>
      </c>
      <c r="K225" s="397">
        <v>45918</v>
      </c>
      <c r="L225" s="431">
        <v>7.8848144522994087E-2</v>
      </c>
      <c r="M225" s="431">
        <v>5.9338323970655735E-2</v>
      </c>
      <c r="N225" s="431">
        <v>3.3124134349030471E-2</v>
      </c>
      <c r="O225" s="444">
        <f t="shared" si="100"/>
        <v>-1.9509820552338353E-2</v>
      </c>
      <c r="P225" s="444">
        <f t="shared" si="101"/>
        <v>-2.6214189621625264E-2</v>
      </c>
      <c r="Q225" s="444">
        <f t="shared" si="102"/>
        <v>-4.5724010173963617E-2</v>
      </c>
      <c r="T225" s="436">
        <f t="shared" si="103"/>
        <v>-1.8289604069585446E-2</v>
      </c>
    </row>
    <row r="226" spans="1:20">
      <c r="A226" s="441" t="s">
        <v>2049</v>
      </c>
      <c r="B226" s="320" t="s">
        <v>2571</v>
      </c>
      <c r="C226" s="320" t="s">
        <v>2036</v>
      </c>
      <c r="D226" s="528" t="s">
        <v>2199</v>
      </c>
      <c r="E226" s="528" t="s">
        <v>2200</v>
      </c>
      <c r="F226" s="428" t="s">
        <v>2043</v>
      </c>
      <c r="G226" s="410">
        <v>31441.1</v>
      </c>
      <c r="H226" s="529" t="s">
        <v>2487</v>
      </c>
      <c r="I226" s="397">
        <v>10974</v>
      </c>
      <c r="J226" s="397">
        <v>8120</v>
      </c>
      <c r="K226" s="397">
        <v>1121</v>
      </c>
      <c r="L226" s="431">
        <v>5.1541549797196632E-3</v>
      </c>
      <c r="M226" s="431">
        <v>3.2894616909372493E-3</v>
      </c>
      <c r="N226" s="431">
        <v>8.0866228070175441E-4</v>
      </c>
      <c r="O226" s="444">
        <f t="shared" si="100"/>
        <v>-1.8646932887824139E-3</v>
      </c>
      <c r="P226" s="444">
        <f t="shared" si="101"/>
        <v>-2.480799410235495E-3</v>
      </c>
      <c r="Q226" s="444">
        <f t="shared" si="102"/>
        <v>-4.3454926990179089E-3</v>
      </c>
      <c r="T226" s="436">
        <f t="shared" si="103"/>
        <v>-1.7381970796071637E-3</v>
      </c>
    </row>
    <row r="227" spans="1:20">
      <c r="A227" s="441" t="s">
        <v>2572</v>
      </c>
      <c r="B227" s="454">
        <v>5008</v>
      </c>
      <c r="C227" s="320" t="s">
        <v>2036</v>
      </c>
      <c r="D227" s="528" t="s">
        <v>2199</v>
      </c>
      <c r="E227" s="528" t="s">
        <v>2200</v>
      </c>
      <c r="F227" s="428" t="s">
        <v>2043</v>
      </c>
      <c r="G227" s="410">
        <v>29100.07</v>
      </c>
      <c r="H227" s="529" t="s">
        <v>2485</v>
      </c>
      <c r="I227" s="397">
        <v>4061</v>
      </c>
      <c r="J227" s="397">
        <v>6937</v>
      </c>
      <c r="K227" s="397">
        <v>2655</v>
      </c>
      <c r="L227" s="431">
        <v>1.9073285376928698E-3</v>
      </c>
      <c r="M227" s="431">
        <v>2.8102211514817363E-3</v>
      </c>
      <c r="N227" s="431">
        <v>1.9152527700831024E-3</v>
      </c>
      <c r="O227" s="444">
        <f t="shared" si="100"/>
        <v>9.0289261378886649E-4</v>
      </c>
      <c r="P227" s="444">
        <f t="shared" si="101"/>
        <v>-8.9496838139863392E-4</v>
      </c>
      <c r="Q227" s="444">
        <f t="shared" si="102"/>
        <v>7.9242323902325735E-6</v>
      </c>
      <c r="T227" s="436">
        <f t="shared" si="103"/>
        <v>3.1696929560930294E-6</v>
      </c>
    </row>
    <row r="228" spans="1:20">
      <c r="A228" s="441" t="s">
        <v>2068</v>
      </c>
      <c r="B228" s="320" t="s">
        <v>2573</v>
      </c>
      <c r="C228" s="320" t="s">
        <v>2036</v>
      </c>
      <c r="D228" s="528" t="s">
        <v>2199</v>
      </c>
      <c r="E228" s="528" t="s">
        <v>2200</v>
      </c>
      <c r="F228" s="428" t="s">
        <v>2043</v>
      </c>
      <c r="G228" s="410">
        <v>28805.5</v>
      </c>
      <c r="H228" s="529" t="s">
        <v>2485</v>
      </c>
      <c r="I228" s="397">
        <v>19694</v>
      </c>
      <c r="J228" s="397">
        <v>15810</v>
      </c>
      <c r="K228" s="397">
        <v>31171</v>
      </c>
      <c r="L228" s="431">
        <v>9.2496745189173547E-3</v>
      </c>
      <c r="M228" s="431">
        <v>6.404727750457871E-3</v>
      </c>
      <c r="N228" s="431">
        <v>2.2486005309325947E-2</v>
      </c>
      <c r="O228" s="444">
        <f t="shared" si="100"/>
        <v>-2.8449467684594837E-3</v>
      </c>
      <c r="P228" s="444">
        <f t="shared" si="101"/>
        <v>1.6081277558868075E-2</v>
      </c>
      <c r="Q228" s="444">
        <f t="shared" si="102"/>
        <v>1.3236330790408592E-2</v>
      </c>
      <c r="T228" s="436">
        <f t="shared" si="103"/>
        <v>5.2945323161634368E-3</v>
      </c>
    </row>
    <row r="229" spans="1:20">
      <c r="A229" s="394" t="s">
        <v>2057</v>
      </c>
      <c r="B229" s="394" t="s">
        <v>2574</v>
      </c>
      <c r="C229" s="320" t="s">
        <v>2036</v>
      </c>
      <c r="D229" s="528" t="s">
        <v>2199</v>
      </c>
      <c r="E229" s="528" t="s">
        <v>2200</v>
      </c>
      <c r="F229" s="395" t="s">
        <v>2043</v>
      </c>
      <c r="G229" s="410">
        <v>33457</v>
      </c>
      <c r="H229" s="529" t="s">
        <v>2575</v>
      </c>
      <c r="I229" s="402">
        <v>178574</v>
      </c>
      <c r="J229" s="402">
        <v>109833</v>
      </c>
      <c r="K229" s="402">
        <v>62752</v>
      </c>
      <c r="L229" s="431">
        <v>8.3870791994574381E-2</v>
      </c>
      <c r="M229" s="431">
        <v>4.4494020431122036E-2</v>
      </c>
      <c r="N229" s="431">
        <v>4.5267774699907663E-2</v>
      </c>
      <c r="O229" s="444">
        <f t="shared" si="100"/>
        <v>-3.9376771563452345E-2</v>
      </c>
      <c r="P229" s="444">
        <f t="shared" si="101"/>
        <v>7.737542687856272E-4</v>
      </c>
      <c r="Q229" s="444">
        <f t="shared" si="102"/>
        <v>-3.8603017294666718E-2</v>
      </c>
      <c r="T229" s="436">
        <f t="shared" si="103"/>
        <v>-1.5441206917866688E-2</v>
      </c>
    </row>
    <row r="230" spans="1:20">
      <c r="A230" s="394" t="s">
        <v>2576</v>
      </c>
      <c r="B230" t="s">
        <v>2577</v>
      </c>
      <c r="C230" s="320" t="s">
        <v>2036</v>
      </c>
      <c r="D230" s="533" t="s">
        <v>2199</v>
      </c>
      <c r="E230" s="395" t="s">
        <v>2200</v>
      </c>
      <c r="F230" s="395" t="s">
        <v>2043</v>
      </c>
      <c r="G230" s="410">
        <v>28495.433000000001</v>
      </c>
      <c r="H230" s="529" t="s">
        <v>2485</v>
      </c>
      <c r="I230" s="402">
        <v>98365</v>
      </c>
      <c r="J230" s="402">
        <v>90658</v>
      </c>
      <c r="K230" s="402">
        <v>70052</v>
      </c>
      <c r="L230" s="431">
        <v>4.6199057279034512E-2</v>
      </c>
      <c r="M230" s="431">
        <v>3.6726110588299159E-2</v>
      </c>
      <c r="N230" s="431">
        <v>5.0533818097876271E-2</v>
      </c>
      <c r="O230" s="444">
        <f t="shared" si="100"/>
        <v>-9.4729466907353538E-3</v>
      </c>
      <c r="P230" s="444">
        <f t="shared" si="101"/>
        <v>1.3807707509577112E-2</v>
      </c>
      <c r="Q230" s="444">
        <f t="shared" si="102"/>
        <v>4.3347608188417583E-3</v>
      </c>
      <c r="T230" s="436">
        <f t="shared" si="103"/>
        <v>1.7339043275367034E-3</v>
      </c>
    </row>
    <row r="231" spans="1:20">
      <c r="A231" t="s">
        <v>2068</v>
      </c>
      <c r="B231" t="s">
        <v>2573</v>
      </c>
      <c r="C231" s="320" t="s">
        <v>2036</v>
      </c>
      <c r="D231" s="533" t="s">
        <v>2199</v>
      </c>
      <c r="E231" s="395" t="s">
        <v>2200</v>
      </c>
      <c r="F231" s="395" t="s">
        <v>2043</v>
      </c>
      <c r="G231" s="410">
        <v>28805.503000000001</v>
      </c>
      <c r="H231" s="529" t="s">
        <v>2485</v>
      </c>
      <c r="I231" s="402">
        <v>19694</v>
      </c>
      <c r="J231" s="402">
        <v>15810</v>
      </c>
      <c r="K231" s="402">
        <v>25806</v>
      </c>
      <c r="L231" s="431">
        <v>9.2496745189173547E-3</v>
      </c>
      <c r="M231" s="431">
        <v>6.404727750457871E-3</v>
      </c>
      <c r="N231" s="431">
        <v>1.8615824099722993E-2</v>
      </c>
      <c r="O231" s="444">
        <f t="shared" si="100"/>
        <v>-2.8449467684594837E-3</v>
      </c>
      <c r="P231" s="444">
        <f t="shared" si="101"/>
        <v>1.2211096349265121E-2</v>
      </c>
      <c r="Q231" s="444">
        <f t="shared" si="102"/>
        <v>9.3661495808056387E-3</v>
      </c>
      <c r="T231" s="436">
        <f t="shared" si="103"/>
        <v>3.7464598323222555E-3</v>
      </c>
    </row>
    <row r="232" spans="1:20">
      <c r="A232" s="394" t="s">
        <v>2468</v>
      </c>
      <c r="B232" t="s">
        <v>2578</v>
      </c>
      <c r="C232" s="320" t="s">
        <v>2036</v>
      </c>
      <c r="D232" s="533" t="s">
        <v>2199</v>
      </c>
      <c r="E232" s="395" t="s">
        <v>2200</v>
      </c>
      <c r="F232" s="395" t="s">
        <v>2043</v>
      </c>
      <c r="G232" s="410">
        <v>33301.517999999996</v>
      </c>
      <c r="H232" s="529" t="s">
        <v>2575</v>
      </c>
      <c r="I232" s="402">
        <v>736</v>
      </c>
      <c r="J232" s="402">
        <v>1003</v>
      </c>
      <c r="K232" s="402">
        <v>160</v>
      </c>
      <c r="L232" s="431">
        <v>3.4567687853778679E-4</v>
      </c>
      <c r="M232" s="431">
        <v>4.0632143793227352E-4</v>
      </c>
      <c r="N232" s="431">
        <v>1.1542012927054478E-4</v>
      </c>
      <c r="O232" s="444">
        <f t="shared" si="100"/>
        <v>6.064455939448673E-5</v>
      </c>
      <c r="P232" s="444">
        <f t="shared" si="101"/>
        <v>-2.9090130866172876E-4</v>
      </c>
      <c r="Q232" s="444">
        <f t="shared" si="102"/>
        <v>-2.3025674926724203E-4</v>
      </c>
      <c r="T232" s="436">
        <f t="shared" si="103"/>
        <v>-9.2102699706896813E-5</v>
      </c>
    </row>
    <row r="233" spans="1:20">
      <c r="A233" t="s">
        <v>2579</v>
      </c>
      <c r="B233" t="s">
        <v>2580</v>
      </c>
      <c r="C233" s="320" t="s">
        <v>2036</v>
      </c>
      <c r="D233" s="533" t="s">
        <v>2199</v>
      </c>
      <c r="E233" s="395" t="s">
        <v>2200</v>
      </c>
      <c r="F233" s="482" t="s">
        <v>2060</v>
      </c>
      <c r="G233" s="410">
        <v>28665.9715</v>
      </c>
      <c r="H233" s="529" t="s">
        <v>2485</v>
      </c>
      <c r="I233" s="402">
        <v>25</v>
      </c>
      <c r="J233" s="402">
        <v>1200</v>
      </c>
      <c r="K233" s="402">
        <v>0</v>
      </c>
      <c r="L233" s="431">
        <v>1.174174179815852E-5</v>
      </c>
      <c r="M233" s="431">
        <v>4.8612734348826348E-4</v>
      </c>
      <c r="N233" s="431">
        <v>0</v>
      </c>
      <c r="O233" s="444">
        <f t="shared" si="100"/>
        <v>4.7438560169010499E-4</v>
      </c>
      <c r="P233" s="444">
        <f t="shared" si="101"/>
        <v>-4.8612734348826348E-4</v>
      </c>
      <c r="Q233" s="444">
        <f t="shared" si="102"/>
        <v>-1.174174179815852E-5</v>
      </c>
      <c r="T233" s="436">
        <f t="shared" si="103"/>
        <v>-4.6966967192634077E-6</v>
      </c>
    </row>
    <row r="234" spans="1:20">
      <c r="A234" t="s">
        <v>24</v>
      </c>
      <c r="I234" s="403">
        <f>SUM(I220:I233)</f>
        <v>690776</v>
      </c>
      <c r="J234" s="403">
        <f t="shared" ref="J234:K234" si="104">SUM(J220:J233)</f>
        <v>567743</v>
      </c>
      <c r="K234" s="403">
        <f t="shared" si="104"/>
        <v>353807</v>
      </c>
      <c r="L234" s="296">
        <f>SUM(L220:L233)</f>
        <v>0.32443653729458993</v>
      </c>
      <c r="M234" s="296">
        <f>SUM(M220:M233)</f>
        <v>0.2299961636450476</v>
      </c>
      <c r="N234" s="296">
        <f>SUM(N220:N233)</f>
        <v>0.25522781048014775</v>
      </c>
    </row>
    <row r="235" spans="1:20">
      <c r="A235" s="64" t="s">
        <v>2218</v>
      </c>
    </row>
    <row r="236" spans="1:20">
      <c r="A236" t="s">
        <v>2581</v>
      </c>
      <c r="B236">
        <v>2020</v>
      </c>
      <c r="C236">
        <v>2021</v>
      </c>
      <c r="D236" t="s">
        <v>14</v>
      </c>
      <c r="E236" t="s">
        <v>11</v>
      </c>
      <c r="F236" t="s">
        <v>12</v>
      </c>
      <c r="G236" t="s">
        <v>13</v>
      </c>
      <c r="H236" t="s">
        <v>2220</v>
      </c>
      <c r="I236" t="s">
        <v>2221</v>
      </c>
      <c r="J236" t="s">
        <v>2222</v>
      </c>
      <c r="K236" t="s">
        <v>2223</v>
      </c>
      <c r="L236" t="s">
        <v>2224</v>
      </c>
      <c r="M236" t="s">
        <v>2225</v>
      </c>
      <c r="N236" t="s">
        <v>2226</v>
      </c>
    </row>
    <row r="237" spans="1:20">
      <c r="A237" t="s">
        <v>2227</v>
      </c>
      <c r="B237" s="405">
        <v>2129156</v>
      </c>
      <c r="C237" s="405">
        <v>2468489</v>
      </c>
      <c r="D237" s="468">
        <f t="shared" ref="D237:L237" si="105">AVERAGE(B237:C237)</f>
        <v>2298822.5</v>
      </c>
      <c r="E237" s="468">
        <f t="shared" si="105"/>
        <v>2383655.75</v>
      </c>
      <c r="F237" s="468">
        <f t="shared" si="105"/>
        <v>2341239.125</v>
      </c>
      <c r="G237" s="468">
        <f t="shared" si="105"/>
        <v>2362447.4375</v>
      </c>
      <c r="H237" s="468">
        <f t="shared" si="105"/>
        <v>2351843.28125</v>
      </c>
      <c r="I237" s="468">
        <f t="shared" si="105"/>
        <v>2357145.359375</v>
      </c>
      <c r="J237" s="468">
        <f t="shared" si="105"/>
        <v>2354494.3203125</v>
      </c>
      <c r="K237" s="468">
        <f t="shared" si="105"/>
        <v>2355819.83984375</v>
      </c>
      <c r="L237" s="468">
        <f t="shared" si="105"/>
        <v>2355157.080078125</v>
      </c>
      <c r="N237" t="s">
        <v>162</v>
      </c>
    </row>
    <row r="238" spans="1:20">
      <c r="A238" s="64" t="s">
        <v>2228</v>
      </c>
      <c r="B238" s="402"/>
      <c r="C238" s="402"/>
      <c r="D238" s="468"/>
      <c r="E238" s="468"/>
      <c r="F238" s="468"/>
      <c r="G238" s="468"/>
      <c r="H238" s="468"/>
      <c r="I238" s="468"/>
      <c r="J238" s="468"/>
      <c r="K238" s="468"/>
      <c r="L238" s="468"/>
    </row>
    <row r="239" spans="1:20">
      <c r="A239" s="320" t="s">
        <v>173</v>
      </c>
      <c r="B239" s="431">
        <f t="shared" ref="B239:B252" si="106">L220</f>
        <v>9.9687387866365836E-3</v>
      </c>
      <c r="C239" s="431">
        <f t="shared" ref="C239:C252" si="107">M220</f>
        <v>1.8952079592009525E-2</v>
      </c>
      <c r="D239" s="296">
        <f>N220+$N239/2</f>
        <v>4.2851963796140015E-2</v>
      </c>
      <c r="E239" s="296">
        <f t="shared" ref="E239:L252" si="108">D239+$N239</f>
        <v>5.8276574675585335E-2</v>
      </c>
      <c r="F239" s="296">
        <f t="shared" si="108"/>
        <v>7.3701185555030649E-2</v>
      </c>
      <c r="G239" s="296">
        <f t="shared" si="108"/>
        <v>8.9125796434475962E-2</v>
      </c>
      <c r="H239" s="296">
        <f t="shared" si="108"/>
        <v>0.10455040731392128</v>
      </c>
      <c r="I239" s="296">
        <f t="shared" si="108"/>
        <v>0.11997501819336659</v>
      </c>
      <c r="J239" s="296">
        <f t="shared" si="108"/>
        <v>0.13539962907281192</v>
      </c>
      <c r="K239" s="296">
        <f t="shared" si="108"/>
        <v>0.15082423995225724</v>
      </c>
      <c r="L239" s="296">
        <f t="shared" si="108"/>
        <v>0.16624885083170257</v>
      </c>
      <c r="N239" s="296">
        <f>-SUM(N240:N252)</f>
        <v>1.5424610879445319E-2</v>
      </c>
    </row>
    <row r="240" spans="1:20">
      <c r="A240" s="320" t="s">
        <v>2565</v>
      </c>
      <c r="B240" s="431">
        <f t="shared" si="106"/>
        <v>0</v>
      </c>
      <c r="C240" s="431">
        <f t="shared" si="107"/>
        <v>2.8762534489722253E-3</v>
      </c>
      <c r="D240" s="296">
        <f t="shared" ref="D240:D252" si="109">C240+$N240</f>
        <v>3.9990027564514499E-3</v>
      </c>
      <c r="E240" s="296">
        <f t="shared" si="108"/>
        <v>5.1217520639306744E-3</v>
      </c>
      <c r="F240" s="296">
        <f t="shared" si="108"/>
        <v>6.2445013714098989E-3</v>
      </c>
      <c r="G240" s="296">
        <f t="shared" si="108"/>
        <v>7.3672506788891234E-3</v>
      </c>
      <c r="H240" s="296">
        <f t="shared" si="108"/>
        <v>8.4899999863683479E-3</v>
      </c>
      <c r="I240" s="296">
        <f t="shared" si="108"/>
        <v>9.6127492938475716E-3</v>
      </c>
      <c r="J240" s="296">
        <f t="shared" si="108"/>
        <v>1.0735498601326795E-2</v>
      </c>
      <c r="K240" s="296">
        <f t="shared" si="108"/>
        <v>1.1858247908806019E-2</v>
      </c>
      <c r="L240" s="296">
        <f t="shared" si="108"/>
        <v>1.2980997216285243E-2</v>
      </c>
      <c r="M240" s="419">
        <v>1</v>
      </c>
      <c r="N240" s="469">
        <f t="shared" ref="N240:N252" si="110">M240*T221</f>
        <v>1.1227493074792243E-3</v>
      </c>
    </row>
    <row r="241" spans="1:15">
      <c r="A241" s="320" t="s">
        <v>2567</v>
      </c>
      <c r="B241" s="431">
        <f t="shared" si="106"/>
        <v>1.925645654897997E-5</v>
      </c>
      <c r="C241" s="431">
        <f t="shared" si="107"/>
        <v>5.2258689424988324E-5</v>
      </c>
      <c r="D241" s="296">
        <f t="shared" si="109"/>
        <v>4.5710308098101781E-5</v>
      </c>
      <c r="E241" s="296">
        <f t="shared" si="108"/>
        <v>3.9161926771215238E-5</v>
      </c>
      <c r="F241" s="296">
        <f t="shared" si="108"/>
        <v>3.2613545444328695E-5</v>
      </c>
      <c r="G241" s="296">
        <f t="shared" si="108"/>
        <v>2.6065164117442156E-5</v>
      </c>
      <c r="H241" s="296">
        <f t="shared" si="108"/>
        <v>1.9516782790555616E-5</v>
      </c>
      <c r="I241" s="296">
        <f t="shared" si="108"/>
        <v>1.2968401463669077E-5</v>
      </c>
      <c r="J241" s="296">
        <f t="shared" si="108"/>
        <v>6.4200201367825362E-6</v>
      </c>
      <c r="K241" s="296">
        <f t="shared" si="108"/>
        <v>-1.2836119010400415E-7</v>
      </c>
      <c r="L241" s="296">
        <f t="shared" si="108"/>
        <v>-6.6767425169905445E-6</v>
      </c>
      <c r="M241" s="419">
        <v>1</v>
      </c>
      <c r="N241" s="469">
        <f t="shared" si="110"/>
        <v>-6.5483813268865403E-6</v>
      </c>
    </row>
    <row r="242" spans="1:15">
      <c r="A242" s="320" t="s">
        <v>2568</v>
      </c>
      <c r="B242" s="431">
        <f t="shared" si="106"/>
        <v>0</v>
      </c>
      <c r="C242" s="431">
        <f t="shared" si="107"/>
        <v>1.1563754183227068E-2</v>
      </c>
      <c r="D242" s="296">
        <f t="shared" si="109"/>
        <v>1.4412900074270466E-2</v>
      </c>
      <c r="E242" s="296">
        <f t="shared" si="108"/>
        <v>1.7262045965313864E-2</v>
      </c>
      <c r="F242" s="296">
        <f t="shared" si="108"/>
        <v>2.0111191856357263E-2</v>
      </c>
      <c r="G242" s="296">
        <f t="shared" si="108"/>
        <v>2.296033774740066E-2</v>
      </c>
      <c r="H242" s="296">
        <f t="shared" si="108"/>
        <v>2.5809483638444056E-2</v>
      </c>
      <c r="I242" s="296">
        <f t="shared" si="108"/>
        <v>2.8658629529487452E-2</v>
      </c>
      <c r="J242" s="296">
        <f t="shared" si="108"/>
        <v>3.1507775420530848E-2</v>
      </c>
      <c r="K242" s="296">
        <f t="shared" si="108"/>
        <v>3.4356921311574244E-2</v>
      </c>
      <c r="L242" s="296">
        <f t="shared" si="108"/>
        <v>3.720606720261764E-2</v>
      </c>
      <c r="M242" s="419">
        <v>1</v>
      </c>
      <c r="N242" s="469">
        <f t="shared" si="110"/>
        <v>2.8491458910433979E-3</v>
      </c>
    </row>
    <row r="243" spans="1:15">
      <c r="A243" s="320" t="s">
        <v>2569</v>
      </c>
      <c r="B243" s="431">
        <f t="shared" si="106"/>
        <v>7.9612297079218242E-2</v>
      </c>
      <c r="C243" s="431">
        <f t="shared" si="107"/>
        <v>3.6191775616581642E-2</v>
      </c>
      <c r="D243" s="296">
        <f t="shared" si="109"/>
        <v>3.0520405150995022E-2</v>
      </c>
      <c r="E243" s="296">
        <f t="shared" si="108"/>
        <v>2.4849034685408403E-2</v>
      </c>
      <c r="F243" s="296">
        <f t="shared" si="108"/>
        <v>1.9177664219821783E-2</v>
      </c>
      <c r="G243" s="296">
        <f t="shared" si="108"/>
        <v>1.3506293754235163E-2</v>
      </c>
      <c r="H243" s="296">
        <f t="shared" si="108"/>
        <v>7.8349232886485431E-3</v>
      </c>
      <c r="I243" s="296">
        <f t="shared" si="108"/>
        <v>2.1635528230619224E-3</v>
      </c>
      <c r="J243" s="296">
        <f t="shared" si="108"/>
        <v>-3.5078176425246983E-3</v>
      </c>
      <c r="K243" s="296">
        <f t="shared" si="108"/>
        <v>-9.1791881081113198E-3</v>
      </c>
      <c r="L243" s="296">
        <f t="shared" si="108"/>
        <v>-1.485055857369794E-2</v>
      </c>
      <c r="M243" s="419">
        <v>0.33500000000000002</v>
      </c>
      <c r="N243" s="469">
        <f t="shared" si="110"/>
        <v>-5.6713704655866207E-3</v>
      </c>
    </row>
    <row r="244" spans="1:15">
      <c r="A244" s="320" t="s">
        <v>2570</v>
      </c>
      <c r="B244" s="431">
        <f t="shared" si="106"/>
        <v>7.8848144522994087E-2</v>
      </c>
      <c r="C244" s="431">
        <f t="shared" si="107"/>
        <v>5.9338323970655735E-2</v>
      </c>
      <c r="D244" s="296">
        <f t="shared" si="109"/>
        <v>4.891324965099203E-2</v>
      </c>
      <c r="E244" s="296">
        <f t="shared" si="108"/>
        <v>3.8488175331328325E-2</v>
      </c>
      <c r="F244" s="296">
        <f t="shared" si="108"/>
        <v>2.8063101011664621E-2</v>
      </c>
      <c r="G244" s="296">
        <f t="shared" si="108"/>
        <v>1.7638026692000916E-2</v>
      </c>
      <c r="H244" s="296">
        <f t="shared" si="108"/>
        <v>7.2129523723372131E-3</v>
      </c>
      <c r="I244" s="296">
        <f t="shared" si="108"/>
        <v>-3.2121219473264899E-3</v>
      </c>
      <c r="J244" s="296">
        <f t="shared" si="108"/>
        <v>-1.3637196266990193E-2</v>
      </c>
      <c r="K244" s="296">
        <f t="shared" si="108"/>
        <v>-2.4062270586653896E-2</v>
      </c>
      <c r="L244" s="296">
        <f t="shared" si="108"/>
        <v>-3.44873449063176E-2</v>
      </c>
      <c r="M244" s="419">
        <v>0.56999999999999995</v>
      </c>
      <c r="N244" s="469">
        <f t="shared" si="110"/>
        <v>-1.0425074319663703E-2</v>
      </c>
    </row>
    <row r="245" spans="1:15">
      <c r="A245" s="320" t="s">
        <v>2571</v>
      </c>
      <c r="B245" s="431">
        <f t="shared" si="106"/>
        <v>5.1541549797196632E-3</v>
      </c>
      <c r="C245" s="431">
        <f t="shared" si="107"/>
        <v>3.2894616909372493E-3</v>
      </c>
      <c r="D245" s="296">
        <f t="shared" si="109"/>
        <v>2.9418222750158167E-3</v>
      </c>
      <c r="E245" s="296">
        <f t="shared" si="108"/>
        <v>2.5941828590943837E-3</v>
      </c>
      <c r="F245" s="296">
        <f t="shared" si="108"/>
        <v>2.2465434431729507E-3</v>
      </c>
      <c r="G245" s="296">
        <f t="shared" si="108"/>
        <v>1.898904027251518E-3</v>
      </c>
      <c r="H245" s="296">
        <f t="shared" si="108"/>
        <v>1.5512646113300852E-3</v>
      </c>
      <c r="I245" s="296">
        <f t="shared" si="108"/>
        <v>1.2036251954086524E-3</v>
      </c>
      <c r="J245" s="296">
        <f t="shared" si="108"/>
        <v>8.5598577948721964E-4</v>
      </c>
      <c r="K245" s="296">
        <f t="shared" si="108"/>
        <v>5.0834636356578687E-4</v>
      </c>
      <c r="L245" s="296">
        <f t="shared" si="108"/>
        <v>1.6070694764435409E-4</v>
      </c>
      <c r="M245" s="419">
        <v>0.2</v>
      </c>
      <c r="N245" s="469">
        <f t="shared" si="110"/>
        <v>-3.4763941592143278E-4</v>
      </c>
    </row>
    <row r="246" spans="1:15">
      <c r="A246" s="454">
        <v>5008</v>
      </c>
      <c r="B246" s="431">
        <f t="shared" si="106"/>
        <v>1.9073285376928698E-3</v>
      </c>
      <c r="C246" s="431">
        <f t="shared" si="107"/>
        <v>2.8102211514817363E-3</v>
      </c>
      <c r="D246" s="296">
        <f t="shared" si="109"/>
        <v>2.8107494336410853E-3</v>
      </c>
      <c r="E246" s="296">
        <f t="shared" si="108"/>
        <v>2.8112777158004342E-3</v>
      </c>
      <c r="F246" s="296">
        <f t="shared" si="108"/>
        <v>2.8118059979597831E-3</v>
      </c>
      <c r="G246" s="296">
        <f t="shared" si="108"/>
        <v>2.812334280119132E-3</v>
      </c>
      <c r="H246" s="296">
        <f t="shared" si="108"/>
        <v>2.8128625622784809E-3</v>
      </c>
      <c r="I246" s="296">
        <f t="shared" si="108"/>
        <v>2.8133908444378298E-3</v>
      </c>
      <c r="J246" s="296">
        <f t="shared" si="108"/>
        <v>2.8139191265971787E-3</v>
      </c>
      <c r="K246" s="296">
        <f t="shared" si="108"/>
        <v>2.8144474087565276E-3</v>
      </c>
      <c r="L246" s="296">
        <f t="shared" si="108"/>
        <v>2.8149756909158765E-3</v>
      </c>
      <c r="M246" s="419">
        <v>0.16666666666666666</v>
      </c>
      <c r="N246" s="469">
        <f t="shared" si="110"/>
        <v>5.282821593488382E-7</v>
      </c>
      <c r="O246" s="395" t="s">
        <v>2043</v>
      </c>
    </row>
    <row r="247" spans="1:15">
      <c r="A247" s="320" t="s">
        <v>2573</v>
      </c>
      <c r="B247" s="431">
        <f t="shared" si="106"/>
        <v>9.2496745189173547E-3</v>
      </c>
      <c r="C247" s="431">
        <f t="shared" si="107"/>
        <v>6.404727750457871E-3</v>
      </c>
      <c r="D247" s="296">
        <f t="shared" si="109"/>
        <v>7.2871498031517774E-3</v>
      </c>
      <c r="E247" s="296">
        <f t="shared" si="108"/>
        <v>8.169571855845683E-3</v>
      </c>
      <c r="F247" s="296">
        <f t="shared" si="108"/>
        <v>9.0519939085395885E-3</v>
      </c>
      <c r="G247" s="296">
        <f t="shared" si="108"/>
        <v>9.9344159612334941E-3</v>
      </c>
      <c r="H247" s="296">
        <f t="shared" si="108"/>
        <v>1.08168380139274E-2</v>
      </c>
      <c r="I247" s="296">
        <f t="shared" si="108"/>
        <v>1.1699260066621305E-2</v>
      </c>
      <c r="J247" s="296">
        <f t="shared" si="108"/>
        <v>1.2581682119315211E-2</v>
      </c>
      <c r="K247" s="296">
        <f t="shared" si="108"/>
        <v>1.3464104172009116E-2</v>
      </c>
      <c r="L247" s="296">
        <f t="shared" si="108"/>
        <v>1.4346526224703022E-2</v>
      </c>
      <c r="M247" s="419">
        <v>0.16666666666666666</v>
      </c>
      <c r="N247" s="469">
        <f t="shared" si="110"/>
        <v>8.824220526939061E-4</v>
      </c>
      <c r="O247" s="395" t="s">
        <v>2043</v>
      </c>
    </row>
    <row r="248" spans="1:15">
      <c r="A248" s="394" t="s">
        <v>2574</v>
      </c>
      <c r="B248" s="431">
        <f t="shared" si="106"/>
        <v>8.3870791994574381E-2</v>
      </c>
      <c r="C248" s="431">
        <f t="shared" si="107"/>
        <v>4.4494020431122036E-2</v>
      </c>
      <c r="D248" s="296">
        <f t="shared" si="109"/>
        <v>3.8348420077811092E-2</v>
      </c>
      <c r="E248" s="296">
        <f t="shared" si="108"/>
        <v>3.2202819724500148E-2</v>
      </c>
      <c r="F248" s="296">
        <f t="shared" si="108"/>
        <v>2.6057219371189204E-2</v>
      </c>
      <c r="G248" s="296">
        <f t="shared" si="108"/>
        <v>1.991161901787826E-2</v>
      </c>
      <c r="H248" s="296">
        <f t="shared" si="108"/>
        <v>1.3766018664567318E-2</v>
      </c>
      <c r="I248" s="296">
        <f t="shared" si="108"/>
        <v>7.6204183112563752E-3</v>
      </c>
      <c r="J248" s="296">
        <f t="shared" si="108"/>
        <v>1.4748179579454328E-3</v>
      </c>
      <c r="K248" s="296">
        <f t="shared" si="108"/>
        <v>-4.6707823953655095E-3</v>
      </c>
      <c r="L248" s="296">
        <f t="shared" si="108"/>
        <v>-1.0816382748676452E-2</v>
      </c>
      <c r="M248" s="419">
        <v>0.39800000000000002</v>
      </c>
      <c r="N248" s="469">
        <f t="shared" si="110"/>
        <v>-6.1456003533109423E-3</v>
      </c>
    </row>
    <row r="249" spans="1:15">
      <c r="A249" t="s">
        <v>2577</v>
      </c>
      <c r="B249" s="431">
        <f t="shared" si="106"/>
        <v>4.6199057279034512E-2</v>
      </c>
      <c r="C249" s="431">
        <f t="shared" si="107"/>
        <v>3.6726110588299159E-2</v>
      </c>
      <c r="D249" s="296">
        <f t="shared" si="109"/>
        <v>3.8460014915835859E-2</v>
      </c>
      <c r="E249" s="296">
        <f t="shared" si="108"/>
        <v>4.019391924337256E-2</v>
      </c>
      <c r="F249" s="296">
        <f t="shared" si="108"/>
        <v>4.192782357090926E-2</v>
      </c>
      <c r="G249" s="296">
        <f t="shared" si="108"/>
        <v>4.3661727898445961E-2</v>
      </c>
      <c r="H249" s="296">
        <f t="shared" si="108"/>
        <v>4.5395632225982661E-2</v>
      </c>
      <c r="I249" s="296">
        <f t="shared" si="108"/>
        <v>4.7129536553519362E-2</v>
      </c>
      <c r="J249" s="296">
        <f t="shared" si="108"/>
        <v>4.8863440881056062E-2</v>
      </c>
      <c r="K249" s="296">
        <f t="shared" si="108"/>
        <v>5.0597345208592763E-2</v>
      </c>
      <c r="L249" s="296">
        <f t="shared" si="108"/>
        <v>5.2331249536129464E-2</v>
      </c>
      <c r="M249" s="419">
        <v>1</v>
      </c>
      <c r="N249" s="469">
        <f t="shared" si="110"/>
        <v>1.7339043275367034E-3</v>
      </c>
    </row>
    <row r="250" spans="1:15">
      <c r="A250" t="s">
        <v>2573</v>
      </c>
      <c r="B250" s="431">
        <f t="shared" si="106"/>
        <v>9.2496745189173547E-3</v>
      </c>
      <c r="C250" s="431">
        <f t="shared" si="107"/>
        <v>6.404727750457871E-3</v>
      </c>
      <c r="D250" s="296">
        <f t="shared" si="109"/>
        <v>7.0291377225115805E-3</v>
      </c>
      <c r="E250" s="296">
        <f t="shared" si="108"/>
        <v>7.65354769456529E-3</v>
      </c>
      <c r="F250" s="296">
        <f t="shared" si="108"/>
        <v>8.2779576666189986E-3</v>
      </c>
      <c r="G250" s="296">
        <f t="shared" si="108"/>
        <v>8.902367638672708E-3</v>
      </c>
      <c r="H250" s="296">
        <f t="shared" si="108"/>
        <v>9.5267776107264175E-3</v>
      </c>
      <c r="I250" s="296">
        <f t="shared" si="108"/>
        <v>1.0151187582780127E-2</v>
      </c>
      <c r="J250" s="296">
        <f t="shared" si="108"/>
        <v>1.0775597554833836E-2</v>
      </c>
      <c r="K250" s="296">
        <f t="shared" si="108"/>
        <v>1.1400007526887546E-2</v>
      </c>
      <c r="L250" s="296">
        <f t="shared" si="108"/>
        <v>1.2024417498941255E-2</v>
      </c>
      <c r="M250" s="419">
        <v>0.16666666666666666</v>
      </c>
      <c r="N250" s="469">
        <f t="shared" si="110"/>
        <v>6.2440997205370926E-4</v>
      </c>
      <c r="O250" s="395" t="s">
        <v>2043</v>
      </c>
    </row>
    <row r="251" spans="1:15">
      <c r="A251" t="s">
        <v>2578</v>
      </c>
      <c r="B251" s="431">
        <f t="shared" si="106"/>
        <v>3.4567687853778679E-4</v>
      </c>
      <c r="C251" s="431">
        <f t="shared" si="107"/>
        <v>4.0632143793227352E-4</v>
      </c>
      <c r="D251" s="296">
        <f t="shared" si="109"/>
        <v>3.6948035804951478E-4</v>
      </c>
      <c r="E251" s="296">
        <f t="shared" si="108"/>
        <v>3.3263927816675604E-4</v>
      </c>
      <c r="F251" s="296">
        <f t="shared" si="108"/>
        <v>2.957981982839973E-4</v>
      </c>
      <c r="G251" s="296">
        <f t="shared" si="108"/>
        <v>2.5895711840123856E-4</v>
      </c>
      <c r="H251" s="296">
        <f t="shared" si="108"/>
        <v>2.2211603851847981E-4</v>
      </c>
      <c r="I251" s="296">
        <f t="shared" si="108"/>
        <v>1.8527495863572107E-4</v>
      </c>
      <c r="J251" s="296">
        <f t="shared" si="108"/>
        <v>1.4843387875296233E-4</v>
      </c>
      <c r="K251" s="296">
        <f t="shared" si="108"/>
        <v>1.115927988702036E-4</v>
      </c>
      <c r="L251" s="296">
        <f t="shared" si="108"/>
        <v>7.4751718987444874E-5</v>
      </c>
      <c r="M251" s="419">
        <v>0.4</v>
      </c>
      <c r="N251" s="469">
        <f t="shared" si="110"/>
        <v>-3.6841079882758728E-5</v>
      </c>
    </row>
    <row r="252" spans="1:15">
      <c r="A252" t="s">
        <v>2580</v>
      </c>
      <c r="B252" s="431">
        <f t="shared" si="106"/>
        <v>1.174174179815852E-5</v>
      </c>
      <c r="C252" s="431">
        <f t="shared" si="107"/>
        <v>4.8612734348826348E-4</v>
      </c>
      <c r="D252" s="296">
        <f t="shared" si="109"/>
        <v>4.814306467690001E-4</v>
      </c>
      <c r="E252" s="296">
        <f t="shared" si="108"/>
        <v>4.7673395004973671E-4</v>
      </c>
      <c r="F252" s="296">
        <f t="shared" si="108"/>
        <v>4.7203725333047332E-4</v>
      </c>
      <c r="G252" s="296">
        <f t="shared" si="108"/>
        <v>4.6734055661120993E-4</v>
      </c>
      <c r="H252" s="296">
        <f t="shared" si="108"/>
        <v>4.6264385989194654E-4</v>
      </c>
      <c r="I252" s="296">
        <f t="shared" si="108"/>
        <v>4.5794716317268315E-4</v>
      </c>
      <c r="J252" s="296">
        <f t="shared" si="108"/>
        <v>4.5325046645341977E-4</v>
      </c>
      <c r="K252" s="296">
        <f t="shared" si="108"/>
        <v>4.4855376973415638E-4</v>
      </c>
      <c r="L252" s="296">
        <f t="shared" si="108"/>
        <v>4.4385707301489299E-4</v>
      </c>
      <c r="M252" s="419">
        <v>1</v>
      </c>
      <c r="N252" s="469">
        <f t="shared" si="110"/>
        <v>-4.6966967192634077E-6</v>
      </c>
    </row>
    <row r="253" spans="1:15">
      <c r="A253" s="64" t="s">
        <v>2036</v>
      </c>
    </row>
    <row r="254" spans="1:15">
      <c r="A254" s="320" t="s">
        <v>173</v>
      </c>
      <c r="B254" s="402">
        <f>I220</f>
        <v>21225</v>
      </c>
      <c r="C254" s="402">
        <f>J220</f>
        <v>46783</v>
      </c>
      <c r="D254" s="403">
        <f t="shared" ref="D254:L254" si="111">D239*D237</f>
        <v>98509.058543752079</v>
      </c>
      <c r="E254" s="403">
        <f t="shared" si="111"/>
        <v>138911.29231576336</v>
      </c>
      <c r="F254" s="403">
        <f t="shared" si="111"/>
        <v>172552.09918032261</v>
      </c>
      <c r="G254" s="403">
        <f t="shared" si="111"/>
        <v>210555.00940177438</v>
      </c>
      <c r="H254" s="403">
        <f t="shared" si="111"/>
        <v>245886.17299319661</v>
      </c>
      <c r="I254" s="403">
        <f t="shared" si="111"/>
        <v>282798.55737542524</v>
      </c>
      <c r="J254" s="403">
        <f t="shared" si="111"/>
        <v>318797.65762435494</v>
      </c>
      <c r="K254" s="403">
        <f t="shared" si="111"/>
        <v>355314.73680888198</v>
      </c>
      <c r="L254" s="403">
        <f t="shared" si="111"/>
        <v>391542.15809113637</v>
      </c>
    </row>
    <row r="255" spans="1:15" ht="13.5" customHeight="1"/>
    <row r="256" spans="1:15" s="423" customFormat="1">
      <c r="A256" s="423" t="s">
        <v>174</v>
      </c>
    </row>
    <row r="257" spans="1:20" s="400" customFormat="1" ht="70">
      <c r="A257" s="527" t="s">
        <v>0</v>
      </c>
      <c r="B257" s="527" t="s">
        <v>2018</v>
      </c>
      <c r="C257" s="527" t="s">
        <v>2019</v>
      </c>
      <c r="D257" s="527" t="s">
        <v>2020</v>
      </c>
      <c r="E257" s="527" t="s">
        <v>2021</v>
      </c>
      <c r="F257" s="527" t="s">
        <v>2022</v>
      </c>
      <c r="G257" s="527" t="s">
        <v>1840</v>
      </c>
      <c r="H257" s="527" t="s">
        <v>2023</v>
      </c>
      <c r="I257" s="527" t="s">
        <v>2024</v>
      </c>
      <c r="J257" s="527" t="s">
        <v>2025</v>
      </c>
      <c r="K257" s="527" t="s">
        <v>2456</v>
      </c>
      <c r="L257" s="527" t="s">
        <v>2027</v>
      </c>
      <c r="M257" s="527" t="s">
        <v>2028</v>
      </c>
      <c r="N257" s="527" t="s">
        <v>2457</v>
      </c>
      <c r="O257" s="527" t="s">
        <v>2030</v>
      </c>
      <c r="P257" s="527" t="s">
        <v>2031</v>
      </c>
      <c r="Q257" s="527" t="s">
        <v>2032</v>
      </c>
      <c r="R257" s="527" t="s">
        <v>2033</v>
      </c>
      <c r="S257" s="527" t="s">
        <v>2034</v>
      </c>
      <c r="T257" s="527" t="s">
        <v>2035</v>
      </c>
    </row>
    <row r="258" spans="1:20">
      <c r="A258" s="391" t="s">
        <v>25</v>
      </c>
      <c r="B258" s="392" t="s">
        <v>174</v>
      </c>
      <c r="C258" s="392" t="s">
        <v>2036</v>
      </c>
      <c r="D258" s="464" t="s">
        <v>2199</v>
      </c>
      <c r="E258" s="464" t="s">
        <v>2200</v>
      </c>
      <c r="F258" s="549" t="s">
        <v>2060</v>
      </c>
      <c r="G258" s="410">
        <v>43332.282500000001</v>
      </c>
      <c r="H258" s="390" t="s">
        <v>2201</v>
      </c>
      <c r="I258" s="397">
        <f>22762-21225</f>
        <v>1537</v>
      </c>
      <c r="J258" s="397">
        <v>5062</v>
      </c>
      <c r="K258" s="398">
        <v>7113</v>
      </c>
      <c r="L258" s="431">
        <v>7.2188228575078574E-4</v>
      </c>
      <c r="M258" s="431">
        <v>2.0506471772813247E-3</v>
      </c>
      <c r="N258" s="431">
        <v>5.1311461218836564E-3</v>
      </c>
      <c r="O258" s="444">
        <f t="shared" ref="O258:O271" si="112">M258-L258</f>
        <v>1.3287648915305389E-3</v>
      </c>
      <c r="P258" s="444">
        <f t="shared" ref="P258:P271" si="113">N258-M258</f>
        <v>3.0804989446023318E-3</v>
      </c>
      <c r="Q258" s="444">
        <f t="shared" ref="Q258:Q271" si="114">N258-L258</f>
        <v>4.4092638361328705E-3</v>
      </c>
      <c r="R258" s="436">
        <f>(SUM(Q259:Q271))/2.5</f>
        <v>-1.074566519085343E-2</v>
      </c>
      <c r="S258" s="436">
        <f>T258+R258</f>
        <v>-8.9819596564002825E-3</v>
      </c>
      <c r="T258" s="436">
        <f t="shared" ref="T258:T271" si="115">Q258/2.5</f>
        <v>1.7637055344531481E-3</v>
      </c>
    </row>
    <row r="259" spans="1:20">
      <c r="A259" s="393" t="s">
        <v>2046</v>
      </c>
      <c r="B259" s="394" t="s">
        <v>2211</v>
      </c>
      <c r="C259" s="320" t="s">
        <v>2036</v>
      </c>
      <c r="D259" s="528" t="s">
        <v>2199</v>
      </c>
      <c r="E259" s="528" t="s">
        <v>2200</v>
      </c>
      <c r="F259" s="395" t="s">
        <v>2043</v>
      </c>
      <c r="G259" s="410">
        <v>40123</v>
      </c>
      <c r="H259" s="529" t="s">
        <v>2212</v>
      </c>
      <c r="I259" s="402">
        <v>95304</v>
      </c>
      <c r="J259" s="402">
        <v>107733</v>
      </c>
      <c r="K259" s="402">
        <v>48360</v>
      </c>
      <c r="L259" s="431">
        <v>4.4761398413267983E-2</v>
      </c>
      <c r="M259" s="431">
        <v>4.3643297580017573E-2</v>
      </c>
      <c r="N259" s="431">
        <v>3.4885734072022161E-2</v>
      </c>
      <c r="O259" s="444">
        <f t="shared" si="112"/>
        <v>-1.11810083325041E-3</v>
      </c>
      <c r="P259" s="444">
        <f t="shared" si="113"/>
        <v>-8.7575635079954126E-3</v>
      </c>
      <c r="Q259" s="444">
        <f t="shared" si="114"/>
        <v>-9.8756643412458225E-3</v>
      </c>
      <c r="T259" s="436">
        <f t="shared" si="115"/>
        <v>-3.950265736498329E-3</v>
      </c>
    </row>
    <row r="260" spans="1:20">
      <c r="A260" s="393" t="s">
        <v>2064</v>
      </c>
      <c r="B260" s="394" t="s">
        <v>2582</v>
      </c>
      <c r="C260" s="320" t="s">
        <v>2036</v>
      </c>
      <c r="D260" s="528" t="s">
        <v>2199</v>
      </c>
      <c r="E260" s="528" t="s">
        <v>2200</v>
      </c>
      <c r="F260" s="395" t="s">
        <v>2043</v>
      </c>
      <c r="G260" s="410">
        <v>36402</v>
      </c>
      <c r="H260" s="529" t="s">
        <v>2240</v>
      </c>
      <c r="I260" s="402">
        <v>29260</v>
      </c>
      <c r="J260" s="402">
        <v>30563</v>
      </c>
      <c r="K260" s="402">
        <v>12416</v>
      </c>
      <c r="L260" s="431">
        <v>1.3742534600564731E-2</v>
      </c>
      <c r="M260" s="431">
        <v>1.2381258332526497E-2</v>
      </c>
      <c r="N260" s="431">
        <v>8.9566020313942753E-3</v>
      </c>
      <c r="O260" s="444">
        <f t="shared" si="112"/>
        <v>-1.3612762680382338E-3</v>
      </c>
      <c r="P260" s="444">
        <f t="shared" si="113"/>
        <v>-3.4246563011322215E-3</v>
      </c>
      <c r="Q260" s="444">
        <f t="shared" si="114"/>
        <v>-4.7859325691704552E-3</v>
      </c>
      <c r="T260" s="436">
        <f t="shared" si="115"/>
        <v>-1.914373027668182E-3</v>
      </c>
    </row>
    <row r="261" spans="1:20">
      <c r="A261" t="s">
        <v>2583</v>
      </c>
      <c r="B261" t="s">
        <v>2584</v>
      </c>
      <c r="C261" s="320" t="s">
        <v>2036</v>
      </c>
      <c r="D261" s="533" t="s">
        <v>2199</v>
      </c>
      <c r="E261" s="395" t="s">
        <v>2200</v>
      </c>
      <c r="F261" s="395" t="s">
        <v>2043</v>
      </c>
      <c r="G261" s="410">
        <v>47409.703000000001</v>
      </c>
      <c r="H261" s="529" t="s">
        <v>2204</v>
      </c>
      <c r="I261" s="402">
        <v>6457</v>
      </c>
      <c r="J261" s="402">
        <v>6791</v>
      </c>
      <c r="K261" s="402">
        <v>3988</v>
      </c>
      <c r="L261" s="431">
        <v>3.0326570716283823E-3</v>
      </c>
      <c r="M261" s="431">
        <v>2.7510756580239977E-3</v>
      </c>
      <c r="N261" s="431">
        <v>2.8768467220683289E-3</v>
      </c>
      <c r="O261" s="444">
        <f t="shared" si="112"/>
        <v>-2.8158141360438461E-4</v>
      </c>
      <c r="P261" s="444">
        <f t="shared" si="113"/>
        <v>1.2577106404433125E-4</v>
      </c>
      <c r="Q261" s="444">
        <f t="shared" si="114"/>
        <v>-1.5581034956005336E-4</v>
      </c>
      <c r="T261" s="436">
        <f t="shared" si="115"/>
        <v>-6.2324139824021348E-5</v>
      </c>
    </row>
    <row r="262" spans="1:20">
      <c r="A262" t="s">
        <v>2236</v>
      </c>
      <c r="B262" t="s">
        <v>2585</v>
      </c>
      <c r="C262" s="320" t="s">
        <v>2036</v>
      </c>
      <c r="D262" s="533" t="s">
        <v>2199</v>
      </c>
      <c r="E262" s="395" t="s">
        <v>2200</v>
      </c>
      <c r="F262" s="482" t="s">
        <v>2060</v>
      </c>
      <c r="G262" s="410">
        <v>38727.743000000002</v>
      </c>
      <c r="H262" s="529" t="s">
        <v>2235</v>
      </c>
      <c r="I262" s="402">
        <v>7088</v>
      </c>
      <c r="J262" s="402">
        <v>9197</v>
      </c>
      <c r="K262" s="402">
        <v>3176</v>
      </c>
      <c r="L262" s="431">
        <v>3.3290186346139035E-3</v>
      </c>
      <c r="M262" s="431">
        <v>3.7257609817179659E-3</v>
      </c>
      <c r="N262" s="431">
        <v>2.291089566020314E-3</v>
      </c>
      <c r="O262" s="444">
        <f t="shared" si="112"/>
        <v>3.9674234710406235E-4</v>
      </c>
      <c r="P262" s="444">
        <f t="shared" si="113"/>
        <v>-1.4346714156976519E-3</v>
      </c>
      <c r="Q262" s="444">
        <f t="shared" si="114"/>
        <v>-1.0379290685935895E-3</v>
      </c>
      <c r="T262" s="436">
        <f t="shared" si="115"/>
        <v>-4.1517162743743582E-4</v>
      </c>
    </row>
    <row r="263" spans="1:20">
      <c r="A263" s="394" t="s">
        <v>2057</v>
      </c>
      <c r="B263" t="s">
        <v>2586</v>
      </c>
      <c r="C263" s="320" t="s">
        <v>2036</v>
      </c>
      <c r="D263" s="533" t="s">
        <v>2199</v>
      </c>
      <c r="E263" s="395" t="s">
        <v>2200</v>
      </c>
      <c r="F263" s="395" t="s">
        <v>2039</v>
      </c>
      <c r="G263" s="410">
        <v>41208.303</v>
      </c>
      <c r="H263" s="529" t="s">
        <v>2212</v>
      </c>
      <c r="I263" s="402">
        <v>11100</v>
      </c>
      <c r="J263" s="402">
        <v>6264</v>
      </c>
      <c r="K263" s="402">
        <v>2922</v>
      </c>
      <c r="L263" s="431">
        <v>5.2133333583823825E-3</v>
      </c>
      <c r="M263" s="431">
        <v>2.5375847330087352E-3</v>
      </c>
      <c r="N263" s="431">
        <v>2.107860110803324E-3</v>
      </c>
      <c r="O263" s="444">
        <f t="shared" si="112"/>
        <v>-2.6757486253736473E-3</v>
      </c>
      <c r="P263" s="444">
        <f t="shared" si="113"/>
        <v>-4.2972462220541114E-4</v>
      </c>
      <c r="Q263" s="444">
        <f t="shared" si="114"/>
        <v>-3.1054732475790585E-3</v>
      </c>
      <c r="T263" s="436">
        <f t="shared" si="115"/>
        <v>-1.2421892990316233E-3</v>
      </c>
    </row>
    <row r="264" spans="1:20">
      <c r="A264" t="s">
        <v>2587</v>
      </c>
      <c r="B264" t="s">
        <v>2588</v>
      </c>
      <c r="C264" s="320" t="s">
        <v>2036</v>
      </c>
      <c r="D264" s="533" t="s">
        <v>2199</v>
      </c>
      <c r="E264" s="395" t="s">
        <v>2200</v>
      </c>
      <c r="F264" s="482" t="s">
        <v>2060</v>
      </c>
      <c r="G264" s="410">
        <v>37564.980499999998</v>
      </c>
      <c r="H264" s="529" t="s">
        <v>2240</v>
      </c>
      <c r="I264" s="402">
        <v>0</v>
      </c>
      <c r="J264" s="402">
        <v>3190</v>
      </c>
      <c r="K264" s="402">
        <v>2840</v>
      </c>
      <c r="L264" s="431">
        <v>0</v>
      </c>
      <c r="M264" s="431">
        <v>1.2922885214396338E-3</v>
      </c>
      <c r="N264" s="431">
        <v>2.0487072945521699E-3</v>
      </c>
      <c r="O264" s="444">
        <f t="shared" si="112"/>
        <v>1.2922885214396338E-3</v>
      </c>
      <c r="P264" s="444">
        <f t="shared" si="113"/>
        <v>7.5641877311253603E-4</v>
      </c>
      <c r="Q264" s="444">
        <f t="shared" si="114"/>
        <v>2.0487072945521699E-3</v>
      </c>
      <c r="T264" s="436">
        <f t="shared" si="115"/>
        <v>8.1948291782086798E-4</v>
      </c>
    </row>
    <row r="265" spans="1:20">
      <c r="A265" t="s">
        <v>2057</v>
      </c>
      <c r="B265" t="s">
        <v>2589</v>
      </c>
      <c r="C265" s="320" t="s">
        <v>2036</v>
      </c>
      <c r="D265" s="533" t="s">
        <v>2199</v>
      </c>
      <c r="E265" s="395" t="s">
        <v>2200</v>
      </c>
      <c r="F265" s="395" t="s">
        <v>2043</v>
      </c>
      <c r="G265" s="410">
        <v>38123.106500000002</v>
      </c>
      <c r="H265" s="529" t="s">
        <v>2235</v>
      </c>
      <c r="I265" s="402">
        <v>8367</v>
      </c>
      <c r="J265" s="402">
        <v>7472</v>
      </c>
      <c r="K265" s="402">
        <v>1469</v>
      </c>
      <c r="L265" s="431">
        <v>3.9297261450076931E-3</v>
      </c>
      <c r="M265" s="431">
        <v>3.0269529254535873E-3</v>
      </c>
      <c r="N265" s="431">
        <v>1.0597010618651893E-3</v>
      </c>
      <c r="O265" s="444">
        <f t="shared" si="112"/>
        <v>-9.0277321955410574E-4</v>
      </c>
      <c r="P265" s="444">
        <f t="shared" si="113"/>
        <v>-1.967251863588398E-3</v>
      </c>
      <c r="Q265" s="444">
        <f t="shared" si="114"/>
        <v>-2.8700250831425037E-3</v>
      </c>
      <c r="T265" s="436">
        <f t="shared" si="115"/>
        <v>-1.1480100332570014E-3</v>
      </c>
    </row>
    <row r="266" spans="1:20">
      <c r="A266" t="s">
        <v>2542</v>
      </c>
      <c r="B266" t="s">
        <v>2590</v>
      </c>
      <c r="C266" s="320" t="s">
        <v>2036</v>
      </c>
      <c r="D266" s="533" t="s">
        <v>2199</v>
      </c>
      <c r="E266" s="395" t="s">
        <v>2200</v>
      </c>
      <c r="F266" s="395" t="s">
        <v>2043</v>
      </c>
      <c r="G266" s="410">
        <v>42758.652999999998</v>
      </c>
      <c r="H266" s="529" t="s">
        <v>2201</v>
      </c>
      <c r="I266" s="402">
        <v>2285</v>
      </c>
      <c r="J266" s="402">
        <v>387</v>
      </c>
      <c r="K266" s="402">
        <v>1290</v>
      </c>
      <c r="L266" s="431">
        <v>9.8949147067013037E-4</v>
      </c>
      <c r="M266" s="431">
        <v>1.5677606827496496E-4</v>
      </c>
      <c r="N266" s="431">
        <v>9.3318874936069334E-4</v>
      </c>
      <c r="O266" s="444">
        <f t="shared" si="112"/>
        <v>-8.3271540239516541E-4</v>
      </c>
      <c r="P266" s="444">
        <f t="shared" si="113"/>
        <v>7.7641268108572838E-4</v>
      </c>
      <c r="Q266" s="444">
        <f t="shared" si="114"/>
        <v>-5.6302721309437029E-5</v>
      </c>
      <c r="T266" s="436">
        <f t="shared" si="115"/>
        <v>-2.2521088523774811E-5</v>
      </c>
    </row>
    <row r="267" spans="1:20">
      <c r="A267" t="s">
        <v>2583</v>
      </c>
      <c r="B267" t="s">
        <v>2591</v>
      </c>
      <c r="C267" s="320" t="s">
        <v>2036</v>
      </c>
      <c r="D267" s="533" t="s">
        <v>2199</v>
      </c>
      <c r="E267" s="395" t="s">
        <v>2200</v>
      </c>
      <c r="F267" s="395" t="s">
        <v>2043</v>
      </c>
      <c r="G267" s="410">
        <v>40278.093000000001</v>
      </c>
      <c r="H267" s="529" t="s">
        <v>2212</v>
      </c>
      <c r="I267" s="402">
        <v>6457</v>
      </c>
      <c r="J267" s="402">
        <v>8991</v>
      </c>
      <c r="K267" s="402">
        <v>1070</v>
      </c>
      <c r="L267" s="431">
        <v>3.0326570716283823E-3</v>
      </c>
      <c r="M267" s="431">
        <v>3.6423091210858139E-3</v>
      </c>
      <c r="N267" s="431">
        <v>7.7187211449676824E-4</v>
      </c>
      <c r="O267" s="444">
        <f t="shared" si="112"/>
        <v>6.0965204945743166E-4</v>
      </c>
      <c r="P267" s="444">
        <f t="shared" si="113"/>
        <v>-2.8704370065890457E-3</v>
      </c>
      <c r="Q267" s="444">
        <f t="shared" si="114"/>
        <v>-2.260784957131614E-3</v>
      </c>
      <c r="T267" s="436">
        <f t="shared" si="115"/>
        <v>-9.0431398285264564E-4</v>
      </c>
    </row>
    <row r="268" spans="1:20">
      <c r="A268" t="s">
        <v>2044</v>
      </c>
      <c r="B268" t="s">
        <v>2592</v>
      </c>
      <c r="C268" s="320" t="s">
        <v>2036</v>
      </c>
      <c r="D268" s="533" t="s">
        <v>2199</v>
      </c>
      <c r="E268" s="395" t="s">
        <v>2200</v>
      </c>
      <c r="F268" s="395" t="s">
        <v>2043</v>
      </c>
      <c r="G268" s="410">
        <v>40123.057999999997</v>
      </c>
      <c r="H268" s="529" t="s">
        <v>2212</v>
      </c>
      <c r="I268" s="402">
        <v>672</v>
      </c>
      <c r="J268" s="402">
        <v>1127</v>
      </c>
      <c r="K268" s="402">
        <v>901</v>
      </c>
      <c r="L268" s="431">
        <v>3.1561801953450101E-4</v>
      </c>
      <c r="M268" s="431">
        <v>4.5655459675939409E-4</v>
      </c>
      <c r="N268" s="431">
        <v>6.4995960295475533E-4</v>
      </c>
      <c r="O268" s="444">
        <f t="shared" si="112"/>
        <v>1.4093657722489308E-4</v>
      </c>
      <c r="P268" s="444">
        <f t="shared" si="113"/>
        <v>1.9340500619536124E-4</v>
      </c>
      <c r="Q268" s="444">
        <f t="shared" si="114"/>
        <v>3.3434158342025432E-4</v>
      </c>
      <c r="T268" s="436">
        <f t="shared" si="115"/>
        <v>1.3373663336810172E-4</v>
      </c>
    </row>
    <row r="269" spans="1:20">
      <c r="A269" t="s">
        <v>2583</v>
      </c>
      <c r="B269" t="s">
        <v>2593</v>
      </c>
      <c r="C269" s="320" t="s">
        <v>2036</v>
      </c>
      <c r="D269" s="533" t="s">
        <v>2199</v>
      </c>
      <c r="E269" s="395" t="s">
        <v>2200</v>
      </c>
      <c r="F269" s="395" t="s">
        <v>2043</v>
      </c>
      <c r="G269" s="410">
        <v>40588.163</v>
      </c>
      <c r="H269" s="529" t="s">
        <v>2212</v>
      </c>
      <c r="I269" s="402">
        <v>10628</v>
      </c>
      <c r="J269" s="402">
        <v>2458</v>
      </c>
      <c r="K269" s="402">
        <v>450</v>
      </c>
      <c r="L269" s="431">
        <v>4.9916492732331496E-3</v>
      </c>
      <c r="M269" s="431">
        <v>9.9575084191179299E-4</v>
      </c>
      <c r="N269" s="431">
        <v>3.2461911357340719E-4</v>
      </c>
      <c r="O269" s="444">
        <f t="shared" si="112"/>
        <v>-3.9958984313213566E-3</v>
      </c>
      <c r="P269" s="444">
        <f t="shared" si="113"/>
        <v>-6.7113172833838585E-4</v>
      </c>
      <c r="Q269" s="444">
        <f t="shared" si="114"/>
        <v>-4.667030159659742E-3</v>
      </c>
      <c r="T269" s="436">
        <f t="shared" si="115"/>
        <v>-1.8668120638638968E-3</v>
      </c>
    </row>
    <row r="270" spans="1:20">
      <c r="A270" t="s">
        <v>2594</v>
      </c>
      <c r="B270" t="s">
        <v>2595</v>
      </c>
      <c r="C270" s="320" t="s">
        <v>2036</v>
      </c>
      <c r="D270" s="533" t="s">
        <v>2199</v>
      </c>
      <c r="E270" s="395" t="s">
        <v>2200</v>
      </c>
      <c r="F270" s="395" t="s">
        <v>2048</v>
      </c>
      <c r="G270" s="410">
        <v>36712.288</v>
      </c>
      <c r="H270" s="529" t="s">
        <v>2240</v>
      </c>
      <c r="I270" s="402">
        <v>732</v>
      </c>
      <c r="J270" s="402">
        <v>8169</v>
      </c>
      <c r="K270" s="402">
        <v>40</v>
      </c>
      <c r="L270" s="431">
        <v>3.4379819985008145E-4</v>
      </c>
      <c r="M270" s="431">
        <v>3.3093118907963535E-3</v>
      </c>
      <c r="N270" s="431">
        <v>2.8855032317636195E-5</v>
      </c>
      <c r="O270" s="444">
        <f t="shared" si="112"/>
        <v>2.9655136909462719E-3</v>
      </c>
      <c r="P270" s="444">
        <f t="shared" si="113"/>
        <v>-3.2804568584787171E-3</v>
      </c>
      <c r="Q270" s="444">
        <f t="shared" si="114"/>
        <v>-3.1494316753244526E-4</v>
      </c>
      <c r="T270" s="436">
        <f t="shared" si="115"/>
        <v>-1.259772670129781E-4</v>
      </c>
    </row>
    <row r="271" spans="1:20">
      <c r="A271" s="394" t="s">
        <v>2596</v>
      </c>
      <c r="B271" t="s">
        <v>2597</v>
      </c>
      <c r="C271" s="320" t="s">
        <v>2036</v>
      </c>
      <c r="D271" s="533" t="s">
        <v>2199</v>
      </c>
      <c r="E271" s="395" t="s">
        <v>2200</v>
      </c>
      <c r="F271" s="482" t="s">
        <v>2060</v>
      </c>
      <c r="G271" s="410">
        <v>37192.896000000001</v>
      </c>
      <c r="H271" s="529" t="s">
        <v>2240</v>
      </c>
      <c r="I271" s="402">
        <v>259</v>
      </c>
      <c r="J271" s="402">
        <v>110</v>
      </c>
      <c r="K271" s="402">
        <v>6</v>
      </c>
      <c r="L271" s="431">
        <v>1.2164444502892226E-4</v>
      </c>
      <c r="M271" s="431">
        <v>4.4561673153090821E-5</v>
      </c>
      <c r="N271" s="431">
        <v>4.3282548476454297E-6</v>
      </c>
      <c r="O271" s="444">
        <f t="shared" si="112"/>
        <v>-7.7082771875831445E-5</v>
      </c>
      <c r="P271" s="444">
        <f t="shared" si="113"/>
        <v>-4.0233418305445389E-5</v>
      </c>
      <c r="Q271" s="444">
        <f t="shared" si="114"/>
        <v>-1.1731619018127683E-4</v>
      </c>
      <c r="T271" s="436">
        <f t="shared" si="115"/>
        <v>-4.692647607251073E-5</v>
      </c>
    </row>
    <row r="272" spans="1:20">
      <c r="A272" t="s">
        <v>24</v>
      </c>
      <c r="I272" s="470">
        <f t="shared" ref="I272:N272" si="116">SUM(I258:I271)</f>
        <v>180146</v>
      </c>
      <c r="J272" s="470">
        <f t="shared" si="116"/>
        <v>197514</v>
      </c>
      <c r="K272" s="470">
        <f t="shared" si="116"/>
        <v>86041</v>
      </c>
      <c r="L272" s="437">
        <f t="shared" si="116"/>
        <v>8.4525408989161027E-2</v>
      </c>
      <c r="M272" s="437">
        <f t="shared" si="116"/>
        <v>8.0014130101450712E-2</v>
      </c>
      <c r="N272" s="437">
        <f t="shared" si="116"/>
        <v>6.207050984816033E-2</v>
      </c>
      <c r="O272" s="444"/>
      <c r="P272" s="444"/>
      <c r="Q272" s="444"/>
    </row>
    <row r="273" spans="1:15">
      <c r="A273" s="64" t="s">
        <v>2218</v>
      </c>
      <c r="I273" s="402"/>
      <c r="J273" s="402"/>
      <c r="K273" s="402"/>
    </row>
    <row r="274" spans="1:15">
      <c r="A274" t="s">
        <v>2581</v>
      </c>
      <c r="B274">
        <v>2020</v>
      </c>
      <c r="C274">
        <v>2021</v>
      </c>
      <c r="D274" t="s">
        <v>14</v>
      </c>
      <c r="E274" t="s">
        <v>11</v>
      </c>
      <c r="F274" t="s">
        <v>12</v>
      </c>
      <c r="G274" t="s">
        <v>13</v>
      </c>
      <c r="H274" t="s">
        <v>2220</v>
      </c>
      <c r="I274" t="s">
        <v>2221</v>
      </c>
      <c r="J274" t="s">
        <v>2222</v>
      </c>
      <c r="K274" t="s">
        <v>2223</v>
      </c>
      <c r="L274" t="s">
        <v>2224</v>
      </c>
      <c r="M274" t="s">
        <v>2225</v>
      </c>
      <c r="N274" t="s">
        <v>2226</v>
      </c>
    </row>
    <row r="275" spans="1:15">
      <c r="A275" t="s">
        <v>2227</v>
      </c>
      <c r="B275" s="405">
        <v>2129156</v>
      </c>
      <c r="C275" s="405">
        <v>2468489</v>
      </c>
      <c r="D275" s="279">
        <f t="shared" ref="D275:L275" si="117">AVERAGE(B275:C275)</f>
        <v>2298822.5</v>
      </c>
      <c r="E275" s="279">
        <f t="shared" si="117"/>
        <v>2383655.75</v>
      </c>
      <c r="F275" s="279">
        <f t="shared" si="117"/>
        <v>2341239.125</v>
      </c>
      <c r="G275" s="279">
        <f t="shared" si="117"/>
        <v>2362447.4375</v>
      </c>
      <c r="H275" s="279">
        <f t="shared" si="117"/>
        <v>2351843.28125</v>
      </c>
      <c r="I275" s="279">
        <f t="shared" si="117"/>
        <v>2357145.359375</v>
      </c>
      <c r="J275" s="279">
        <f t="shared" si="117"/>
        <v>2354494.3203125</v>
      </c>
      <c r="K275" s="279">
        <f t="shared" si="117"/>
        <v>2355819.83984375</v>
      </c>
      <c r="L275" s="279">
        <f t="shared" si="117"/>
        <v>2355157.080078125</v>
      </c>
      <c r="N275" t="s">
        <v>162</v>
      </c>
    </row>
    <row r="276" spans="1:15">
      <c r="A276" s="64" t="s">
        <v>2228</v>
      </c>
    </row>
    <row r="277" spans="1:15">
      <c r="A277" s="392" t="s">
        <v>174</v>
      </c>
      <c r="B277" s="431">
        <f t="shared" ref="B277:B290" si="118">L258</f>
        <v>7.2188228575078574E-4</v>
      </c>
      <c r="C277" s="431">
        <f t="shared" ref="C277:C290" si="119">M258</f>
        <v>2.0506471772813247E-3</v>
      </c>
      <c r="D277" s="296">
        <f t="shared" ref="D277:L277" si="120">C277+$N277</f>
        <v>8.0946300230610602E-3</v>
      </c>
      <c r="E277" s="296">
        <f t="shared" si="120"/>
        <v>1.4138612868840796E-2</v>
      </c>
      <c r="F277" s="296">
        <f t="shared" si="120"/>
        <v>2.0182595714620534E-2</v>
      </c>
      <c r="G277" s="296">
        <f t="shared" si="120"/>
        <v>2.6226578560400268E-2</v>
      </c>
      <c r="H277" s="296">
        <f t="shared" si="120"/>
        <v>3.2270561406180003E-2</v>
      </c>
      <c r="I277" s="296">
        <f t="shared" si="120"/>
        <v>3.8314544251959737E-2</v>
      </c>
      <c r="J277" s="296">
        <f t="shared" si="120"/>
        <v>4.4358527097739471E-2</v>
      </c>
      <c r="K277" s="296">
        <f t="shared" si="120"/>
        <v>5.0402509943519205E-2</v>
      </c>
      <c r="L277" s="296">
        <f t="shared" si="120"/>
        <v>5.644649278929894E-2</v>
      </c>
      <c r="N277" s="296">
        <f>-SUM(N278:N290)</f>
        <v>6.043982845779736E-3</v>
      </c>
    </row>
    <row r="278" spans="1:15">
      <c r="A278" s="394" t="s">
        <v>2211</v>
      </c>
      <c r="B278" s="431">
        <f t="shared" si="118"/>
        <v>4.4761398413267983E-2</v>
      </c>
      <c r="C278" s="431">
        <f t="shared" si="119"/>
        <v>4.3643297580017573E-2</v>
      </c>
      <c r="D278" s="296">
        <f t="shared" ref="D278:L278" si="121">C278+$N278</f>
        <v>3.9693031843519244E-2</v>
      </c>
      <c r="E278" s="296">
        <f t="shared" si="121"/>
        <v>3.5742766107020915E-2</v>
      </c>
      <c r="F278" s="296">
        <f t="shared" si="121"/>
        <v>3.1792500370522586E-2</v>
      </c>
      <c r="G278" s="296">
        <f t="shared" si="121"/>
        <v>2.7842234634024257E-2</v>
      </c>
      <c r="H278" s="296">
        <f t="shared" si="121"/>
        <v>2.3891968897525928E-2</v>
      </c>
      <c r="I278" s="296">
        <f t="shared" si="121"/>
        <v>1.9941703161027599E-2</v>
      </c>
      <c r="J278" s="296">
        <f t="shared" si="121"/>
        <v>1.599143742452927E-2</v>
      </c>
      <c r="K278" s="296">
        <f t="shared" si="121"/>
        <v>1.2041171688030941E-2</v>
      </c>
      <c r="L278" s="296">
        <f t="shared" si="121"/>
        <v>8.0909059515326121E-3</v>
      </c>
      <c r="M278" s="419">
        <v>1</v>
      </c>
      <c r="N278" s="469">
        <f t="shared" ref="N278:N290" si="122">M278*T259</f>
        <v>-3.950265736498329E-3</v>
      </c>
    </row>
    <row r="279" spans="1:15">
      <c r="A279" s="394" t="s">
        <v>2582</v>
      </c>
      <c r="B279" s="431">
        <f t="shared" si="118"/>
        <v>1.3742534600564731E-2</v>
      </c>
      <c r="C279" s="431">
        <f t="shared" si="119"/>
        <v>1.2381258332526497E-2</v>
      </c>
      <c r="D279" s="296">
        <f t="shared" ref="D279:L279" si="123">C279+$N279</f>
        <v>1.1022053482882087E-2</v>
      </c>
      <c r="E279" s="296">
        <f t="shared" si="123"/>
        <v>9.6628486332376775E-3</v>
      </c>
      <c r="F279" s="296">
        <f t="shared" si="123"/>
        <v>8.3036437835932678E-3</v>
      </c>
      <c r="G279" s="296">
        <f t="shared" si="123"/>
        <v>6.9444389339488582E-3</v>
      </c>
      <c r="H279" s="296">
        <f t="shared" si="123"/>
        <v>5.5852340843044485E-3</v>
      </c>
      <c r="I279" s="296">
        <f t="shared" si="123"/>
        <v>4.2260292346600389E-3</v>
      </c>
      <c r="J279" s="296">
        <f t="shared" si="123"/>
        <v>2.8668243850156296E-3</v>
      </c>
      <c r="K279" s="296">
        <f t="shared" si="123"/>
        <v>1.5076195353712204E-3</v>
      </c>
      <c r="L279" s="296">
        <f t="shared" si="123"/>
        <v>1.484146857268112E-4</v>
      </c>
      <c r="M279" s="419">
        <v>0.71</v>
      </c>
      <c r="N279" s="469">
        <f t="shared" si="122"/>
        <v>-1.3592048496444092E-3</v>
      </c>
    </row>
    <row r="280" spans="1:15">
      <c r="A280" t="s">
        <v>2584</v>
      </c>
      <c r="B280" s="431">
        <f t="shared" si="118"/>
        <v>3.0326570716283823E-3</v>
      </c>
      <c r="C280" s="431">
        <f t="shared" si="119"/>
        <v>2.7510756580239977E-3</v>
      </c>
      <c r="D280" s="296">
        <f t="shared" ref="D280:L280" si="124">C280+$N280</f>
        <v>2.7406883013866607E-3</v>
      </c>
      <c r="E280" s="296">
        <f t="shared" si="124"/>
        <v>2.7303009447493237E-3</v>
      </c>
      <c r="F280" s="296">
        <f t="shared" si="124"/>
        <v>2.7199135881119866E-3</v>
      </c>
      <c r="G280" s="296">
        <f t="shared" si="124"/>
        <v>2.7095262314746496E-3</v>
      </c>
      <c r="H280" s="296">
        <f t="shared" si="124"/>
        <v>2.6991388748373126E-3</v>
      </c>
      <c r="I280" s="296">
        <f t="shared" si="124"/>
        <v>2.6887515181999756E-3</v>
      </c>
      <c r="J280" s="296">
        <f t="shared" si="124"/>
        <v>2.6783641615626386E-3</v>
      </c>
      <c r="K280" s="296">
        <f t="shared" si="124"/>
        <v>2.6679768049253016E-3</v>
      </c>
      <c r="L280" s="296">
        <f t="shared" si="124"/>
        <v>2.6575894482879646E-3</v>
      </c>
      <c r="M280" s="419">
        <v>0.16666666666666666</v>
      </c>
      <c r="N280" s="469">
        <f t="shared" si="122"/>
        <v>-1.0387356637336891E-5</v>
      </c>
      <c r="O280" s="395" t="s">
        <v>2043</v>
      </c>
    </row>
    <row r="281" spans="1:15">
      <c r="A281" t="s">
        <v>2585</v>
      </c>
      <c r="B281" s="431">
        <f t="shared" si="118"/>
        <v>3.3290186346139035E-3</v>
      </c>
      <c r="C281" s="431">
        <f t="shared" si="119"/>
        <v>3.7257609817179659E-3</v>
      </c>
      <c r="D281" s="296">
        <f t="shared" ref="D281:L281" si="125">C281+$N281</f>
        <v>3.3105893542805299E-3</v>
      </c>
      <c r="E281" s="296">
        <f t="shared" si="125"/>
        <v>2.8954177268430939E-3</v>
      </c>
      <c r="F281" s="296">
        <f t="shared" si="125"/>
        <v>2.4802460994056579E-3</v>
      </c>
      <c r="G281" s="296">
        <f t="shared" si="125"/>
        <v>2.065074471968222E-3</v>
      </c>
      <c r="H281" s="296">
        <f t="shared" si="125"/>
        <v>1.6499028445307862E-3</v>
      </c>
      <c r="I281" s="296">
        <f t="shared" si="125"/>
        <v>1.2347312170933504E-3</v>
      </c>
      <c r="J281" s="296">
        <f t="shared" si="125"/>
        <v>8.1955958965591468E-4</v>
      </c>
      <c r="K281" s="296">
        <f t="shared" si="125"/>
        <v>4.0438796221847886E-4</v>
      </c>
      <c r="L281" s="296">
        <f t="shared" si="125"/>
        <v>-1.0783665218956954E-5</v>
      </c>
      <c r="M281" s="419">
        <v>1</v>
      </c>
      <c r="N281" s="469">
        <f t="shared" si="122"/>
        <v>-4.1517162743743582E-4</v>
      </c>
    </row>
    <row r="282" spans="1:15">
      <c r="A282" t="s">
        <v>2586</v>
      </c>
      <c r="B282" s="431">
        <f t="shared" si="118"/>
        <v>5.2133333583823825E-3</v>
      </c>
      <c r="C282" s="431">
        <f t="shared" si="119"/>
        <v>2.5375847330087352E-3</v>
      </c>
      <c r="D282" s="296">
        <f t="shared" ref="D282:L282" si="126">C282+$N282</f>
        <v>2.264303087221778E-3</v>
      </c>
      <c r="E282" s="296">
        <f t="shared" si="126"/>
        <v>1.9910214414348209E-3</v>
      </c>
      <c r="F282" s="296">
        <f t="shared" si="126"/>
        <v>1.7177397956478638E-3</v>
      </c>
      <c r="G282" s="296">
        <f t="shared" si="126"/>
        <v>1.4444581498609067E-3</v>
      </c>
      <c r="H282" s="296">
        <f t="shared" si="126"/>
        <v>1.1711765040739496E-3</v>
      </c>
      <c r="I282" s="296">
        <f t="shared" si="126"/>
        <v>8.9789485828699247E-4</v>
      </c>
      <c r="J282" s="296">
        <f t="shared" si="126"/>
        <v>6.2461321250003535E-4</v>
      </c>
      <c r="K282" s="296">
        <f t="shared" si="126"/>
        <v>3.5133156671307824E-4</v>
      </c>
      <c r="L282" s="296">
        <f t="shared" si="126"/>
        <v>7.8049920926121126E-5</v>
      </c>
      <c r="M282" s="419">
        <v>0.22</v>
      </c>
      <c r="N282" s="469">
        <f t="shared" si="122"/>
        <v>-2.7328164578695711E-4</v>
      </c>
    </row>
    <row r="283" spans="1:15">
      <c r="A283" t="s">
        <v>2588</v>
      </c>
      <c r="B283" s="431">
        <f t="shared" si="118"/>
        <v>0</v>
      </c>
      <c r="C283" s="431">
        <f t="shared" si="119"/>
        <v>1.2922885214396338E-3</v>
      </c>
      <c r="D283" s="296">
        <f t="shared" ref="D283:L283" si="127">C283+$N283</f>
        <v>2.1117714392605018E-3</v>
      </c>
      <c r="E283" s="296">
        <f t="shared" si="127"/>
        <v>2.93125435708137E-3</v>
      </c>
      <c r="F283" s="296">
        <f t="shared" si="127"/>
        <v>3.7507372749022378E-3</v>
      </c>
      <c r="G283" s="296">
        <f t="shared" si="127"/>
        <v>4.5702201927231055E-3</v>
      </c>
      <c r="H283" s="296">
        <f t="shared" si="127"/>
        <v>5.3897031105439733E-3</v>
      </c>
      <c r="I283" s="296">
        <f t="shared" si="127"/>
        <v>6.2091860283648411E-3</v>
      </c>
      <c r="J283" s="296">
        <f t="shared" si="127"/>
        <v>7.0286689461857088E-3</v>
      </c>
      <c r="K283" s="296">
        <f t="shared" si="127"/>
        <v>7.8481518640065775E-3</v>
      </c>
      <c r="L283" s="296">
        <f t="shared" si="127"/>
        <v>8.6676347818274452E-3</v>
      </c>
      <c r="M283" s="419">
        <v>1</v>
      </c>
      <c r="N283" s="469">
        <f t="shared" si="122"/>
        <v>8.1948291782086798E-4</v>
      </c>
    </row>
    <row r="284" spans="1:15">
      <c r="A284" t="s">
        <v>2589</v>
      </c>
      <c r="B284" s="431">
        <f t="shared" si="118"/>
        <v>3.9297261450076931E-3</v>
      </c>
      <c r="C284" s="431">
        <f t="shared" si="119"/>
        <v>3.0269529254535873E-3</v>
      </c>
      <c r="D284" s="296">
        <f t="shared" ref="D284:L284" si="128">C284+$N284</f>
        <v>2.7055101161416271E-3</v>
      </c>
      <c r="E284" s="296">
        <f t="shared" si="128"/>
        <v>2.3840673068296668E-3</v>
      </c>
      <c r="F284" s="296">
        <f t="shared" si="128"/>
        <v>2.0626244975177066E-3</v>
      </c>
      <c r="G284" s="296">
        <f t="shared" si="128"/>
        <v>1.7411816882057461E-3</v>
      </c>
      <c r="H284" s="296">
        <f t="shared" si="128"/>
        <v>1.4197388788937857E-3</v>
      </c>
      <c r="I284" s="296">
        <f t="shared" si="128"/>
        <v>1.0982960695818252E-3</v>
      </c>
      <c r="J284" s="296">
        <f t="shared" si="128"/>
        <v>7.7685326026986478E-4</v>
      </c>
      <c r="K284" s="296">
        <f t="shared" si="128"/>
        <v>4.5541045095790438E-4</v>
      </c>
      <c r="L284" s="296">
        <f t="shared" si="128"/>
        <v>1.3396764164594398E-4</v>
      </c>
      <c r="M284" s="419">
        <v>0.28000000000000003</v>
      </c>
      <c r="N284" s="469">
        <f t="shared" si="122"/>
        <v>-3.214428093119604E-4</v>
      </c>
    </row>
    <row r="285" spans="1:15">
      <c r="A285" t="s">
        <v>2590</v>
      </c>
      <c r="B285" s="431">
        <f t="shared" si="118"/>
        <v>9.8949147067013037E-4</v>
      </c>
      <c r="C285" s="431">
        <f t="shared" si="119"/>
        <v>1.5677606827496496E-4</v>
      </c>
      <c r="D285" s="296">
        <f t="shared" ref="D285:L285" si="129">C285+$N285</f>
        <v>1.3425497975119016E-4</v>
      </c>
      <c r="E285" s="296">
        <f t="shared" si="129"/>
        <v>1.1173389122741535E-4</v>
      </c>
      <c r="F285" s="296">
        <f t="shared" si="129"/>
        <v>8.9212802703640535E-5</v>
      </c>
      <c r="G285" s="296">
        <f t="shared" si="129"/>
        <v>6.6691714179865721E-5</v>
      </c>
      <c r="H285" s="296">
        <f t="shared" si="129"/>
        <v>4.4170625656090906E-5</v>
      </c>
      <c r="I285" s="296">
        <f t="shared" si="129"/>
        <v>2.1649537132316095E-5</v>
      </c>
      <c r="J285" s="296">
        <f t="shared" si="129"/>
        <v>-8.7155139145871557E-7</v>
      </c>
      <c r="K285" s="296">
        <f t="shared" si="129"/>
        <v>-2.3392639915233526E-5</v>
      </c>
      <c r="L285" s="296">
        <f t="shared" si="129"/>
        <v>-4.5913728439008337E-5</v>
      </c>
      <c r="M285" s="419">
        <v>1</v>
      </c>
      <c r="N285" s="469">
        <f t="shared" si="122"/>
        <v>-2.2521088523774811E-5</v>
      </c>
    </row>
    <row r="286" spans="1:15">
      <c r="A286" t="s">
        <v>2591</v>
      </c>
      <c r="B286" s="431">
        <f t="shared" si="118"/>
        <v>3.0326570716283823E-3</v>
      </c>
      <c r="C286" s="431">
        <f t="shared" si="119"/>
        <v>3.6423091210858139E-3</v>
      </c>
      <c r="D286" s="296">
        <f t="shared" ref="D286:L286" si="130">C286+$N286</f>
        <v>3.2353678288021236E-3</v>
      </c>
      <c r="E286" s="296">
        <f t="shared" si="130"/>
        <v>2.8284265365184332E-3</v>
      </c>
      <c r="F286" s="296">
        <f t="shared" si="130"/>
        <v>2.4214852442347428E-3</v>
      </c>
      <c r="G286" s="296">
        <f t="shared" si="130"/>
        <v>2.0145439519510524E-3</v>
      </c>
      <c r="H286" s="296">
        <f t="shared" si="130"/>
        <v>1.6076026596673618E-3</v>
      </c>
      <c r="I286" s="296">
        <f t="shared" si="130"/>
        <v>1.2006613673836712E-3</v>
      </c>
      <c r="J286" s="296">
        <f t="shared" si="130"/>
        <v>7.9372007509998063E-4</v>
      </c>
      <c r="K286" s="296">
        <f t="shared" si="130"/>
        <v>3.8677878281629009E-4</v>
      </c>
      <c r="L286" s="296">
        <f t="shared" si="130"/>
        <v>-2.0162509467400451E-5</v>
      </c>
      <c r="M286" s="419">
        <v>0.45</v>
      </c>
      <c r="N286" s="469">
        <f t="shared" si="122"/>
        <v>-4.0694129228369054E-4</v>
      </c>
    </row>
    <row r="287" spans="1:15">
      <c r="A287" t="s">
        <v>2592</v>
      </c>
      <c r="B287" s="431">
        <f t="shared" si="118"/>
        <v>3.1561801953450101E-4</v>
      </c>
      <c r="C287" s="431">
        <f t="shared" si="119"/>
        <v>4.5655459675939409E-4</v>
      </c>
      <c r="D287" s="296">
        <f t="shared" ref="D287:L287" si="131">C287+$N287</f>
        <v>5.9029123012749578E-4</v>
      </c>
      <c r="E287" s="296">
        <f t="shared" si="131"/>
        <v>7.2402786349559753E-4</v>
      </c>
      <c r="F287" s="296">
        <f t="shared" si="131"/>
        <v>8.5776449686369928E-4</v>
      </c>
      <c r="G287" s="296">
        <f t="shared" si="131"/>
        <v>9.9150113023180092E-4</v>
      </c>
      <c r="H287" s="296">
        <f t="shared" si="131"/>
        <v>1.1252377635999026E-3</v>
      </c>
      <c r="I287" s="296">
        <f t="shared" si="131"/>
        <v>1.2589743969680042E-3</v>
      </c>
      <c r="J287" s="296">
        <f t="shared" si="131"/>
        <v>1.3927110303361058E-3</v>
      </c>
      <c r="K287" s="296">
        <f t="shared" si="131"/>
        <v>1.5264476637042075E-3</v>
      </c>
      <c r="L287" s="296">
        <f t="shared" si="131"/>
        <v>1.6601842970723091E-3</v>
      </c>
      <c r="M287" s="419">
        <v>1</v>
      </c>
      <c r="N287" s="469">
        <f t="shared" si="122"/>
        <v>1.3373663336810172E-4</v>
      </c>
    </row>
    <row r="288" spans="1:15">
      <c r="A288" t="s">
        <v>2593</v>
      </c>
      <c r="B288" s="431">
        <f t="shared" si="118"/>
        <v>4.9916492732331496E-3</v>
      </c>
      <c r="C288" s="431">
        <f t="shared" si="119"/>
        <v>9.9575084191179299E-4</v>
      </c>
      <c r="D288" s="296">
        <f t="shared" ref="D288:L288" si="132">C288+$N288</f>
        <v>8.8374211807995919E-4</v>
      </c>
      <c r="E288" s="296">
        <f t="shared" si="132"/>
        <v>7.7173339424812539E-4</v>
      </c>
      <c r="F288" s="296">
        <f t="shared" si="132"/>
        <v>6.5972467041629159E-4</v>
      </c>
      <c r="G288" s="296">
        <f t="shared" si="132"/>
        <v>5.4771594658445779E-4</v>
      </c>
      <c r="H288" s="296">
        <f t="shared" si="132"/>
        <v>4.3570722275262398E-4</v>
      </c>
      <c r="I288" s="296">
        <f t="shared" si="132"/>
        <v>3.2369849892079018E-4</v>
      </c>
      <c r="J288" s="296">
        <f t="shared" si="132"/>
        <v>2.1168977508895638E-4</v>
      </c>
      <c r="K288" s="296">
        <f t="shared" si="132"/>
        <v>9.968105125712258E-5</v>
      </c>
      <c r="L288" s="296">
        <f t="shared" si="132"/>
        <v>-1.2327672574711222E-5</v>
      </c>
      <c r="M288" s="419">
        <v>0.06</v>
      </c>
      <c r="N288" s="469">
        <f t="shared" si="122"/>
        <v>-1.120087238318338E-4</v>
      </c>
    </row>
    <row r="289" spans="1:21">
      <c r="A289" t="s">
        <v>2595</v>
      </c>
      <c r="B289" s="431">
        <f t="shared" si="118"/>
        <v>3.4379819985008145E-4</v>
      </c>
      <c r="C289" s="431">
        <f t="shared" si="119"/>
        <v>3.3093118907963535E-3</v>
      </c>
      <c r="D289" s="296">
        <f t="shared" ref="D289:L289" si="133">C289+$N289</f>
        <v>3.1833346237833756E-3</v>
      </c>
      <c r="E289" s="296">
        <f t="shared" si="133"/>
        <v>3.0573573567703976E-3</v>
      </c>
      <c r="F289" s="296">
        <f t="shared" si="133"/>
        <v>2.9313800897574197E-3</v>
      </c>
      <c r="G289" s="296">
        <f t="shared" si="133"/>
        <v>2.8054028227444418E-3</v>
      </c>
      <c r="H289" s="296">
        <f t="shared" si="133"/>
        <v>2.6794255557314639E-3</v>
      </c>
      <c r="I289" s="296">
        <f t="shared" si="133"/>
        <v>2.553448288718486E-3</v>
      </c>
      <c r="J289" s="296">
        <f t="shared" si="133"/>
        <v>2.4274710217055081E-3</v>
      </c>
      <c r="K289" s="296">
        <f t="shared" si="133"/>
        <v>2.3014937546925302E-3</v>
      </c>
      <c r="L289" s="296">
        <f t="shared" si="133"/>
        <v>2.1755164876795523E-3</v>
      </c>
      <c r="M289" s="419">
        <v>1</v>
      </c>
      <c r="N289" s="469">
        <f t="shared" si="122"/>
        <v>-1.259772670129781E-4</v>
      </c>
    </row>
    <row r="290" spans="1:21">
      <c r="A290" t="s">
        <v>2597</v>
      </c>
      <c r="B290" s="431">
        <f t="shared" si="118"/>
        <v>1.2164444502892226E-4</v>
      </c>
      <c r="C290" s="431">
        <f t="shared" si="119"/>
        <v>4.4561673153090821E-5</v>
      </c>
      <c r="D290" s="296">
        <f t="shared" ref="D290:L290" si="134">C290+$N290</f>
        <v>4.4561673153090821E-5</v>
      </c>
      <c r="E290" s="296">
        <f t="shared" si="134"/>
        <v>4.4561673153090821E-5</v>
      </c>
      <c r="F290" s="296">
        <f t="shared" si="134"/>
        <v>4.4561673153090821E-5</v>
      </c>
      <c r="G290" s="296">
        <f t="shared" si="134"/>
        <v>4.4561673153090821E-5</v>
      </c>
      <c r="H290" s="296">
        <f t="shared" si="134"/>
        <v>4.4561673153090821E-5</v>
      </c>
      <c r="I290" s="296">
        <f t="shared" si="134"/>
        <v>4.4561673153090821E-5</v>
      </c>
      <c r="J290" s="296">
        <f t="shared" si="134"/>
        <v>4.4561673153090821E-5</v>
      </c>
      <c r="K290" s="296">
        <f t="shared" si="134"/>
        <v>4.4561673153090821E-5</v>
      </c>
      <c r="L290" s="296">
        <f t="shared" si="134"/>
        <v>4.4561673153090821E-5</v>
      </c>
      <c r="M290" s="419">
        <v>0</v>
      </c>
      <c r="N290" s="469">
        <f t="shared" si="122"/>
        <v>0</v>
      </c>
    </row>
    <row r="291" spans="1:21">
      <c r="A291" s="64" t="s">
        <v>2036</v>
      </c>
    </row>
    <row r="292" spans="1:21">
      <c r="A292" s="320" t="s">
        <v>174</v>
      </c>
      <c r="B292" s="85">
        <f>I258</f>
        <v>1537</v>
      </c>
      <c r="C292" s="85">
        <f>J258</f>
        <v>5062</v>
      </c>
      <c r="D292" s="470">
        <f t="shared" ref="D292:L292" si="135">D277*D275</f>
        <v>18608.117626188283</v>
      </c>
      <c r="E292" s="470">
        <f t="shared" si="135"/>
        <v>33701.585861836356</v>
      </c>
      <c r="F292" s="470">
        <f t="shared" si="135"/>
        <v>47252.282731126928</v>
      </c>
      <c r="G292" s="470">
        <f t="shared" si="135"/>
        <v>61958.913314410056</v>
      </c>
      <c r="H292" s="470">
        <f t="shared" si="135"/>
        <v>75895.303025289992</v>
      </c>
      <c r="I292" s="470">
        <f t="shared" si="135"/>
        <v>90312.950180074971</v>
      </c>
      <c r="J292" s="470">
        <f t="shared" si="135"/>
        <v>104441.90010905571</v>
      </c>
      <c r="K292" s="470">
        <f t="shared" si="135"/>
        <v>118739.23290286443</v>
      </c>
      <c r="L292" s="470">
        <f t="shared" si="135"/>
        <v>132940.35713829624</v>
      </c>
    </row>
    <row r="293" spans="1:21">
      <c r="A293" s="320"/>
      <c r="B293" s="85"/>
      <c r="C293" s="85"/>
      <c r="D293" s="470"/>
      <c r="E293" s="470"/>
      <c r="F293" s="470"/>
      <c r="G293" s="470"/>
      <c r="H293" s="470"/>
      <c r="I293" s="470"/>
      <c r="J293" s="470"/>
      <c r="K293" s="470"/>
      <c r="L293" s="470"/>
    </row>
    <row r="294" spans="1:21" s="423" customFormat="1">
      <c r="A294" s="423" t="s">
        <v>2598</v>
      </c>
    </row>
    <row r="295" spans="1:21" s="400" customFormat="1" ht="70">
      <c r="A295" s="527" t="s">
        <v>0</v>
      </c>
      <c r="B295" s="527" t="s">
        <v>2018</v>
      </c>
      <c r="C295" s="527" t="s">
        <v>2019</v>
      </c>
      <c r="D295" s="527" t="s">
        <v>2020</v>
      </c>
      <c r="E295" s="527" t="s">
        <v>2021</v>
      </c>
      <c r="F295" s="527" t="s">
        <v>2022</v>
      </c>
      <c r="G295" s="527" t="s">
        <v>1840</v>
      </c>
      <c r="H295" s="527" t="s">
        <v>2023</v>
      </c>
      <c r="I295" s="527" t="s">
        <v>2024</v>
      </c>
      <c r="J295" s="527" t="s">
        <v>2025</v>
      </c>
      <c r="K295" s="527" t="s">
        <v>2456</v>
      </c>
      <c r="L295" s="527" t="s">
        <v>2027</v>
      </c>
      <c r="M295" s="527" t="s">
        <v>2028</v>
      </c>
      <c r="N295" s="527" t="s">
        <v>2457</v>
      </c>
      <c r="O295" s="527" t="s">
        <v>2030</v>
      </c>
      <c r="P295" s="527" t="s">
        <v>2031</v>
      </c>
      <c r="Q295" s="527" t="s">
        <v>2032</v>
      </c>
      <c r="R295" s="527" t="s">
        <v>2033</v>
      </c>
      <c r="S295" s="527" t="s">
        <v>2034</v>
      </c>
      <c r="T295" s="527" t="s">
        <v>2035</v>
      </c>
      <c r="U295" s="527"/>
    </row>
    <row r="296" spans="1:21" s="64" customFormat="1">
      <c r="A296" s="391" t="s">
        <v>25</v>
      </c>
      <c r="B296" s="392" t="s">
        <v>175</v>
      </c>
      <c r="C296" s="392" t="s">
        <v>2036</v>
      </c>
      <c r="D296" s="409" t="s">
        <v>2037</v>
      </c>
      <c r="E296" s="409" t="s">
        <v>2038</v>
      </c>
      <c r="F296" s="389" t="s">
        <v>2060</v>
      </c>
      <c r="G296" s="413">
        <v>21518.858</v>
      </c>
      <c r="H296" s="390" t="s">
        <v>2476</v>
      </c>
      <c r="I296" s="398">
        <v>0</v>
      </c>
      <c r="J296" s="398">
        <v>55246</v>
      </c>
      <c r="K296" s="398">
        <v>49976</v>
      </c>
      <c r="L296" s="430">
        <v>0</v>
      </c>
      <c r="M296" s="430">
        <v>1.0367849794354527E-2</v>
      </c>
      <c r="N296" s="430">
        <v>1.919056783744388E-2</v>
      </c>
      <c r="O296" s="430">
        <f>M296-L296</f>
        <v>1.0367849794354527E-2</v>
      </c>
      <c r="P296" s="430">
        <f>N296-M296</f>
        <v>8.8227180430893535E-3</v>
      </c>
      <c r="Q296" s="430">
        <f t="shared" ref="Q296" si="136">N296-L296</f>
        <v>1.919056783744388E-2</v>
      </c>
      <c r="R296" s="436">
        <f>SUM(Q297:Q321)/2.5</f>
        <v>-9.0895622564208436E-3</v>
      </c>
      <c r="S296" s="436">
        <f>R296+T296</f>
        <v>3.7041496352084105E-3</v>
      </c>
      <c r="T296" s="436">
        <f>Q296/1.5</f>
        <v>1.2793711891629254E-2</v>
      </c>
    </row>
    <row r="297" spans="1:21">
      <c r="A297" s="391" t="s">
        <v>25</v>
      </c>
      <c r="B297" s="392" t="s">
        <v>176</v>
      </c>
      <c r="C297" s="320" t="s">
        <v>2036</v>
      </c>
      <c r="D297" s="409" t="s">
        <v>2037</v>
      </c>
      <c r="E297" s="409" t="s">
        <v>2038</v>
      </c>
      <c r="F297" s="428" t="s">
        <v>2060</v>
      </c>
      <c r="G297" s="413">
        <v>24154.453000000001</v>
      </c>
      <c r="H297" s="390" t="s">
        <v>2463</v>
      </c>
      <c r="I297" s="397">
        <v>41621</v>
      </c>
      <c r="J297" s="397">
        <v>19477</v>
      </c>
      <c r="K297" s="398">
        <v>14137</v>
      </c>
      <c r="L297" s="431">
        <v>7.4530141901121187E-3</v>
      </c>
      <c r="M297" s="431">
        <v>3.6551897050400594E-3</v>
      </c>
      <c r="N297" s="431">
        <v>5.4285468528482497E-3</v>
      </c>
      <c r="O297" s="430">
        <f t="shared" ref="O297:O321" si="137">M297-L297</f>
        <v>-3.7978244850720593E-3</v>
      </c>
      <c r="P297" s="430">
        <f t="shared" ref="P297:P321" si="138">N297-M297</f>
        <v>1.7733571478081903E-3</v>
      </c>
      <c r="Q297" s="430">
        <f t="shared" ref="Q297:Q321" si="139">N297-L297</f>
        <v>-2.024467337263869E-3</v>
      </c>
      <c r="R297" s="436">
        <f>SUM(Q298:Q321)+Q296/2.5</f>
        <v>-1.3023211168810689E-2</v>
      </c>
      <c r="S297" s="436">
        <f>R297+T297</f>
        <v>-1.3832998103716236E-2</v>
      </c>
      <c r="T297" s="436">
        <f>Q297/2.5</f>
        <v>-8.0978693490554757E-4</v>
      </c>
    </row>
    <row r="298" spans="1:21">
      <c r="A298" s="441" t="s">
        <v>2492</v>
      </c>
      <c r="B298" s="320" t="s">
        <v>2599</v>
      </c>
      <c r="C298" s="320" t="s">
        <v>2252</v>
      </c>
      <c r="D298" s="528" t="s">
        <v>2037</v>
      </c>
      <c r="E298" s="528" t="s">
        <v>2038</v>
      </c>
      <c r="F298" s="428" t="s">
        <v>2060</v>
      </c>
      <c r="G298" s="410">
        <v>21673.89</v>
      </c>
      <c r="H298" s="529" t="s">
        <v>2476</v>
      </c>
      <c r="I298" s="397">
        <v>45626</v>
      </c>
      <c r="J298" s="397">
        <v>69219</v>
      </c>
      <c r="K298" s="397">
        <v>40601</v>
      </c>
      <c r="L298" s="431">
        <v>8.1701839321029167E-3</v>
      </c>
      <c r="M298" s="431">
        <v>1.2990120459678999E-2</v>
      </c>
      <c r="N298" s="431">
        <v>1.5590608387387125E-2</v>
      </c>
      <c r="O298" s="430">
        <f t="shared" si="137"/>
        <v>4.8199365275760821E-3</v>
      </c>
      <c r="P298" s="430">
        <f t="shared" si="138"/>
        <v>2.6004879277081259E-3</v>
      </c>
      <c r="Q298" s="430">
        <f t="shared" si="139"/>
        <v>7.420424455284208E-3</v>
      </c>
      <c r="T298" s="437">
        <f>Q298/2.5</f>
        <v>2.9681697821136834E-3</v>
      </c>
      <c r="U298" s="467"/>
    </row>
    <row r="299" spans="1:21">
      <c r="A299" s="441" t="s">
        <v>2600</v>
      </c>
      <c r="B299" s="320" t="s">
        <v>2601</v>
      </c>
      <c r="C299" s="320" t="s">
        <v>2036</v>
      </c>
      <c r="D299" s="528" t="s">
        <v>2037</v>
      </c>
      <c r="E299" s="528" t="s">
        <v>2038</v>
      </c>
      <c r="F299" s="428" t="s">
        <v>2060</v>
      </c>
      <c r="G299" s="410">
        <v>20123.54</v>
      </c>
      <c r="H299" s="529" t="s">
        <v>2476</v>
      </c>
      <c r="I299" s="397">
        <v>18887</v>
      </c>
      <c r="J299" s="397">
        <v>19794</v>
      </c>
      <c r="K299" s="397">
        <v>272</v>
      </c>
      <c r="L299" s="431">
        <v>3.3820686434407532E-3</v>
      </c>
      <c r="M299" s="431">
        <v>3.7146801366515856E-3</v>
      </c>
      <c r="N299" s="431">
        <v>1.0444682351097997E-4</v>
      </c>
      <c r="O299" s="430">
        <f t="shared" si="137"/>
        <v>3.3261149321083244E-4</v>
      </c>
      <c r="P299" s="430">
        <f t="shared" si="138"/>
        <v>-3.6102333131406055E-3</v>
      </c>
      <c r="Q299" s="430">
        <f t="shared" si="139"/>
        <v>-3.277621819929773E-3</v>
      </c>
      <c r="T299" s="437">
        <f t="shared" ref="T299:T317" si="140">Q299/2.5</f>
        <v>-1.3110487279719093E-3</v>
      </c>
      <c r="U299" s="467"/>
    </row>
    <row r="300" spans="1:21">
      <c r="A300" s="441" t="s">
        <v>2236</v>
      </c>
      <c r="B300" s="320" t="s">
        <v>2602</v>
      </c>
      <c r="C300" s="320" t="s">
        <v>2036</v>
      </c>
      <c r="D300" s="528" t="s">
        <v>2037</v>
      </c>
      <c r="E300" s="528" t="s">
        <v>2038</v>
      </c>
      <c r="F300" s="428" t="s">
        <v>2060</v>
      </c>
      <c r="G300" s="410">
        <v>21828.93</v>
      </c>
      <c r="H300" s="529" t="s">
        <v>2476</v>
      </c>
      <c r="I300" s="397">
        <v>5341</v>
      </c>
      <c r="J300" s="397">
        <v>1860</v>
      </c>
      <c r="K300" s="397">
        <v>1</v>
      </c>
      <c r="L300" s="431">
        <v>9.5640539125414628E-4</v>
      </c>
      <c r="M300" s="431">
        <v>3.490605766480726E-4</v>
      </c>
      <c r="N300" s="431">
        <v>3.8399567467272048E-7</v>
      </c>
      <c r="O300" s="430">
        <f t="shared" si="137"/>
        <v>-6.0734481460607368E-4</v>
      </c>
      <c r="P300" s="430">
        <f t="shared" si="138"/>
        <v>-3.4867658097339989E-4</v>
      </c>
      <c r="Q300" s="430">
        <f t="shared" si="139"/>
        <v>-9.5602139557947352E-4</v>
      </c>
      <c r="T300" s="437">
        <f t="shared" si="140"/>
        <v>-3.824085582317894E-4</v>
      </c>
      <c r="U300" s="467"/>
    </row>
    <row r="301" spans="1:21">
      <c r="A301" s="441" t="s">
        <v>2041</v>
      </c>
      <c r="B301" s="320" t="s">
        <v>2603</v>
      </c>
      <c r="C301" s="320" t="s">
        <v>2036</v>
      </c>
      <c r="D301" s="528" t="s">
        <v>2037</v>
      </c>
      <c r="E301" s="528" t="s">
        <v>2038</v>
      </c>
      <c r="F301" s="428" t="s">
        <v>2060</v>
      </c>
      <c r="G301" s="410">
        <v>21208.79</v>
      </c>
      <c r="H301" s="529" t="s">
        <v>2476</v>
      </c>
      <c r="I301" s="397">
        <v>9693</v>
      </c>
      <c r="J301" s="397">
        <v>25980</v>
      </c>
      <c r="K301" s="397">
        <v>12615</v>
      </c>
      <c r="L301" s="431">
        <v>1.7357119373575061E-3</v>
      </c>
      <c r="M301" s="431">
        <v>4.8755880544714657E-3</v>
      </c>
      <c r="N301" s="431">
        <v>4.8441054359963688E-3</v>
      </c>
      <c r="O301" s="430">
        <f t="shared" si="137"/>
        <v>3.1398761171139598E-3</v>
      </c>
      <c r="P301" s="430">
        <f t="shared" si="138"/>
        <v>-3.1482618475096869E-5</v>
      </c>
      <c r="Q301" s="430">
        <f t="shared" si="139"/>
        <v>3.1083934986388629E-3</v>
      </c>
      <c r="T301" s="437">
        <f t="shared" si="140"/>
        <v>1.2433573994555451E-3</v>
      </c>
      <c r="U301" s="467"/>
    </row>
    <row r="302" spans="1:21">
      <c r="A302" s="441" t="s">
        <v>2055</v>
      </c>
      <c r="B302" s="320" t="s">
        <v>2604</v>
      </c>
      <c r="C302" s="320" t="s">
        <v>2036</v>
      </c>
      <c r="D302" s="528" t="s">
        <v>2037</v>
      </c>
      <c r="E302" s="528" t="s">
        <v>2038</v>
      </c>
      <c r="F302" s="428" t="s">
        <v>2060</v>
      </c>
      <c r="G302" s="410">
        <v>21828.928</v>
      </c>
      <c r="H302" s="529" t="s">
        <v>2476</v>
      </c>
      <c r="I302" s="397">
        <v>13517</v>
      </c>
      <c r="J302" s="397">
        <v>23997</v>
      </c>
      <c r="K302" s="397">
        <v>6436</v>
      </c>
      <c r="L302" s="431">
        <v>2.4204702627939143E-3</v>
      </c>
      <c r="M302" s="431">
        <v>4.5034444396902145E-3</v>
      </c>
      <c r="N302" s="431">
        <v>2.471396162193629E-3</v>
      </c>
      <c r="O302" s="430">
        <f t="shared" si="137"/>
        <v>2.0829741768963001E-3</v>
      </c>
      <c r="P302" s="430">
        <f t="shared" si="138"/>
        <v>-2.0320482774965854E-3</v>
      </c>
      <c r="Q302" s="430">
        <f t="shared" si="139"/>
        <v>5.0925899399714702E-5</v>
      </c>
      <c r="T302" s="437">
        <f t="shared" si="140"/>
        <v>2.037035975988588E-5</v>
      </c>
      <c r="U302" s="467"/>
    </row>
    <row r="303" spans="1:21">
      <c r="A303" s="441" t="s">
        <v>2519</v>
      </c>
      <c r="B303" s="320" t="s">
        <v>2605</v>
      </c>
      <c r="C303" s="320" t="s">
        <v>2036</v>
      </c>
      <c r="D303" s="528" t="s">
        <v>2037</v>
      </c>
      <c r="E303" s="528" t="s">
        <v>2038</v>
      </c>
      <c r="F303" s="428" t="s">
        <v>2060</v>
      </c>
      <c r="G303" s="410">
        <v>20123.54</v>
      </c>
      <c r="H303" s="529" t="s">
        <v>2476</v>
      </c>
      <c r="I303" s="397">
        <v>6608</v>
      </c>
      <c r="J303" s="397">
        <v>13274</v>
      </c>
      <c r="K303" s="397">
        <v>14762</v>
      </c>
      <c r="L303" s="431">
        <v>1.183285307134881E-3</v>
      </c>
      <c r="M303" s="431">
        <v>2.4910914486164066E-3</v>
      </c>
      <c r="N303" s="431">
        <v>5.6685441495186997E-3</v>
      </c>
      <c r="O303" s="430">
        <f t="shared" si="137"/>
        <v>1.3078061414815256E-3</v>
      </c>
      <c r="P303" s="430">
        <f t="shared" si="138"/>
        <v>3.1774527009022931E-3</v>
      </c>
      <c r="Q303" s="430">
        <f t="shared" si="139"/>
        <v>4.4852588423838187E-3</v>
      </c>
      <c r="T303" s="437">
        <f t="shared" si="140"/>
        <v>1.7941035369535274E-3</v>
      </c>
      <c r="U303" s="467"/>
    </row>
    <row r="304" spans="1:21">
      <c r="A304" s="441" t="s">
        <v>2606</v>
      </c>
      <c r="B304" s="320" t="s">
        <v>2607</v>
      </c>
      <c r="C304" s="320" t="s">
        <v>2036</v>
      </c>
      <c r="D304" s="528" t="s">
        <v>2037</v>
      </c>
      <c r="E304" s="528" t="s">
        <v>2038</v>
      </c>
      <c r="F304" s="428" t="s">
        <v>2060</v>
      </c>
      <c r="G304" s="410">
        <v>20139.05</v>
      </c>
      <c r="H304" s="529" t="s">
        <v>2476</v>
      </c>
      <c r="I304" s="397">
        <v>13600</v>
      </c>
      <c r="J304" s="397">
        <v>13700</v>
      </c>
      <c r="K304" s="397">
        <v>7007</v>
      </c>
      <c r="L304" s="431">
        <v>2.4353329565729993E-3</v>
      </c>
      <c r="M304" s="431">
        <v>2.5710375806874165E-3</v>
      </c>
      <c r="N304" s="431">
        <v>2.6906576924317525E-3</v>
      </c>
      <c r="O304" s="430">
        <f t="shared" si="137"/>
        <v>1.3570462411441721E-4</v>
      </c>
      <c r="P304" s="430">
        <f t="shared" si="138"/>
        <v>1.1962011174433598E-4</v>
      </c>
      <c r="Q304" s="430">
        <f t="shared" si="139"/>
        <v>2.5532473585875319E-4</v>
      </c>
      <c r="T304" s="437">
        <f t="shared" si="140"/>
        <v>1.0212989434350127E-4</v>
      </c>
      <c r="U304" s="467"/>
    </row>
    <row r="305" spans="1:21">
      <c r="A305" s="441" t="s">
        <v>2608</v>
      </c>
      <c r="B305" s="320" t="s">
        <v>2609</v>
      </c>
      <c r="C305" s="320" t="s">
        <v>2036</v>
      </c>
      <c r="D305" s="528" t="s">
        <v>2037</v>
      </c>
      <c r="E305" s="528" t="s">
        <v>2038</v>
      </c>
      <c r="F305" s="428" t="s">
        <v>2060</v>
      </c>
      <c r="G305" s="410">
        <v>21053.75</v>
      </c>
      <c r="H305" s="529" t="s">
        <v>2476</v>
      </c>
      <c r="I305" s="397">
        <v>4713</v>
      </c>
      <c r="J305" s="397">
        <v>30411</v>
      </c>
      <c r="K305" s="397">
        <v>21789</v>
      </c>
      <c r="L305" s="431">
        <v>8.4395031061239311E-4</v>
      </c>
      <c r="M305" s="431">
        <v>5.7071404281959877E-3</v>
      </c>
      <c r="N305" s="431">
        <v>8.3668817554439067E-3</v>
      </c>
      <c r="O305" s="430">
        <f t="shared" si="137"/>
        <v>4.8631901175835946E-3</v>
      </c>
      <c r="P305" s="430">
        <f t="shared" si="138"/>
        <v>2.6597413272479191E-3</v>
      </c>
      <c r="Q305" s="430">
        <f t="shared" si="139"/>
        <v>7.5229314448315137E-3</v>
      </c>
      <c r="T305" s="437">
        <f t="shared" si="140"/>
        <v>3.0091725779326055E-3</v>
      </c>
      <c r="U305" s="467"/>
    </row>
    <row r="306" spans="1:21">
      <c r="A306" s="441" t="s">
        <v>2610</v>
      </c>
      <c r="B306" s="320" t="s">
        <v>2611</v>
      </c>
      <c r="C306" s="320" t="s">
        <v>2036</v>
      </c>
      <c r="D306" s="528" t="s">
        <v>2037</v>
      </c>
      <c r="E306" s="528" t="s">
        <v>2038</v>
      </c>
      <c r="F306" s="428" t="s">
        <v>2060</v>
      </c>
      <c r="G306" s="410">
        <v>20294.080000000002</v>
      </c>
      <c r="H306" s="529" t="s">
        <v>2476</v>
      </c>
      <c r="I306" s="397">
        <v>1200</v>
      </c>
      <c r="J306" s="397">
        <v>11200</v>
      </c>
      <c r="K306" s="397">
        <v>11048</v>
      </c>
      <c r="L306" s="431">
        <v>2.1488231969761759E-4</v>
      </c>
      <c r="M306" s="431">
        <v>2.1018701389561361E-3</v>
      </c>
      <c r="N306" s="431">
        <v>4.2423842137842161E-3</v>
      </c>
      <c r="O306" s="430">
        <f t="shared" si="137"/>
        <v>1.8869878192585186E-3</v>
      </c>
      <c r="P306" s="430">
        <f t="shared" si="138"/>
        <v>2.14051407482808E-3</v>
      </c>
      <c r="Q306" s="430">
        <f t="shared" si="139"/>
        <v>4.0275018940865983E-3</v>
      </c>
      <c r="T306" s="437">
        <f t="shared" si="140"/>
        <v>1.6110007576346393E-3</v>
      </c>
      <c r="U306" s="467"/>
    </row>
    <row r="307" spans="1:21">
      <c r="A307" s="441" t="s">
        <v>2064</v>
      </c>
      <c r="B307" s="320" t="s">
        <v>2612</v>
      </c>
      <c r="C307" s="320" t="s">
        <v>2036</v>
      </c>
      <c r="D307" s="528" t="s">
        <v>2037</v>
      </c>
      <c r="E307" s="528" t="s">
        <v>2038</v>
      </c>
      <c r="F307" s="428" t="s">
        <v>2048</v>
      </c>
      <c r="G307" s="410">
        <v>21689.4</v>
      </c>
      <c r="H307" s="529" t="s">
        <v>2476</v>
      </c>
      <c r="I307" s="397">
        <v>8300</v>
      </c>
      <c r="J307" s="397">
        <v>19000</v>
      </c>
      <c r="K307" s="397">
        <v>71</v>
      </c>
      <c r="L307" s="431">
        <v>1.4862693779085217E-3</v>
      </c>
      <c r="M307" s="431">
        <v>3.5656725571577312E-3</v>
      </c>
      <c r="N307" s="431">
        <v>2.7263692901763154E-5</v>
      </c>
      <c r="O307" s="430">
        <f t="shared" si="137"/>
        <v>2.0794031792492097E-3</v>
      </c>
      <c r="P307" s="430">
        <f t="shared" si="138"/>
        <v>-3.5384088642559678E-3</v>
      </c>
      <c r="Q307" s="430">
        <f t="shared" si="139"/>
        <v>-1.4590056850067585E-3</v>
      </c>
      <c r="T307" s="437">
        <f t="shared" si="140"/>
        <v>-5.8360227400270346E-4</v>
      </c>
      <c r="U307" s="467"/>
    </row>
    <row r="308" spans="1:21">
      <c r="A308" s="441" t="s">
        <v>2236</v>
      </c>
      <c r="B308" s="320" t="s">
        <v>2613</v>
      </c>
      <c r="C308" s="320" t="s">
        <v>2036</v>
      </c>
      <c r="D308" s="528" t="s">
        <v>2037</v>
      </c>
      <c r="E308" s="528" t="s">
        <v>2038</v>
      </c>
      <c r="F308" s="428" t="s">
        <v>2043</v>
      </c>
      <c r="G308" s="410">
        <v>20123.543000000001</v>
      </c>
      <c r="H308" s="529" t="s">
        <v>2476</v>
      </c>
      <c r="I308" s="397">
        <v>74375</v>
      </c>
      <c r="J308" s="397">
        <v>60562</v>
      </c>
      <c r="K308" s="397">
        <v>41377</v>
      </c>
      <c r="L308" s="431">
        <v>1.3318227106258591E-2</v>
      </c>
      <c r="M308" s="431">
        <v>1.1365487442451921E-2</v>
      </c>
      <c r="N308" s="431">
        <v>1.5888589030933157E-2</v>
      </c>
      <c r="O308" s="430">
        <f t="shared" si="137"/>
        <v>-1.9527396638066696E-3</v>
      </c>
      <c r="P308" s="430">
        <f t="shared" si="138"/>
        <v>4.5231015884812358E-3</v>
      </c>
      <c r="Q308" s="430">
        <f t="shared" si="139"/>
        <v>2.5703619246745663E-3</v>
      </c>
      <c r="T308" s="437">
        <f t="shared" si="140"/>
        <v>1.0281447698698265E-3</v>
      </c>
      <c r="U308" s="467"/>
    </row>
    <row r="309" spans="1:21">
      <c r="A309" s="441" t="s">
        <v>2053</v>
      </c>
      <c r="B309" s="320" t="s">
        <v>2614</v>
      </c>
      <c r="C309" s="320" t="s">
        <v>2036</v>
      </c>
      <c r="D309" s="528" t="s">
        <v>2037</v>
      </c>
      <c r="E309" s="528" t="s">
        <v>2038</v>
      </c>
      <c r="F309" s="428" t="s">
        <v>2043</v>
      </c>
      <c r="G309" s="410">
        <v>21673.893</v>
      </c>
      <c r="H309" s="529" t="s">
        <v>2476</v>
      </c>
      <c r="I309" s="397">
        <v>32572</v>
      </c>
      <c r="J309" s="397">
        <v>22857</v>
      </c>
      <c r="K309" s="397">
        <v>8102</v>
      </c>
      <c r="L309" s="431">
        <v>5.8326224309923338E-3</v>
      </c>
      <c r="M309" s="431">
        <v>4.2895040862607507E-3</v>
      </c>
      <c r="N309" s="431">
        <v>3.1111329561983813E-3</v>
      </c>
      <c r="O309" s="430">
        <f t="shared" si="137"/>
        <v>-1.5431183447315831E-3</v>
      </c>
      <c r="P309" s="430">
        <f t="shared" si="138"/>
        <v>-1.1783711300623694E-3</v>
      </c>
      <c r="Q309" s="430">
        <f t="shared" si="139"/>
        <v>-2.7214894747939525E-3</v>
      </c>
      <c r="T309" s="437">
        <f t="shared" si="140"/>
        <v>-1.0885957899175809E-3</v>
      </c>
      <c r="U309" s="467"/>
    </row>
    <row r="310" spans="1:21">
      <c r="A310" s="393" t="s">
        <v>2073</v>
      </c>
      <c r="B310" s="394" t="s">
        <v>2074</v>
      </c>
      <c r="C310" s="320" t="s">
        <v>2036</v>
      </c>
      <c r="D310" s="395" t="s">
        <v>2037</v>
      </c>
      <c r="E310" s="395" t="s">
        <v>2038</v>
      </c>
      <c r="F310" s="395" t="s">
        <v>2043</v>
      </c>
      <c r="G310" s="410">
        <v>18573</v>
      </c>
      <c r="H310" s="529" t="s">
        <v>2075</v>
      </c>
      <c r="I310" s="402">
        <v>343418</v>
      </c>
      <c r="J310" s="402">
        <v>293321</v>
      </c>
      <c r="K310" s="402">
        <v>107393</v>
      </c>
      <c r="L310" s="431">
        <v>6.1495380388263701E-2</v>
      </c>
      <c r="M310" s="431">
        <v>5.5046665270424358E-2</v>
      </c>
      <c r="N310" s="431">
        <v>4.1238447490127471E-2</v>
      </c>
      <c r="O310" s="430">
        <f t="shared" si="137"/>
        <v>-6.4487151178393431E-3</v>
      </c>
      <c r="P310" s="430">
        <f t="shared" si="138"/>
        <v>-1.3808217780296887E-2</v>
      </c>
      <c r="Q310" s="430">
        <f t="shared" si="139"/>
        <v>-2.025693289813623E-2</v>
      </c>
      <c r="T310" s="437">
        <f t="shared" si="140"/>
        <v>-8.1027731592544922E-3</v>
      </c>
      <c r="U310" s="467"/>
    </row>
    <row r="311" spans="1:21">
      <c r="A311" s="393" t="s">
        <v>2064</v>
      </c>
      <c r="B311" s="394" t="s">
        <v>2615</v>
      </c>
      <c r="C311" s="320" t="s">
        <v>2036</v>
      </c>
      <c r="D311" s="395" t="s">
        <v>2037</v>
      </c>
      <c r="E311" s="395" t="s">
        <v>2038</v>
      </c>
      <c r="F311" s="395" t="s">
        <v>2043</v>
      </c>
      <c r="G311" s="410">
        <v>18589</v>
      </c>
      <c r="H311" s="529" t="s">
        <v>2075</v>
      </c>
      <c r="I311" s="402">
        <v>245126</v>
      </c>
      <c r="J311" s="402">
        <v>159026</v>
      </c>
      <c r="K311" s="402">
        <v>66488</v>
      </c>
      <c r="L311" s="431">
        <v>4.3894369581831842E-2</v>
      </c>
      <c r="M311" s="431">
        <v>2.984392863550344E-2</v>
      </c>
      <c r="N311" s="431">
        <v>2.5531104417639838E-2</v>
      </c>
      <c r="O311" s="430">
        <f t="shared" si="137"/>
        <v>-1.4050440946328402E-2</v>
      </c>
      <c r="P311" s="430">
        <f t="shared" si="138"/>
        <v>-4.312824217863602E-3</v>
      </c>
      <c r="Q311" s="430">
        <f t="shared" si="139"/>
        <v>-1.8363265164192004E-2</v>
      </c>
      <c r="T311" s="437">
        <f t="shared" si="140"/>
        <v>-7.3453060656768019E-3</v>
      </c>
      <c r="U311" s="467"/>
    </row>
    <row r="312" spans="1:21">
      <c r="A312" s="393" t="s">
        <v>2236</v>
      </c>
      <c r="B312" s="394" t="s">
        <v>2616</v>
      </c>
      <c r="C312" s="320" t="s">
        <v>2036</v>
      </c>
      <c r="D312" s="395" t="s">
        <v>2037</v>
      </c>
      <c r="E312" s="395" t="s">
        <v>2038</v>
      </c>
      <c r="F312" s="395" t="s">
        <v>2043</v>
      </c>
      <c r="G312" s="410">
        <v>20139</v>
      </c>
      <c r="H312" s="529" t="s">
        <v>2476</v>
      </c>
      <c r="I312" s="402">
        <v>299839</v>
      </c>
      <c r="J312" s="402">
        <v>235607</v>
      </c>
      <c r="K312" s="402">
        <v>100779</v>
      </c>
      <c r="L312" s="431">
        <v>5.3691749879844972E-2</v>
      </c>
      <c r="M312" s="431">
        <v>4.4215653377592715E-2</v>
      </c>
      <c r="N312" s="431">
        <v>3.8698700097842098E-2</v>
      </c>
      <c r="O312" s="430">
        <f t="shared" si="137"/>
        <v>-9.476096502252257E-3</v>
      </c>
      <c r="P312" s="430">
        <f t="shared" si="138"/>
        <v>-5.5169532797506166E-3</v>
      </c>
      <c r="Q312" s="430">
        <f t="shared" si="139"/>
        <v>-1.4993049782002874E-2</v>
      </c>
      <c r="T312" s="437">
        <f t="shared" si="140"/>
        <v>-5.9972199128011496E-3</v>
      </c>
      <c r="U312" s="467"/>
    </row>
    <row r="313" spans="1:21">
      <c r="A313" s="394" t="s">
        <v>2057</v>
      </c>
      <c r="B313" t="s">
        <v>2617</v>
      </c>
      <c r="C313" s="320" t="s">
        <v>2036</v>
      </c>
      <c r="D313" s="533" t="s">
        <v>2037</v>
      </c>
      <c r="E313" s="395" t="s">
        <v>2038</v>
      </c>
      <c r="F313" s="395" t="s">
        <v>2043</v>
      </c>
      <c r="G313" s="410">
        <f>138900*0.155035</f>
        <v>21534.361499999999</v>
      </c>
      <c r="H313" s="529" t="s">
        <v>2476</v>
      </c>
      <c r="I313" s="402">
        <v>66020</v>
      </c>
      <c r="J313" s="402">
        <v>55713</v>
      </c>
      <c r="K313" s="402">
        <v>38330</v>
      </c>
      <c r="L313" s="431">
        <v>1.1822108955363928E-2</v>
      </c>
      <c r="M313" s="431">
        <v>1.045549027246993E-2</v>
      </c>
      <c r="N313" s="431">
        <v>1.4718554210205376E-2</v>
      </c>
      <c r="O313" s="430">
        <f t="shared" si="137"/>
        <v>-1.3666186828939983E-3</v>
      </c>
      <c r="P313" s="430">
        <f t="shared" si="138"/>
        <v>4.2630639377354458E-3</v>
      </c>
      <c r="Q313" s="430">
        <f t="shared" si="139"/>
        <v>2.8964452548414475E-3</v>
      </c>
      <c r="T313" s="437">
        <f t="shared" si="140"/>
        <v>1.1585781019365789E-3</v>
      </c>
      <c r="U313" s="467"/>
    </row>
    <row r="314" spans="1:21">
      <c r="A314" s="394" t="s">
        <v>2514</v>
      </c>
      <c r="B314" t="s">
        <v>2618</v>
      </c>
      <c r="C314" s="320" t="s">
        <v>2036</v>
      </c>
      <c r="D314" s="533" t="s">
        <v>2037</v>
      </c>
      <c r="E314" s="395" t="s">
        <v>2038</v>
      </c>
      <c r="F314" s="395" t="s">
        <v>2043</v>
      </c>
      <c r="G314" s="410">
        <f>116900*0.155035</f>
        <v>18123.591500000002</v>
      </c>
      <c r="H314" s="529" t="s">
        <v>2075</v>
      </c>
      <c r="I314" s="402">
        <v>0</v>
      </c>
      <c r="J314" s="402">
        <v>0</v>
      </c>
      <c r="K314" s="402">
        <v>30659</v>
      </c>
      <c r="L314" s="431">
        <v>0</v>
      </c>
      <c r="M314" s="431">
        <v>0</v>
      </c>
      <c r="N314" s="431">
        <v>1.1772923389790937E-2</v>
      </c>
      <c r="O314" s="430">
        <f t="shared" si="137"/>
        <v>0</v>
      </c>
      <c r="P314" s="430">
        <f t="shared" si="138"/>
        <v>1.1772923389790937E-2</v>
      </c>
      <c r="Q314" s="430">
        <f t="shared" si="139"/>
        <v>1.1772923389790937E-2</v>
      </c>
      <c r="T314" s="437">
        <f t="shared" si="140"/>
        <v>4.7091693559163745E-3</v>
      </c>
      <c r="U314" s="467"/>
    </row>
    <row r="315" spans="1:21">
      <c r="A315" s="394" t="s">
        <v>2071</v>
      </c>
      <c r="B315" t="s">
        <v>2619</v>
      </c>
      <c r="C315" s="320" t="s">
        <v>2036</v>
      </c>
      <c r="D315" s="533" t="s">
        <v>2037</v>
      </c>
      <c r="E315" s="395" t="s">
        <v>2038</v>
      </c>
      <c r="F315" s="395" t="s">
        <v>2043</v>
      </c>
      <c r="G315" s="410">
        <f>117900*0.155035</f>
        <v>18278.626500000002</v>
      </c>
      <c r="H315" s="529" t="s">
        <v>2075</v>
      </c>
      <c r="I315" s="402">
        <v>0</v>
      </c>
      <c r="J315" s="402">
        <v>4103</v>
      </c>
      <c r="K315" s="402">
        <v>38224</v>
      </c>
      <c r="L315" s="431">
        <v>0</v>
      </c>
      <c r="M315" s="431">
        <v>7.6999760536937737E-4</v>
      </c>
      <c r="N315" s="431">
        <v>1.4677850668690068E-2</v>
      </c>
      <c r="O315" s="430">
        <f t="shared" si="137"/>
        <v>7.6999760536937737E-4</v>
      </c>
      <c r="P315" s="430">
        <f t="shared" si="138"/>
        <v>1.390785306332069E-2</v>
      </c>
      <c r="Q315" s="430">
        <f t="shared" si="139"/>
        <v>1.4677850668690068E-2</v>
      </c>
      <c r="T315" s="437">
        <f t="shared" si="140"/>
        <v>5.871140267476027E-3</v>
      </c>
      <c r="U315" s="467"/>
    </row>
    <row r="316" spans="1:21">
      <c r="A316" s="441" t="s">
        <v>2533</v>
      </c>
      <c r="B316" s="454">
        <v>408</v>
      </c>
      <c r="C316" s="320" t="s">
        <v>2036</v>
      </c>
      <c r="D316" s="528" t="s">
        <v>2037</v>
      </c>
      <c r="E316" s="528" t="s">
        <v>2038</v>
      </c>
      <c r="F316" s="428" t="s">
        <v>2043</v>
      </c>
      <c r="G316" s="410">
        <v>18557</v>
      </c>
      <c r="H316" s="529" t="s">
        <v>2075</v>
      </c>
      <c r="I316" s="397">
        <v>9206</v>
      </c>
      <c r="J316" s="397">
        <v>12466</v>
      </c>
      <c r="K316" s="397">
        <v>8153</v>
      </c>
      <c r="L316" s="431">
        <v>1.6485055292802229E-3</v>
      </c>
      <c r="M316" s="431">
        <v>2.3394565314488565E-3</v>
      </c>
      <c r="N316" s="431">
        <v>3.1307167356066901E-3</v>
      </c>
      <c r="O316" s="430">
        <f t="shared" si="137"/>
        <v>6.9095100216863352E-4</v>
      </c>
      <c r="P316" s="430">
        <f t="shared" si="138"/>
        <v>7.9126020415783366E-4</v>
      </c>
      <c r="Q316" s="430">
        <f t="shared" si="139"/>
        <v>1.4822112063264672E-3</v>
      </c>
      <c r="T316" s="437">
        <f t="shared" si="140"/>
        <v>5.928844825305869E-4</v>
      </c>
      <c r="U316" s="467"/>
    </row>
    <row r="317" spans="1:21">
      <c r="A317" s="441" t="s">
        <v>2236</v>
      </c>
      <c r="B317" s="320" t="s">
        <v>2620</v>
      </c>
      <c r="C317" s="320" t="s">
        <v>2036</v>
      </c>
      <c r="D317" s="528" t="s">
        <v>2037</v>
      </c>
      <c r="E317" s="528" t="s">
        <v>2038</v>
      </c>
      <c r="F317" s="428" t="s">
        <v>2043</v>
      </c>
      <c r="G317" s="410">
        <v>21550</v>
      </c>
      <c r="H317" s="529" t="s">
        <v>2476</v>
      </c>
      <c r="I317" s="397">
        <v>326341</v>
      </c>
      <c r="J317" s="397">
        <v>246528</v>
      </c>
      <c r="K317" s="397">
        <v>103830</v>
      </c>
      <c r="L317" s="431">
        <v>5.8437425910366853E-2</v>
      </c>
      <c r="M317" s="431">
        <v>4.6265164430051638E-2</v>
      </c>
      <c r="N317" s="431">
        <v>3.9870270901268566E-2</v>
      </c>
      <c r="O317" s="430">
        <f t="shared" si="137"/>
        <v>-1.2172261480315215E-2</v>
      </c>
      <c r="P317" s="430">
        <f t="shared" si="138"/>
        <v>-6.3948935287830716E-3</v>
      </c>
      <c r="Q317" s="430">
        <f t="shared" si="139"/>
        <v>-1.8567155009098286E-2</v>
      </c>
      <c r="T317" s="437">
        <f t="shared" si="140"/>
        <v>-7.4268620036393148E-3</v>
      </c>
      <c r="U317" s="467"/>
    </row>
    <row r="318" spans="1:21">
      <c r="A318" s="394" t="s">
        <v>2073</v>
      </c>
      <c r="B318" t="s">
        <v>2621</v>
      </c>
      <c r="C318" s="320" t="s">
        <v>2036</v>
      </c>
      <c r="D318" s="533" t="s">
        <v>2037</v>
      </c>
      <c r="E318" s="395" t="s">
        <v>2038</v>
      </c>
      <c r="F318" s="395" t="s">
        <v>2043</v>
      </c>
      <c r="G318" s="410">
        <v>22294.032999999999</v>
      </c>
      <c r="H318" s="529" t="s">
        <v>2458</v>
      </c>
      <c r="I318" s="402">
        <v>6893</v>
      </c>
      <c r="J318" s="402">
        <v>4939</v>
      </c>
      <c r="K318" s="402">
        <v>1403</v>
      </c>
      <c r="L318" s="431">
        <v>1.234319858063065E-3</v>
      </c>
      <c r="M318" s="431">
        <v>9.2688719788431759E-4</v>
      </c>
      <c r="N318" s="431">
        <v>5.3874593156582684E-4</v>
      </c>
      <c r="O318" s="430">
        <f t="shared" si="137"/>
        <v>-3.0743266017874745E-4</v>
      </c>
      <c r="P318" s="430">
        <f t="shared" si="138"/>
        <v>-3.8814126631849075E-4</v>
      </c>
      <c r="Q318" s="430">
        <f t="shared" si="139"/>
        <v>-6.955739264972382E-4</v>
      </c>
      <c r="T318" s="436">
        <f>Q318/1.5</f>
        <v>-4.6371595099815882E-4</v>
      </c>
    </row>
    <row r="319" spans="1:21">
      <c r="A319" s="394" t="s">
        <v>2055</v>
      </c>
      <c r="B319" t="s">
        <v>2622</v>
      </c>
      <c r="C319" s="320" t="s">
        <v>2036</v>
      </c>
      <c r="D319" s="533" t="s">
        <v>2037</v>
      </c>
      <c r="E319" s="395" t="s">
        <v>2038</v>
      </c>
      <c r="F319" s="395" t="s">
        <v>2060</v>
      </c>
      <c r="G319" s="410">
        <v>22914</v>
      </c>
      <c r="H319" s="529" t="s">
        <v>2458</v>
      </c>
      <c r="I319" s="402">
        <v>307</v>
      </c>
      <c r="J319" s="402">
        <v>4535</v>
      </c>
      <c r="K319" s="402">
        <v>517</v>
      </c>
      <c r="L319" s="431">
        <v>5.4974060122640501E-5</v>
      </c>
      <c r="M319" s="431">
        <v>8.5106973930054264E-4</v>
      </c>
      <c r="N319" s="431">
        <v>1.9852576380579648E-4</v>
      </c>
      <c r="O319" s="430">
        <f t="shared" si="137"/>
        <v>7.960956791779021E-4</v>
      </c>
      <c r="P319" s="430">
        <f t="shared" si="138"/>
        <v>-6.5254397549474618E-4</v>
      </c>
      <c r="Q319" s="430">
        <f t="shared" si="139"/>
        <v>1.4355170368315597E-4</v>
      </c>
      <c r="T319" s="436">
        <f>Q319/1.5</f>
        <v>9.5701135788770647E-5</v>
      </c>
    </row>
    <row r="320" spans="1:21">
      <c r="A320" s="394" t="s">
        <v>2466</v>
      </c>
      <c r="B320" t="s">
        <v>2623</v>
      </c>
      <c r="C320" s="320" t="s">
        <v>2036</v>
      </c>
      <c r="D320" s="533" t="s">
        <v>2037</v>
      </c>
      <c r="E320" s="395" t="s">
        <v>2038</v>
      </c>
      <c r="F320" s="395" t="s">
        <v>2060</v>
      </c>
      <c r="G320" s="410">
        <v>23720</v>
      </c>
      <c r="H320" s="529" t="s">
        <v>2458</v>
      </c>
      <c r="I320" s="402">
        <v>4045</v>
      </c>
      <c r="J320" s="402">
        <v>10</v>
      </c>
      <c r="K320" s="402">
        <v>0</v>
      </c>
      <c r="L320" s="431">
        <v>7.2433248598071937E-4</v>
      </c>
      <c r="M320" s="431">
        <v>1.8766697669251215E-6</v>
      </c>
      <c r="N320" s="431">
        <v>0</v>
      </c>
      <c r="O320" s="430">
        <f t="shared" si="137"/>
        <v>-7.2245581621379425E-4</v>
      </c>
      <c r="P320" s="430">
        <f t="shared" si="138"/>
        <v>-1.8766697669251215E-6</v>
      </c>
      <c r="Q320" s="430">
        <f t="shared" si="139"/>
        <v>-7.2433248598071937E-4</v>
      </c>
      <c r="T320" s="436">
        <f>Q320/1.5</f>
        <v>-4.8288832398714625E-4</v>
      </c>
    </row>
    <row r="321" spans="1:20">
      <c r="A321" s="394" t="s">
        <v>2624</v>
      </c>
      <c r="B321" t="s">
        <v>2625</v>
      </c>
      <c r="C321" s="320" t="s">
        <v>2036</v>
      </c>
      <c r="D321" s="533" t="s">
        <v>2037</v>
      </c>
      <c r="E321" s="395" t="s">
        <v>2038</v>
      </c>
      <c r="F321" s="395" t="s">
        <v>2060</v>
      </c>
      <c r="G321" s="410">
        <v>24790.0965</v>
      </c>
      <c r="H321" s="529" t="s">
        <v>2463</v>
      </c>
      <c r="I321" s="402">
        <v>1578</v>
      </c>
      <c r="J321" s="402">
        <v>3020</v>
      </c>
      <c r="K321" s="402">
        <v>3082</v>
      </c>
      <c r="L321" s="431">
        <v>2.8257025040236714E-4</v>
      </c>
      <c r="M321" s="431">
        <v>5.6675426961138675E-4</v>
      </c>
      <c r="N321" s="431">
        <v>1.1834746693413245E-3</v>
      </c>
      <c r="O321" s="430">
        <f t="shared" si="137"/>
        <v>2.8418401920901962E-4</v>
      </c>
      <c r="P321" s="430">
        <f t="shared" si="138"/>
        <v>6.167203997299377E-4</v>
      </c>
      <c r="Q321" s="430">
        <f t="shared" si="139"/>
        <v>9.0090441893895732E-4</v>
      </c>
      <c r="T321" s="436">
        <f>Q321/1.5</f>
        <v>6.0060294595930491E-4</v>
      </c>
    </row>
    <row r="322" spans="1:20">
      <c r="A322" t="s">
        <v>24</v>
      </c>
      <c r="I322" s="541">
        <f>SUM(I296:I321)</f>
        <v>1578826</v>
      </c>
      <c r="J322" s="541">
        <f t="shared" ref="J322:K322" si="141">SUM(J296:J321)</f>
        <v>1405845</v>
      </c>
      <c r="K322" s="541">
        <f t="shared" si="141"/>
        <v>727052</v>
      </c>
      <c r="L322" s="437">
        <f>SUM(L296:L321)</f>
        <v>0.28271816106575887</v>
      </c>
      <c r="M322" s="437">
        <f t="shared" ref="M322:N322" si="142">SUM(M296:M321)</f>
        <v>0.26383068084828476</v>
      </c>
      <c r="N322" s="437">
        <f t="shared" si="142"/>
        <v>0.27918482326215077</v>
      </c>
      <c r="O322" s="437">
        <f t="shared" ref="O322" si="143">SUM(O296:O317)</f>
        <v>-1.8937871439468616E-2</v>
      </c>
      <c r="P322" s="437">
        <f t="shared" ref="P322" si="144">SUM(P296:P317)</f>
        <v>1.5779983925716234E-2</v>
      </c>
      <c r="Q322" s="437">
        <f t="shared" ref="Q322" si="145">SUM(Q296:Q317)</f>
        <v>-3.157887513752386E-3</v>
      </c>
    </row>
    <row r="323" spans="1:20">
      <c r="A323" s="64" t="s">
        <v>2218</v>
      </c>
    </row>
    <row r="324" spans="1:20">
      <c r="A324" t="s">
        <v>2626</v>
      </c>
      <c r="B324">
        <v>2020</v>
      </c>
      <c r="C324">
        <v>2021</v>
      </c>
      <c r="D324" t="s">
        <v>14</v>
      </c>
      <c r="E324" t="s">
        <v>11</v>
      </c>
      <c r="F324" t="s">
        <v>12</v>
      </c>
      <c r="G324" t="s">
        <v>13</v>
      </c>
      <c r="H324" t="s">
        <v>2220</v>
      </c>
      <c r="I324" t="s">
        <v>2221</v>
      </c>
      <c r="J324" t="s">
        <v>2222</v>
      </c>
      <c r="K324" t="s">
        <v>2223</v>
      </c>
      <c r="L324" t="s">
        <v>2224</v>
      </c>
      <c r="M324" t="s">
        <v>2627</v>
      </c>
      <c r="N324" t="s">
        <v>2225</v>
      </c>
      <c r="O324" t="s">
        <v>2226</v>
      </c>
    </row>
    <row r="325" spans="1:20">
      <c r="A325" t="s">
        <v>2227</v>
      </c>
      <c r="B325" s="405">
        <v>5584452</v>
      </c>
      <c r="C325" s="405">
        <v>5328588</v>
      </c>
      <c r="D325" s="556">
        <f>AVERAGE(B325:C325)</f>
        <v>5456520</v>
      </c>
      <c r="E325" s="556">
        <f t="shared" ref="E325:L325" si="146">AVERAGE(C325:D325)</f>
        <v>5392554</v>
      </c>
      <c r="F325" s="556">
        <f t="shared" si="146"/>
        <v>5424537</v>
      </c>
      <c r="G325" s="556">
        <f t="shared" si="146"/>
        <v>5408545.5</v>
      </c>
      <c r="H325" s="556">
        <f t="shared" si="146"/>
        <v>5416541.25</v>
      </c>
      <c r="I325" s="556">
        <f t="shared" si="146"/>
        <v>5412543.375</v>
      </c>
      <c r="J325" s="556">
        <f t="shared" si="146"/>
        <v>5414542.3125</v>
      </c>
      <c r="K325" s="556">
        <f t="shared" si="146"/>
        <v>5413542.84375</v>
      </c>
      <c r="L325" s="556">
        <f t="shared" si="146"/>
        <v>5414042.578125</v>
      </c>
      <c r="O325" t="s">
        <v>162</v>
      </c>
    </row>
    <row r="326" spans="1:20">
      <c r="A326" s="64" t="s">
        <v>2228</v>
      </c>
    </row>
    <row r="327" spans="1:20" s="64" customFormat="1">
      <c r="A327" s="392" t="s">
        <v>175</v>
      </c>
      <c r="B327" s="430">
        <v>0</v>
      </c>
      <c r="C327" s="430">
        <v>1.0367849794354527E-2</v>
      </c>
      <c r="D327" s="436">
        <f t="shared" ref="D327:L327" si="147">C327+$O327</f>
        <v>2.2203416449292534E-2</v>
      </c>
      <c r="E327" s="436">
        <f t="shared" si="147"/>
        <v>3.4038983104230543E-2</v>
      </c>
      <c r="F327" s="436">
        <f t="shared" si="147"/>
        <v>4.5874549759168548E-2</v>
      </c>
      <c r="G327" s="436">
        <f t="shared" si="147"/>
        <v>5.7710116414106553E-2</v>
      </c>
      <c r="H327" s="436">
        <f t="shared" si="147"/>
        <v>6.9545683069044559E-2</v>
      </c>
      <c r="I327" s="436">
        <f t="shared" si="147"/>
        <v>8.1381249723982571E-2</v>
      </c>
      <c r="J327" s="436">
        <f t="shared" si="147"/>
        <v>9.3216816378920583E-2</v>
      </c>
      <c r="K327" s="436">
        <f t="shared" si="147"/>
        <v>0.1050523830338586</v>
      </c>
      <c r="L327" s="436">
        <f t="shared" si="147"/>
        <v>0.11688794968879661</v>
      </c>
      <c r="O327" s="436">
        <f>-SUM(O328:O352)+S296</f>
        <v>1.1835566654938007E-2</v>
      </c>
    </row>
    <row r="328" spans="1:20" s="64" customFormat="1">
      <c r="A328" s="392" t="s">
        <v>176</v>
      </c>
      <c r="B328" s="430">
        <f>L297</f>
        <v>7.4530141901121187E-3</v>
      </c>
      <c r="C328" s="430">
        <f>M297</f>
        <v>3.6551897050400594E-3</v>
      </c>
      <c r="D328" s="437">
        <f>AVERAGE(B328:C328)</f>
        <v>5.5541019475760893E-3</v>
      </c>
      <c r="E328" s="437">
        <f t="shared" ref="E328:L328" si="148">AVERAGE(C328:D328)</f>
        <v>4.6046458263080741E-3</v>
      </c>
      <c r="F328" s="437">
        <f t="shared" si="148"/>
        <v>5.0793738869420822E-3</v>
      </c>
      <c r="G328" s="437">
        <f t="shared" si="148"/>
        <v>4.8420098566250777E-3</v>
      </c>
      <c r="H328" s="437">
        <f t="shared" si="148"/>
        <v>4.9606918717835799E-3</v>
      </c>
      <c r="I328" s="437">
        <f t="shared" si="148"/>
        <v>4.9013508642043284E-3</v>
      </c>
      <c r="J328" s="437">
        <f t="shared" si="148"/>
        <v>4.9310213679939537E-3</v>
      </c>
      <c r="K328" s="437">
        <f t="shared" si="148"/>
        <v>4.9161861160991411E-3</v>
      </c>
      <c r="L328" s="437">
        <f t="shared" si="148"/>
        <v>4.9236037420465478E-3</v>
      </c>
      <c r="N328" s="439"/>
      <c r="O328" s="437">
        <f>(L328-C328)/9</f>
        <v>1.4093489300072093E-4</v>
      </c>
      <c r="P328" t="s">
        <v>285</v>
      </c>
    </row>
    <row r="329" spans="1:20">
      <c r="A329" s="320" t="s">
        <v>2599</v>
      </c>
      <c r="B329" s="431">
        <v>8.1701839321029167E-3</v>
      </c>
      <c r="C329" s="431">
        <v>1.2990120459678999E-2</v>
      </c>
      <c r="D329" s="437">
        <f t="shared" ref="D329:L329" si="149">C329+$O329</f>
        <v>1.5958290241792683E-2</v>
      </c>
      <c r="E329" s="437">
        <f t="shared" si="149"/>
        <v>1.8926460023906366E-2</v>
      </c>
      <c r="F329" s="437">
        <f t="shared" si="149"/>
        <v>2.1894629806020048E-2</v>
      </c>
      <c r="G329" s="437">
        <f t="shared" si="149"/>
        <v>2.4862799588133731E-2</v>
      </c>
      <c r="H329" s="437">
        <f t="shared" si="149"/>
        <v>2.7830969370247413E-2</v>
      </c>
      <c r="I329" s="437">
        <f t="shared" si="149"/>
        <v>3.0799139152361096E-2</v>
      </c>
      <c r="J329" s="437">
        <f t="shared" si="149"/>
        <v>3.3767308934474778E-2</v>
      </c>
      <c r="K329" s="437">
        <f t="shared" si="149"/>
        <v>3.6735478716588464E-2</v>
      </c>
      <c r="L329" s="437">
        <f t="shared" si="149"/>
        <v>3.970364849870215E-2</v>
      </c>
      <c r="N329" s="439">
        <v>1</v>
      </c>
      <c r="O329" s="440">
        <f t="shared" ref="O329:O352" si="150">N329*T298</f>
        <v>2.9681697821136834E-3</v>
      </c>
      <c r="P329" t="s">
        <v>2060</v>
      </c>
    </row>
    <row r="330" spans="1:20">
      <c r="A330" s="320" t="s">
        <v>2601</v>
      </c>
      <c r="B330" s="431">
        <v>3.3820686434407532E-3</v>
      </c>
      <c r="C330" s="431">
        <v>3.7146801366515856E-3</v>
      </c>
      <c r="D330" s="437">
        <f t="shared" ref="D330:L330" si="151">C330+$O330</f>
        <v>3.3213655182600128E-3</v>
      </c>
      <c r="E330" s="437">
        <f t="shared" si="151"/>
        <v>2.9280508998684399E-3</v>
      </c>
      <c r="F330" s="437">
        <f t="shared" si="151"/>
        <v>2.5347362814768671E-3</v>
      </c>
      <c r="G330" s="437">
        <f t="shared" si="151"/>
        <v>2.1414216630852943E-3</v>
      </c>
      <c r="H330" s="437">
        <f t="shared" si="151"/>
        <v>1.7481070446937214E-3</v>
      </c>
      <c r="I330" s="437">
        <f t="shared" si="151"/>
        <v>1.3547924263021486E-3</v>
      </c>
      <c r="J330" s="437">
        <f t="shared" si="151"/>
        <v>9.6147780791057576E-4</v>
      </c>
      <c r="K330" s="437">
        <f t="shared" si="151"/>
        <v>5.6816318951900292E-4</v>
      </c>
      <c r="L330" s="437">
        <f t="shared" si="151"/>
        <v>1.7484857112743014E-4</v>
      </c>
      <c r="N330" s="439">
        <v>0.3</v>
      </c>
      <c r="O330" s="440">
        <f t="shared" si="150"/>
        <v>-3.9331461839157278E-4</v>
      </c>
    </row>
    <row r="331" spans="1:20">
      <c r="A331" s="320" t="s">
        <v>2602</v>
      </c>
      <c r="B331" s="431">
        <v>9.5640539125414628E-4</v>
      </c>
      <c r="C331" s="431">
        <v>3.490605766480726E-4</v>
      </c>
      <c r="D331" s="437">
        <f t="shared" ref="D331:L331" si="152">C331+$O331</f>
        <v>3.0699563524257578E-4</v>
      </c>
      <c r="E331" s="437">
        <f t="shared" si="152"/>
        <v>2.6493069383707896E-4</v>
      </c>
      <c r="F331" s="437">
        <f t="shared" si="152"/>
        <v>2.2286575243158214E-4</v>
      </c>
      <c r="G331" s="437">
        <f t="shared" si="152"/>
        <v>1.8080081102608532E-4</v>
      </c>
      <c r="H331" s="437">
        <f t="shared" si="152"/>
        <v>1.387358696205885E-4</v>
      </c>
      <c r="I331" s="437">
        <f t="shared" si="152"/>
        <v>9.667092821509167E-5</v>
      </c>
      <c r="J331" s="437">
        <f t="shared" si="152"/>
        <v>5.4605986809594837E-5</v>
      </c>
      <c r="K331" s="437">
        <f t="shared" si="152"/>
        <v>1.2541045404098003E-5</v>
      </c>
      <c r="L331" s="437">
        <f t="shared" si="152"/>
        <v>-2.952389600139883E-5</v>
      </c>
      <c r="N331" s="439">
        <v>0.11</v>
      </c>
      <c r="O331" s="440">
        <f t="shared" si="150"/>
        <v>-4.2064941405496833E-5</v>
      </c>
    </row>
    <row r="332" spans="1:20">
      <c r="A332" s="320" t="s">
        <v>2603</v>
      </c>
      <c r="B332" s="431">
        <v>1.7357119373575061E-3</v>
      </c>
      <c r="C332" s="431">
        <v>4.8755880544714657E-3</v>
      </c>
      <c r="D332" s="437">
        <f t="shared" ref="D332:L332" si="153">C332+$O332</f>
        <v>5.4972667541992384E-3</v>
      </c>
      <c r="E332" s="437">
        <f t="shared" si="153"/>
        <v>6.1189454539270112E-3</v>
      </c>
      <c r="F332" s="437">
        <f t="shared" si="153"/>
        <v>6.740624153654784E-3</v>
      </c>
      <c r="G332" s="437">
        <f t="shared" si="153"/>
        <v>7.3623028533825567E-3</v>
      </c>
      <c r="H332" s="437">
        <f t="shared" si="153"/>
        <v>7.9839815531103295E-3</v>
      </c>
      <c r="I332" s="437">
        <f t="shared" si="153"/>
        <v>8.6056602528381022E-3</v>
      </c>
      <c r="J332" s="437">
        <f t="shared" si="153"/>
        <v>9.227338952565875E-3</v>
      </c>
      <c r="K332" s="437">
        <f t="shared" si="153"/>
        <v>9.8490176522936478E-3</v>
      </c>
      <c r="L332" s="437">
        <f t="shared" si="153"/>
        <v>1.0470696352021421E-2</v>
      </c>
      <c r="N332" s="439">
        <v>0.5</v>
      </c>
      <c r="O332" s="440">
        <f t="shared" si="150"/>
        <v>6.2167869972777254E-4</v>
      </c>
    </row>
    <row r="333" spans="1:20">
      <c r="A333" s="320" t="s">
        <v>2604</v>
      </c>
      <c r="B333" s="431">
        <v>2.4204702627939143E-3</v>
      </c>
      <c r="C333" s="431">
        <v>4.5034444396902145E-3</v>
      </c>
      <c r="D333" s="437">
        <f t="shared" ref="D333:L333" si="154">C333+$O333</f>
        <v>4.5238147994501E-3</v>
      </c>
      <c r="E333" s="437">
        <f t="shared" si="154"/>
        <v>4.5441851592099855E-3</v>
      </c>
      <c r="F333" s="437">
        <f t="shared" si="154"/>
        <v>4.5645555189698711E-3</v>
      </c>
      <c r="G333" s="437">
        <f t="shared" si="154"/>
        <v>4.5849258787297566E-3</v>
      </c>
      <c r="H333" s="437">
        <f t="shared" si="154"/>
        <v>4.6052962384896421E-3</v>
      </c>
      <c r="I333" s="437">
        <f t="shared" si="154"/>
        <v>4.6256665982495277E-3</v>
      </c>
      <c r="J333" s="437">
        <f t="shared" si="154"/>
        <v>4.6460369580094132E-3</v>
      </c>
      <c r="K333" s="437">
        <f t="shared" si="154"/>
        <v>4.6664073177692987E-3</v>
      </c>
      <c r="L333" s="437">
        <f t="shared" si="154"/>
        <v>4.6867776775291843E-3</v>
      </c>
      <c r="N333" s="439">
        <v>1</v>
      </c>
      <c r="O333" s="440">
        <f t="shared" si="150"/>
        <v>2.037035975988588E-5</v>
      </c>
    </row>
    <row r="334" spans="1:20">
      <c r="A334" s="320" t="s">
        <v>2605</v>
      </c>
      <c r="B334" s="431">
        <v>1.183285307134881E-3</v>
      </c>
      <c r="C334" s="431">
        <v>2.4910914486164066E-3</v>
      </c>
      <c r="D334" s="437">
        <f t="shared" ref="D334:L334" si="155">C334+$O334</f>
        <v>3.3881432170931704E-3</v>
      </c>
      <c r="E334" s="437">
        <f t="shared" si="155"/>
        <v>4.2851949855699338E-3</v>
      </c>
      <c r="F334" s="437">
        <f t="shared" si="155"/>
        <v>5.1822467540466972E-3</v>
      </c>
      <c r="G334" s="437">
        <f t="shared" si="155"/>
        <v>6.0792985225234606E-3</v>
      </c>
      <c r="H334" s="437">
        <f t="shared" si="155"/>
        <v>6.976350291000224E-3</v>
      </c>
      <c r="I334" s="437">
        <f t="shared" si="155"/>
        <v>7.8734020594769874E-3</v>
      </c>
      <c r="J334" s="437">
        <f t="shared" si="155"/>
        <v>8.7704538279537517E-3</v>
      </c>
      <c r="K334" s="437">
        <f t="shared" si="155"/>
        <v>9.6675055964305159E-3</v>
      </c>
      <c r="L334" s="437">
        <f t="shared" si="155"/>
        <v>1.056455736490728E-2</v>
      </c>
      <c r="N334" s="439">
        <v>0.5</v>
      </c>
      <c r="O334" s="440">
        <f t="shared" si="150"/>
        <v>8.9705176847676372E-4</v>
      </c>
      <c r="P334" t="s">
        <v>2060</v>
      </c>
    </row>
    <row r="335" spans="1:20">
      <c r="A335" s="320" t="s">
        <v>2607</v>
      </c>
      <c r="B335" s="431">
        <v>2.4353329565729993E-3</v>
      </c>
      <c r="C335" s="431">
        <v>2.5710375806874165E-3</v>
      </c>
      <c r="D335" s="437">
        <f t="shared" ref="D335:L335" si="156">C335+$O335</f>
        <v>2.673167475030918E-3</v>
      </c>
      <c r="E335" s="437">
        <f t="shared" si="156"/>
        <v>2.7752973693744194E-3</v>
      </c>
      <c r="F335" s="437">
        <f t="shared" si="156"/>
        <v>2.8774272637179209E-3</v>
      </c>
      <c r="G335" s="437">
        <f t="shared" si="156"/>
        <v>2.9795571580614223E-3</v>
      </c>
      <c r="H335" s="437">
        <f t="shared" si="156"/>
        <v>3.0816870524049238E-3</v>
      </c>
      <c r="I335" s="437">
        <f t="shared" si="156"/>
        <v>3.1838169467484252E-3</v>
      </c>
      <c r="J335" s="437">
        <f t="shared" si="156"/>
        <v>3.2859468410919267E-3</v>
      </c>
      <c r="K335" s="437">
        <f t="shared" si="156"/>
        <v>3.3880767354354281E-3</v>
      </c>
      <c r="L335" s="437">
        <f t="shared" si="156"/>
        <v>3.4902066297789296E-3</v>
      </c>
      <c r="N335" s="439">
        <v>1</v>
      </c>
      <c r="O335" s="440">
        <f t="shared" si="150"/>
        <v>1.0212989434350127E-4</v>
      </c>
    </row>
    <row r="336" spans="1:20">
      <c r="A336" s="320" t="s">
        <v>2609</v>
      </c>
      <c r="B336" s="431">
        <v>8.4395031061239311E-4</v>
      </c>
      <c r="C336" s="431">
        <v>5.7071404281959877E-3</v>
      </c>
      <c r="D336" s="437">
        <f t="shared" ref="D336:L336" si="157">C336+$O336</f>
        <v>7.2117267171622904E-3</v>
      </c>
      <c r="E336" s="437">
        <f t="shared" si="157"/>
        <v>8.716313006128594E-3</v>
      </c>
      <c r="F336" s="437">
        <f t="shared" si="157"/>
        <v>1.0220899295094897E-2</v>
      </c>
      <c r="G336" s="437">
        <f t="shared" si="157"/>
        <v>1.1725485584061199E-2</v>
      </c>
      <c r="H336" s="437">
        <f t="shared" si="157"/>
        <v>1.3230071873027502E-2</v>
      </c>
      <c r="I336" s="437">
        <f t="shared" si="157"/>
        <v>1.4734658161993805E-2</v>
      </c>
      <c r="J336" s="437">
        <f t="shared" si="157"/>
        <v>1.6239244450960109E-2</v>
      </c>
      <c r="K336" s="437">
        <f t="shared" si="157"/>
        <v>1.7743830739926414E-2</v>
      </c>
      <c r="L336" s="437">
        <f t="shared" si="157"/>
        <v>1.9248417028892718E-2</v>
      </c>
      <c r="N336" s="439">
        <v>0.5</v>
      </c>
      <c r="O336" s="440">
        <f t="shared" si="150"/>
        <v>1.5045862889663027E-3</v>
      </c>
      <c r="P336" t="s">
        <v>2060</v>
      </c>
    </row>
    <row r="337" spans="1:16">
      <c r="A337" s="320" t="s">
        <v>2611</v>
      </c>
      <c r="B337" s="431">
        <v>2.1488231969761759E-4</v>
      </c>
      <c r="C337" s="431">
        <v>2.1018701389561361E-3</v>
      </c>
      <c r="D337" s="437">
        <f t="shared" ref="D337:L337" si="158">C337+$O337</f>
        <v>2.9073705177734559E-3</v>
      </c>
      <c r="E337" s="437">
        <f t="shared" si="158"/>
        <v>3.7128708965907756E-3</v>
      </c>
      <c r="F337" s="437">
        <f t="shared" si="158"/>
        <v>4.518371275408095E-3</v>
      </c>
      <c r="G337" s="437">
        <f t="shared" si="158"/>
        <v>5.3238716542254143E-3</v>
      </c>
      <c r="H337" s="437">
        <f t="shared" si="158"/>
        <v>6.1293720330427336E-3</v>
      </c>
      <c r="I337" s="437">
        <f t="shared" si="158"/>
        <v>6.9348724118600529E-3</v>
      </c>
      <c r="J337" s="437">
        <f t="shared" si="158"/>
        <v>7.7403727906773722E-3</v>
      </c>
      <c r="K337" s="437">
        <f t="shared" si="158"/>
        <v>8.5458731694946916E-3</v>
      </c>
      <c r="L337" s="437">
        <f t="shared" si="158"/>
        <v>9.3513735483120117E-3</v>
      </c>
      <c r="N337" s="439">
        <v>0.5</v>
      </c>
      <c r="O337" s="440">
        <f t="shared" si="150"/>
        <v>8.0550037881731964E-4</v>
      </c>
      <c r="P337" t="s">
        <v>2060</v>
      </c>
    </row>
    <row r="338" spans="1:16">
      <c r="A338" s="320" t="s">
        <v>2612</v>
      </c>
      <c r="B338" s="431">
        <v>1.4862693779085217E-3</v>
      </c>
      <c r="C338" s="431">
        <v>3.5656725571577312E-3</v>
      </c>
      <c r="D338" s="437">
        <f t="shared" ref="D338:L338" si="159">C338+$O338</f>
        <v>3.1688230108358928E-3</v>
      </c>
      <c r="E338" s="437">
        <f t="shared" si="159"/>
        <v>2.7719734645140544E-3</v>
      </c>
      <c r="F338" s="437">
        <f t="shared" si="159"/>
        <v>2.3751239181922161E-3</v>
      </c>
      <c r="G338" s="437">
        <f t="shared" si="159"/>
        <v>1.9782743718703777E-3</v>
      </c>
      <c r="H338" s="437">
        <f t="shared" si="159"/>
        <v>1.5814248255485394E-3</v>
      </c>
      <c r="I338" s="437">
        <f t="shared" si="159"/>
        <v>1.184575279226701E-3</v>
      </c>
      <c r="J338" s="437">
        <f t="shared" si="159"/>
        <v>7.8772573290486264E-4</v>
      </c>
      <c r="K338" s="437">
        <f t="shared" si="159"/>
        <v>3.9087618658302428E-4</v>
      </c>
      <c r="L338" s="437">
        <f t="shared" si="159"/>
        <v>-5.9733597388140873E-6</v>
      </c>
      <c r="N338" s="439">
        <v>0.68</v>
      </c>
      <c r="O338" s="440">
        <f t="shared" si="150"/>
        <v>-3.9684954632183836E-4</v>
      </c>
    </row>
    <row r="339" spans="1:16">
      <c r="A339" s="320" t="s">
        <v>2613</v>
      </c>
      <c r="B339" s="431">
        <v>1.3318227106258591E-2</v>
      </c>
      <c r="C339" s="431">
        <v>1.1365487442451921E-2</v>
      </c>
      <c r="D339" s="437">
        <f t="shared" ref="D339:L339" si="160">C339+$O339</f>
        <v>1.1536844904096892E-2</v>
      </c>
      <c r="E339" s="437">
        <f t="shared" si="160"/>
        <v>1.1708202365741863E-2</v>
      </c>
      <c r="F339" s="437">
        <f t="shared" si="160"/>
        <v>1.1879559827386834E-2</v>
      </c>
      <c r="G339" s="437">
        <f t="shared" si="160"/>
        <v>1.2050917289031805E-2</v>
      </c>
      <c r="H339" s="437">
        <f t="shared" si="160"/>
        <v>1.2222274750676776E-2</v>
      </c>
      <c r="I339" s="437">
        <f t="shared" si="160"/>
        <v>1.2393632212321747E-2</v>
      </c>
      <c r="J339" s="437">
        <f t="shared" si="160"/>
        <v>1.2564989673966718E-2</v>
      </c>
      <c r="K339" s="437">
        <f t="shared" si="160"/>
        <v>1.2736347135611689E-2</v>
      </c>
      <c r="L339" s="437">
        <f t="shared" si="160"/>
        <v>1.290770459725666E-2</v>
      </c>
      <c r="N339" s="439">
        <v>0.16666666666666666</v>
      </c>
      <c r="O339" s="440">
        <f t="shared" si="150"/>
        <v>1.7135746164497108E-4</v>
      </c>
      <c r="P339" t="s">
        <v>2421</v>
      </c>
    </row>
    <row r="340" spans="1:16">
      <c r="A340" s="320" t="s">
        <v>2614</v>
      </c>
      <c r="B340" s="431">
        <v>5.8326224309923338E-3</v>
      </c>
      <c r="C340" s="431">
        <v>4.2895040862607507E-3</v>
      </c>
      <c r="D340" s="437">
        <f t="shared" ref="D340:L340" si="161">C340+$O340</f>
        <v>3.8214078965961907E-3</v>
      </c>
      <c r="E340" s="437">
        <f t="shared" si="161"/>
        <v>3.3533117069316307E-3</v>
      </c>
      <c r="F340" s="437">
        <f t="shared" si="161"/>
        <v>2.8852155172670708E-3</v>
      </c>
      <c r="G340" s="437">
        <f t="shared" si="161"/>
        <v>2.4171193276025108E-3</v>
      </c>
      <c r="H340" s="437">
        <f t="shared" si="161"/>
        <v>1.949023137937951E-3</v>
      </c>
      <c r="I340" s="437">
        <f t="shared" si="161"/>
        <v>1.4809269482733913E-3</v>
      </c>
      <c r="J340" s="437">
        <f t="shared" si="161"/>
        <v>1.0128307586088315E-3</v>
      </c>
      <c r="K340" s="437">
        <f t="shared" si="161"/>
        <v>5.4473456894427175E-4</v>
      </c>
      <c r="L340" s="437">
        <f t="shared" si="161"/>
        <v>7.6638379279711933E-5</v>
      </c>
      <c r="N340" s="439">
        <v>0.43</v>
      </c>
      <c r="O340" s="440">
        <f t="shared" si="150"/>
        <v>-4.6809618966455981E-4</v>
      </c>
    </row>
    <row r="341" spans="1:16">
      <c r="A341" s="394" t="s">
        <v>2074</v>
      </c>
      <c r="B341" s="431">
        <v>6.1495380388263701E-2</v>
      </c>
      <c r="C341" s="431">
        <v>5.5046665270424358E-2</v>
      </c>
      <c r="D341" s="437">
        <f t="shared" ref="D341:L341" si="162">C341+$O341</f>
        <v>5.0995278690797112E-2</v>
      </c>
      <c r="E341" s="437">
        <f t="shared" si="162"/>
        <v>4.6943892111169866E-2</v>
      </c>
      <c r="F341" s="437">
        <f t="shared" si="162"/>
        <v>4.289250553154262E-2</v>
      </c>
      <c r="G341" s="437">
        <f t="shared" si="162"/>
        <v>3.8841118951915374E-2</v>
      </c>
      <c r="H341" s="437">
        <f t="shared" si="162"/>
        <v>3.4789732372288128E-2</v>
      </c>
      <c r="I341" s="437">
        <f t="shared" si="162"/>
        <v>3.0738345792660882E-2</v>
      </c>
      <c r="J341" s="437">
        <f t="shared" si="162"/>
        <v>2.6686959213033636E-2</v>
      </c>
      <c r="K341" s="437">
        <f t="shared" si="162"/>
        <v>2.2635572633406389E-2</v>
      </c>
      <c r="L341" s="437">
        <f t="shared" si="162"/>
        <v>1.8584186053779143E-2</v>
      </c>
      <c r="M341" t="s">
        <v>2628</v>
      </c>
      <c r="N341" s="439">
        <v>0.5</v>
      </c>
      <c r="O341" s="440">
        <f t="shared" si="150"/>
        <v>-4.0513865796272461E-3</v>
      </c>
    </row>
    <row r="342" spans="1:16">
      <c r="A342" s="394" t="s">
        <v>2615</v>
      </c>
      <c r="B342" s="431">
        <v>4.3894369581831842E-2</v>
      </c>
      <c r="C342" s="431">
        <v>2.984392863550344E-2</v>
      </c>
      <c r="D342" s="437">
        <f t="shared" ref="D342:L342" si="163">C342+$O342</f>
        <v>2.6538540905948878E-2</v>
      </c>
      <c r="E342" s="437">
        <f t="shared" si="163"/>
        <v>2.3233153176394315E-2</v>
      </c>
      <c r="F342" s="437">
        <f t="shared" si="163"/>
        <v>1.9927765446839753E-2</v>
      </c>
      <c r="G342" s="437">
        <f t="shared" si="163"/>
        <v>1.662237771728519E-2</v>
      </c>
      <c r="H342" s="437">
        <f t="shared" si="163"/>
        <v>1.3316989987730629E-2</v>
      </c>
      <c r="I342" s="437">
        <f t="shared" si="163"/>
        <v>1.0011602258176069E-2</v>
      </c>
      <c r="J342" s="437">
        <f t="shared" si="163"/>
        <v>6.706214528621508E-3</v>
      </c>
      <c r="K342" s="437">
        <f t="shared" si="163"/>
        <v>3.4008267990669472E-3</v>
      </c>
      <c r="L342" s="437">
        <f t="shared" si="163"/>
        <v>9.5439069512386412E-5</v>
      </c>
      <c r="N342" s="439">
        <v>0.45</v>
      </c>
      <c r="O342" s="440">
        <f t="shared" si="150"/>
        <v>-3.3053877295545608E-3</v>
      </c>
    </row>
    <row r="343" spans="1:16">
      <c r="A343" s="394" t="s">
        <v>2616</v>
      </c>
      <c r="B343" s="431">
        <v>5.3691749879844972E-2</v>
      </c>
      <c r="C343" s="431">
        <v>4.4215653377592715E-2</v>
      </c>
      <c r="D343" s="437">
        <f t="shared" ref="D343:L343" si="164">C343+$O343</f>
        <v>3.935790524822378E-2</v>
      </c>
      <c r="E343" s="437">
        <f t="shared" si="164"/>
        <v>3.4500157118854846E-2</v>
      </c>
      <c r="F343" s="437">
        <f t="shared" si="164"/>
        <v>2.9642408989485915E-2</v>
      </c>
      <c r="G343" s="437">
        <f t="shared" si="164"/>
        <v>2.4784660860116985E-2</v>
      </c>
      <c r="H343" s="437">
        <f t="shared" si="164"/>
        <v>1.9926912730748054E-2</v>
      </c>
      <c r="I343" s="437">
        <f t="shared" si="164"/>
        <v>1.5069164601379123E-2</v>
      </c>
      <c r="J343" s="437">
        <f t="shared" si="164"/>
        <v>1.0211416472010192E-2</v>
      </c>
      <c r="K343" s="437">
        <f t="shared" si="164"/>
        <v>5.3536683426412606E-3</v>
      </c>
      <c r="L343" s="437">
        <f t="shared" si="164"/>
        <v>4.9592021327232901E-4</v>
      </c>
      <c r="N343" s="439">
        <v>0.81</v>
      </c>
      <c r="O343" s="440">
        <f t="shared" si="150"/>
        <v>-4.8577481293689316E-3</v>
      </c>
    </row>
    <row r="344" spans="1:16">
      <c r="A344" t="s">
        <v>2617</v>
      </c>
      <c r="B344" s="431">
        <v>1.1822108955363928E-2</v>
      </c>
      <c r="C344" s="431">
        <v>1.045549027246993E-2</v>
      </c>
      <c r="D344" s="437">
        <f t="shared" ref="D344:L344" si="165">C344+$O344</f>
        <v>1.1614068374406509E-2</v>
      </c>
      <c r="E344" s="437">
        <f t="shared" si="165"/>
        <v>1.2772646476343089E-2</v>
      </c>
      <c r="F344" s="437">
        <f t="shared" si="165"/>
        <v>1.3931224578279668E-2</v>
      </c>
      <c r="G344" s="437">
        <f t="shared" si="165"/>
        <v>1.5089802680216247E-2</v>
      </c>
      <c r="H344" s="437">
        <f t="shared" si="165"/>
        <v>1.6248380782152825E-2</v>
      </c>
      <c r="I344" s="437">
        <f t="shared" si="165"/>
        <v>1.7406958884089403E-2</v>
      </c>
      <c r="J344" s="437">
        <f t="shared" si="165"/>
        <v>1.856553698602598E-2</v>
      </c>
      <c r="K344" s="437">
        <f t="shared" si="165"/>
        <v>1.9724115087962558E-2</v>
      </c>
      <c r="L344" s="437">
        <f t="shared" si="165"/>
        <v>2.0882693189899135E-2</v>
      </c>
      <c r="N344" s="439">
        <v>1</v>
      </c>
      <c r="O344" s="440">
        <f t="shared" si="150"/>
        <v>1.1585781019365789E-3</v>
      </c>
    </row>
    <row r="345" spans="1:16">
      <c r="A345" t="s">
        <v>2618</v>
      </c>
      <c r="B345" s="431">
        <v>0</v>
      </c>
      <c r="C345" s="431">
        <v>0</v>
      </c>
      <c r="D345" s="437">
        <f t="shared" ref="D345:L345" si="166">C345+$O345</f>
        <v>7.8486155931939568E-4</v>
      </c>
      <c r="E345" s="437">
        <f t="shared" si="166"/>
        <v>1.5697231186387914E-3</v>
      </c>
      <c r="F345" s="437">
        <f t="shared" si="166"/>
        <v>2.3545846779581868E-3</v>
      </c>
      <c r="G345" s="437">
        <f t="shared" si="166"/>
        <v>3.1394462372775827E-3</v>
      </c>
      <c r="H345" s="437">
        <f t="shared" si="166"/>
        <v>3.9243077965969786E-3</v>
      </c>
      <c r="I345" s="437">
        <f t="shared" si="166"/>
        <v>4.7091693559163745E-3</v>
      </c>
      <c r="J345" s="437">
        <f t="shared" si="166"/>
        <v>5.4940309152357704E-3</v>
      </c>
      <c r="K345" s="437">
        <f t="shared" si="166"/>
        <v>6.2788924745551663E-3</v>
      </c>
      <c r="L345" s="437">
        <f t="shared" si="166"/>
        <v>7.0637540338745622E-3</v>
      </c>
      <c r="N345" s="439">
        <v>0.16666666666666666</v>
      </c>
      <c r="O345" s="440">
        <f t="shared" si="150"/>
        <v>7.8486155931939568E-4</v>
      </c>
      <c r="P345" t="s">
        <v>2421</v>
      </c>
    </row>
    <row r="346" spans="1:16">
      <c r="A346" t="s">
        <v>2619</v>
      </c>
      <c r="B346" s="431">
        <v>0</v>
      </c>
      <c r="C346" s="431">
        <v>7.6999760536937737E-4</v>
      </c>
      <c r="D346" s="437">
        <f t="shared" ref="D346:L346" si="167">C346+$O346</f>
        <v>1.7485209832820484E-3</v>
      </c>
      <c r="E346" s="437">
        <f t="shared" si="167"/>
        <v>2.7270443611947196E-3</v>
      </c>
      <c r="F346" s="437">
        <f t="shared" si="167"/>
        <v>3.7055677391073906E-3</v>
      </c>
      <c r="G346" s="437">
        <f t="shared" si="167"/>
        <v>4.6840911170200616E-3</v>
      </c>
      <c r="H346" s="437">
        <f t="shared" si="167"/>
        <v>5.6626144949327327E-3</v>
      </c>
      <c r="I346" s="437">
        <f t="shared" si="167"/>
        <v>6.6411378728454037E-3</v>
      </c>
      <c r="J346" s="437">
        <f t="shared" si="167"/>
        <v>7.6196612507580747E-3</v>
      </c>
      <c r="K346" s="437">
        <f t="shared" si="167"/>
        <v>8.5981846286707457E-3</v>
      </c>
      <c r="L346" s="437">
        <f t="shared" si="167"/>
        <v>9.5767080065834176E-3</v>
      </c>
      <c r="N346" s="439">
        <v>0.16666666666666666</v>
      </c>
      <c r="O346" s="440">
        <f t="shared" si="150"/>
        <v>9.7852337791267101E-4</v>
      </c>
      <c r="P346" t="s">
        <v>2421</v>
      </c>
    </row>
    <row r="347" spans="1:16">
      <c r="A347" s="454">
        <v>408</v>
      </c>
      <c r="B347" s="431">
        <v>1.6485055292802229E-3</v>
      </c>
      <c r="C347" s="431">
        <v>2.3394565314488565E-3</v>
      </c>
      <c r="D347" s="437">
        <f t="shared" ref="D347:L347" si="168">C347+$O347</f>
        <v>2.4382706118706208E-3</v>
      </c>
      <c r="E347" s="437">
        <f t="shared" si="168"/>
        <v>2.5370846922923851E-3</v>
      </c>
      <c r="F347" s="437">
        <f t="shared" si="168"/>
        <v>2.6358987727141494E-3</v>
      </c>
      <c r="G347" s="437">
        <f t="shared" si="168"/>
        <v>2.7347128531359137E-3</v>
      </c>
      <c r="H347" s="437">
        <f t="shared" si="168"/>
        <v>2.8335269335576781E-3</v>
      </c>
      <c r="I347" s="437">
        <f t="shared" si="168"/>
        <v>2.9323410139794424E-3</v>
      </c>
      <c r="J347" s="437">
        <f t="shared" si="168"/>
        <v>3.0311550944012067E-3</v>
      </c>
      <c r="K347" s="437">
        <f t="shared" si="168"/>
        <v>3.129969174822971E-3</v>
      </c>
      <c r="L347" s="437">
        <f t="shared" si="168"/>
        <v>3.2287832552447353E-3</v>
      </c>
      <c r="N347" s="439">
        <v>0.16666666666666666</v>
      </c>
      <c r="O347" s="440">
        <f t="shared" si="150"/>
        <v>9.8814080421764483E-5</v>
      </c>
      <c r="P347" t="s">
        <v>2421</v>
      </c>
    </row>
    <row r="348" spans="1:16">
      <c r="A348" s="320" t="s">
        <v>2620</v>
      </c>
      <c r="B348" s="431">
        <v>5.8437425910366853E-2</v>
      </c>
      <c r="C348" s="431">
        <v>4.6265164430051638E-2</v>
      </c>
      <c r="D348" s="437">
        <f t="shared" ref="D348:L348" si="169">C348+$O348</f>
        <v>4.1140629647540512E-2</v>
      </c>
      <c r="E348" s="437">
        <f t="shared" si="169"/>
        <v>3.6016094865029387E-2</v>
      </c>
      <c r="F348" s="437">
        <f t="shared" si="169"/>
        <v>3.0891560082518262E-2</v>
      </c>
      <c r="G348" s="437">
        <f t="shared" si="169"/>
        <v>2.5767025300007136E-2</v>
      </c>
      <c r="H348" s="437">
        <f t="shared" si="169"/>
        <v>2.0642490517496011E-2</v>
      </c>
      <c r="I348" s="437">
        <f t="shared" si="169"/>
        <v>1.5517955734984884E-2</v>
      </c>
      <c r="J348" s="437">
        <f t="shared" si="169"/>
        <v>1.0393420952473757E-2</v>
      </c>
      <c r="K348" s="437">
        <f t="shared" si="169"/>
        <v>5.2688861699626294E-3</v>
      </c>
      <c r="L348" s="437">
        <f t="shared" si="169"/>
        <v>1.4435138745150233E-4</v>
      </c>
      <c r="N348" s="439">
        <v>0.69</v>
      </c>
      <c r="O348" s="440">
        <f t="shared" si="150"/>
        <v>-5.1245347825111271E-3</v>
      </c>
    </row>
    <row r="349" spans="1:16">
      <c r="A349" t="s">
        <v>2621</v>
      </c>
      <c r="B349" s="431">
        <f>L318</f>
        <v>1.234319858063065E-3</v>
      </c>
      <c r="C349" s="431">
        <f>M318</f>
        <v>9.2688719788431759E-4</v>
      </c>
      <c r="D349" s="437">
        <f t="shared" ref="D349:L349" si="170">C349+$O349</f>
        <v>8.3414400768468577E-4</v>
      </c>
      <c r="E349" s="437">
        <f t="shared" si="170"/>
        <v>7.4140081748505396E-4</v>
      </c>
      <c r="F349" s="437">
        <f t="shared" si="170"/>
        <v>6.4865762728542214E-4</v>
      </c>
      <c r="G349" s="437">
        <f t="shared" si="170"/>
        <v>5.5591443708579032E-4</v>
      </c>
      <c r="H349" s="437">
        <f t="shared" si="170"/>
        <v>4.6317124688615856E-4</v>
      </c>
      <c r="I349" s="437">
        <f t="shared" si="170"/>
        <v>3.7042805668652679E-4</v>
      </c>
      <c r="J349" s="437">
        <f t="shared" si="170"/>
        <v>2.7768486648689503E-4</v>
      </c>
      <c r="K349" s="437">
        <f t="shared" si="170"/>
        <v>1.8494167628726327E-4</v>
      </c>
      <c r="L349" s="437">
        <f t="shared" si="170"/>
        <v>9.2198486087631505E-5</v>
      </c>
      <c r="N349" s="439">
        <v>0.2</v>
      </c>
      <c r="O349" s="440">
        <f t="shared" si="150"/>
        <v>-9.2743190199631763E-5</v>
      </c>
    </row>
    <row r="350" spans="1:16">
      <c r="A350" t="s">
        <v>2622</v>
      </c>
      <c r="B350" s="431">
        <f t="shared" ref="B350:C350" si="171">L319</f>
        <v>5.4974060122640501E-5</v>
      </c>
      <c r="C350" s="431">
        <f t="shared" si="171"/>
        <v>8.5106973930054264E-4</v>
      </c>
      <c r="D350" s="437">
        <f t="shared" ref="D350:L350" si="172">C350+$O350</f>
        <v>8.9892030719492802E-4</v>
      </c>
      <c r="E350" s="437">
        <f t="shared" si="172"/>
        <v>9.4677087508931329E-4</v>
      </c>
      <c r="F350" s="437">
        <f t="shared" si="172"/>
        <v>9.9462144298369855E-4</v>
      </c>
      <c r="G350" s="437">
        <f t="shared" si="172"/>
        <v>1.0424720108780838E-3</v>
      </c>
      <c r="H350" s="437">
        <f t="shared" si="172"/>
        <v>1.0903225787724691E-3</v>
      </c>
      <c r="I350" s="437">
        <f t="shared" si="172"/>
        <v>1.1381731466668544E-3</v>
      </c>
      <c r="J350" s="437">
        <f t="shared" si="172"/>
        <v>1.1860237145612396E-3</v>
      </c>
      <c r="K350" s="437">
        <f t="shared" si="172"/>
        <v>1.2338742824556249E-3</v>
      </c>
      <c r="L350" s="437">
        <f t="shared" si="172"/>
        <v>1.2817248503500102E-3</v>
      </c>
      <c r="N350" s="439">
        <v>0.5</v>
      </c>
      <c r="O350" s="440">
        <f t="shared" si="150"/>
        <v>4.7850567894385323E-5</v>
      </c>
      <c r="P350" t="s">
        <v>2060</v>
      </c>
    </row>
    <row r="351" spans="1:16">
      <c r="A351" t="s">
        <v>2623</v>
      </c>
      <c r="B351" s="431">
        <f t="shared" ref="B351:C351" si="173">L320</f>
        <v>7.2433248598071937E-4</v>
      </c>
      <c r="C351" s="431">
        <f t="shared" si="173"/>
        <v>1.8766697669251215E-6</v>
      </c>
      <c r="D351" s="437">
        <v>0</v>
      </c>
      <c r="E351" s="437">
        <v>0</v>
      </c>
      <c r="F351" s="437">
        <v>0</v>
      </c>
      <c r="G351" s="437">
        <v>0</v>
      </c>
      <c r="H351" s="437">
        <v>0</v>
      </c>
      <c r="I351" s="437">
        <v>0</v>
      </c>
      <c r="J351" s="437">
        <v>0</v>
      </c>
      <c r="K351" s="437">
        <v>0</v>
      </c>
      <c r="L351" s="437">
        <v>0</v>
      </c>
      <c r="N351" s="439">
        <v>0</v>
      </c>
      <c r="O351" s="440">
        <f t="shared" si="150"/>
        <v>0</v>
      </c>
    </row>
    <row r="352" spans="1:16">
      <c r="A352" t="s">
        <v>2625</v>
      </c>
      <c r="B352" s="431">
        <f t="shared" ref="B352:C352" si="174">L321</f>
        <v>2.8257025040236714E-4</v>
      </c>
      <c r="C352" s="431">
        <f t="shared" si="174"/>
        <v>5.6675426961138675E-4</v>
      </c>
      <c r="D352" s="437">
        <f t="shared" ref="D352:L352" si="175">C352+$O352</f>
        <v>8.6705574259103926E-4</v>
      </c>
      <c r="E352" s="437">
        <f t="shared" si="175"/>
        <v>1.1673572155706917E-3</v>
      </c>
      <c r="F352" s="437">
        <f t="shared" si="175"/>
        <v>1.4676586885503441E-3</v>
      </c>
      <c r="G352" s="437">
        <f t="shared" si="175"/>
        <v>1.7679601615299965E-3</v>
      </c>
      <c r="H352" s="437">
        <f t="shared" si="175"/>
        <v>2.0682616345096489E-3</v>
      </c>
      <c r="I352" s="437">
        <f t="shared" si="175"/>
        <v>2.3685631074893015E-3</v>
      </c>
      <c r="J352" s="437">
        <f t="shared" si="175"/>
        <v>2.6688645804689541E-3</v>
      </c>
      <c r="K352" s="437">
        <f t="shared" si="175"/>
        <v>2.9691660534486067E-3</v>
      </c>
      <c r="L352" s="437">
        <f t="shared" si="175"/>
        <v>3.2694675264282594E-3</v>
      </c>
      <c r="N352" s="439">
        <v>0.5</v>
      </c>
      <c r="O352" s="440">
        <f t="shared" si="150"/>
        <v>3.0030147297965246E-4</v>
      </c>
      <c r="P352" t="s">
        <v>2060</v>
      </c>
    </row>
    <row r="353" spans="1:21">
      <c r="O353" s="444"/>
      <c r="P353" s="444"/>
      <c r="Q353" s="444"/>
    </row>
    <row r="354" spans="1:21">
      <c r="A354" s="64" t="s">
        <v>2036</v>
      </c>
      <c r="B354" s="431"/>
      <c r="C354" s="431"/>
      <c r="M354" s="320"/>
      <c r="N354" s="320"/>
    </row>
    <row r="355" spans="1:21">
      <c r="A355" t="s">
        <v>175</v>
      </c>
      <c r="B355" s="397">
        <v>0</v>
      </c>
      <c r="C355" s="397">
        <v>55246</v>
      </c>
      <c r="D355" s="470">
        <f t="shared" ref="D355:L355" si="176">D325*D327</f>
        <v>121153.3859238937</v>
      </c>
      <c r="E355" s="470">
        <f t="shared" si="176"/>
        <v>183557.05449465083</v>
      </c>
      <c r="F355" s="470">
        <f t="shared" si="176"/>
        <v>248848.19252695088</v>
      </c>
      <c r="G355" s="470">
        <f t="shared" si="176"/>
        <v>312127.79043599212</v>
      </c>
      <c r="H355" s="470">
        <f t="shared" si="176"/>
        <v>376697.06110290647</v>
      </c>
      <c r="I355" s="470">
        <f t="shared" si="176"/>
        <v>440479.54404276243</v>
      </c>
      <c r="J355" s="470">
        <f t="shared" si="176"/>
        <v>504726.39652020851</v>
      </c>
      <c r="K355" s="470">
        <f t="shared" si="176"/>
        <v>568705.57639182906</v>
      </c>
      <c r="L355" s="470">
        <f t="shared" si="176"/>
        <v>632836.33648487763</v>
      </c>
    </row>
    <row r="356" spans="1:21">
      <c r="A356" t="s">
        <v>176</v>
      </c>
      <c r="B356" s="397">
        <f>I297</f>
        <v>41621</v>
      </c>
      <c r="C356" s="397">
        <f>J297</f>
        <v>19477</v>
      </c>
      <c r="D356" s="470">
        <f>D328*D325</f>
        <v>30306.068358987883</v>
      </c>
      <c r="E356" s="470">
        <f t="shared" ref="E356:L356" si="177">E328*E325</f>
        <v>24830.80126924091</v>
      </c>
      <c r="F356" s="470">
        <f t="shared" si="177"/>
        <v>27553.251586551141</v>
      </c>
      <c r="G356" s="470">
        <f t="shared" si="177"/>
        <v>26188.230621005208</v>
      </c>
      <c r="H356" s="470">
        <f t="shared" si="177"/>
        <v>26869.79215205547</v>
      </c>
      <c r="I356" s="470">
        <f t="shared" si="177"/>
        <v>26528.774148599663</v>
      </c>
      <c r="J356" s="470">
        <f t="shared" si="177"/>
        <v>26699.223840844897</v>
      </c>
      <c r="K356" s="470">
        <f t="shared" si="177"/>
        <v>26613.984167351613</v>
      </c>
      <c r="L356" s="470">
        <f t="shared" si="177"/>
        <v>26656.600297255591</v>
      </c>
    </row>
    <row r="358" spans="1:21" s="423" customFormat="1">
      <c r="A358" s="423" t="s">
        <v>2629</v>
      </c>
    </row>
    <row r="359" spans="1:21" s="400" customFormat="1" ht="70">
      <c r="A359" s="527" t="s">
        <v>0</v>
      </c>
      <c r="B359" s="527" t="s">
        <v>2018</v>
      </c>
      <c r="C359" s="527" t="s">
        <v>2019</v>
      </c>
      <c r="D359" s="527" t="s">
        <v>2020</v>
      </c>
      <c r="E359" s="527" t="s">
        <v>2021</v>
      </c>
      <c r="F359" s="527" t="s">
        <v>2022</v>
      </c>
      <c r="G359" s="527" t="s">
        <v>1840</v>
      </c>
      <c r="H359" s="527" t="s">
        <v>2023</v>
      </c>
      <c r="I359" s="527" t="s">
        <v>2024</v>
      </c>
      <c r="J359" s="527" t="s">
        <v>2025</v>
      </c>
      <c r="K359" s="527" t="s">
        <v>2456</v>
      </c>
      <c r="L359" s="527" t="s">
        <v>2027</v>
      </c>
      <c r="M359" s="527" t="s">
        <v>2028</v>
      </c>
      <c r="N359" s="527" t="s">
        <v>2457</v>
      </c>
      <c r="O359" s="527" t="s">
        <v>2030</v>
      </c>
      <c r="P359" s="527" t="s">
        <v>2031</v>
      </c>
      <c r="Q359" s="527" t="s">
        <v>2032</v>
      </c>
      <c r="R359" s="527" t="s">
        <v>2033</v>
      </c>
      <c r="S359" s="527" t="s">
        <v>2034</v>
      </c>
      <c r="T359" s="527" t="s">
        <v>2035</v>
      </c>
      <c r="U359" s="527"/>
    </row>
    <row r="360" spans="1:21" s="64" customFormat="1">
      <c r="A360" s="475" t="s">
        <v>25</v>
      </c>
      <c r="B360" s="392" t="s">
        <v>177</v>
      </c>
      <c r="C360" s="392" t="s">
        <v>2036</v>
      </c>
      <c r="D360" s="409" t="s">
        <v>2037</v>
      </c>
      <c r="E360" s="409" t="s">
        <v>2038</v>
      </c>
      <c r="F360" s="481" t="s">
        <v>2039</v>
      </c>
      <c r="G360" s="473">
        <v>17332.913</v>
      </c>
      <c r="H360" s="390" t="s">
        <v>2040</v>
      </c>
      <c r="I360" s="398">
        <v>0</v>
      </c>
      <c r="J360" s="398">
        <v>110971</v>
      </c>
      <c r="K360" s="398">
        <v>82624</v>
      </c>
      <c r="L360" s="430">
        <v>0</v>
      </c>
      <c r="M360" s="430">
        <v>2.0825592070544768E-2</v>
      </c>
      <c r="N360" s="430">
        <v>3.1727258624158858E-2</v>
      </c>
      <c r="O360" s="430">
        <f t="shared" ref="O360:O377" si="178">M360-L360</f>
        <v>2.0825592070544768E-2</v>
      </c>
      <c r="P360" s="430">
        <f t="shared" ref="P360:P377" si="179">N360-M360</f>
        <v>1.0901666553614089E-2</v>
      </c>
      <c r="Q360" s="430">
        <f t="shared" ref="Q360:Q376" si="180">N360-L360</f>
        <v>3.1727258624158858E-2</v>
      </c>
      <c r="R360" s="436">
        <f>SUM(Q361:Q377)/2.5</f>
        <v>-1.1856016838994288E-2</v>
      </c>
      <c r="S360" s="436">
        <f>R360+T360</f>
        <v>9.2954889104449497E-3</v>
      </c>
      <c r="T360" s="436">
        <f>Q360/1.5</f>
        <v>2.1151505749439237E-2</v>
      </c>
    </row>
    <row r="361" spans="1:21">
      <c r="A361" s="393" t="s">
        <v>2041</v>
      </c>
      <c r="B361" s="394" t="s">
        <v>2042</v>
      </c>
      <c r="C361" s="320" t="s">
        <v>2036</v>
      </c>
      <c r="D361" s="395" t="s">
        <v>2037</v>
      </c>
      <c r="E361" s="395" t="s">
        <v>2038</v>
      </c>
      <c r="F361" s="395" t="s">
        <v>2043</v>
      </c>
      <c r="G361" s="474">
        <v>17628</v>
      </c>
      <c r="H361" s="529" t="s">
        <v>2040</v>
      </c>
      <c r="I361" s="402">
        <v>19094</v>
      </c>
      <c r="J361" s="402">
        <v>114110</v>
      </c>
      <c r="K361" s="402">
        <v>43863</v>
      </c>
      <c r="L361" s="431">
        <v>3.419135843588592E-3</v>
      </c>
      <c r="M361" s="431">
        <v>2.1414678710382561E-2</v>
      </c>
      <c r="N361" s="431">
        <v>1.6843202278169538E-2</v>
      </c>
      <c r="O361" s="431">
        <f t="shared" si="178"/>
        <v>1.799554286679397E-2</v>
      </c>
      <c r="P361" s="431">
        <f t="shared" si="179"/>
        <v>-4.5714764322130237E-3</v>
      </c>
      <c r="Q361" s="431">
        <f t="shared" si="180"/>
        <v>1.3424066434580946E-2</v>
      </c>
      <c r="T361" s="437">
        <f>Q361/2.5</f>
        <v>5.3696265738323781E-3</v>
      </c>
      <c r="U361" s="467"/>
    </row>
    <row r="362" spans="1:21">
      <c r="A362" s="441" t="s">
        <v>2044</v>
      </c>
      <c r="B362" s="320" t="s">
        <v>2045</v>
      </c>
      <c r="C362" s="320" t="s">
        <v>2036</v>
      </c>
      <c r="D362" s="528" t="s">
        <v>2037</v>
      </c>
      <c r="E362" s="528" t="s">
        <v>2038</v>
      </c>
      <c r="F362" s="428" t="s">
        <v>2043</v>
      </c>
      <c r="G362" s="474">
        <v>17969</v>
      </c>
      <c r="H362" s="529" t="s">
        <v>2040</v>
      </c>
      <c r="I362" s="397">
        <v>85191</v>
      </c>
      <c r="J362" s="397">
        <v>88774</v>
      </c>
      <c r="K362" s="397">
        <v>37751</v>
      </c>
      <c r="L362" s="431">
        <v>1.5255033081133117E-2</v>
      </c>
      <c r="M362" s="431">
        <v>1.6659948188901076E-2</v>
      </c>
      <c r="N362" s="431">
        <v>1.4496220714569871E-2</v>
      </c>
      <c r="O362" s="431">
        <f t="shared" si="178"/>
        <v>1.4049151077679591E-3</v>
      </c>
      <c r="P362" s="431">
        <f t="shared" si="179"/>
        <v>-2.1637274743312052E-3</v>
      </c>
      <c r="Q362" s="431">
        <f t="shared" si="180"/>
        <v>-7.588123665632461E-4</v>
      </c>
      <c r="T362" s="437">
        <f t="shared" ref="T362:T369" si="181">Q362/2.5</f>
        <v>-3.0352494662529844E-4</v>
      </c>
      <c r="U362" s="467"/>
    </row>
    <row r="363" spans="1:21">
      <c r="A363" s="393" t="s">
        <v>2046</v>
      </c>
      <c r="B363" t="s">
        <v>2047</v>
      </c>
      <c r="C363" s="320" t="s">
        <v>2036</v>
      </c>
      <c r="D363" s="533" t="s">
        <v>2037</v>
      </c>
      <c r="E363" s="395" t="s">
        <v>2038</v>
      </c>
      <c r="F363" s="428" t="s">
        <v>2048</v>
      </c>
      <c r="G363" s="474">
        <f>113800*0.155035</f>
        <v>17642.983</v>
      </c>
      <c r="H363" s="529" t="s">
        <v>2040</v>
      </c>
      <c r="I363" s="402">
        <v>49746</v>
      </c>
      <c r="J363" s="402">
        <v>76795</v>
      </c>
      <c r="K363" s="402">
        <v>35350</v>
      </c>
      <c r="L363" s="431">
        <v>8.9079465630647371E-3</v>
      </c>
      <c r="M363" s="431">
        <v>1.4411885475101471E-2</v>
      </c>
      <c r="N363" s="431">
        <v>1.3574247099680669E-2</v>
      </c>
      <c r="O363" s="431">
        <f t="shared" si="178"/>
        <v>5.5039389120367342E-3</v>
      </c>
      <c r="P363" s="431">
        <f t="shared" si="179"/>
        <v>-8.3763837542080201E-4</v>
      </c>
      <c r="Q363" s="431">
        <f t="shared" si="180"/>
        <v>4.6663005366159322E-3</v>
      </c>
      <c r="T363" s="437">
        <f t="shared" si="181"/>
        <v>1.8665202146463729E-3</v>
      </c>
      <c r="U363" s="467"/>
    </row>
    <row r="364" spans="1:21">
      <c r="A364" s="394" t="s">
        <v>2049</v>
      </c>
      <c r="B364" t="s">
        <v>2050</v>
      </c>
      <c r="C364" s="320" t="s">
        <v>2036</v>
      </c>
      <c r="D364" s="533" t="s">
        <v>2037</v>
      </c>
      <c r="E364" s="395" t="s">
        <v>2038</v>
      </c>
      <c r="F364" s="395" t="s">
        <v>2043</v>
      </c>
      <c r="G364" s="474">
        <f>107500*0.155035</f>
        <v>16666.262500000001</v>
      </c>
      <c r="H364" s="529" t="s">
        <v>2040</v>
      </c>
      <c r="I364" s="402">
        <v>39850</v>
      </c>
      <c r="J364" s="402">
        <v>130839</v>
      </c>
      <c r="K364" s="402">
        <v>32314</v>
      </c>
      <c r="L364" s="431">
        <v>7.1358836999583846E-3</v>
      </c>
      <c r="M364" s="431">
        <v>2.4554159563471598E-2</v>
      </c>
      <c r="N364" s="431">
        <v>1.240843623137429E-2</v>
      </c>
      <c r="O364" s="431">
        <f t="shared" si="178"/>
        <v>1.7418275863513213E-2</v>
      </c>
      <c r="P364" s="431">
        <f t="shared" si="179"/>
        <v>-1.2145723332097309E-2</v>
      </c>
      <c r="Q364" s="431">
        <f t="shared" si="180"/>
        <v>5.272552531415905E-3</v>
      </c>
      <c r="T364" s="437">
        <f t="shared" si="181"/>
        <v>2.109021012566362E-3</v>
      </c>
      <c r="U364" s="467"/>
    </row>
    <row r="365" spans="1:21">
      <c r="A365" s="320" t="s">
        <v>2051</v>
      </c>
      <c r="B365" s="320" t="s">
        <v>2052</v>
      </c>
      <c r="C365" s="320" t="s">
        <v>2036</v>
      </c>
      <c r="D365" s="528" t="s">
        <v>2037</v>
      </c>
      <c r="E365" s="528" t="s">
        <v>2038</v>
      </c>
      <c r="F365" s="428" t="s">
        <v>2043</v>
      </c>
      <c r="G365" s="474">
        <v>16092.63</v>
      </c>
      <c r="H365" s="529" t="s">
        <v>2040</v>
      </c>
      <c r="I365" s="397">
        <v>61920</v>
      </c>
      <c r="J365" s="397">
        <v>40708</v>
      </c>
      <c r="K365" s="397">
        <v>10450</v>
      </c>
      <c r="L365" s="431">
        <v>1.1087927696397068E-2</v>
      </c>
      <c r="M365" s="431">
        <v>7.6395472871987847E-3</v>
      </c>
      <c r="N365" s="431">
        <v>4.0127548003299294E-3</v>
      </c>
      <c r="O365" s="431">
        <f t="shared" si="178"/>
        <v>-3.4483804091982829E-3</v>
      </c>
      <c r="P365" s="431">
        <f t="shared" si="179"/>
        <v>-3.6267924868688553E-3</v>
      </c>
      <c r="Q365" s="431">
        <f t="shared" si="180"/>
        <v>-7.0751728960671383E-3</v>
      </c>
      <c r="T365" s="437">
        <f t="shared" si="181"/>
        <v>-2.8300691584268551E-3</v>
      </c>
      <c r="U365" s="467"/>
    </row>
    <row r="366" spans="1:21">
      <c r="A366" s="320" t="s">
        <v>2053</v>
      </c>
      <c r="B366" s="320" t="s">
        <v>2054</v>
      </c>
      <c r="C366" s="320" t="s">
        <v>2036</v>
      </c>
      <c r="D366" s="528" t="s">
        <v>2037</v>
      </c>
      <c r="E366" s="528" t="s">
        <v>2038</v>
      </c>
      <c r="F366" s="428" t="s">
        <v>2043</v>
      </c>
      <c r="G366" s="474">
        <v>16868</v>
      </c>
      <c r="H366" s="529" t="s">
        <v>2040</v>
      </c>
      <c r="I366" s="397">
        <v>34506</v>
      </c>
      <c r="J366" s="397">
        <v>22857</v>
      </c>
      <c r="K366" s="397">
        <v>7033</v>
      </c>
      <c r="L366" s="431">
        <v>6.1789411029049938E-3</v>
      </c>
      <c r="M366" s="431">
        <v>4.2895040862607507E-3</v>
      </c>
      <c r="N366" s="431">
        <v>2.7006415799732432E-3</v>
      </c>
      <c r="O366" s="431">
        <f t="shared" si="178"/>
        <v>-1.8894370166442432E-3</v>
      </c>
      <c r="P366" s="431">
        <f t="shared" si="179"/>
        <v>-1.5888625062875075E-3</v>
      </c>
      <c r="Q366" s="431">
        <f t="shared" si="180"/>
        <v>-3.4782995229317507E-3</v>
      </c>
      <c r="T366" s="437">
        <f t="shared" si="181"/>
        <v>-1.3913198091727002E-3</v>
      </c>
      <c r="U366" s="467"/>
    </row>
    <row r="367" spans="1:21">
      <c r="A367" s="320" t="s">
        <v>2055</v>
      </c>
      <c r="B367" s="320" t="s">
        <v>2056</v>
      </c>
      <c r="C367" s="320" t="s">
        <v>2036</v>
      </c>
      <c r="D367" s="528" t="s">
        <v>2037</v>
      </c>
      <c r="E367" s="528" t="s">
        <v>2038</v>
      </c>
      <c r="F367" s="428" t="s">
        <v>2043</v>
      </c>
      <c r="G367" s="474">
        <v>16247.67</v>
      </c>
      <c r="H367" s="529" t="s">
        <v>2040</v>
      </c>
      <c r="I367" s="397">
        <v>27362</v>
      </c>
      <c r="J367" s="397">
        <v>11551</v>
      </c>
      <c r="K367" s="397">
        <v>3966</v>
      </c>
      <c r="L367" s="431">
        <v>4.8996750263051777E-3</v>
      </c>
      <c r="M367" s="431">
        <v>2.1677412477752078E-3</v>
      </c>
      <c r="N367" s="431">
        <v>1.5229268457520094E-3</v>
      </c>
      <c r="O367" s="431">
        <f t="shared" si="178"/>
        <v>-2.7319337785299698E-3</v>
      </c>
      <c r="P367" s="431">
        <f t="shared" si="179"/>
        <v>-6.4481440202319843E-4</v>
      </c>
      <c r="Q367" s="431">
        <f t="shared" si="180"/>
        <v>-3.3767481805531685E-3</v>
      </c>
      <c r="T367" s="437">
        <f t="shared" si="181"/>
        <v>-1.3506992722212674E-3</v>
      </c>
      <c r="U367" s="467"/>
    </row>
    <row r="368" spans="1:21">
      <c r="A368" s="393" t="s">
        <v>2057</v>
      </c>
      <c r="B368" s="394" t="s">
        <v>2058</v>
      </c>
      <c r="C368" s="320" t="s">
        <v>2036</v>
      </c>
      <c r="D368" s="395" t="s">
        <v>2037</v>
      </c>
      <c r="E368" s="395" t="s">
        <v>2038</v>
      </c>
      <c r="F368" s="395" t="s">
        <v>2043</v>
      </c>
      <c r="G368" s="474">
        <v>17504</v>
      </c>
      <c r="H368" s="529" t="s">
        <v>2040</v>
      </c>
      <c r="I368" s="402">
        <v>449194</v>
      </c>
      <c r="J368" s="402">
        <v>391355</v>
      </c>
      <c r="K368" s="402">
        <v>160309</v>
      </c>
      <c r="L368" s="431">
        <v>8.0436540595209702E-2</v>
      </c>
      <c r="M368" s="431">
        <v>7.3444409663498092E-2</v>
      </c>
      <c r="N368" s="431">
        <v>6.155796261110915E-2</v>
      </c>
      <c r="O368" s="431">
        <f t="shared" si="178"/>
        <v>-6.9921309317116098E-3</v>
      </c>
      <c r="P368" s="431">
        <f t="shared" si="179"/>
        <v>-1.1886447052388942E-2</v>
      </c>
      <c r="Q368" s="431">
        <f t="shared" si="180"/>
        <v>-1.8878577984100552E-2</v>
      </c>
      <c r="T368" s="437">
        <f t="shared" si="181"/>
        <v>-7.551431193640221E-3</v>
      </c>
      <c r="U368" s="467"/>
    </row>
    <row r="369" spans="1:23">
      <c r="A369" s="441" t="s">
        <v>2046</v>
      </c>
      <c r="B369" s="320" t="s">
        <v>2059</v>
      </c>
      <c r="C369" s="320" t="s">
        <v>2036</v>
      </c>
      <c r="D369" s="528" t="s">
        <v>2037</v>
      </c>
      <c r="E369" s="528" t="s">
        <v>2038</v>
      </c>
      <c r="F369" s="428" t="s">
        <v>2043</v>
      </c>
      <c r="G369" s="474">
        <v>17643</v>
      </c>
      <c r="H369" s="529" t="s">
        <v>2040</v>
      </c>
      <c r="I369" s="397">
        <v>222361</v>
      </c>
      <c r="J369" s="397">
        <v>198276</v>
      </c>
      <c r="K369" s="397">
        <v>90904</v>
      </c>
      <c r="L369" s="431">
        <v>3.9817872908568287E-2</v>
      </c>
      <c r="M369" s="431">
        <v>3.7209857470684539E-2</v>
      </c>
      <c r="N369" s="431">
        <v>3.4906742810448983E-2</v>
      </c>
      <c r="O369" s="431">
        <f t="shared" si="178"/>
        <v>-2.6080154378837483E-3</v>
      </c>
      <c r="P369" s="431">
        <f t="shared" si="179"/>
        <v>-2.3031146602355557E-3</v>
      </c>
      <c r="Q369" s="431">
        <f t="shared" si="180"/>
        <v>-4.911130098119304E-3</v>
      </c>
      <c r="T369" s="437">
        <f t="shared" si="181"/>
        <v>-1.9644520392477216E-3</v>
      </c>
      <c r="U369" s="467"/>
      <c r="V369" s="60"/>
      <c r="W369" s="60"/>
    </row>
    <row r="370" spans="1:23" s="64" customFormat="1">
      <c r="A370" s="392" t="s">
        <v>25</v>
      </c>
      <c r="B370" s="392" t="s">
        <v>178</v>
      </c>
      <c r="C370" s="392" t="s">
        <v>2036</v>
      </c>
      <c r="D370" s="409" t="s">
        <v>2037</v>
      </c>
      <c r="E370" s="409" t="s">
        <v>2038</v>
      </c>
      <c r="F370" s="399" t="s">
        <v>2060</v>
      </c>
      <c r="G370" s="473">
        <v>14852.352999999999</v>
      </c>
      <c r="H370" s="390" t="s">
        <v>2061</v>
      </c>
      <c r="I370" s="398">
        <v>19616</v>
      </c>
      <c r="J370" s="398">
        <v>34265</v>
      </c>
      <c r="K370" s="398">
        <v>15582</v>
      </c>
      <c r="L370" s="430">
        <v>3.5126096526570559E-3</v>
      </c>
      <c r="M370" s="430">
        <v>6.4304089563689297E-3</v>
      </c>
      <c r="N370" s="430">
        <v>5.9834206027503303E-3</v>
      </c>
      <c r="O370" s="430">
        <f t="shared" si="178"/>
        <v>2.9177993037118738E-3</v>
      </c>
      <c r="P370" s="430">
        <f t="shared" si="179"/>
        <v>-4.4698835361859941E-4</v>
      </c>
      <c r="Q370" s="430">
        <f t="shared" si="180"/>
        <v>2.4708109500932744E-3</v>
      </c>
      <c r="R370" s="436">
        <f>SUM(Q360:Q369,Q371:Q376)/2.5</f>
        <v>7.9493353898864392E-3</v>
      </c>
      <c r="S370" s="436">
        <f>R370+T370</f>
        <v>8.9376597699237486E-3</v>
      </c>
      <c r="T370" s="436">
        <f>Q370/2.5</f>
        <v>9.8832438003730984E-4</v>
      </c>
      <c r="U370" s="467"/>
    </row>
    <row r="371" spans="1:23">
      <c r="A371" s="394" t="s">
        <v>2062</v>
      </c>
      <c r="B371" t="s">
        <v>2063</v>
      </c>
      <c r="C371" s="320" t="s">
        <v>2036</v>
      </c>
      <c r="D371" s="533" t="s">
        <v>2037</v>
      </c>
      <c r="E371" s="395" t="s">
        <v>2038</v>
      </c>
      <c r="F371" s="395" t="s">
        <v>2043</v>
      </c>
      <c r="G371" s="474">
        <f>98800*0.155035</f>
        <v>15317.458000000001</v>
      </c>
      <c r="H371" s="529" t="s">
        <v>2061</v>
      </c>
      <c r="I371" s="402">
        <v>0</v>
      </c>
      <c r="J371" s="402">
        <v>5703</v>
      </c>
      <c r="K371" s="402">
        <v>7085</v>
      </c>
      <c r="L371" s="431">
        <v>0</v>
      </c>
      <c r="M371" s="431">
        <v>1.0702647680773968E-3</v>
      </c>
      <c r="N371" s="431">
        <v>2.7206093550562246E-3</v>
      </c>
      <c r="O371" s="431">
        <f t="shared" si="178"/>
        <v>1.0702647680773968E-3</v>
      </c>
      <c r="P371" s="431">
        <f t="shared" si="179"/>
        <v>1.6503445869788277E-3</v>
      </c>
      <c r="Q371" s="431">
        <f t="shared" si="180"/>
        <v>2.7206093550562246E-3</v>
      </c>
      <c r="T371" s="437">
        <f>Q371/2.5</f>
        <v>1.0882437420224899E-3</v>
      </c>
      <c r="U371" s="467"/>
    </row>
    <row r="372" spans="1:23">
      <c r="A372" s="320" t="s">
        <v>2064</v>
      </c>
      <c r="B372" s="320" t="s">
        <v>2065</v>
      </c>
      <c r="C372" s="320" t="s">
        <v>2036</v>
      </c>
      <c r="D372" s="528" t="s">
        <v>2037</v>
      </c>
      <c r="E372" s="528" t="s">
        <v>2038</v>
      </c>
      <c r="F372" s="428" t="s">
        <v>2043</v>
      </c>
      <c r="G372" s="474">
        <v>15473</v>
      </c>
      <c r="H372" s="529" t="s">
        <v>2061</v>
      </c>
      <c r="I372" s="397">
        <v>44751</v>
      </c>
      <c r="J372" s="397">
        <v>35155</v>
      </c>
      <c r="K372" s="397">
        <v>2983</v>
      </c>
      <c r="L372" s="431">
        <v>8.0134989073234048E-3</v>
      </c>
      <c r="M372" s="431">
        <v>6.5974325656252648E-3</v>
      </c>
      <c r="N372" s="431">
        <v>1.1454590975487251E-3</v>
      </c>
      <c r="O372" s="431">
        <f t="shared" si="178"/>
        <v>-1.4160663416981399E-3</v>
      </c>
      <c r="P372" s="431">
        <f t="shared" si="179"/>
        <v>-5.4519734680765399E-3</v>
      </c>
      <c r="Q372" s="431">
        <f t="shared" si="180"/>
        <v>-6.8680398097746799E-3</v>
      </c>
      <c r="T372" s="437">
        <f t="shared" ref="T372:T376" si="182">Q372/2.5</f>
        <v>-2.7472159239098721E-3</v>
      </c>
      <c r="U372" s="467"/>
    </row>
    <row r="373" spans="1:23">
      <c r="A373" s="393" t="s">
        <v>2066</v>
      </c>
      <c r="B373" t="s">
        <v>2067</v>
      </c>
      <c r="C373" s="320" t="s">
        <v>2036</v>
      </c>
      <c r="D373" s="533" t="s">
        <v>2037</v>
      </c>
      <c r="E373" s="395" t="s">
        <v>2038</v>
      </c>
      <c r="F373" s="395" t="s">
        <v>2043</v>
      </c>
      <c r="G373" s="474">
        <f>96900*0.155035</f>
        <v>15022.8915</v>
      </c>
      <c r="H373" s="529" t="s">
        <v>2061</v>
      </c>
      <c r="I373" s="402">
        <v>16928</v>
      </c>
      <c r="J373" s="402">
        <v>30077</v>
      </c>
      <c r="K373" s="402">
        <v>52181</v>
      </c>
      <c r="L373" s="431">
        <v>3.0312732565343924E-3</v>
      </c>
      <c r="M373" s="431">
        <v>5.6444596579806883E-3</v>
      </c>
      <c r="N373" s="431">
        <v>2.0037278300097227E-2</v>
      </c>
      <c r="O373" s="431">
        <f t="shared" si="178"/>
        <v>2.6131864014462959E-3</v>
      </c>
      <c r="P373" s="431">
        <f t="shared" si="179"/>
        <v>1.4392818642116539E-2</v>
      </c>
      <c r="Q373" s="431">
        <f t="shared" si="180"/>
        <v>1.7006005043562835E-2</v>
      </c>
      <c r="T373" s="437">
        <f t="shared" si="182"/>
        <v>6.8024020174251342E-3</v>
      </c>
      <c r="U373" s="467"/>
    </row>
    <row r="374" spans="1:23">
      <c r="A374" s="394" t="s">
        <v>2068</v>
      </c>
      <c r="B374" t="s">
        <v>2069</v>
      </c>
      <c r="C374" s="320" t="s">
        <v>2036</v>
      </c>
      <c r="D374" s="533" t="s">
        <v>2037</v>
      </c>
      <c r="E374" s="395" t="s">
        <v>2038</v>
      </c>
      <c r="F374" s="395" t="s">
        <v>2043</v>
      </c>
      <c r="G374" s="474">
        <f>98300*0.155035</f>
        <v>15239.940500000001</v>
      </c>
      <c r="H374" s="529" t="s">
        <v>2061</v>
      </c>
      <c r="I374" s="402">
        <v>0</v>
      </c>
      <c r="J374" s="402">
        <v>43772</v>
      </c>
      <c r="K374" s="402">
        <v>23410</v>
      </c>
      <c r="L374" s="431">
        <v>0</v>
      </c>
      <c r="M374" s="431">
        <v>8.2145589037846429E-3</v>
      </c>
      <c r="N374" s="431">
        <v>8.9893387440883859E-3</v>
      </c>
      <c r="O374" s="431">
        <f t="shared" si="178"/>
        <v>8.2145589037846429E-3</v>
      </c>
      <c r="P374" s="431">
        <f t="shared" si="179"/>
        <v>7.74779840303743E-4</v>
      </c>
      <c r="Q374" s="431">
        <f t="shared" si="180"/>
        <v>8.9893387440883859E-3</v>
      </c>
      <c r="T374" s="437">
        <f t="shared" si="182"/>
        <v>3.5957354976353544E-3</v>
      </c>
      <c r="U374" s="467"/>
    </row>
    <row r="375" spans="1:23">
      <c r="A375" s="394" t="s">
        <v>2041</v>
      </c>
      <c r="B375" t="s">
        <v>2070</v>
      </c>
      <c r="C375" s="320" t="s">
        <v>2036</v>
      </c>
      <c r="D375" s="533" t="s">
        <v>2037</v>
      </c>
      <c r="E375" s="395" t="s">
        <v>2038</v>
      </c>
      <c r="F375" s="395" t="s">
        <v>2043</v>
      </c>
      <c r="G375" s="474">
        <f>94800*0.155035</f>
        <v>14697.318000000001</v>
      </c>
      <c r="H375" s="529" t="s">
        <v>2061</v>
      </c>
      <c r="I375" s="402">
        <v>72360</v>
      </c>
      <c r="J375" s="402">
        <v>52630</v>
      </c>
      <c r="K375" s="402">
        <v>21236</v>
      </c>
      <c r="L375" s="431">
        <v>1.2957403877766342E-2</v>
      </c>
      <c r="M375" s="431">
        <v>9.8769129833269145E-3</v>
      </c>
      <c r="N375" s="431">
        <v>8.1545321473498918E-3</v>
      </c>
      <c r="O375" s="431">
        <f t="shared" si="178"/>
        <v>-3.080490894439427E-3</v>
      </c>
      <c r="P375" s="431">
        <f t="shared" si="179"/>
        <v>-1.7223808359770228E-3</v>
      </c>
      <c r="Q375" s="431">
        <f t="shared" si="180"/>
        <v>-4.8028717304164498E-3</v>
      </c>
      <c r="T375" s="437">
        <f t="shared" si="182"/>
        <v>-1.9211486921665798E-3</v>
      </c>
      <c r="U375" s="467"/>
    </row>
    <row r="376" spans="1:23">
      <c r="A376" s="320" t="s">
        <v>2071</v>
      </c>
      <c r="B376" s="320" t="s">
        <v>2072</v>
      </c>
      <c r="C376" s="320" t="s">
        <v>2036</v>
      </c>
      <c r="D376" s="528" t="s">
        <v>2037</v>
      </c>
      <c r="E376" s="528" t="s">
        <v>2038</v>
      </c>
      <c r="F376" s="428" t="s">
        <v>2043</v>
      </c>
      <c r="G376" s="474">
        <v>15473</v>
      </c>
      <c r="H376" s="529" t="s">
        <v>2061</v>
      </c>
      <c r="I376" s="397">
        <v>113379</v>
      </c>
      <c r="J376" s="397">
        <v>44216</v>
      </c>
      <c r="K376" s="397">
        <v>16978</v>
      </c>
      <c r="L376" s="431">
        <v>2.0302618770830155E-2</v>
      </c>
      <c r="M376" s="431">
        <v>8.2978830414361174E-3</v>
      </c>
      <c r="N376" s="431">
        <v>6.5194785645934488E-3</v>
      </c>
      <c r="O376" s="431">
        <f t="shared" si="178"/>
        <v>-1.2004735729394037E-2</v>
      </c>
      <c r="P376" s="431">
        <f t="shared" si="179"/>
        <v>-1.7784044768426686E-3</v>
      </c>
      <c r="Q376" s="431">
        <f t="shared" si="180"/>
        <v>-1.3783140206236706E-2</v>
      </c>
      <c r="T376" s="437">
        <f t="shared" si="182"/>
        <v>-5.5132560824946823E-3</v>
      </c>
      <c r="U376" s="467"/>
      <c r="V376" s="60"/>
      <c r="W376" s="60"/>
    </row>
    <row r="377" spans="1:23">
      <c r="A377" s="393" t="s">
        <v>2073</v>
      </c>
      <c r="B377" s="394" t="s">
        <v>2074</v>
      </c>
      <c r="C377" s="320" t="s">
        <v>2036</v>
      </c>
      <c r="D377" s="395" t="s">
        <v>2037</v>
      </c>
      <c r="E377" s="395" t="s">
        <v>2038</v>
      </c>
      <c r="F377" s="395" t="s">
        <v>2043</v>
      </c>
      <c r="G377" s="474">
        <v>18573</v>
      </c>
      <c r="H377" s="529" t="s">
        <v>2075</v>
      </c>
      <c r="I377" s="397">
        <v>343418</v>
      </c>
      <c r="J377" s="397">
        <v>293321</v>
      </c>
      <c r="K377" s="397">
        <v>107393</v>
      </c>
      <c r="L377" s="431">
        <v>6.1495380388263701E-2</v>
      </c>
      <c r="M377" s="431">
        <v>5.5046665270424358E-2</v>
      </c>
      <c r="N377" s="431">
        <v>4.1238447490127471E-2</v>
      </c>
      <c r="O377" s="431">
        <f t="shared" si="178"/>
        <v>-6.4487151178393431E-3</v>
      </c>
      <c r="P377" s="431">
        <f t="shared" si="179"/>
        <v>-1.3808217780296887E-2</v>
      </c>
      <c r="Q377" s="431">
        <f>N377-L377</f>
        <v>-2.025693289813623E-2</v>
      </c>
      <c r="T377" s="437">
        <f>Q377/2.5</f>
        <v>-8.1027731592544922E-3</v>
      </c>
      <c r="U377" s="467"/>
      <c r="V377" s="60"/>
      <c r="W377" s="60"/>
    </row>
    <row r="378" spans="1:23">
      <c r="A378" t="s">
        <v>24</v>
      </c>
      <c r="B378" s="320"/>
      <c r="C378" s="320"/>
      <c r="D378" s="528"/>
      <c r="E378" s="528"/>
      <c r="F378" s="428"/>
      <c r="G378" s="474"/>
      <c r="H378" s="529"/>
      <c r="I378" s="465">
        <f t="shared" ref="I378:Q378" si="183">SUM(I360:I377)</f>
        <v>1599676</v>
      </c>
      <c r="J378" s="465">
        <f t="shared" si="183"/>
        <v>1725375</v>
      </c>
      <c r="K378" s="465">
        <f t="shared" si="183"/>
        <v>751412</v>
      </c>
      <c r="L378" s="437">
        <f t="shared" si="183"/>
        <v>0.28645174137050511</v>
      </c>
      <c r="M378" s="437">
        <f t="shared" si="183"/>
        <v>0.32379590991084317</v>
      </c>
      <c r="N378" s="437">
        <f t="shared" si="183"/>
        <v>0.28853895789717826</v>
      </c>
      <c r="O378" s="437">
        <f t="shared" si="183"/>
        <v>3.7344168540338063E-2</v>
      </c>
      <c r="P378" s="437">
        <f t="shared" si="183"/>
        <v>-3.5256952013664918E-2</v>
      </c>
      <c r="Q378" s="437">
        <f t="shared" si="183"/>
        <v>2.0872165266731385E-3</v>
      </c>
      <c r="T378" s="437"/>
      <c r="U378" s="60"/>
      <c r="V378" s="60"/>
      <c r="W378" s="60"/>
    </row>
    <row r="379" spans="1:23">
      <c r="A379" s="64" t="s">
        <v>2218</v>
      </c>
      <c r="B379" s="320"/>
      <c r="C379" s="320"/>
      <c r="D379" s="528"/>
      <c r="E379" s="528"/>
      <c r="F379" s="428"/>
      <c r="G379" s="474"/>
      <c r="H379" s="529"/>
      <c r="I379" s="397"/>
      <c r="J379" s="397"/>
      <c r="K379" s="397"/>
      <c r="L379" s="431"/>
      <c r="M379" s="431"/>
      <c r="N379" s="431"/>
      <c r="O379" s="431"/>
      <c r="P379" s="431"/>
      <c r="Q379" s="431"/>
      <c r="T379" s="437"/>
      <c r="U379" s="60"/>
      <c r="V379" s="60"/>
      <c r="W379" s="60"/>
    </row>
    <row r="380" spans="1:23">
      <c r="A380" t="s">
        <v>2626</v>
      </c>
      <c r="B380">
        <v>2020</v>
      </c>
      <c r="C380">
        <v>2021</v>
      </c>
      <c r="D380" t="s">
        <v>14</v>
      </c>
      <c r="E380" t="s">
        <v>11</v>
      </c>
      <c r="F380" t="s">
        <v>12</v>
      </c>
      <c r="G380" t="s">
        <v>13</v>
      </c>
      <c r="H380" t="s">
        <v>2220</v>
      </c>
      <c r="I380" t="s">
        <v>2221</v>
      </c>
      <c r="J380" t="s">
        <v>2222</v>
      </c>
      <c r="K380" t="s">
        <v>2223</v>
      </c>
      <c r="L380" t="s">
        <v>2224</v>
      </c>
      <c r="M380" t="s">
        <v>2225</v>
      </c>
      <c r="N380" t="s">
        <v>2226</v>
      </c>
      <c r="O380" s="431"/>
      <c r="P380" s="431"/>
      <c r="Q380" s="431"/>
      <c r="T380" s="437"/>
      <c r="U380" s="60"/>
      <c r="V380" s="60"/>
      <c r="W380" s="60"/>
    </row>
    <row r="381" spans="1:23">
      <c r="A381" t="s">
        <v>2227</v>
      </c>
      <c r="B381" s="405">
        <v>5584452</v>
      </c>
      <c r="C381" s="405">
        <v>5328588</v>
      </c>
      <c r="D381" s="466">
        <f>AVERAGE(B381:C381)</f>
        <v>5456520</v>
      </c>
      <c r="E381" s="466">
        <f t="shared" ref="E381:L381" si="184">AVERAGE(C381:D381)</f>
        <v>5392554</v>
      </c>
      <c r="F381" s="466">
        <f t="shared" si="184"/>
        <v>5424537</v>
      </c>
      <c r="G381" s="466">
        <f t="shared" si="184"/>
        <v>5408545.5</v>
      </c>
      <c r="H381" s="466">
        <f t="shared" si="184"/>
        <v>5416541.25</v>
      </c>
      <c r="I381" s="466">
        <f t="shared" si="184"/>
        <v>5412543.375</v>
      </c>
      <c r="J381" s="466">
        <f t="shared" si="184"/>
        <v>5414542.3125</v>
      </c>
      <c r="K381" s="466">
        <f t="shared" si="184"/>
        <v>5413542.84375</v>
      </c>
      <c r="L381" s="466">
        <f t="shared" si="184"/>
        <v>5414042.578125</v>
      </c>
      <c r="M381" s="431"/>
      <c r="N381" t="s">
        <v>162</v>
      </c>
      <c r="O381" s="431"/>
      <c r="P381" s="431"/>
      <c r="Q381" s="431"/>
      <c r="T381" s="437"/>
      <c r="U381" s="60"/>
      <c r="V381" s="60"/>
      <c r="W381" s="60"/>
    </row>
    <row r="382" spans="1:23">
      <c r="A382" s="64" t="s">
        <v>2228</v>
      </c>
      <c r="B382" s="320"/>
      <c r="C382" s="320"/>
      <c r="D382" s="528"/>
      <c r="E382" s="528"/>
      <c r="F382" s="428"/>
      <c r="G382" s="474"/>
      <c r="H382" s="529"/>
      <c r="I382" s="397"/>
      <c r="J382" s="397"/>
      <c r="K382" s="397"/>
      <c r="L382" s="431"/>
      <c r="M382" s="431"/>
      <c r="N382" s="431"/>
      <c r="O382" s="431"/>
      <c r="P382" s="431"/>
      <c r="Q382" s="431"/>
      <c r="T382" s="437"/>
      <c r="U382" s="60"/>
      <c r="V382" s="60"/>
      <c r="W382" s="60"/>
    </row>
    <row r="383" spans="1:23">
      <c r="A383" s="392" t="s">
        <v>177</v>
      </c>
      <c r="B383" s="430">
        <v>0</v>
      </c>
      <c r="C383" s="430">
        <v>2.0825592070544768E-2</v>
      </c>
      <c r="D383" s="479">
        <f>C383+$N383</f>
        <v>3.8768599303417237E-2</v>
      </c>
      <c r="E383" s="479">
        <f t="shared" ref="E383:L383" si="185">D383+$N383</f>
        <v>5.6711606536289705E-2</v>
      </c>
      <c r="F383" s="479">
        <f t="shared" si="185"/>
        <v>7.4654613769162173E-2</v>
      </c>
      <c r="G383" s="479">
        <f t="shared" si="185"/>
        <v>9.2597621002034641E-2</v>
      </c>
      <c r="H383" s="479">
        <f t="shared" si="185"/>
        <v>0.11054062823490711</v>
      </c>
      <c r="I383" s="479">
        <f t="shared" si="185"/>
        <v>0.12848363546777958</v>
      </c>
      <c r="J383" s="479">
        <f t="shared" si="185"/>
        <v>0.14642664270065206</v>
      </c>
      <c r="K383" s="479">
        <f t="shared" si="185"/>
        <v>0.16436964993352454</v>
      </c>
      <c r="L383" s="479">
        <f t="shared" si="185"/>
        <v>0.18231265716639702</v>
      </c>
      <c r="M383" s="431"/>
      <c r="N383" s="431">
        <f>-SUM(N384:N400)+S360</f>
        <v>1.7943007232872472E-2</v>
      </c>
      <c r="O383" s="431"/>
      <c r="P383" s="431"/>
      <c r="Q383" s="431"/>
      <c r="T383" s="437"/>
      <c r="U383" s="60"/>
      <c r="V383" s="60"/>
      <c r="W383" s="60"/>
    </row>
    <row r="384" spans="1:23">
      <c r="A384" s="392" t="s">
        <v>178</v>
      </c>
      <c r="B384" s="430">
        <v>3.5126096526570559E-3</v>
      </c>
      <c r="C384" s="430">
        <v>6.4304089563689297E-3</v>
      </c>
      <c r="D384" s="479">
        <f>AVERAGE(B384:C384)</f>
        <v>4.9715093045129928E-3</v>
      </c>
      <c r="E384" s="479">
        <f t="shared" ref="E384:L384" si="186">AVERAGE(C384:D384)</f>
        <v>5.7009591304409612E-3</v>
      </c>
      <c r="F384" s="479">
        <f t="shared" si="186"/>
        <v>5.336234217476977E-3</v>
      </c>
      <c r="G384" s="479">
        <f t="shared" si="186"/>
        <v>5.5185966739589691E-3</v>
      </c>
      <c r="H384" s="479">
        <f t="shared" si="186"/>
        <v>5.4274154457179726E-3</v>
      </c>
      <c r="I384" s="479">
        <f t="shared" si="186"/>
        <v>5.4730060598384709E-3</v>
      </c>
      <c r="J384" s="479">
        <f t="shared" si="186"/>
        <v>5.4502107527782222E-3</v>
      </c>
      <c r="K384" s="479">
        <f t="shared" si="186"/>
        <v>5.4616084063083461E-3</v>
      </c>
      <c r="L384" s="479">
        <f t="shared" si="186"/>
        <v>5.4559095795432841E-3</v>
      </c>
      <c r="M384" s="439"/>
      <c r="N384" s="437">
        <f>(L384-C384)/9</f>
        <v>-1.0827770853618284E-4</v>
      </c>
      <c r="O384" s="440" t="s">
        <v>285</v>
      </c>
      <c r="P384" s="431"/>
      <c r="Q384" s="431"/>
      <c r="T384" s="437"/>
      <c r="U384" s="60"/>
      <c r="V384" s="60"/>
      <c r="W384" s="60"/>
    </row>
    <row r="385" spans="1:23">
      <c r="A385" s="394" t="s">
        <v>2042</v>
      </c>
      <c r="B385" s="431">
        <v>3.419135843588592E-3</v>
      </c>
      <c r="C385" s="431">
        <v>2.1414678710382561E-2</v>
      </c>
      <c r="D385" s="479">
        <f t="shared" ref="D385:L399" si="187">C385+$N385</f>
        <v>2.2005337633504124E-2</v>
      </c>
      <c r="E385" s="479">
        <f t="shared" si="187"/>
        <v>2.2595996556625687E-2</v>
      </c>
      <c r="F385" s="479">
        <f t="shared" si="187"/>
        <v>2.3186655479747249E-2</v>
      </c>
      <c r="G385" s="479">
        <f t="shared" si="187"/>
        <v>2.3777314402868812E-2</v>
      </c>
      <c r="H385" s="479">
        <f t="shared" si="187"/>
        <v>2.4367973325990375E-2</v>
      </c>
      <c r="I385" s="479">
        <f t="shared" si="187"/>
        <v>2.4958632249111937E-2</v>
      </c>
      <c r="J385" s="479">
        <f t="shared" si="187"/>
        <v>2.55492911722335E-2</v>
      </c>
      <c r="K385" s="479">
        <f t="shared" si="187"/>
        <v>2.6139950095355063E-2</v>
      </c>
      <c r="L385" s="479">
        <f t="shared" si="187"/>
        <v>2.6730609018476625E-2</v>
      </c>
      <c r="M385" s="439">
        <v>0.11</v>
      </c>
      <c r="N385" s="440">
        <f t="shared" ref="N385:N399" si="188">M385*T361</f>
        <v>5.9065892312156159E-4</v>
      </c>
      <c r="O385" s="431"/>
      <c r="P385" s="431"/>
      <c r="Q385" s="431"/>
      <c r="T385" s="437"/>
      <c r="U385" s="60"/>
      <c r="V385" s="60"/>
      <c r="W385" s="60"/>
    </row>
    <row r="386" spans="1:23">
      <c r="A386" s="320" t="s">
        <v>2630</v>
      </c>
      <c r="B386" s="431">
        <v>1.5255033081133117E-2</v>
      </c>
      <c r="C386" s="431">
        <v>1.6659948188901076E-2</v>
      </c>
      <c r="D386" s="479">
        <f t="shared" si="187"/>
        <v>1.6356423242275778E-2</v>
      </c>
      <c r="E386" s="479">
        <f t="shared" si="187"/>
        <v>1.6052898295650479E-2</v>
      </c>
      <c r="F386" s="479">
        <f t="shared" si="187"/>
        <v>1.5749373349025181E-2</v>
      </c>
      <c r="G386" s="479">
        <f t="shared" si="187"/>
        <v>1.5445848402399882E-2</v>
      </c>
      <c r="H386" s="479">
        <f t="shared" si="187"/>
        <v>1.5142323455774584E-2</v>
      </c>
      <c r="I386" s="479">
        <f t="shared" si="187"/>
        <v>1.4838798509149285E-2</v>
      </c>
      <c r="J386" s="479">
        <f t="shared" si="187"/>
        <v>1.4535273562523987E-2</v>
      </c>
      <c r="K386" s="479">
        <f t="shared" si="187"/>
        <v>1.4231748615898689E-2</v>
      </c>
      <c r="L386" s="479">
        <f t="shared" si="187"/>
        <v>1.392822366927339E-2</v>
      </c>
      <c r="M386" s="439">
        <v>1</v>
      </c>
      <c r="N386" s="440">
        <f t="shared" si="188"/>
        <v>-3.0352494662529844E-4</v>
      </c>
      <c r="O386" s="431"/>
      <c r="P386" s="431"/>
      <c r="Q386" s="431"/>
      <c r="T386" s="437"/>
      <c r="U386" s="60"/>
      <c r="V386" s="60"/>
      <c r="W386" s="60"/>
    </row>
    <row r="387" spans="1:23">
      <c r="A387" t="s">
        <v>2047</v>
      </c>
      <c r="B387" s="431">
        <v>8.9079465630647371E-3</v>
      </c>
      <c r="C387" s="431">
        <v>1.4411885475101471E-2</v>
      </c>
      <c r="D387" s="479">
        <f t="shared" si="187"/>
        <v>1.4785189518030746E-2</v>
      </c>
      <c r="E387" s="479">
        <f t="shared" si="187"/>
        <v>1.515849356096002E-2</v>
      </c>
      <c r="F387" s="479">
        <f t="shared" si="187"/>
        <v>1.5531797603889294E-2</v>
      </c>
      <c r="G387" s="479">
        <f t="shared" si="187"/>
        <v>1.5905101646818569E-2</v>
      </c>
      <c r="H387" s="479">
        <f t="shared" si="187"/>
        <v>1.6278405689747845E-2</v>
      </c>
      <c r="I387" s="479">
        <f t="shared" si="187"/>
        <v>1.6651709732677121E-2</v>
      </c>
      <c r="J387" s="479">
        <f t="shared" si="187"/>
        <v>1.7025013775606397E-2</v>
      </c>
      <c r="K387" s="479">
        <f t="shared" si="187"/>
        <v>1.7398317818535673E-2</v>
      </c>
      <c r="L387" s="479">
        <f t="shared" si="187"/>
        <v>1.7771621861464949E-2</v>
      </c>
      <c r="M387" s="439">
        <v>0.2</v>
      </c>
      <c r="N387" s="440">
        <f t="shared" si="188"/>
        <v>3.7330404292927459E-4</v>
      </c>
      <c r="O387" s="431"/>
      <c r="P387" s="431"/>
      <c r="Q387" s="431"/>
      <c r="T387" s="437"/>
      <c r="U387" s="60"/>
      <c r="V387" s="60"/>
      <c r="W387" s="60"/>
    </row>
    <row r="388" spans="1:23">
      <c r="A388" t="s">
        <v>2050</v>
      </c>
      <c r="B388" s="431">
        <v>7.1358836999583846E-3</v>
      </c>
      <c r="C388" s="431">
        <v>2.4554159563471598E-2</v>
      </c>
      <c r="D388" s="479">
        <f t="shared" si="187"/>
        <v>2.497596376598487E-2</v>
      </c>
      <c r="E388" s="479">
        <f t="shared" si="187"/>
        <v>2.5397767968498141E-2</v>
      </c>
      <c r="F388" s="479">
        <f t="shared" si="187"/>
        <v>2.5819572171011412E-2</v>
      </c>
      <c r="G388" s="479">
        <f t="shared" si="187"/>
        <v>2.6241376373524684E-2</v>
      </c>
      <c r="H388" s="479">
        <f t="shared" si="187"/>
        <v>2.6663180576037955E-2</v>
      </c>
      <c r="I388" s="479">
        <f t="shared" si="187"/>
        <v>2.7084984778551226E-2</v>
      </c>
      <c r="J388" s="479">
        <f t="shared" si="187"/>
        <v>2.7506788981064498E-2</v>
      </c>
      <c r="K388" s="479">
        <f t="shared" si="187"/>
        <v>2.7928593183577769E-2</v>
      </c>
      <c r="L388" s="479">
        <f t="shared" si="187"/>
        <v>2.835039738609104E-2</v>
      </c>
      <c r="M388" s="439">
        <v>0.2</v>
      </c>
      <c r="N388" s="440">
        <f t="shared" si="188"/>
        <v>4.2180420251327244E-4</v>
      </c>
      <c r="O388" s="431"/>
      <c r="P388" s="431"/>
      <c r="Q388" s="431"/>
      <c r="T388" s="437"/>
      <c r="U388" s="60"/>
      <c r="V388" s="60"/>
      <c r="W388" s="60"/>
    </row>
    <row r="389" spans="1:23">
      <c r="A389" s="320" t="s">
        <v>2052</v>
      </c>
      <c r="B389" s="431">
        <v>1.1087927696397068E-2</v>
      </c>
      <c r="C389" s="431">
        <v>7.6395472871987847E-3</v>
      </c>
      <c r="D389" s="479">
        <f t="shared" si="187"/>
        <v>7.0735334555134134E-3</v>
      </c>
      <c r="E389" s="479">
        <f t="shared" si="187"/>
        <v>6.507519623828042E-3</v>
      </c>
      <c r="F389" s="479">
        <f t="shared" si="187"/>
        <v>5.9415057921426706E-3</v>
      </c>
      <c r="G389" s="479">
        <f t="shared" si="187"/>
        <v>5.3754919604572992E-3</v>
      </c>
      <c r="H389" s="479">
        <f t="shared" si="187"/>
        <v>4.8094781287719279E-3</v>
      </c>
      <c r="I389" s="479">
        <f t="shared" si="187"/>
        <v>4.2434642970865565E-3</v>
      </c>
      <c r="J389" s="479">
        <f t="shared" si="187"/>
        <v>3.6774504654011855E-3</v>
      </c>
      <c r="K389" s="479">
        <f t="shared" si="187"/>
        <v>3.1114366337158146E-3</v>
      </c>
      <c r="L389" s="479">
        <f t="shared" si="187"/>
        <v>2.5454228020304437E-3</v>
      </c>
      <c r="M389" s="439">
        <v>0.2</v>
      </c>
      <c r="N389" s="440">
        <f t="shared" si="188"/>
        <v>-5.6601383168537105E-4</v>
      </c>
      <c r="O389" s="431"/>
      <c r="P389" s="431"/>
      <c r="Q389" s="431"/>
      <c r="T389" s="437"/>
      <c r="U389" s="60"/>
      <c r="V389" s="60"/>
      <c r="W389" s="60"/>
    </row>
    <row r="390" spans="1:23">
      <c r="A390" s="320" t="s">
        <v>2054</v>
      </c>
      <c r="B390" s="431">
        <v>6.1789411029049938E-3</v>
      </c>
      <c r="C390" s="431">
        <v>4.2895040862607507E-3</v>
      </c>
      <c r="D390" s="479">
        <f t="shared" si="187"/>
        <v>4.1364589072517537E-3</v>
      </c>
      <c r="E390" s="479">
        <f t="shared" si="187"/>
        <v>3.9834137282427568E-3</v>
      </c>
      <c r="F390" s="479">
        <f t="shared" si="187"/>
        <v>3.8303685492337598E-3</v>
      </c>
      <c r="G390" s="479">
        <f t="shared" si="187"/>
        <v>3.6773233702247629E-3</v>
      </c>
      <c r="H390" s="479">
        <f t="shared" si="187"/>
        <v>3.5242781912157659E-3</v>
      </c>
      <c r="I390" s="479">
        <f t="shared" si="187"/>
        <v>3.371233012206769E-3</v>
      </c>
      <c r="J390" s="479">
        <f t="shared" si="187"/>
        <v>3.218187833197772E-3</v>
      </c>
      <c r="K390" s="479">
        <f t="shared" si="187"/>
        <v>3.0651426541887751E-3</v>
      </c>
      <c r="L390" s="479">
        <f t="shared" si="187"/>
        <v>2.9120974751797781E-3</v>
      </c>
      <c r="M390" s="439">
        <v>0.11</v>
      </c>
      <c r="N390" s="440">
        <f t="shared" si="188"/>
        <v>-1.5304517900899703E-4</v>
      </c>
      <c r="O390" s="431"/>
      <c r="P390" s="431"/>
      <c r="Q390" s="431"/>
      <c r="T390" s="437"/>
      <c r="U390" s="60"/>
      <c r="V390" s="60"/>
      <c r="W390" s="60"/>
    </row>
    <row r="391" spans="1:23">
      <c r="A391" s="320" t="s">
        <v>2056</v>
      </c>
      <c r="B391" s="431">
        <v>4.8996750263051777E-3</v>
      </c>
      <c r="C391" s="431">
        <v>2.1677412477752078E-3</v>
      </c>
      <c r="D391" s="479">
        <f t="shared" si="187"/>
        <v>2.0191643278308683E-3</v>
      </c>
      <c r="E391" s="479">
        <f t="shared" si="187"/>
        <v>1.870587407886529E-3</v>
      </c>
      <c r="F391" s="479">
        <f t="shared" si="187"/>
        <v>1.7220104879421896E-3</v>
      </c>
      <c r="G391" s="479">
        <f t="shared" si="187"/>
        <v>1.5734335679978503E-3</v>
      </c>
      <c r="H391" s="479">
        <f t="shared" si="187"/>
        <v>1.424856648053511E-3</v>
      </c>
      <c r="I391" s="479">
        <f t="shared" si="187"/>
        <v>1.2762797281091717E-3</v>
      </c>
      <c r="J391" s="479">
        <f t="shared" si="187"/>
        <v>1.1277028081648323E-3</v>
      </c>
      <c r="K391" s="479">
        <f t="shared" si="187"/>
        <v>9.7912588822049299E-4</v>
      </c>
      <c r="L391" s="479">
        <f t="shared" si="187"/>
        <v>8.3054896827615356E-4</v>
      </c>
      <c r="M391" s="439">
        <v>0.11</v>
      </c>
      <c r="N391" s="440">
        <f t="shared" si="188"/>
        <v>-1.4857691994433941E-4</v>
      </c>
      <c r="O391" s="431"/>
      <c r="P391" s="431"/>
      <c r="Q391" s="431"/>
      <c r="T391" s="437"/>
      <c r="U391" s="60"/>
      <c r="V391" s="60"/>
      <c r="W391" s="60"/>
    </row>
    <row r="392" spans="1:23">
      <c r="A392" s="394" t="s">
        <v>2058</v>
      </c>
      <c r="B392" s="431">
        <v>8.0436540595209702E-2</v>
      </c>
      <c r="C392" s="431">
        <v>7.3444409663498092E-2</v>
      </c>
      <c r="D392" s="479">
        <f t="shared" si="187"/>
        <v>6.8913550947313953E-2</v>
      </c>
      <c r="E392" s="479">
        <f t="shared" si="187"/>
        <v>6.4382692231129815E-2</v>
      </c>
      <c r="F392" s="479">
        <f t="shared" si="187"/>
        <v>5.9851833514945683E-2</v>
      </c>
      <c r="G392" s="479">
        <f t="shared" si="187"/>
        <v>5.5320974798761552E-2</v>
      </c>
      <c r="H392" s="479">
        <f t="shared" si="187"/>
        <v>5.079011608257742E-2</v>
      </c>
      <c r="I392" s="479">
        <f t="shared" si="187"/>
        <v>4.6259257366393289E-2</v>
      </c>
      <c r="J392" s="479">
        <f t="shared" si="187"/>
        <v>4.1728398650209157E-2</v>
      </c>
      <c r="K392" s="479">
        <f t="shared" si="187"/>
        <v>3.7197539934025026E-2</v>
      </c>
      <c r="L392" s="479">
        <f t="shared" si="187"/>
        <v>3.2666681217840894E-2</v>
      </c>
      <c r="M392" s="439">
        <v>0.6</v>
      </c>
      <c r="N392" s="440">
        <f t="shared" si="188"/>
        <v>-4.5308587161841324E-3</v>
      </c>
      <c r="O392" s="431"/>
      <c r="P392" s="431"/>
      <c r="Q392" s="431"/>
      <c r="T392" s="437"/>
      <c r="U392" s="60"/>
      <c r="V392" s="60"/>
      <c r="W392" s="60"/>
    </row>
    <row r="393" spans="1:23">
      <c r="A393" s="320" t="s">
        <v>2059</v>
      </c>
      <c r="B393" s="431">
        <v>3.9817872908568287E-2</v>
      </c>
      <c r="C393" s="431">
        <v>3.7209857470684539E-2</v>
      </c>
      <c r="D393" s="479">
        <f t="shared" si="187"/>
        <v>3.5245405431436817E-2</v>
      </c>
      <c r="E393" s="479">
        <f t="shared" si="187"/>
        <v>3.3280953392189096E-2</v>
      </c>
      <c r="F393" s="479">
        <f t="shared" si="187"/>
        <v>3.1316501352941374E-2</v>
      </c>
      <c r="G393" s="479">
        <f t="shared" si="187"/>
        <v>2.9352049313693652E-2</v>
      </c>
      <c r="H393" s="479">
        <f t="shared" si="187"/>
        <v>2.7387597274445931E-2</v>
      </c>
      <c r="I393" s="479">
        <f t="shared" si="187"/>
        <v>2.5423145235198209E-2</v>
      </c>
      <c r="J393" s="479">
        <f t="shared" si="187"/>
        <v>2.3458693195950488E-2</v>
      </c>
      <c r="K393" s="479">
        <f t="shared" si="187"/>
        <v>2.1494241156702766E-2</v>
      </c>
      <c r="L393" s="479">
        <f t="shared" si="187"/>
        <v>1.9529789117455044E-2</v>
      </c>
      <c r="M393" s="439">
        <v>1</v>
      </c>
      <c r="N393" s="440">
        <f t="shared" si="188"/>
        <v>-1.9644520392477216E-3</v>
      </c>
      <c r="O393" s="431"/>
      <c r="P393" s="431"/>
      <c r="Q393" s="431"/>
      <c r="T393" s="437"/>
      <c r="U393" s="60"/>
      <c r="V393" s="60"/>
      <c r="W393" s="60"/>
    </row>
    <row r="394" spans="1:23">
      <c r="A394" t="s">
        <v>2063</v>
      </c>
      <c r="B394" s="431">
        <v>0</v>
      </c>
      <c r="C394" s="431">
        <v>1.0702647680773968E-3</v>
      </c>
      <c r="D394" s="479">
        <f t="shared" si="187"/>
        <v>1.2679296440848589E-3</v>
      </c>
      <c r="E394" s="479">
        <f t="shared" si="187"/>
        <v>1.465594520092321E-3</v>
      </c>
      <c r="F394" s="479">
        <f t="shared" si="187"/>
        <v>1.663259396099783E-3</v>
      </c>
      <c r="G394" s="479">
        <f t="shared" si="187"/>
        <v>1.8609242721072451E-3</v>
      </c>
      <c r="H394" s="479">
        <f t="shared" si="187"/>
        <v>2.0585891481147071E-3</v>
      </c>
      <c r="I394" s="479">
        <f t="shared" si="187"/>
        <v>2.2562540241221692E-3</v>
      </c>
      <c r="J394" s="479">
        <f t="shared" si="187"/>
        <v>2.4539189001296312E-3</v>
      </c>
      <c r="K394" s="479">
        <f t="shared" si="187"/>
        <v>2.6515837761370933E-3</v>
      </c>
      <c r="L394" s="479">
        <f t="shared" si="187"/>
        <v>2.8492486521445553E-3</v>
      </c>
      <c r="M394" s="439">
        <v>0.2</v>
      </c>
      <c r="N394" s="440">
        <f t="shared" si="188"/>
        <v>1.9766487600746197E-4</v>
      </c>
      <c r="O394" s="431"/>
      <c r="P394" s="431"/>
      <c r="Q394" s="431"/>
      <c r="T394" s="437"/>
      <c r="U394" s="60"/>
      <c r="V394" s="60"/>
      <c r="W394" s="60"/>
    </row>
    <row r="395" spans="1:23">
      <c r="A395" s="320" t="s">
        <v>2065</v>
      </c>
      <c r="B395" s="431">
        <v>8.0134989073234048E-3</v>
      </c>
      <c r="C395" s="431">
        <v>6.5974325656252648E-3</v>
      </c>
      <c r="D395" s="479">
        <f t="shared" si="187"/>
        <v>6.7171393772477387E-3</v>
      </c>
      <c r="E395" s="479">
        <f t="shared" si="187"/>
        <v>6.8368461888702126E-3</v>
      </c>
      <c r="F395" s="479">
        <f t="shared" si="187"/>
        <v>6.9565530004926865E-3</v>
      </c>
      <c r="G395" s="479">
        <f t="shared" si="187"/>
        <v>7.0762598121151604E-3</v>
      </c>
      <c r="H395" s="479">
        <f t="shared" si="187"/>
        <v>7.1959666237376343E-3</v>
      </c>
      <c r="I395" s="479">
        <f t="shared" si="187"/>
        <v>7.3156734353601082E-3</v>
      </c>
      <c r="J395" s="479">
        <f t="shared" si="187"/>
        <v>7.4353802469825821E-3</v>
      </c>
      <c r="K395" s="479">
        <f t="shared" si="187"/>
        <v>7.555087058605056E-3</v>
      </c>
      <c r="L395" s="479">
        <f t="shared" si="187"/>
        <v>7.6747938702275299E-3</v>
      </c>
      <c r="M395" s="439">
        <v>0.11</v>
      </c>
      <c r="N395" s="440">
        <f t="shared" si="188"/>
        <v>1.197068116224739E-4</v>
      </c>
      <c r="O395" s="431"/>
      <c r="P395" s="431"/>
      <c r="Q395" s="431"/>
      <c r="T395" s="437"/>
      <c r="U395" s="60"/>
      <c r="V395" s="60"/>
      <c r="W395" s="60"/>
    </row>
    <row r="396" spans="1:23">
      <c r="A396" t="s">
        <v>2067</v>
      </c>
      <c r="B396" s="431">
        <v>3.0312732565343924E-3</v>
      </c>
      <c r="C396" s="431">
        <v>5.6444596579806883E-3</v>
      </c>
      <c r="D396" s="479">
        <f t="shared" si="187"/>
        <v>5.3422659063506028E-3</v>
      </c>
      <c r="E396" s="479">
        <f t="shared" si="187"/>
        <v>5.0400721547205173E-3</v>
      </c>
      <c r="F396" s="479">
        <f t="shared" si="187"/>
        <v>4.7378784030904317E-3</v>
      </c>
      <c r="G396" s="479">
        <f t="shared" si="187"/>
        <v>4.4356846514603462E-3</v>
      </c>
      <c r="H396" s="479">
        <f t="shared" si="187"/>
        <v>4.1334908998302607E-3</v>
      </c>
      <c r="I396" s="479">
        <f t="shared" si="187"/>
        <v>3.8312971482001748E-3</v>
      </c>
      <c r="J396" s="479">
        <f t="shared" si="187"/>
        <v>3.5291033965700888E-3</v>
      </c>
      <c r="K396" s="479">
        <f t="shared" si="187"/>
        <v>3.2269096449400029E-3</v>
      </c>
      <c r="L396" s="479">
        <f t="shared" si="187"/>
        <v>2.924715893309917E-3</v>
      </c>
      <c r="M396" s="439">
        <v>0.11</v>
      </c>
      <c r="N396" s="440">
        <f t="shared" si="188"/>
        <v>-3.0219375163008594E-4</v>
      </c>
      <c r="O396" s="431"/>
      <c r="P396" s="431"/>
      <c r="Q396" s="431"/>
      <c r="T396" s="437"/>
      <c r="U396" s="60"/>
      <c r="V396" s="60"/>
      <c r="W396" s="60"/>
    </row>
    <row r="397" spans="1:23">
      <c r="A397" t="s">
        <v>2069</v>
      </c>
      <c r="B397" s="431">
        <v>0</v>
      </c>
      <c r="C397" s="431">
        <v>8.2145589037846429E-3</v>
      </c>
      <c r="D397" s="479">
        <f t="shared" si="187"/>
        <v>8.9628231257014076E-3</v>
      </c>
      <c r="E397" s="479">
        <f t="shared" si="187"/>
        <v>9.7110873476181723E-3</v>
      </c>
      <c r="F397" s="479">
        <f t="shared" si="187"/>
        <v>1.0459351569534937E-2</v>
      </c>
      <c r="G397" s="479">
        <f t="shared" si="187"/>
        <v>1.1207615791451702E-2</v>
      </c>
      <c r="H397" s="479">
        <f t="shared" si="187"/>
        <v>1.1955880013368466E-2</v>
      </c>
      <c r="I397" s="479">
        <f t="shared" si="187"/>
        <v>1.2704144235285231E-2</v>
      </c>
      <c r="J397" s="479">
        <f t="shared" si="187"/>
        <v>1.3452408457201996E-2</v>
      </c>
      <c r="K397" s="479">
        <f t="shared" si="187"/>
        <v>1.420067267911876E-2</v>
      </c>
      <c r="L397" s="479">
        <f t="shared" si="187"/>
        <v>1.4948936901035525E-2</v>
      </c>
      <c r="M397" s="439">
        <v>0.11</v>
      </c>
      <c r="N397" s="440">
        <f t="shared" si="188"/>
        <v>7.4826422191676481E-4</v>
      </c>
      <c r="O397" s="431"/>
      <c r="P397" s="431"/>
      <c r="Q397" s="431"/>
      <c r="T397" s="437"/>
      <c r="U397" s="60"/>
      <c r="V397" s="60"/>
      <c r="W397" s="60"/>
    </row>
    <row r="398" spans="1:23">
      <c r="A398" t="s">
        <v>2070</v>
      </c>
      <c r="B398" s="431">
        <v>1.2957403877766342E-2</v>
      </c>
      <c r="C398" s="431">
        <v>9.8769129833269145E-3</v>
      </c>
      <c r="D398" s="479">
        <f t="shared" si="187"/>
        <v>1.1674780732144592E-2</v>
      </c>
      <c r="E398" s="479">
        <f t="shared" si="187"/>
        <v>1.347264848096227E-2</v>
      </c>
      <c r="F398" s="479">
        <f t="shared" si="187"/>
        <v>1.5270516229779948E-2</v>
      </c>
      <c r="G398" s="479">
        <f t="shared" si="187"/>
        <v>1.7068383978597626E-2</v>
      </c>
      <c r="H398" s="479">
        <f t="shared" si="187"/>
        <v>1.8866251727415302E-2</v>
      </c>
      <c r="I398" s="479">
        <f t="shared" si="187"/>
        <v>2.0664119476232978E-2</v>
      </c>
      <c r="J398" s="479">
        <f t="shared" si="187"/>
        <v>2.2461987225050654E-2</v>
      </c>
      <c r="K398" s="479">
        <f t="shared" si="187"/>
        <v>2.4259854973868331E-2</v>
      </c>
      <c r="L398" s="479">
        <f t="shared" si="187"/>
        <v>2.6057722722686007E-2</v>
      </c>
      <c r="M398" s="439">
        <v>0.5</v>
      </c>
      <c r="N398" s="440">
        <f t="shared" si="188"/>
        <v>1.7978677488176772E-3</v>
      </c>
      <c r="O398" s="431"/>
      <c r="P398" s="431"/>
      <c r="Q398" s="431"/>
      <c r="T398" s="437"/>
      <c r="U398" s="60"/>
      <c r="V398" s="60"/>
      <c r="W398" s="60"/>
    </row>
    <row r="399" spans="1:23">
      <c r="A399" s="320" t="s">
        <v>2072</v>
      </c>
      <c r="B399" s="431">
        <v>2.0302618770830155E-2</v>
      </c>
      <c r="C399" s="431">
        <v>8.2978830414361174E-3</v>
      </c>
      <c r="D399" s="479">
        <f t="shared" si="187"/>
        <v>7.5294235645694853E-3</v>
      </c>
      <c r="E399" s="479">
        <f t="shared" si="187"/>
        <v>6.7609640877028532E-3</v>
      </c>
      <c r="F399" s="479">
        <f t="shared" si="187"/>
        <v>5.9925046108362211E-3</v>
      </c>
      <c r="G399" s="479">
        <f t="shared" si="187"/>
        <v>5.224045133969589E-3</v>
      </c>
      <c r="H399" s="479">
        <f t="shared" si="187"/>
        <v>4.4555856571029569E-3</v>
      </c>
      <c r="I399" s="479">
        <f t="shared" si="187"/>
        <v>3.6871261802363248E-3</v>
      </c>
      <c r="J399" s="479">
        <f t="shared" si="187"/>
        <v>2.9186667033696927E-3</v>
      </c>
      <c r="K399" s="479">
        <f t="shared" si="187"/>
        <v>2.1502072265030606E-3</v>
      </c>
      <c r="L399" s="479">
        <f>K399+$N399</f>
        <v>1.3817477496364285E-3</v>
      </c>
      <c r="M399" s="439">
        <v>0.4</v>
      </c>
      <c r="N399" s="440">
        <f t="shared" si="188"/>
        <v>-7.6845947686663199E-4</v>
      </c>
      <c r="O399" s="431"/>
      <c r="P399" s="431"/>
      <c r="Q399" s="431"/>
      <c r="T399" s="437"/>
      <c r="U399" s="60"/>
      <c r="V399" s="60"/>
      <c r="W399" s="60"/>
    </row>
    <row r="400" spans="1:23">
      <c r="A400" s="394" t="s">
        <v>2074</v>
      </c>
      <c r="B400" s="431">
        <f t="shared" ref="B400:L400" si="189">B341</f>
        <v>6.1495380388263701E-2</v>
      </c>
      <c r="C400" s="431">
        <f t="shared" si="189"/>
        <v>5.5046665270424358E-2</v>
      </c>
      <c r="D400" s="431">
        <f t="shared" si="189"/>
        <v>5.0995278690797112E-2</v>
      </c>
      <c r="E400" s="431">
        <f t="shared" si="189"/>
        <v>4.6943892111169866E-2</v>
      </c>
      <c r="F400" s="431">
        <f t="shared" si="189"/>
        <v>4.289250553154262E-2</v>
      </c>
      <c r="G400" s="431">
        <f t="shared" si="189"/>
        <v>3.8841118951915374E-2</v>
      </c>
      <c r="H400" s="431">
        <f t="shared" si="189"/>
        <v>3.4789732372288128E-2</v>
      </c>
      <c r="I400" s="431">
        <f t="shared" si="189"/>
        <v>3.0738345792660882E-2</v>
      </c>
      <c r="J400" s="431">
        <f t="shared" si="189"/>
        <v>2.6686959213033636E-2</v>
      </c>
      <c r="K400" s="431">
        <f t="shared" si="189"/>
        <v>2.2635572633406389E-2</v>
      </c>
      <c r="L400" s="431">
        <f t="shared" si="189"/>
        <v>1.8584186053779143E-2</v>
      </c>
      <c r="M400" s="555">
        <f>N341</f>
        <v>0.5</v>
      </c>
      <c r="N400" s="431">
        <f>O341</f>
        <v>-4.0513865796272461E-3</v>
      </c>
      <c r="O400" s="431"/>
      <c r="P400" s="431"/>
      <c r="Q400" s="431"/>
      <c r="T400" s="437"/>
      <c r="U400" s="60"/>
      <c r="V400" s="60"/>
      <c r="W400" s="60"/>
    </row>
    <row r="401" spans="1:23">
      <c r="A401" s="64" t="s">
        <v>2036</v>
      </c>
      <c r="B401" s="320"/>
      <c r="C401" s="320"/>
      <c r="D401" s="528"/>
      <c r="E401" s="528"/>
      <c r="F401" s="428"/>
      <c r="G401" s="474"/>
      <c r="H401" s="529"/>
      <c r="I401" s="397"/>
      <c r="J401" s="397"/>
      <c r="K401" s="397"/>
      <c r="L401" s="431"/>
      <c r="M401" s="431"/>
      <c r="N401" s="431"/>
      <c r="O401" s="431"/>
      <c r="P401" s="431"/>
      <c r="Q401" s="431"/>
      <c r="T401" s="437"/>
      <c r="U401" s="60"/>
      <c r="V401" s="60"/>
      <c r="W401" s="60"/>
    </row>
    <row r="402" spans="1:23">
      <c r="A402" t="s">
        <v>177</v>
      </c>
      <c r="B402" s="398">
        <v>0</v>
      </c>
      <c r="C402" s="398">
        <v>110971</v>
      </c>
      <c r="D402" s="480">
        <f>D383*D381</f>
        <v>211541.63747108221</v>
      </c>
      <c r="E402" s="480">
        <f t="shared" ref="E402:L402" si="190">E383*E381</f>
        <v>305820.4006736952</v>
      </c>
      <c r="F402" s="480">
        <f t="shared" si="190"/>
        <v>404966.71461152966</v>
      </c>
      <c r="G402" s="480">
        <f t="shared" si="190"/>
        <v>500818.44638125994</v>
      </c>
      <c r="H402" s="480">
        <f t="shared" si="190"/>
        <v>598747.8726352891</v>
      </c>
      <c r="I402" s="480">
        <f t="shared" si="190"/>
        <v>695423.24994704535</v>
      </c>
      <c r="J402" s="480">
        <f t="shared" si="190"/>
        <v>792833.25257999985</v>
      </c>
      <c r="K402" s="480">
        <f t="shared" si="190"/>
        <v>889822.14212732448</v>
      </c>
      <c r="L402" s="480">
        <f t="shared" si="190"/>
        <v>987048.48842997942</v>
      </c>
      <c r="M402" s="431"/>
      <c r="N402" s="431"/>
      <c r="O402" s="431"/>
      <c r="P402" s="431"/>
      <c r="Q402" s="431"/>
      <c r="T402" s="437"/>
      <c r="U402" s="60"/>
      <c r="V402" s="60"/>
      <c r="W402" s="60"/>
    </row>
    <row r="403" spans="1:23">
      <c r="A403" s="320" t="s">
        <v>178</v>
      </c>
      <c r="B403" s="398">
        <v>19616</v>
      </c>
      <c r="C403" s="398">
        <v>34265</v>
      </c>
      <c r="D403" s="465">
        <f>D384*D381</f>
        <v>27127.139950261237</v>
      </c>
      <c r="E403" s="465">
        <f t="shared" ref="E403:L403" si="191">E384*E381</f>
        <v>30742.729962695928</v>
      </c>
      <c r="F403" s="465">
        <f t="shared" si="191"/>
        <v>28946.599953369907</v>
      </c>
      <c r="G403" s="465">
        <f t="shared" si="191"/>
        <v>29847.581207255749</v>
      </c>
      <c r="H403" s="465">
        <f t="shared" si="191"/>
        <v>29397.819642618535</v>
      </c>
      <c r="I403" s="465">
        <f t="shared" si="191"/>
        <v>29622.882690513568</v>
      </c>
      <c r="J403" s="465">
        <f t="shared" si="191"/>
        <v>29510.396732960162</v>
      </c>
      <c r="K403" s="465">
        <f t="shared" si="191"/>
        <v>29566.651103335389</v>
      </c>
      <c r="L403" s="465">
        <f t="shared" si="191"/>
        <v>29538.526766047406</v>
      </c>
      <c r="M403" s="431"/>
      <c r="N403" s="431"/>
      <c r="O403" s="431"/>
      <c r="P403" s="431"/>
      <c r="Q403" s="431"/>
      <c r="T403" s="437"/>
      <c r="U403" s="60"/>
      <c r="V403" s="60"/>
      <c r="W403" s="60"/>
    </row>
    <row r="404" spans="1:23">
      <c r="A404" s="320"/>
      <c r="B404" s="320"/>
      <c r="C404" s="320"/>
      <c r="D404" s="528"/>
      <c r="E404" s="528"/>
      <c r="F404" s="428"/>
      <c r="G404" s="474"/>
      <c r="H404" s="529"/>
      <c r="I404" s="397"/>
      <c r="J404" s="397"/>
      <c r="K404" s="397"/>
      <c r="L404" s="431"/>
      <c r="M404" s="431"/>
      <c r="N404" s="431"/>
      <c r="O404" s="431"/>
      <c r="P404" s="431"/>
      <c r="Q404" s="431"/>
      <c r="T404" s="437"/>
      <c r="U404" s="60"/>
      <c r="V404" s="60"/>
      <c r="W404" s="60"/>
    </row>
    <row r="405" spans="1:23" s="423" customFormat="1">
      <c r="A405" s="421" t="s">
        <v>2631</v>
      </c>
    </row>
    <row r="406" spans="1:23" s="400" customFormat="1" ht="70">
      <c r="A406" s="527" t="s">
        <v>0</v>
      </c>
      <c r="B406" s="527" t="s">
        <v>2018</v>
      </c>
      <c r="C406" s="527" t="s">
        <v>2019</v>
      </c>
      <c r="D406" s="527" t="s">
        <v>2020</v>
      </c>
      <c r="E406" s="527" t="s">
        <v>2021</v>
      </c>
      <c r="F406" s="527" t="s">
        <v>2022</v>
      </c>
      <c r="G406" s="527" t="s">
        <v>1840</v>
      </c>
      <c r="H406" s="527" t="s">
        <v>2023</v>
      </c>
      <c r="I406" s="527" t="s">
        <v>2024</v>
      </c>
      <c r="J406" s="527" t="s">
        <v>2025</v>
      </c>
      <c r="K406" s="527" t="s">
        <v>2456</v>
      </c>
      <c r="L406" s="527" t="s">
        <v>2027</v>
      </c>
      <c r="M406" s="527" t="s">
        <v>2028</v>
      </c>
      <c r="N406" s="527" t="s">
        <v>2457</v>
      </c>
      <c r="O406" s="527" t="s">
        <v>2030</v>
      </c>
      <c r="P406" s="527" t="s">
        <v>2031</v>
      </c>
      <c r="Q406" s="527" t="s">
        <v>2032</v>
      </c>
      <c r="R406" s="527" t="s">
        <v>2033</v>
      </c>
      <c r="S406" s="527" t="s">
        <v>2034</v>
      </c>
      <c r="T406" s="527" t="s">
        <v>2035</v>
      </c>
      <c r="U406" s="527"/>
      <c r="V406" s="527"/>
      <c r="W406" s="527"/>
    </row>
    <row r="407" spans="1:23" ht="14.5">
      <c r="A407" s="424" t="s">
        <v>25</v>
      </c>
      <c r="B407" s="425" t="s">
        <v>182</v>
      </c>
      <c r="C407" s="394" t="s">
        <v>2036</v>
      </c>
      <c r="D407" s="425" t="s">
        <v>2037</v>
      </c>
      <c r="E407" s="425" t="s">
        <v>2253</v>
      </c>
      <c r="F407" s="487" t="s">
        <v>2060</v>
      </c>
      <c r="G407" s="485">
        <v>33302</v>
      </c>
      <c r="H407" s="425" t="s">
        <v>2575</v>
      </c>
      <c r="I407" s="476">
        <v>28773</v>
      </c>
      <c r="J407" s="476">
        <v>87082</v>
      </c>
      <c r="K407" s="476">
        <v>65024</v>
      </c>
      <c r="L407" s="486">
        <v>9.7999999999999997E-3</v>
      </c>
      <c r="M407" s="486">
        <v>2.7199999999999998E-2</v>
      </c>
      <c r="N407" s="486">
        <v>4.1200000000000001E-2</v>
      </c>
      <c r="O407" s="430">
        <f t="shared" ref="O407:O420" si="192">M407-L407</f>
        <v>1.7399999999999999E-2</v>
      </c>
      <c r="P407" s="430">
        <f t="shared" ref="P407:P420" si="193">N407-M407</f>
        <v>1.4000000000000002E-2</v>
      </c>
      <c r="Q407" s="430">
        <f t="shared" ref="Q407:Q420" si="194">N407-L407</f>
        <v>3.1399999999999997E-2</v>
      </c>
      <c r="R407" s="436">
        <f>SUM(Q409:Q420)/2.5</f>
        <v>-6.6000000000000034E-3</v>
      </c>
      <c r="S407" s="436">
        <f>R407+T407</f>
        <v>5.9599999999999948E-3</v>
      </c>
      <c r="T407" s="436">
        <f t="shared" ref="T407:T420" si="195">Q407/2.5</f>
        <v>1.2559999999999998E-2</v>
      </c>
    </row>
    <row r="408" spans="1:23" ht="14.5">
      <c r="A408" s="424" t="s">
        <v>25</v>
      </c>
      <c r="B408" s="425" t="s">
        <v>1854</v>
      </c>
      <c r="C408" s="394" t="s">
        <v>2036</v>
      </c>
      <c r="D408" s="425" t="s">
        <v>2037</v>
      </c>
      <c r="E408" s="425" t="s">
        <v>2253</v>
      </c>
      <c r="F408" s="488" t="s">
        <v>2039</v>
      </c>
      <c r="G408" s="485">
        <v>34542</v>
      </c>
      <c r="H408" s="425" t="s">
        <v>2423</v>
      </c>
      <c r="I408" s="476">
        <v>11783</v>
      </c>
      <c r="J408" s="476">
        <v>30500</v>
      </c>
      <c r="K408" s="476">
        <v>32200</v>
      </c>
      <c r="L408" s="486">
        <v>4.0000000000000001E-3</v>
      </c>
      <c r="M408" s="486">
        <v>9.4999999999999998E-3</v>
      </c>
      <c r="N408" s="486">
        <v>2.0400000000000001E-2</v>
      </c>
      <c r="O408" s="430">
        <f t="shared" si="192"/>
        <v>5.4999999999999997E-3</v>
      </c>
      <c r="P408" s="430">
        <f t="shared" si="193"/>
        <v>1.0900000000000002E-2</v>
      </c>
      <c r="Q408" s="430">
        <f t="shared" si="194"/>
        <v>1.6400000000000001E-2</v>
      </c>
      <c r="R408" s="436">
        <f>SUM(Q409:Q420)/2.5</f>
        <v>-6.6000000000000034E-3</v>
      </c>
      <c r="S408" s="436">
        <f>R408+T408</f>
        <v>-4.0000000000002707E-5</v>
      </c>
      <c r="T408" s="436">
        <f t="shared" si="195"/>
        <v>6.5600000000000007E-3</v>
      </c>
    </row>
    <row r="409" spans="1:23" ht="14.5">
      <c r="A409" s="393" t="s">
        <v>2632</v>
      </c>
      <c r="B409" s="394" t="s">
        <v>2633</v>
      </c>
      <c r="C409" s="394" t="s">
        <v>2036</v>
      </c>
      <c r="D409" s="394" t="s">
        <v>2037</v>
      </c>
      <c r="E409" s="394" t="s">
        <v>2253</v>
      </c>
      <c r="F409" s="394" t="s">
        <v>2043</v>
      </c>
      <c r="G409" s="408">
        <v>31751</v>
      </c>
      <c r="H409" s="394" t="s">
        <v>2487</v>
      </c>
      <c r="I409" s="477">
        <v>769</v>
      </c>
      <c r="J409" s="411">
        <v>1256</v>
      </c>
      <c r="K409" s="477">
        <v>0</v>
      </c>
      <c r="L409" s="486">
        <v>2.9999999999999997E-4</v>
      </c>
      <c r="M409" s="486">
        <v>4.0000000000000002E-4</v>
      </c>
      <c r="N409" s="486">
        <v>0</v>
      </c>
      <c r="O409" s="430">
        <f t="shared" si="192"/>
        <v>1.0000000000000005E-4</v>
      </c>
      <c r="P409" s="430">
        <f t="shared" si="193"/>
        <v>-4.0000000000000002E-4</v>
      </c>
      <c r="Q409" s="430">
        <f t="shared" si="194"/>
        <v>-2.9999999999999997E-4</v>
      </c>
      <c r="T409" s="436">
        <f t="shared" si="195"/>
        <v>-1.1999999999999999E-4</v>
      </c>
    </row>
    <row r="410" spans="1:23" ht="14.5">
      <c r="A410" s="393" t="s">
        <v>2071</v>
      </c>
      <c r="B410" s="394" t="s">
        <v>2634</v>
      </c>
      <c r="C410" s="394" t="s">
        <v>2036</v>
      </c>
      <c r="D410" s="394" t="s">
        <v>2037</v>
      </c>
      <c r="E410" s="394" t="s">
        <v>2200</v>
      </c>
      <c r="F410" s="394" t="s">
        <v>2043</v>
      </c>
      <c r="G410" s="408">
        <v>28650</v>
      </c>
      <c r="H410" s="394" t="s">
        <v>2485</v>
      </c>
      <c r="I410" s="411">
        <v>210574</v>
      </c>
      <c r="J410" s="411">
        <v>201329</v>
      </c>
      <c r="K410" s="411">
        <v>97588</v>
      </c>
      <c r="L410" s="486">
        <v>7.1800000000000003E-2</v>
      </c>
      <c r="M410" s="486">
        <v>6.2799999999999995E-2</v>
      </c>
      <c r="N410" s="486">
        <v>6.1800000000000001E-2</v>
      </c>
      <c r="O410" s="430">
        <f t="shared" si="192"/>
        <v>-9.000000000000008E-3</v>
      </c>
      <c r="P410" s="430">
        <f t="shared" si="193"/>
        <v>-9.9999999999999395E-4</v>
      </c>
      <c r="Q410" s="430">
        <f t="shared" si="194"/>
        <v>-1.0000000000000002E-2</v>
      </c>
      <c r="T410" s="436">
        <f t="shared" si="195"/>
        <v>-4.000000000000001E-3</v>
      </c>
    </row>
    <row r="411" spans="1:23" ht="14.5">
      <c r="A411" s="393" t="s">
        <v>2073</v>
      </c>
      <c r="B411" s="394" t="s">
        <v>2635</v>
      </c>
      <c r="C411" s="394" t="s">
        <v>2036</v>
      </c>
      <c r="D411" s="394" t="s">
        <v>2037</v>
      </c>
      <c r="E411" s="394" t="s">
        <v>2200</v>
      </c>
      <c r="F411" s="394" t="s">
        <v>2043</v>
      </c>
      <c r="G411" s="408">
        <v>32061</v>
      </c>
      <c r="H411" s="394" t="s">
        <v>2575</v>
      </c>
      <c r="I411" s="411">
        <v>76690</v>
      </c>
      <c r="J411" s="411">
        <v>117188</v>
      </c>
      <c r="K411" s="411">
        <v>57141</v>
      </c>
      <c r="L411" s="486">
        <v>2.6100000000000002E-2</v>
      </c>
      <c r="M411" s="486">
        <v>3.6600000000000001E-2</v>
      </c>
      <c r="N411" s="486">
        <v>3.6200000000000003E-2</v>
      </c>
      <c r="O411" s="430">
        <f t="shared" si="192"/>
        <v>1.0499999999999999E-2</v>
      </c>
      <c r="P411" s="430">
        <f t="shared" si="193"/>
        <v>-3.9999999999999758E-4</v>
      </c>
      <c r="Q411" s="430">
        <f t="shared" si="194"/>
        <v>1.0100000000000001E-2</v>
      </c>
      <c r="T411" s="436">
        <f t="shared" si="195"/>
        <v>4.0400000000000002E-3</v>
      </c>
    </row>
    <row r="412" spans="1:23" ht="14.5">
      <c r="A412" s="394" t="s">
        <v>2236</v>
      </c>
      <c r="B412" s="394" t="s">
        <v>2636</v>
      </c>
      <c r="C412" s="394" t="s">
        <v>2036</v>
      </c>
      <c r="D412" s="394" t="s">
        <v>2037</v>
      </c>
      <c r="E412" s="394" t="s">
        <v>2200</v>
      </c>
      <c r="F412" s="394" t="s">
        <v>2043</v>
      </c>
      <c r="G412" s="408">
        <v>28821</v>
      </c>
      <c r="H412" s="394" t="s">
        <v>2485</v>
      </c>
      <c r="I412" s="411">
        <v>128882</v>
      </c>
      <c r="J412" s="411">
        <v>114769</v>
      </c>
      <c r="K412" s="411">
        <v>59462</v>
      </c>
      <c r="L412" s="486">
        <v>4.3900000000000002E-2</v>
      </c>
      <c r="M412" s="486">
        <v>3.5799999999999998E-2</v>
      </c>
      <c r="N412" s="486">
        <v>3.7699999999999997E-2</v>
      </c>
      <c r="O412" s="431">
        <f t="shared" si="192"/>
        <v>-8.100000000000003E-3</v>
      </c>
      <c r="P412" s="431">
        <f t="shared" si="193"/>
        <v>1.8999999999999989E-3</v>
      </c>
      <c r="Q412" s="431">
        <f t="shared" si="194"/>
        <v>-6.2000000000000041E-3</v>
      </c>
      <c r="T412" s="436">
        <f t="shared" si="195"/>
        <v>-2.4800000000000017E-3</v>
      </c>
    </row>
    <row r="413" spans="1:23" ht="14.5">
      <c r="A413" s="394" t="s">
        <v>2053</v>
      </c>
      <c r="B413" s="394" t="s">
        <v>2637</v>
      </c>
      <c r="C413" s="394" t="s">
        <v>2036</v>
      </c>
      <c r="D413" s="394" t="s">
        <v>2037</v>
      </c>
      <c r="E413" s="394" t="s">
        <v>2253</v>
      </c>
      <c r="F413" s="394" t="s">
        <v>2043</v>
      </c>
      <c r="G413" s="408">
        <v>35488</v>
      </c>
      <c r="H413" s="394" t="s">
        <v>2423</v>
      </c>
      <c r="I413" s="411">
        <v>18071</v>
      </c>
      <c r="J413" s="411">
        <v>18588</v>
      </c>
      <c r="K413" s="411">
        <v>3789</v>
      </c>
      <c r="L413" s="486">
        <v>6.1999999999999998E-3</v>
      </c>
      <c r="M413" s="486">
        <v>5.7999999999999996E-3</v>
      </c>
      <c r="N413" s="486">
        <v>2.3999999999999998E-3</v>
      </c>
      <c r="O413" s="430">
        <f t="shared" si="192"/>
        <v>-4.0000000000000018E-4</v>
      </c>
      <c r="P413" s="430">
        <f t="shared" si="193"/>
        <v>-3.3999999999999998E-3</v>
      </c>
      <c r="Q413" s="430">
        <f t="shared" si="194"/>
        <v>-3.8E-3</v>
      </c>
      <c r="T413" s="436">
        <f t="shared" si="195"/>
        <v>-1.5200000000000001E-3</v>
      </c>
    </row>
    <row r="414" spans="1:23" ht="14.5">
      <c r="A414" s="394" t="s">
        <v>2046</v>
      </c>
      <c r="B414" s="394" t="s">
        <v>2638</v>
      </c>
      <c r="C414" s="394" t="s">
        <v>2036</v>
      </c>
      <c r="D414" s="394" t="s">
        <v>2037</v>
      </c>
      <c r="E414" s="394" t="s">
        <v>2200</v>
      </c>
      <c r="F414" s="394" t="s">
        <v>2048</v>
      </c>
      <c r="G414" s="408">
        <v>34077</v>
      </c>
      <c r="H414" s="394" t="s">
        <v>2423</v>
      </c>
      <c r="I414" s="411">
        <v>22271</v>
      </c>
      <c r="J414" s="411">
        <v>119220</v>
      </c>
      <c r="K414" s="411">
        <v>62554</v>
      </c>
      <c r="L414" s="486">
        <v>7.6E-3</v>
      </c>
      <c r="M414" s="486">
        <v>3.7199999999999997E-2</v>
      </c>
      <c r="N414" s="486">
        <v>3.9600000000000003E-2</v>
      </c>
      <c r="O414" s="430">
        <f t="shared" si="192"/>
        <v>2.9599999999999998E-2</v>
      </c>
      <c r="P414" s="430">
        <f t="shared" si="193"/>
        <v>2.4000000000000063E-3</v>
      </c>
      <c r="Q414" s="430">
        <f t="shared" si="194"/>
        <v>3.2000000000000001E-2</v>
      </c>
      <c r="T414" s="436">
        <f t="shared" si="195"/>
        <v>1.2800000000000001E-2</v>
      </c>
    </row>
    <row r="415" spans="1:23" ht="14.5">
      <c r="A415" s="394" t="s">
        <v>2064</v>
      </c>
      <c r="B415" s="394" t="s">
        <v>2639</v>
      </c>
      <c r="C415" s="394" t="s">
        <v>2036</v>
      </c>
      <c r="D415" s="394" t="s">
        <v>2037</v>
      </c>
      <c r="E415" s="394" t="s">
        <v>2200</v>
      </c>
      <c r="F415" s="394" t="s">
        <v>2043</v>
      </c>
      <c r="G415" s="408">
        <v>28340</v>
      </c>
      <c r="H415" s="394" t="s">
        <v>2485</v>
      </c>
      <c r="I415" s="411">
        <v>55170</v>
      </c>
      <c r="J415" s="411">
        <v>56353</v>
      </c>
      <c r="K415" s="411">
        <v>35536</v>
      </c>
      <c r="L415" s="486">
        <v>1.8800000000000001E-2</v>
      </c>
      <c r="M415" s="486">
        <v>1.7600000000000001E-2</v>
      </c>
      <c r="N415" s="486">
        <v>2.2499999999999999E-2</v>
      </c>
      <c r="O415" s="430">
        <f t="shared" si="192"/>
        <v>-1.1999999999999997E-3</v>
      </c>
      <c r="P415" s="430">
        <f t="shared" si="193"/>
        <v>4.8999999999999981E-3</v>
      </c>
      <c r="Q415" s="430">
        <f t="shared" si="194"/>
        <v>3.6999999999999984E-3</v>
      </c>
      <c r="T415" s="436">
        <f t="shared" si="195"/>
        <v>1.4799999999999993E-3</v>
      </c>
    </row>
    <row r="416" spans="1:23" ht="14.5">
      <c r="A416" s="394" t="s">
        <v>2066</v>
      </c>
      <c r="B416" s="394" t="s">
        <v>2640</v>
      </c>
      <c r="C416" s="394" t="s">
        <v>2036</v>
      </c>
      <c r="D416" s="394" t="s">
        <v>2037</v>
      </c>
      <c r="E416" s="394" t="s">
        <v>2200</v>
      </c>
      <c r="F416" s="394" t="s">
        <v>2043</v>
      </c>
      <c r="G416" s="408">
        <v>34077</v>
      </c>
      <c r="H416" s="394" t="s">
        <v>2423</v>
      </c>
      <c r="I416" s="411">
        <v>54975</v>
      </c>
      <c r="J416" s="411">
        <v>49875</v>
      </c>
      <c r="K416" s="411">
        <v>14913</v>
      </c>
      <c r="L416" s="486">
        <v>1.8700000000000001E-2</v>
      </c>
      <c r="M416" s="486">
        <v>1.5599999999999999E-2</v>
      </c>
      <c r="N416" s="486">
        <v>9.4000000000000004E-3</v>
      </c>
      <c r="O416" s="430">
        <f t="shared" si="192"/>
        <v>-3.1000000000000021E-3</v>
      </c>
      <c r="P416" s="430">
        <f t="shared" si="193"/>
        <v>-6.1999999999999989E-3</v>
      </c>
      <c r="Q416" s="430">
        <f t="shared" si="194"/>
        <v>-9.300000000000001E-3</v>
      </c>
      <c r="T416" s="436">
        <f t="shared" si="195"/>
        <v>-3.7200000000000002E-3</v>
      </c>
    </row>
    <row r="417" spans="1:20" ht="14.5">
      <c r="A417" s="394" t="s">
        <v>2066</v>
      </c>
      <c r="B417" s="394" t="s">
        <v>2641</v>
      </c>
      <c r="C417" s="394" t="s">
        <v>2036</v>
      </c>
      <c r="D417" s="394" t="s">
        <v>2037</v>
      </c>
      <c r="E417" s="394" t="s">
        <v>2200</v>
      </c>
      <c r="F417" s="394" t="s">
        <v>2043</v>
      </c>
      <c r="G417" s="408">
        <v>29271</v>
      </c>
      <c r="H417" s="394" t="s">
        <v>2485</v>
      </c>
      <c r="I417" s="411">
        <v>135877</v>
      </c>
      <c r="J417" s="411">
        <v>96605</v>
      </c>
      <c r="K417" s="411">
        <v>32685</v>
      </c>
      <c r="L417" s="486">
        <v>4.6300000000000001E-2</v>
      </c>
      <c r="M417" s="486">
        <v>3.0099999999999998E-2</v>
      </c>
      <c r="N417" s="486">
        <v>2.07E-2</v>
      </c>
      <c r="O417" s="430">
        <f t="shared" si="192"/>
        <v>-1.6200000000000003E-2</v>
      </c>
      <c r="P417" s="430">
        <f t="shared" si="193"/>
        <v>-9.3999999999999986E-3</v>
      </c>
      <c r="Q417" s="430">
        <f t="shared" si="194"/>
        <v>-2.5600000000000001E-2</v>
      </c>
      <c r="T417" s="436">
        <f t="shared" si="195"/>
        <v>-1.0240000000000001E-2</v>
      </c>
    </row>
    <row r="418" spans="1:20" ht="14.5">
      <c r="A418" s="394" t="s">
        <v>2534</v>
      </c>
      <c r="B418" s="394" t="s">
        <v>2642</v>
      </c>
      <c r="C418" s="394" t="s">
        <v>2036</v>
      </c>
      <c r="D418" s="394" t="s">
        <v>2037</v>
      </c>
      <c r="E418" s="394" t="s">
        <v>2200</v>
      </c>
      <c r="F418" s="394" t="s">
        <v>2043</v>
      </c>
      <c r="G418" s="408">
        <v>32216</v>
      </c>
      <c r="H418" s="394" t="s">
        <v>2575</v>
      </c>
      <c r="I418" s="411">
        <v>1453</v>
      </c>
      <c r="J418" s="411">
        <v>7877</v>
      </c>
      <c r="K418" s="411">
        <v>2099</v>
      </c>
      <c r="L418" s="486">
        <v>5.0000000000000001E-4</v>
      </c>
      <c r="M418" s="486">
        <v>2.5000000000000001E-3</v>
      </c>
      <c r="N418" s="486">
        <v>1.2999999999999999E-3</v>
      </c>
      <c r="O418" s="430">
        <f t="shared" si="192"/>
        <v>2E-3</v>
      </c>
      <c r="P418" s="430">
        <f t="shared" si="193"/>
        <v>-1.2000000000000001E-3</v>
      </c>
      <c r="Q418" s="430">
        <f t="shared" si="194"/>
        <v>7.9999999999999993E-4</v>
      </c>
      <c r="T418" s="436">
        <f t="shared" si="195"/>
        <v>3.1999999999999997E-4</v>
      </c>
    </row>
    <row r="419" spans="1:20" ht="14.5">
      <c r="A419" s="394" t="s">
        <v>2236</v>
      </c>
      <c r="B419" s="394" t="s">
        <v>2248</v>
      </c>
      <c r="C419" s="394" t="s">
        <v>2036</v>
      </c>
      <c r="D419" s="394" t="s">
        <v>2037</v>
      </c>
      <c r="E419" s="394" t="s">
        <v>2200</v>
      </c>
      <c r="F419" s="394" t="s">
        <v>2043</v>
      </c>
      <c r="G419" s="408">
        <v>36170</v>
      </c>
      <c r="H419" s="394" t="s">
        <v>2240</v>
      </c>
      <c r="I419" s="411">
        <v>164685</v>
      </c>
      <c r="J419" s="411">
        <v>137064</v>
      </c>
      <c r="K419" s="411">
        <v>71211</v>
      </c>
      <c r="L419" s="486">
        <v>5.62E-2</v>
      </c>
      <c r="M419" s="486">
        <v>4.2799999999999998E-2</v>
      </c>
      <c r="N419" s="486">
        <v>4.5100000000000001E-2</v>
      </c>
      <c r="O419" s="430">
        <f t="shared" si="192"/>
        <v>-1.3400000000000002E-2</v>
      </c>
      <c r="P419" s="430">
        <f t="shared" si="193"/>
        <v>2.3000000000000034E-3</v>
      </c>
      <c r="Q419" s="430">
        <f t="shared" si="194"/>
        <v>-1.1099999999999999E-2</v>
      </c>
      <c r="T419" s="436">
        <f t="shared" si="195"/>
        <v>-4.4399999999999995E-3</v>
      </c>
    </row>
    <row r="420" spans="1:20" ht="14.5">
      <c r="A420" s="394" t="s">
        <v>2053</v>
      </c>
      <c r="B420" s="394" t="s">
        <v>2643</v>
      </c>
      <c r="C420" s="394" t="s">
        <v>2036</v>
      </c>
      <c r="D420" s="394" t="s">
        <v>2037</v>
      </c>
      <c r="E420" s="394" t="s">
        <v>2200</v>
      </c>
      <c r="F420" s="394" t="s">
        <v>2043</v>
      </c>
      <c r="G420" s="408">
        <v>29891</v>
      </c>
      <c r="H420" s="394" t="s">
        <v>2485</v>
      </c>
      <c r="I420" s="411">
        <v>25027</v>
      </c>
      <c r="J420" s="411">
        <v>33302</v>
      </c>
      <c r="K420" s="411">
        <v>18388</v>
      </c>
      <c r="L420" s="486">
        <v>8.5000000000000006E-3</v>
      </c>
      <c r="M420" s="486">
        <v>1.04E-2</v>
      </c>
      <c r="N420" s="486">
        <v>1.17E-2</v>
      </c>
      <c r="O420" s="430">
        <f t="shared" si="192"/>
        <v>1.8999999999999989E-3</v>
      </c>
      <c r="P420" s="430">
        <f t="shared" si="193"/>
        <v>1.3000000000000008E-3</v>
      </c>
      <c r="Q420" s="430">
        <f t="shared" si="194"/>
        <v>3.1999999999999997E-3</v>
      </c>
      <c r="T420" s="436">
        <f t="shared" si="195"/>
        <v>1.2799999999999999E-3</v>
      </c>
    </row>
    <row r="421" spans="1:20" ht="14.5">
      <c r="A421" s="394"/>
      <c r="B421" s="394" t="s">
        <v>2644</v>
      </c>
      <c r="C421" s="394" t="s">
        <v>2036</v>
      </c>
      <c r="D421" s="394" t="s">
        <v>2037</v>
      </c>
      <c r="E421" s="425" t="s">
        <v>2253</v>
      </c>
      <c r="F421" s="487" t="s">
        <v>2060</v>
      </c>
      <c r="G421" s="408"/>
      <c r="H421" s="394"/>
      <c r="I421" s="411"/>
      <c r="J421" s="411"/>
      <c r="K421" s="411"/>
      <c r="L421" s="486"/>
      <c r="M421" s="486"/>
      <c r="N421" s="486"/>
      <c r="O421" s="430"/>
      <c r="P421" s="430"/>
      <c r="Q421" s="430"/>
      <c r="T421" s="436"/>
    </row>
    <row r="422" spans="1:20">
      <c r="A422" t="s">
        <v>24</v>
      </c>
      <c r="I422" s="470">
        <f t="shared" ref="I422:Q422" si="196">SUM(I407:I420)</f>
        <v>935000</v>
      </c>
      <c r="J422" s="470">
        <f t="shared" si="196"/>
        <v>1071008</v>
      </c>
      <c r="K422" s="470">
        <f t="shared" si="196"/>
        <v>552590</v>
      </c>
      <c r="L422" s="437">
        <f t="shared" si="196"/>
        <v>0.31870000000000004</v>
      </c>
      <c r="M422" s="437">
        <f t="shared" si="196"/>
        <v>0.33430000000000004</v>
      </c>
      <c r="N422" s="437">
        <f t="shared" si="196"/>
        <v>0.35000000000000003</v>
      </c>
      <c r="O422" s="437">
        <f t="shared" si="196"/>
        <v>1.5599999999999968E-2</v>
      </c>
      <c r="P422" s="437">
        <f t="shared" si="196"/>
        <v>1.5700000000000026E-2</v>
      </c>
      <c r="Q422" s="437">
        <f t="shared" si="196"/>
        <v>3.1299999999999994E-2</v>
      </c>
    </row>
    <row r="423" spans="1:20">
      <c r="A423" s="64" t="s">
        <v>2218</v>
      </c>
      <c r="O423" s="444"/>
      <c r="P423" s="444"/>
      <c r="Q423" s="444"/>
    </row>
    <row r="424" spans="1:20">
      <c r="A424" t="s">
        <v>2645</v>
      </c>
      <c r="B424">
        <v>2020</v>
      </c>
      <c r="C424">
        <v>2021</v>
      </c>
      <c r="D424" t="s">
        <v>14</v>
      </c>
      <c r="E424" t="s">
        <v>11</v>
      </c>
      <c r="F424" t="s">
        <v>12</v>
      </c>
      <c r="G424" t="s">
        <v>13</v>
      </c>
      <c r="H424" t="s">
        <v>2220</v>
      </c>
      <c r="I424" t="s">
        <v>2221</v>
      </c>
      <c r="J424" t="s">
        <v>2222</v>
      </c>
      <c r="K424" t="s">
        <v>2223</v>
      </c>
      <c r="L424" t="s">
        <v>2224</v>
      </c>
      <c r="M424" t="s">
        <v>2225</v>
      </c>
      <c r="N424" t="s">
        <v>2226</v>
      </c>
      <c r="O424" s="444"/>
      <c r="P424" s="444"/>
      <c r="Q424" s="444"/>
    </row>
    <row r="425" spans="1:20">
      <c r="A425" t="s">
        <v>2227</v>
      </c>
      <c r="B425" s="411">
        <v>2932757</v>
      </c>
      <c r="C425" s="411">
        <v>3204627</v>
      </c>
      <c r="D425" s="478">
        <f t="shared" ref="D425:L425" si="197">AVERAGE(B425:C425)</f>
        <v>3068692</v>
      </c>
      <c r="E425" s="478">
        <f t="shared" si="197"/>
        <v>3136659.5</v>
      </c>
      <c r="F425" s="478">
        <f t="shared" si="197"/>
        <v>3102675.75</v>
      </c>
      <c r="G425" s="478">
        <f t="shared" si="197"/>
        <v>3119667.625</v>
      </c>
      <c r="H425" s="478">
        <f t="shared" si="197"/>
        <v>3111171.6875</v>
      </c>
      <c r="I425" s="478">
        <f t="shared" si="197"/>
        <v>3115419.65625</v>
      </c>
      <c r="J425" s="478">
        <f t="shared" si="197"/>
        <v>3113295.671875</v>
      </c>
      <c r="K425" s="478">
        <f t="shared" si="197"/>
        <v>3114357.6640625</v>
      </c>
      <c r="L425" s="478">
        <f t="shared" si="197"/>
        <v>3113826.66796875</v>
      </c>
      <c r="N425" t="s">
        <v>162</v>
      </c>
      <c r="O425" s="444"/>
      <c r="P425" s="444"/>
      <c r="Q425" s="444"/>
    </row>
    <row r="426" spans="1:20">
      <c r="A426" s="64" t="s">
        <v>2228</v>
      </c>
      <c r="B426" s="411"/>
      <c r="C426" s="411"/>
      <c r="D426" s="356"/>
      <c r="O426" s="444"/>
      <c r="P426" s="444"/>
      <c r="Q426" s="444"/>
    </row>
    <row r="427" spans="1:20">
      <c r="A427" s="425" t="s">
        <v>182</v>
      </c>
      <c r="B427" s="404">
        <f t="shared" ref="B427:B440" si="198">L407</f>
        <v>9.7999999999999997E-3</v>
      </c>
      <c r="C427" s="404">
        <f t="shared" ref="C427:C440" si="199">M407</f>
        <v>2.7199999999999998E-2</v>
      </c>
      <c r="D427" s="437">
        <f>N407+$N427/2</f>
        <v>4.5799733333333328E-2</v>
      </c>
      <c r="E427" s="437">
        <f t="shared" ref="E427:L440" si="200">D427+$N427</f>
        <v>5.4999199999999991E-2</v>
      </c>
      <c r="F427" s="437">
        <f t="shared" si="200"/>
        <v>6.4198666666666654E-2</v>
      </c>
      <c r="G427" s="437">
        <f t="shared" si="200"/>
        <v>7.339813333333331E-2</v>
      </c>
      <c r="H427" s="437">
        <f t="shared" si="200"/>
        <v>8.2597599999999965E-2</v>
      </c>
      <c r="I427" s="437">
        <f t="shared" si="200"/>
        <v>9.1797066666666621E-2</v>
      </c>
      <c r="J427" s="437">
        <f t="shared" si="200"/>
        <v>0.10099653333333328</v>
      </c>
      <c r="K427" s="437">
        <f t="shared" si="200"/>
        <v>0.11019599999999993</v>
      </c>
      <c r="L427" s="437">
        <f t="shared" si="200"/>
        <v>0.11939546666666659</v>
      </c>
      <c r="M427" s="439"/>
      <c r="N427" s="436">
        <f>-SUM(N429:N440)*1/2+S407</f>
        <v>9.1994666666666627E-3</v>
      </c>
      <c r="O427" s="444"/>
      <c r="P427" s="444"/>
      <c r="Q427" s="444"/>
    </row>
    <row r="428" spans="1:20">
      <c r="A428" s="425" t="s">
        <v>1854</v>
      </c>
      <c r="B428" s="404">
        <f t="shared" si="198"/>
        <v>4.0000000000000001E-3</v>
      </c>
      <c r="C428" s="404">
        <f t="shared" si="199"/>
        <v>9.4999999999999998E-3</v>
      </c>
      <c r="D428" s="437">
        <f>N408+$N428/2</f>
        <v>2.1999733333333334E-2</v>
      </c>
      <c r="E428" s="437">
        <f t="shared" si="200"/>
        <v>2.5199199999999998E-2</v>
      </c>
      <c r="F428" s="437">
        <f t="shared" si="200"/>
        <v>2.8398666666666662E-2</v>
      </c>
      <c r="G428" s="437">
        <f t="shared" si="200"/>
        <v>3.1598133333333327E-2</v>
      </c>
      <c r="H428" s="437">
        <f t="shared" si="200"/>
        <v>3.4797599999999991E-2</v>
      </c>
      <c r="I428" s="437">
        <f t="shared" si="200"/>
        <v>3.7997066666666655E-2</v>
      </c>
      <c r="J428" s="437">
        <f t="shared" si="200"/>
        <v>4.119653333333332E-2</v>
      </c>
      <c r="K428" s="437">
        <f t="shared" si="200"/>
        <v>4.4395999999999984E-2</v>
      </c>
      <c r="L428" s="437">
        <f t="shared" si="200"/>
        <v>4.7595466666666648E-2</v>
      </c>
      <c r="M428" s="439"/>
      <c r="N428" s="436">
        <f>-SUM(N429:N440)*1/2+S408</f>
        <v>3.1994666666666657E-3</v>
      </c>
      <c r="P428" s="444"/>
      <c r="Q428" s="444"/>
    </row>
    <row r="429" spans="1:20">
      <c r="A429" s="394" t="s">
        <v>2633</v>
      </c>
      <c r="B429" s="404">
        <f t="shared" si="198"/>
        <v>2.9999999999999997E-4</v>
      </c>
      <c r="C429" s="404">
        <f t="shared" si="199"/>
        <v>4.0000000000000002E-4</v>
      </c>
      <c r="D429" s="437">
        <f t="shared" ref="D429:D440" si="201">C429+$N429</f>
        <v>3.5199999999999999E-4</v>
      </c>
      <c r="E429" s="437">
        <f t="shared" si="200"/>
        <v>3.0400000000000002E-4</v>
      </c>
      <c r="F429" s="437">
        <f t="shared" si="200"/>
        <v>2.5600000000000004E-4</v>
      </c>
      <c r="G429" s="437">
        <f t="shared" si="200"/>
        <v>2.0800000000000004E-4</v>
      </c>
      <c r="H429" s="437">
        <f t="shared" si="200"/>
        <v>1.6000000000000004E-4</v>
      </c>
      <c r="I429" s="437">
        <f t="shared" si="200"/>
        <v>1.1200000000000004E-4</v>
      </c>
      <c r="J429" s="437">
        <f t="shared" si="200"/>
        <v>6.4000000000000038E-5</v>
      </c>
      <c r="K429" s="437">
        <f t="shared" si="200"/>
        <v>1.6000000000000037E-5</v>
      </c>
      <c r="L429" s="437">
        <f t="shared" si="200"/>
        <v>-3.1999999999999965E-5</v>
      </c>
      <c r="M429" s="439">
        <v>0.4</v>
      </c>
      <c r="N429" s="406">
        <f t="shared" ref="N429:N440" si="202">M429*T409</f>
        <v>-4.8000000000000001E-5</v>
      </c>
      <c r="O429" s="444"/>
      <c r="P429" s="444"/>
      <c r="Q429" s="444"/>
    </row>
    <row r="430" spans="1:20">
      <c r="A430" s="394" t="s">
        <v>2634</v>
      </c>
      <c r="B430" s="404">
        <f t="shared" si="198"/>
        <v>7.1800000000000003E-2</v>
      </c>
      <c r="C430" s="404">
        <f t="shared" si="199"/>
        <v>6.2799999999999995E-2</v>
      </c>
      <c r="D430" s="437">
        <f t="shared" si="201"/>
        <v>5.8799999999999991E-2</v>
      </c>
      <c r="E430" s="437">
        <f t="shared" si="200"/>
        <v>5.4799999999999988E-2</v>
      </c>
      <c r="F430" s="437">
        <f t="shared" si="200"/>
        <v>5.0799999999999984E-2</v>
      </c>
      <c r="G430" s="437">
        <f t="shared" si="200"/>
        <v>4.6799999999999981E-2</v>
      </c>
      <c r="H430" s="437">
        <f t="shared" si="200"/>
        <v>4.2799999999999977E-2</v>
      </c>
      <c r="I430" s="437">
        <f t="shared" si="200"/>
        <v>3.8799999999999973E-2</v>
      </c>
      <c r="J430" s="437">
        <f t="shared" si="200"/>
        <v>3.479999999999997E-2</v>
      </c>
      <c r="K430" s="437">
        <f t="shared" si="200"/>
        <v>3.079999999999997E-2</v>
      </c>
      <c r="L430" s="437">
        <f t="shared" si="200"/>
        <v>2.679999999999997E-2</v>
      </c>
      <c r="M430" s="439">
        <v>1</v>
      </c>
      <c r="N430" s="406">
        <f t="shared" si="202"/>
        <v>-4.000000000000001E-3</v>
      </c>
      <c r="O430" s="444"/>
      <c r="P430" s="444"/>
      <c r="Q430" s="444"/>
    </row>
    <row r="431" spans="1:20">
      <c r="A431" s="394" t="s">
        <v>2635</v>
      </c>
      <c r="B431" s="404">
        <f t="shared" si="198"/>
        <v>2.6100000000000002E-2</v>
      </c>
      <c r="C431" s="404">
        <f t="shared" si="199"/>
        <v>3.6600000000000001E-2</v>
      </c>
      <c r="D431" s="437">
        <f t="shared" si="201"/>
        <v>3.8620000000000002E-2</v>
      </c>
      <c r="E431" s="437">
        <f t="shared" si="200"/>
        <v>4.0640000000000003E-2</v>
      </c>
      <c r="F431" s="437">
        <f t="shared" si="200"/>
        <v>4.2660000000000003E-2</v>
      </c>
      <c r="G431" s="437">
        <f t="shared" si="200"/>
        <v>4.4680000000000004E-2</v>
      </c>
      <c r="H431" s="437">
        <f t="shared" si="200"/>
        <v>4.6700000000000005E-2</v>
      </c>
      <c r="I431" s="437">
        <f t="shared" si="200"/>
        <v>4.8720000000000006E-2</v>
      </c>
      <c r="J431" s="437">
        <f t="shared" si="200"/>
        <v>5.0740000000000007E-2</v>
      </c>
      <c r="K431" s="437">
        <f t="shared" si="200"/>
        <v>5.2760000000000008E-2</v>
      </c>
      <c r="L431" s="437">
        <f t="shared" si="200"/>
        <v>5.4780000000000009E-2</v>
      </c>
      <c r="M431" s="439">
        <v>0.5</v>
      </c>
      <c r="N431" s="406">
        <f t="shared" si="202"/>
        <v>2.0200000000000001E-3</v>
      </c>
      <c r="P431" s="444"/>
      <c r="Q431" s="444"/>
    </row>
    <row r="432" spans="1:20">
      <c r="A432" s="394" t="s">
        <v>2636</v>
      </c>
      <c r="B432" s="404">
        <f t="shared" si="198"/>
        <v>4.3900000000000002E-2</v>
      </c>
      <c r="C432" s="404">
        <f t="shared" si="199"/>
        <v>3.5799999999999998E-2</v>
      </c>
      <c r="D432" s="437">
        <f t="shared" si="201"/>
        <v>3.3319999999999995E-2</v>
      </c>
      <c r="E432" s="437">
        <f t="shared" si="200"/>
        <v>3.0839999999999992E-2</v>
      </c>
      <c r="F432" s="437">
        <f t="shared" si="200"/>
        <v>2.8359999999999989E-2</v>
      </c>
      <c r="G432" s="437">
        <f t="shared" si="200"/>
        <v>2.5879999999999986E-2</v>
      </c>
      <c r="H432" s="437">
        <f t="shared" si="200"/>
        <v>2.3399999999999983E-2</v>
      </c>
      <c r="I432" s="437">
        <f t="shared" si="200"/>
        <v>2.091999999999998E-2</v>
      </c>
      <c r="J432" s="437">
        <f t="shared" si="200"/>
        <v>1.8439999999999977E-2</v>
      </c>
      <c r="K432" s="437">
        <f t="shared" si="200"/>
        <v>1.5959999999999974E-2</v>
      </c>
      <c r="L432" s="437">
        <f t="shared" si="200"/>
        <v>1.3479999999999973E-2</v>
      </c>
      <c r="M432" s="439">
        <v>1</v>
      </c>
      <c r="N432" s="406">
        <f t="shared" si="202"/>
        <v>-2.4800000000000017E-3</v>
      </c>
      <c r="P432" s="444"/>
      <c r="Q432" s="444"/>
    </row>
    <row r="433" spans="1:17">
      <c r="A433" s="394" t="s">
        <v>2637</v>
      </c>
      <c r="B433" s="404">
        <f t="shared" si="198"/>
        <v>6.1999999999999998E-3</v>
      </c>
      <c r="C433" s="404">
        <f t="shared" si="199"/>
        <v>5.7999999999999996E-3</v>
      </c>
      <c r="D433" s="437">
        <f t="shared" si="201"/>
        <v>5.1615999999999997E-3</v>
      </c>
      <c r="E433" s="437">
        <f t="shared" si="200"/>
        <v>4.5231999999999998E-3</v>
      </c>
      <c r="F433" s="437">
        <f t="shared" si="200"/>
        <v>3.8847999999999999E-3</v>
      </c>
      <c r="G433" s="437">
        <f t="shared" si="200"/>
        <v>3.2464E-3</v>
      </c>
      <c r="H433" s="437">
        <f t="shared" si="200"/>
        <v>2.6080000000000001E-3</v>
      </c>
      <c r="I433" s="437">
        <f t="shared" si="200"/>
        <v>1.9696000000000002E-3</v>
      </c>
      <c r="J433" s="437">
        <f t="shared" si="200"/>
        <v>1.3312000000000003E-3</v>
      </c>
      <c r="K433" s="437">
        <f t="shared" si="200"/>
        <v>6.9280000000000025E-4</v>
      </c>
      <c r="L433" s="437">
        <f t="shared" si="200"/>
        <v>5.4400000000000238E-5</v>
      </c>
      <c r="M433" s="439">
        <v>0.42</v>
      </c>
      <c r="N433" s="406">
        <f t="shared" si="202"/>
        <v>-6.3840000000000001E-4</v>
      </c>
      <c r="O433" s="444"/>
      <c r="P433" s="444"/>
      <c r="Q433" s="444"/>
    </row>
    <row r="434" spans="1:17">
      <c r="A434" s="394" t="s">
        <v>2638</v>
      </c>
      <c r="B434" s="404">
        <f t="shared" si="198"/>
        <v>7.6E-3</v>
      </c>
      <c r="C434" s="404">
        <f t="shared" si="199"/>
        <v>3.7199999999999997E-2</v>
      </c>
      <c r="D434" s="437">
        <f t="shared" si="201"/>
        <v>4.36E-2</v>
      </c>
      <c r="E434" s="437">
        <f t="shared" si="200"/>
        <v>0.05</v>
      </c>
      <c r="F434" s="437">
        <f t="shared" si="200"/>
        <v>5.6400000000000006E-2</v>
      </c>
      <c r="G434" s="437">
        <f t="shared" si="200"/>
        <v>6.2800000000000009E-2</v>
      </c>
      <c r="H434" s="437">
        <f t="shared" si="200"/>
        <v>6.9200000000000012E-2</v>
      </c>
      <c r="I434" s="437">
        <f t="shared" si="200"/>
        <v>7.5600000000000014E-2</v>
      </c>
      <c r="J434" s="437">
        <f t="shared" si="200"/>
        <v>8.2000000000000017E-2</v>
      </c>
      <c r="K434" s="437">
        <f t="shared" si="200"/>
        <v>8.840000000000002E-2</v>
      </c>
      <c r="L434" s="437">
        <f t="shared" si="200"/>
        <v>9.4800000000000023E-2</v>
      </c>
      <c r="M434" s="439">
        <v>0.5</v>
      </c>
      <c r="N434" s="406">
        <f t="shared" si="202"/>
        <v>6.4000000000000003E-3</v>
      </c>
      <c r="O434" t="s">
        <v>2048</v>
      </c>
      <c r="P434" s="444"/>
      <c r="Q434" s="444"/>
    </row>
    <row r="435" spans="1:17">
      <c r="A435" s="394" t="s">
        <v>2639</v>
      </c>
      <c r="B435" s="404">
        <f t="shared" si="198"/>
        <v>1.8800000000000001E-2</v>
      </c>
      <c r="C435" s="404">
        <f t="shared" si="199"/>
        <v>1.7600000000000001E-2</v>
      </c>
      <c r="D435" s="437">
        <f t="shared" si="201"/>
        <v>1.908E-2</v>
      </c>
      <c r="E435" s="437">
        <f t="shared" si="200"/>
        <v>2.0559999999999998E-2</v>
      </c>
      <c r="F435" s="437">
        <f t="shared" si="200"/>
        <v>2.2039999999999997E-2</v>
      </c>
      <c r="G435" s="437">
        <f t="shared" si="200"/>
        <v>2.3519999999999996E-2</v>
      </c>
      <c r="H435" s="437">
        <f t="shared" si="200"/>
        <v>2.4999999999999994E-2</v>
      </c>
      <c r="I435" s="437">
        <f t="shared" si="200"/>
        <v>2.6479999999999993E-2</v>
      </c>
      <c r="J435" s="437">
        <f t="shared" si="200"/>
        <v>2.7959999999999992E-2</v>
      </c>
      <c r="K435" s="437">
        <f t="shared" si="200"/>
        <v>2.943999999999999E-2</v>
      </c>
      <c r="L435" s="437">
        <f t="shared" si="200"/>
        <v>3.0919999999999989E-2</v>
      </c>
      <c r="M435" s="439">
        <v>1</v>
      </c>
      <c r="N435" s="406">
        <f t="shared" si="202"/>
        <v>1.4799999999999993E-3</v>
      </c>
      <c r="O435" s="444"/>
      <c r="P435" s="444"/>
      <c r="Q435" s="444"/>
    </row>
    <row r="436" spans="1:17">
      <c r="A436" s="394" t="s">
        <v>2640</v>
      </c>
      <c r="B436" s="404">
        <f t="shared" si="198"/>
        <v>1.8700000000000001E-2</v>
      </c>
      <c r="C436" s="404">
        <f t="shared" si="199"/>
        <v>1.5599999999999999E-2</v>
      </c>
      <c r="D436" s="437">
        <f t="shared" si="201"/>
        <v>1.38888E-2</v>
      </c>
      <c r="E436" s="437">
        <f t="shared" si="200"/>
        <v>1.21776E-2</v>
      </c>
      <c r="F436" s="437">
        <f t="shared" si="200"/>
        <v>1.0466400000000001E-2</v>
      </c>
      <c r="G436" s="437">
        <f t="shared" si="200"/>
        <v>8.7552000000000012E-3</v>
      </c>
      <c r="H436" s="437">
        <f t="shared" si="200"/>
        <v>7.0440000000000008E-3</v>
      </c>
      <c r="I436" s="437">
        <f t="shared" si="200"/>
        <v>5.3328000000000004E-3</v>
      </c>
      <c r="J436" s="437">
        <f t="shared" si="200"/>
        <v>3.6216E-3</v>
      </c>
      <c r="K436" s="437">
        <f t="shared" si="200"/>
        <v>1.9103999999999998E-3</v>
      </c>
      <c r="L436" s="437">
        <f t="shared" si="200"/>
        <v>1.9919999999999964E-4</v>
      </c>
      <c r="M436" s="439">
        <v>0.46</v>
      </c>
      <c r="N436" s="406">
        <f t="shared" si="202"/>
        <v>-1.7112000000000002E-3</v>
      </c>
      <c r="O436" s="444"/>
      <c r="P436" s="444"/>
      <c r="Q436" s="444"/>
    </row>
    <row r="437" spans="1:17">
      <c r="A437" s="394" t="s">
        <v>2641</v>
      </c>
      <c r="B437" s="404">
        <f t="shared" si="198"/>
        <v>4.6300000000000001E-2</v>
      </c>
      <c r="C437" s="404">
        <f t="shared" si="199"/>
        <v>3.0099999999999998E-2</v>
      </c>
      <c r="D437" s="437">
        <f t="shared" si="201"/>
        <v>2.6771999999999997E-2</v>
      </c>
      <c r="E437" s="437">
        <f t="shared" si="200"/>
        <v>2.3443999999999996E-2</v>
      </c>
      <c r="F437" s="437">
        <f t="shared" si="200"/>
        <v>2.0115999999999995E-2</v>
      </c>
      <c r="G437" s="437">
        <f t="shared" si="200"/>
        <v>1.6787999999999994E-2</v>
      </c>
      <c r="H437" s="437">
        <f t="shared" si="200"/>
        <v>1.3459999999999993E-2</v>
      </c>
      <c r="I437" s="437">
        <f t="shared" si="200"/>
        <v>1.0131999999999992E-2</v>
      </c>
      <c r="J437" s="437">
        <f t="shared" si="200"/>
        <v>6.8039999999999915E-3</v>
      </c>
      <c r="K437" s="437">
        <f t="shared" si="200"/>
        <v>3.4759999999999912E-3</v>
      </c>
      <c r="L437" s="437">
        <f t="shared" si="200"/>
        <v>1.4799999999999102E-4</v>
      </c>
      <c r="M437" s="439">
        <v>0.32500000000000001</v>
      </c>
      <c r="N437" s="406">
        <f t="shared" si="202"/>
        <v>-3.3280000000000002E-3</v>
      </c>
      <c r="O437" s="444"/>
      <c r="P437" s="444"/>
      <c r="Q437" s="444"/>
    </row>
    <row r="438" spans="1:17">
      <c r="A438" s="394" t="s">
        <v>2642</v>
      </c>
      <c r="B438" s="404">
        <f t="shared" si="198"/>
        <v>5.0000000000000001E-4</v>
      </c>
      <c r="C438" s="404">
        <f t="shared" si="199"/>
        <v>2.5000000000000001E-3</v>
      </c>
      <c r="D438" s="437">
        <f t="shared" si="201"/>
        <v>2.5533333333333332E-3</v>
      </c>
      <c r="E438" s="437">
        <f t="shared" si="200"/>
        <v>2.6066666666666664E-3</v>
      </c>
      <c r="F438" s="437">
        <f t="shared" si="200"/>
        <v>2.6599999999999996E-3</v>
      </c>
      <c r="G438" s="437">
        <f t="shared" si="200"/>
        <v>2.7133333333333328E-3</v>
      </c>
      <c r="H438" s="437">
        <f t="shared" si="200"/>
        <v>2.766666666666666E-3</v>
      </c>
      <c r="I438" s="437">
        <f t="shared" si="200"/>
        <v>2.8199999999999992E-3</v>
      </c>
      <c r="J438" s="437">
        <f t="shared" si="200"/>
        <v>2.8733333333333323E-3</v>
      </c>
      <c r="K438" s="437">
        <f t="shared" si="200"/>
        <v>2.9266666666666655E-3</v>
      </c>
      <c r="L438" s="437">
        <f t="shared" si="200"/>
        <v>2.9799999999999987E-3</v>
      </c>
      <c r="M438" s="439">
        <v>0.16666666666666666</v>
      </c>
      <c r="N438" s="406">
        <f t="shared" si="202"/>
        <v>5.3333333333333326E-5</v>
      </c>
      <c r="O438" t="s">
        <v>2421</v>
      </c>
      <c r="P438" s="444"/>
      <c r="Q438" s="444"/>
    </row>
    <row r="439" spans="1:17">
      <c r="A439" s="394" t="s">
        <v>2248</v>
      </c>
      <c r="B439" s="404">
        <f t="shared" si="198"/>
        <v>5.62E-2</v>
      </c>
      <c r="C439" s="404">
        <f t="shared" si="199"/>
        <v>4.2799999999999998E-2</v>
      </c>
      <c r="D439" s="437">
        <f t="shared" si="201"/>
        <v>3.8359999999999998E-2</v>
      </c>
      <c r="E439" s="437">
        <f t="shared" si="200"/>
        <v>3.3919999999999999E-2</v>
      </c>
      <c r="F439" s="437">
        <f t="shared" si="200"/>
        <v>2.9479999999999999E-2</v>
      </c>
      <c r="G439" s="437">
        <f t="shared" si="200"/>
        <v>2.504E-2</v>
      </c>
      <c r="H439" s="437">
        <f t="shared" si="200"/>
        <v>2.06E-2</v>
      </c>
      <c r="I439" s="437">
        <f t="shared" si="200"/>
        <v>1.6160000000000001E-2</v>
      </c>
      <c r="J439" s="437">
        <f t="shared" si="200"/>
        <v>1.1720000000000001E-2</v>
      </c>
      <c r="K439" s="437">
        <f t="shared" si="200"/>
        <v>7.2800000000000017E-3</v>
      </c>
      <c r="L439" s="437">
        <f t="shared" si="200"/>
        <v>2.8400000000000022E-3</v>
      </c>
      <c r="M439" s="439">
        <v>1</v>
      </c>
      <c r="N439" s="406">
        <f t="shared" si="202"/>
        <v>-4.4399999999999995E-3</v>
      </c>
      <c r="P439" s="444"/>
      <c r="Q439" s="444"/>
    </row>
    <row r="440" spans="1:17">
      <c r="A440" s="394" t="s">
        <v>2643</v>
      </c>
      <c r="B440" s="404">
        <f t="shared" si="198"/>
        <v>8.5000000000000006E-3</v>
      </c>
      <c r="C440" s="404">
        <f t="shared" si="199"/>
        <v>1.04E-2</v>
      </c>
      <c r="D440" s="437">
        <f t="shared" si="201"/>
        <v>1.0613333333333332E-2</v>
      </c>
      <c r="E440" s="437">
        <f t="shared" si="200"/>
        <v>1.0826666666666665E-2</v>
      </c>
      <c r="F440" s="437">
        <f t="shared" si="200"/>
        <v>1.1039999999999998E-2</v>
      </c>
      <c r="G440" s="437">
        <f t="shared" si="200"/>
        <v>1.125333333333333E-2</v>
      </c>
      <c r="H440" s="437">
        <f t="shared" si="200"/>
        <v>1.1466666666666663E-2</v>
      </c>
      <c r="I440" s="437">
        <f t="shared" si="200"/>
        <v>1.1679999999999996E-2</v>
      </c>
      <c r="J440" s="437">
        <f t="shared" si="200"/>
        <v>1.1893333333333329E-2</v>
      </c>
      <c r="K440" s="437">
        <f t="shared" si="200"/>
        <v>1.2106666666666661E-2</v>
      </c>
      <c r="L440" s="437">
        <f t="shared" si="200"/>
        <v>1.2319999999999994E-2</v>
      </c>
      <c r="M440" s="439">
        <v>0.16666666666666666</v>
      </c>
      <c r="N440" s="406">
        <f t="shared" si="202"/>
        <v>2.1333333333333331E-4</v>
      </c>
      <c r="O440" t="s">
        <v>2421</v>
      </c>
      <c r="P440" s="444"/>
      <c r="Q440" s="444"/>
    </row>
    <row r="441" spans="1:17">
      <c r="O441" s="444"/>
      <c r="P441" s="444"/>
      <c r="Q441" s="444"/>
    </row>
    <row r="442" spans="1:17">
      <c r="A442" s="64" t="s">
        <v>2036</v>
      </c>
      <c r="O442" s="444"/>
      <c r="P442" s="444"/>
      <c r="Q442" s="444"/>
    </row>
    <row r="443" spans="1:17">
      <c r="A443" s="394" t="s">
        <v>182</v>
      </c>
      <c r="B443" s="255">
        <f>I407</f>
        <v>28773</v>
      </c>
      <c r="C443" s="255">
        <f>J407</f>
        <v>87082</v>
      </c>
      <c r="D443" s="470">
        <f t="shared" ref="D443:L443" si="203">D427*D425</f>
        <v>140545.27528213331</v>
      </c>
      <c r="E443" s="470">
        <f t="shared" si="203"/>
        <v>172513.76317239998</v>
      </c>
      <c r="F443" s="470">
        <f t="shared" si="203"/>
        <v>199187.64624899995</v>
      </c>
      <c r="G443" s="470">
        <f t="shared" si="203"/>
        <v>228977.78029543327</v>
      </c>
      <c r="H443" s="470">
        <f t="shared" si="203"/>
        <v>256975.31457544988</v>
      </c>
      <c r="I443" s="470">
        <f t="shared" si="203"/>
        <v>285986.38587942487</v>
      </c>
      <c r="J443" s="470">
        <f t="shared" si="203"/>
        <v>314432.07010104565</v>
      </c>
      <c r="K443" s="470">
        <f t="shared" si="203"/>
        <v>343189.75714903104</v>
      </c>
      <c r="L443" s="470">
        <f t="shared" si="203"/>
        <v>371776.78814124037</v>
      </c>
      <c r="O443" s="444"/>
      <c r="P443" s="444"/>
      <c r="Q443" s="444"/>
    </row>
    <row r="444" spans="1:17">
      <c r="A444" s="394" t="s">
        <v>1854</v>
      </c>
      <c r="B444" s="255">
        <f>I408</f>
        <v>11783</v>
      </c>
      <c r="C444" s="255">
        <f>J408</f>
        <v>30500</v>
      </c>
      <c r="D444" s="470">
        <f>D428*D425</f>
        <v>67510.405682133336</v>
      </c>
      <c r="E444" s="470">
        <f t="shared" ref="E444:L444" si="204">E428*E425</f>
        <v>79041.310072399996</v>
      </c>
      <c r="F444" s="470">
        <f t="shared" si="204"/>
        <v>88111.854398999989</v>
      </c>
      <c r="G444" s="470">
        <f t="shared" si="204"/>
        <v>98575.673570433311</v>
      </c>
      <c r="H444" s="470">
        <f t="shared" si="204"/>
        <v>108261.30791294997</v>
      </c>
      <c r="I444" s="470">
        <f t="shared" si="204"/>
        <v>118376.80837317496</v>
      </c>
      <c r="J444" s="470">
        <f t="shared" si="204"/>
        <v>128256.98892292079</v>
      </c>
      <c r="K444" s="470">
        <f t="shared" si="204"/>
        <v>138265.02285371869</v>
      </c>
      <c r="L444" s="470">
        <f t="shared" si="204"/>
        <v>148204.03338108433</v>
      </c>
      <c r="O444" s="444"/>
      <c r="P444" s="444"/>
      <c r="Q444" s="444"/>
    </row>
    <row r="445" spans="1:17">
      <c r="O445" s="444"/>
      <c r="P445" s="444"/>
      <c r="Q445" s="444"/>
    </row>
    <row r="446" spans="1:17">
      <c r="O446" s="444"/>
      <c r="P446" s="444"/>
      <c r="Q446" s="444"/>
    </row>
    <row r="447" spans="1:17">
      <c r="O447" s="444"/>
      <c r="P447" s="444"/>
      <c r="Q447" s="444"/>
    </row>
    <row r="448" spans="1:17">
      <c r="O448" s="444"/>
      <c r="P448" s="444"/>
      <c r="Q448" s="444"/>
    </row>
    <row r="449" spans="15:17">
      <c r="O449" s="444"/>
      <c r="P449" s="444"/>
      <c r="Q449" s="444"/>
    </row>
    <row r="450" spans="15:17">
      <c r="O450" s="444"/>
      <c r="P450" s="444"/>
      <c r="Q450" s="444"/>
    </row>
    <row r="451" spans="15:17">
      <c r="O451" s="444"/>
      <c r="P451" s="444"/>
      <c r="Q451" s="444"/>
    </row>
    <row r="452" spans="15:17">
      <c r="O452" s="444"/>
      <c r="P452" s="444"/>
      <c r="Q452" s="444"/>
    </row>
    <row r="453" spans="15:17">
      <c r="O453" s="444"/>
      <c r="P453" s="444"/>
      <c r="Q453" s="444"/>
    </row>
    <row r="454" spans="15:17">
      <c r="O454" s="444"/>
      <c r="P454" s="444"/>
      <c r="Q454" s="444"/>
    </row>
    <row r="455" spans="15:17">
      <c r="O455" s="444"/>
      <c r="P455" s="444"/>
      <c r="Q455" s="444"/>
    </row>
    <row r="456" spans="15:17">
      <c r="O456" s="444"/>
      <c r="P456" s="444"/>
      <c r="Q456" s="444"/>
    </row>
    <row r="457" spans="15:17">
      <c r="O457" s="444"/>
      <c r="P457" s="444"/>
      <c r="Q457" s="444"/>
    </row>
    <row r="458" spans="15:17">
      <c r="O458" s="444"/>
      <c r="P458" s="444"/>
      <c r="Q458" s="444"/>
    </row>
    <row r="459" spans="15:17">
      <c r="O459" s="444"/>
      <c r="P459" s="444"/>
      <c r="Q459" s="444"/>
    </row>
    <row r="460" spans="15:17">
      <c r="O460" s="444"/>
      <c r="P460" s="444"/>
      <c r="Q460" s="444"/>
    </row>
    <row r="461" spans="15:17">
      <c r="O461" s="444"/>
      <c r="P461" s="444"/>
      <c r="Q461" s="444"/>
    </row>
    <row r="462" spans="15:17">
      <c r="O462" s="444"/>
      <c r="P462" s="444"/>
      <c r="Q462" s="444"/>
    </row>
    <row r="463" spans="15:17">
      <c r="O463" s="444"/>
      <c r="P463" s="444"/>
      <c r="Q463" s="444"/>
    </row>
    <row r="464" spans="15:17">
      <c r="O464" s="444"/>
      <c r="P464" s="444"/>
      <c r="Q464" s="444"/>
    </row>
    <row r="465" spans="15:17">
      <c r="O465" s="444"/>
      <c r="P465" s="444"/>
      <c r="Q465" s="444"/>
    </row>
    <row r="466" spans="15:17">
      <c r="O466" s="444"/>
      <c r="P466" s="444"/>
      <c r="Q466" s="444"/>
    </row>
    <row r="467" spans="15:17">
      <c r="O467" s="444"/>
      <c r="P467" s="444"/>
      <c r="Q467" s="444"/>
    </row>
    <row r="468" spans="15:17">
      <c r="O468" s="444"/>
      <c r="P468" s="444"/>
      <c r="Q468" s="444"/>
    </row>
    <row r="469" spans="15:17">
      <c r="O469" s="444"/>
      <c r="P469" s="444"/>
      <c r="Q469" s="444"/>
    </row>
    <row r="470" spans="15:17">
      <c r="O470" s="444"/>
      <c r="P470" s="444"/>
      <c r="Q470" s="444"/>
    </row>
    <row r="471" spans="15:17">
      <c r="O471" s="444"/>
      <c r="P471" s="444"/>
      <c r="Q471" s="444"/>
    </row>
    <row r="472" spans="15:17">
      <c r="O472" s="444"/>
      <c r="P472" s="444"/>
      <c r="Q472" s="444"/>
    </row>
    <row r="473" spans="15:17">
      <c r="O473" s="444"/>
      <c r="P473" s="444"/>
      <c r="Q473" s="444"/>
    </row>
    <row r="474" spans="15:17">
      <c r="O474" s="444"/>
      <c r="P474" s="444"/>
      <c r="Q474" s="444"/>
    </row>
    <row r="475" spans="15:17">
      <c r="Q475" s="444"/>
    </row>
    <row r="476" spans="15:17">
      <c r="O476" s="444"/>
      <c r="P476" s="444"/>
      <c r="Q476" s="444"/>
    </row>
    <row r="477" spans="15:17">
      <c r="O477" s="444"/>
      <c r="P477" s="444"/>
      <c r="Q477" s="444"/>
    </row>
    <row r="478" spans="15:17">
      <c r="O478" s="444"/>
      <c r="P478" s="444"/>
      <c r="Q478" s="444"/>
    </row>
    <row r="479" spans="15:17">
      <c r="O479" s="444"/>
      <c r="P479" s="444"/>
      <c r="Q479" s="444"/>
    </row>
    <row r="480" spans="15:17">
      <c r="O480" s="444"/>
      <c r="P480" s="444"/>
      <c r="Q480" s="444"/>
    </row>
    <row r="481" spans="15:17">
      <c r="O481" s="444"/>
      <c r="P481" s="444"/>
      <c r="Q481" s="444"/>
    </row>
    <row r="482" spans="15:17">
      <c r="O482" s="444"/>
      <c r="P482" s="444"/>
      <c r="Q482" s="444"/>
    </row>
    <row r="483" spans="15:17">
      <c r="O483" s="444"/>
      <c r="P483" s="444"/>
      <c r="Q483" s="444"/>
    </row>
    <row r="484" spans="15:17">
      <c r="O484" s="444"/>
      <c r="P484" s="444"/>
      <c r="Q484" s="444"/>
    </row>
    <row r="485" spans="15:17">
      <c r="O485" s="444"/>
      <c r="P485" s="444"/>
      <c r="Q485" s="444"/>
    </row>
    <row r="486" spans="15:17">
      <c r="O486" s="444"/>
      <c r="P486" s="444"/>
      <c r="Q486" s="444"/>
    </row>
    <row r="487" spans="15:17">
      <c r="O487" s="444"/>
      <c r="P487" s="444"/>
      <c r="Q487" s="444"/>
    </row>
    <row r="488" spans="15:17">
      <c r="O488" s="444"/>
      <c r="P488" s="444"/>
      <c r="Q488" s="444"/>
    </row>
    <row r="489" spans="15:17">
      <c r="O489" s="444"/>
      <c r="P489" s="444"/>
      <c r="Q489" s="444"/>
    </row>
    <row r="490" spans="15:17">
      <c r="O490" s="444"/>
      <c r="P490" s="444"/>
      <c r="Q490" s="444"/>
    </row>
    <row r="491" spans="15:17">
      <c r="O491" s="444"/>
      <c r="P491" s="444"/>
      <c r="Q491" s="444"/>
    </row>
    <row r="492" spans="15:17">
      <c r="O492" s="444"/>
      <c r="P492" s="444"/>
      <c r="Q492" s="444"/>
    </row>
    <row r="493" spans="15:17">
      <c r="O493" s="444"/>
      <c r="P493" s="444"/>
      <c r="Q493" s="444"/>
    </row>
    <row r="494" spans="15:17">
      <c r="O494" s="444"/>
      <c r="P494" s="444"/>
      <c r="Q494" s="444"/>
    </row>
    <row r="495" spans="15:17">
      <c r="O495" s="444"/>
      <c r="P495" s="444"/>
      <c r="Q495" s="444"/>
    </row>
    <row r="496" spans="15:17">
      <c r="O496" s="444"/>
      <c r="P496" s="444"/>
      <c r="Q496" s="444"/>
    </row>
    <row r="497" spans="15:17">
      <c r="O497" s="444"/>
      <c r="P497" s="444"/>
      <c r="Q497" s="444"/>
    </row>
    <row r="498" spans="15:17">
      <c r="O498" s="444"/>
      <c r="P498" s="444"/>
      <c r="Q498" s="444"/>
    </row>
    <row r="499" spans="15:17">
      <c r="O499" s="444"/>
      <c r="P499" s="444"/>
      <c r="Q499" s="444"/>
    </row>
    <row r="500" spans="15:17">
      <c r="O500" s="444"/>
      <c r="P500" s="444"/>
      <c r="Q500" s="444"/>
    </row>
    <row r="501" spans="15:17">
      <c r="O501" s="444"/>
      <c r="P501" s="444"/>
      <c r="Q501" s="444"/>
    </row>
    <row r="502" spans="15:17">
      <c r="O502" s="444"/>
      <c r="P502" s="444"/>
      <c r="Q502" s="444"/>
    </row>
    <row r="503" spans="15:17">
      <c r="O503" s="444"/>
      <c r="P503" s="444"/>
      <c r="Q503" s="444"/>
    </row>
    <row r="504" spans="15:17">
      <c r="O504" s="444"/>
      <c r="P504" s="444"/>
      <c r="Q504" s="444"/>
    </row>
    <row r="505" spans="15:17">
      <c r="O505" s="444"/>
      <c r="P505" s="444"/>
      <c r="Q505" s="444"/>
    </row>
    <row r="506" spans="15:17">
      <c r="O506" s="444"/>
      <c r="P506" s="444"/>
      <c r="Q506" s="444"/>
    </row>
    <row r="507" spans="15:17">
      <c r="O507" s="444"/>
      <c r="P507" s="444"/>
      <c r="Q507" s="444"/>
    </row>
    <row r="508" spans="15:17">
      <c r="O508" s="444"/>
      <c r="P508" s="444"/>
      <c r="Q508" s="444"/>
    </row>
    <row r="509" spans="15:17">
      <c r="O509" s="444"/>
      <c r="P509" s="444"/>
      <c r="Q509" s="444"/>
    </row>
    <row r="510" spans="15:17">
      <c r="O510" s="444"/>
      <c r="P510" s="444"/>
      <c r="Q510" s="444"/>
    </row>
    <row r="511" spans="15:17">
      <c r="O511" s="444"/>
      <c r="P511" s="444"/>
      <c r="Q511" s="444"/>
    </row>
    <row r="512" spans="15:17">
      <c r="O512" s="444"/>
      <c r="P512" s="444"/>
      <c r="Q512" s="444"/>
    </row>
    <row r="513" spans="15:17">
      <c r="O513" s="444"/>
      <c r="P513" s="444"/>
      <c r="Q513" s="444"/>
    </row>
    <row r="514" spans="15:17">
      <c r="O514" s="444"/>
      <c r="P514" s="444"/>
      <c r="Q514" s="444"/>
    </row>
    <row r="515" spans="15:17">
      <c r="O515" s="444"/>
      <c r="P515" s="444"/>
      <c r="Q515" s="444"/>
    </row>
    <row r="516" spans="15:17">
      <c r="O516" s="444"/>
      <c r="P516" s="444"/>
      <c r="Q516" s="444"/>
    </row>
    <row r="517" spans="15:17">
      <c r="O517" s="444"/>
      <c r="P517" s="444"/>
      <c r="Q517" s="444"/>
    </row>
    <row r="518" spans="15:17">
      <c r="O518" s="444"/>
      <c r="P518" s="444"/>
      <c r="Q518" s="444"/>
    </row>
    <row r="519" spans="15:17">
      <c r="O519" s="444"/>
      <c r="P519" s="444"/>
      <c r="Q519" s="444"/>
    </row>
    <row r="520" spans="15:17">
      <c r="O520" s="444"/>
      <c r="P520" s="444"/>
      <c r="Q520" s="444"/>
    </row>
    <row r="521" spans="15:17">
      <c r="O521" s="444"/>
      <c r="P521" s="444"/>
      <c r="Q521" s="444"/>
    </row>
    <row r="522" spans="15:17">
      <c r="O522" s="444"/>
      <c r="P522" s="444"/>
      <c r="Q522" s="444"/>
    </row>
    <row r="523" spans="15:17">
      <c r="O523" s="444"/>
      <c r="P523" s="444"/>
      <c r="Q523" s="444"/>
    </row>
    <row r="524" spans="15:17">
      <c r="O524" s="444"/>
      <c r="P524" s="444"/>
      <c r="Q524" s="444"/>
    </row>
    <row r="525" spans="15:17">
      <c r="O525" s="444"/>
      <c r="P525" s="444"/>
      <c r="Q525" s="444"/>
    </row>
    <row r="526" spans="15:17">
      <c r="O526" s="444"/>
      <c r="P526" s="444"/>
      <c r="Q526" s="444"/>
    </row>
    <row r="527" spans="15:17">
      <c r="O527" s="444"/>
      <c r="P527" s="444"/>
      <c r="Q527" s="444"/>
    </row>
    <row r="528" spans="15:17">
      <c r="O528" s="444"/>
      <c r="P528" s="444"/>
      <c r="Q528" s="444"/>
    </row>
    <row r="529" spans="15:17">
      <c r="O529" s="444"/>
      <c r="P529" s="444"/>
      <c r="Q529" s="444"/>
    </row>
    <row r="530" spans="15:17">
      <c r="O530" s="444"/>
      <c r="P530" s="444"/>
      <c r="Q530" s="444"/>
    </row>
    <row r="531" spans="15:17">
      <c r="O531" s="444"/>
      <c r="P531" s="444"/>
      <c r="Q531" s="444"/>
    </row>
    <row r="532" spans="15:17">
      <c r="O532" s="444"/>
      <c r="P532" s="444"/>
      <c r="Q532" s="444"/>
    </row>
    <row r="533" spans="15:17">
      <c r="O533" s="444"/>
      <c r="P533" s="444"/>
      <c r="Q533" s="444"/>
    </row>
    <row r="534" spans="15:17">
      <c r="O534" s="444"/>
      <c r="P534" s="444"/>
      <c r="Q534" s="444"/>
    </row>
    <row r="535" spans="15:17">
      <c r="O535" s="444"/>
      <c r="P535" s="444"/>
      <c r="Q535" s="444"/>
    </row>
    <row r="536" spans="15:17">
      <c r="O536" s="444"/>
      <c r="P536" s="444"/>
      <c r="Q536" s="444"/>
    </row>
    <row r="537" spans="15:17">
      <c r="O537" s="444"/>
      <c r="P537" s="444"/>
      <c r="Q537" s="444"/>
    </row>
    <row r="538" spans="15:17">
      <c r="O538" s="444"/>
      <c r="P538" s="444"/>
      <c r="Q538" s="444"/>
    </row>
    <row r="539" spans="15:17">
      <c r="O539" s="444"/>
      <c r="P539" s="444"/>
      <c r="Q539" s="444"/>
    </row>
    <row r="540" spans="15:17">
      <c r="O540" s="444"/>
      <c r="P540" s="444"/>
      <c r="Q540" s="444"/>
    </row>
    <row r="541" spans="15:17">
      <c r="O541" s="444"/>
      <c r="P541" s="444"/>
      <c r="Q541" s="444"/>
    </row>
    <row r="542" spans="15:17">
      <c r="O542" s="444"/>
      <c r="P542" s="444"/>
      <c r="Q542" s="444"/>
    </row>
    <row r="543" spans="15:17">
      <c r="O543" s="444"/>
      <c r="P543" s="444"/>
      <c r="Q543" s="444"/>
    </row>
    <row r="544" spans="15:17">
      <c r="O544" s="444"/>
      <c r="P544" s="444"/>
      <c r="Q544" s="444"/>
    </row>
    <row r="547" spans="15:17">
      <c r="O547" s="444"/>
      <c r="P547" s="444"/>
      <c r="Q547" s="444"/>
    </row>
    <row r="548" spans="15:17">
      <c r="O548" s="444"/>
      <c r="P548" s="444"/>
      <c r="Q548" s="444"/>
    </row>
    <row r="549" spans="15:17">
      <c r="O549" s="444"/>
      <c r="P549" s="444"/>
      <c r="Q549" s="444"/>
    </row>
    <row r="550" spans="15:17">
      <c r="O550" s="444"/>
      <c r="P550" s="444"/>
      <c r="Q550" s="444"/>
    </row>
    <row r="551" spans="15:17">
      <c r="O551" s="444"/>
      <c r="P551" s="444"/>
      <c r="Q551" s="444"/>
    </row>
    <row r="552" spans="15:17">
      <c r="O552" s="444"/>
      <c r="P552" s="444"/>
      <c r="Q552" s="444"/>
    </row>
    <row r="553" spans="15:17">
      <c r="O553" s="444"/>
      <c r="P553" s="444"/>
      <c r="Q553" s="444"/>
    </row>
    <row r="554" spans="15:17">
      <c r="O554" s="444"/>
      <c r="P554" s="444"/>
      <c r="Q554" s="444"/>
    </row>
    <row r="555" spans="15:17">
      <c r="O555" s="444"/>
      <c r="P555" s="444"/>
      <c r="Q555" s="444"/>
    </row>
    <row r="556" spans="15:17">
      <c r="O556" s="444"/>
      <c r="P556" s="444"/>
      <c r="Q556" s="444"/>
    </row>
    <row r="557" spans="15:17">
      <c r="O557" s="444"/>
      <c r="P557" s="444"/>
      <c r="Q557" s="444"/>
    </row>
    <row r="558" spans="15:17">
      <c r="O558" s="444"/>
      <c r="P558" s="444"/>
      <c r="Q558" s="444"/>
    </row>
    <row r="559" spans="15:17">
      <c r="O559" s="444"/>
      <c r="P559" s="444"/>
      <c r="Q559" s="444"/>
    </row>
    <row r="560" spans="15:17">
      <c r="O560" s="444"/>
      <c r="P560" s="444"/>
      <c r="Q560" s="444"/>
    </row>
    <row r="561" spans="15:17">
      <c r="O561" s="444"/>
      <c r="P561" s="444"/>
      <c r="Q561" s="444"/>
    </row>
    <row r="562" spans="15:17">
      <c r="O562" s="444"/>
      <c r="P562" s="444"/>
      <c r="Q562" s="444"/>
    </row>
    <row r="563" spans="15:17">
      <c r="O563" s="444"/>
      <c r="P563" s="444"/>
      <c r="Q563" s="444"/>
    </row>
    <row r="564" spans="15:17">
      <c r="O564" s="444"/>
      <c r="P564" s="444"/>
      <c r="Q564" s="444"/>
    </row>
    <row r="565" spans="15:17">
      <c r="O565" s="444"/>
      <c r="P565" s="444"/>
      <c r="Q565" s="444"/>
    </row>
    <row r="566" spans="15:17">
      <c r="O566" s="444"/>
      <c r="P566" s="444"/>
      <c r="Q566" s="444"/>
    </row>
    <row r="567" spans="15:17">
      <c r="O567" s="444"/>
      <c r="P567" s="444"/>
      <c r="Q567" s="444"/>
    </row>
    <row r="568" spans="15:17">
      <c r="O568" s="444"/>
      <c r="P568" s="444"/>
      <c r="Q568" s="444"/>
    </row>
    <row r="569" spans="15:17">
      <c r="O569" s="444"/>
      <c r="P569" s="444"/>
      <c r="Q569" s="444"/>
    </row>
    <row r="570" spans="15:17">
      <c r="O570" s="444"/>
      <c r="P570" s="444"/>
      <c r="Q570" s="444"/>
    </row>
    <row r="571" spans="15:17">
      <c r="O571" s="444"/>
      <c r="P571" s="444"/>
      <c r="Q571" s="444"/>
    </row>
    <row r="572" spans="15:17">
      <c r="O572" s="444"/>
      <c r="P572" s="444"/>
      <c r="Q572" s="444"/>
    </row>
    <row r="573" spans="15:17">
      <c r="O573" s="444"/>
      <c r="P573" s="444"/>
      <c r="Q573" s="444"/>
    </row>
    <row r="574" spans="15:17">
      <c r="O574" s="444"/>
      <c r="P574" s="444"/>
      <c r="Q574" s="444"/>
    </row>
    <row r="575" spans="15:17">
      <c r="O575" s="444"/>
      <c r="P575" s="444"/>
      <c r="Q575" s="444"/>
    </row>
    <row r="576" spans="15:17">
      <c r="O576" s="444"/>
      <c r="P576" s="444"/>
      <c r="Q576" s="444"/>
    </row>
    <row r="577" spans="15:17">
      <c r="O577" s="444"/>
      <c r="P577" s="444"/>
      <c r="Q577" s="444"/>
    </row>
    <row r="578" spans="15:17">
      <c r="O578" s="444"/>
      <c r="P578" s="444"/>
      <c r="Q578" s="444"/>
    </row>
    <row r="579" spans="15:17">
      <c r="O579" s="444"/>
      <c r="P579" s="444"/>
      <c r="Q579" s="444"/>
    </row>
    <row r="580" spans="15:17">
      <c r="O580" s="444"/>
      <c r="P580" s="444"/>
      <c r="Q580" s="444"/>
    </row>
    <row r="581" spans="15:17">
      <c r="O581" s="444"/>
      <c r="P581" s="444"/>
      <c r="Q581" s="444"/>
    </row>
    <row r="582" spans="15:17">
      <c r="O582" s="444"/>
      <c r="P582" s="444"/>
      <c r="Q582" s="444"/>
    </row>
    <row r="583" spans="15:17">
      <c r="O583" s="444"/>
      <c r="P583" s="444"/>
      <c r="Q583" s="444"/>
    </row>
    <row r="584" spans="15:17">
      <c r="O584" s="444"/>
      <c r="P584" s="444"/>
      <c r="Q584" s="444"/>
    </row>
    <row r="585" spans="15:17">
      <c r="O585" s="444"/>
      <c r="P585" s="444"/>
      <c r="Q585" s="444"/>
    </row>
    <row r="586" spans="15:17">
      <c r="O586" s="444"/>
      <c r="P586" s="444"/>
      <c r="Q586" s="444"/>
    </row>
    <row r="587" spans="15:17">
      <c r="O587" s="444"/>
      <c r="P587" s="444"/>
      <c r="Q587" s="444"/>
    </row>
    <row r="588" spans="15:17">
      <c r="O588" s="444"/>
      <c r="P588" s="444"/>
      <c r="Q588" s="444"/>
    </row>
    <row r="589" spans="15:17">
      <c r="O589" s="444"/>
      <c r="P589" s="444"/>
      <c r="Q589" s="444"/>
    </row>
  </sheetData>
  <phoneticPr fontId="4" type="noConversion"/>
  <conditionalFormatting sqref="L5:L20">
    <cfRule type="dataBar" priority="12">
      <dataBar>
        <cfvo type="min"/>
        <cfvo type="max"/>
        <color rgb="FF638EC6"/>
      </dataBar>
      <extLst>
        <ext xmlns:x14="http://schemas.microsoft.com/office/spreadsheetml/2009/9/main" uri="{B025F937-C7B1-47D3-B67F-A62EFF666E3E}">
          <x14:id>{22603916-3DC4-419B-A840-F8B3DABD9399}</x14:id>
        </ext>
      </extLst>
    </cfRule>
  </conditionalFormatting>
  <conditionalFormatting sqref="L48">
    <cfRule type="dataBar" priority="6">
      <dataBar>
        <cfvo type="min"/>
        <cfvo type="max"/>
        <color rgb="FF638EC6"/>
      </dataBar>
      <extLst>
        <ext xmlns:x14="http://schemas.microsoft.com/office/spreadsheetml/2009/9/main" uri="{B025F937-C7B1-47D3-B67F-A62EFF666E3E}">
          <x14:id>{77CDC6DA-B645-42D9-B7CF-BC8928DE4714}</x14:id>
        </ext>
      </extLst>
    </cfRule>
  </conditionalFormatting>
  <conditionalFormatting sqref="M5:M20">
    <cfRule type="dataBar" priority="11">
      <dataBar>
        <cfvo type="min"/>
        <cfvo type="max"/>
        <color rgb="FF638EC6"/>
      </dataBar>
      <extLst>
        <ext xmlns:x14="http://schemas.microsoft.com/office/spreadsheetml/2009/9/main" uri="{B025F937-C7B1-47D3-B67F-A62EFF666E3E}">
          <x14:id>{9B666569-DA00-44D5-91D3-5B4E6C62E7BF}</x14:id>
        </ext>
      </extLst>
    </cfRule>
  </conditionalFormatting>
  <conditionalFormatting sqref="M48">
    <cfRule type="dataBar" priority="5">
      <dataBar>
        <cfvo type="min"/>
        <cfvo type="max"/>
        <color rgb="FF638EC6"/>
      </dataBar>
      <extLst>
        <ext xmlns:x14="http://schemas.microsoft.com/office/spreadsheetml/2009/9/main" uri="{B025F937-C7B1-47D3-B67F-A62EFF666E3E}">
          <x14:id>{7339CEC0-D7F4-4018-B672-DEFC1AD4E0D5}</x14:id>
        </ext>
      </extLst>
    </cfRule>
  </conditionalFormatting>
  <conditionalFormatting sqref="N5:N20">
    <cfRule type="dataBar" priority="24">
      <dataBar>
        <cfvo type="min"/>
        <cfvo type="max"/>
        <color rgb="FF638EC6"/>
      </dataBar>
      <extLst>
        <ext xmlns:x14="http://schemas.microsoft.com/office/spreadsheetml/2009/9/main" uri="{B025F937-C7B1-47D3-B67F-A62EFF666E3E}">
          <x14:id>{A2BE16B0-DA67-4A03-B877-B50E2181A800}</x14:id>
        </ext>
      </extLst>
    </cfRule>
  </conditionalFormatting>
  <conditionalFormatting sqref="N48">
    <cfRule type="dataBar" priority="7">
      <dataBar>
        <cfvo type="min"/>
        <cfvo type="max"/>
        <color rgb="FF638EC6"/>
      </dataBar>
      <extLst>
        <ext xmlns:x14="http://schemas.microsoft.com/office/spreadsheetml/2009/9/main" uri="{B025F937-C7B1-47D3-B67F-A62EFF666E3E}">
          <x14:id>{5ADB19F3-57FF-47C1-BE10-654F966CDA25}</x14:id>
        </ext>
      </extLst>
    </cfRule>
  </conditionalFormatting>
  <conditionalFormatting sqref="N49:N59 N47">
    <cfRule type="dataBar" priority="23">
      <dataBar>
        <cfvo type="min"/>
        <cfvo type="max"/>
        <color rgb="FF638EC6"/>
      </dataBar>
      <extLst>
        <ext xmlns:x14="http://schemas.microsoft.com/office/spreadsheetml/2009/9/main" uri="{B025F937-C7B1-47D3-B67F-A62EFF666E3E}">
          <x14:id>{1040DF5F-313A-41DF-BE04-5466F4C2A157}</x14:id>
        </ext>
      </extLst>
    </cfRule>
  </conditionalFormatting>
  <conditionalFormatting sqref="N83:N103">
    <cfRule type="dataBar" priority="22">
      <dataBar>
        <cfvo type="min"/>
        <cfvo type="max"/>
        <color rgb="FF638EC6"/>
      </dataBar>
      <extLst>
        <ext xmlns:x14="http://schemas.microsoft.com/office/spreadsheetml/2009/9/main" uri="{B025F937-C7B1-47D3-B67F-A62EFF666E3E}">
          <x14:id>{901BC2FD-C5EB-4EA1-B94A-8B0BBA56DE95}</x14:id>
        </ext>
      </extLst>
    </cfRule>
  </conditionalFormatting>
  <conditionalFormatting sqref="N135:N154">
    <cfRule type="dataBar" priority="385">
      <dataBar>
        <cfvo type="min"/>
        <cfvo type="max"/>
        <color rgb="FF638EC6"/>
      </dataBar>
      <extLst>
        <ext xmlns:x14="http://schemas.microsoft.com/office/spreadsheetml/2009/9/main" uri="{B025F937-C7B1-47D3-B67F-A62EFF666E3E}">
          <x14:id>{A84F14E9-2051-4AFE-9858-83D4725D4620}</x14:id>
        </ext>
      </extLst>
    </cfRule>
  </conditionalFormatting>
  <conditionalFormatting sqref="N185:N197">
    <cfRule type="dataBar" priority="10">
      <dataBar>
        <cfvo type="min"/>
        <cfvo type="max"/>
        <color rgb="FF638EC6"/>
      </dataBar>
      <extLst>
        <ext xmlns:x14="http://schemas.microsoft.com/office/spreadsheetml/2009/9/main" uri="{B025F937-C7B1-47D3-B67F-A62EFF666E3E}">
          <x14:id>{98FFED8D-F07D-4D09-A63B-2085FB405932}</x14:id>
        </ext>
      </extLst>
    </cfRule>
  </conditionalFormatting>
  <conditionalFormatting sqref="N220:N233">
    <cfRule type="dataBar" priority="9">
      <dataBar>
        <cfvo type="min"/>
        <cfvo type="max"/>
        <color rgb="FF638EC6"/>
      </dataBar>
      <extLst>
        <ext xmlns:x14="http://schemas.microsoft.com/office/spreadsheetml/2009/9/main" uri="{B025F937-C7B1-47D3-B67F-A62EFF666E3E}">
          <x14:id>{BE0761E9-B6A5-40D7-971B-E61A5B17B3B9}</x14:id>
        </ext>
      </extLst>
    </cfRule>
  </conditionalFormatting>
  <conditionalFormatting sqref="N296:N321">
    <cfRule type="dataBar" priority="1">
      <dataBar>
        <cfvo type="min"/>
        <cfvo type="max"/>
        <color rgb="FF638EC6"/>
      </dataBar>
      <extLst>
        <ext xmlns:x14="http://schemas.microsoft.com/office/spreadsheetml/2009/9/main" uri="{B025F937-C7B1-47D3-B67F-A62EFF666E3E}">
          <x14:id>{977B12A7-2AE9-4EA0-ADCC-EB5AB25B42B0}</x14:id>
        </ext>
      </extLst>
    </cfRule>
  </conditionalFormatting>
  <conditionalFormatting sqref="N360:N377">
    <cfRule type="dataBar" priority="25">
      <dataBar>
        <cfvo type="min"/>
        <cfvo type="max"/>
        <color rgb="FF638EC6"/>
      </dataBar>
      <extLst>
        <ext xmlns:x14="http://schemas.microsoft.com/office/spreadsheetml/2009/9/main" uri="{B025F937-C7B1-47D3-B67F-A62EFF666E3E}">
          <x14:id>{D65A359D-3393-4EE8-ACCB-CBBF80A79AA5}</x14:id>
        </ext>
      </extLst>
    </cfRule>
  </conditionalFormatting>
  <conditionalFormatting sqref="N407:N418 N420:N421">
    <cfRule type="dataBar" priority="427">
      <dataBar>
        <cfvo type="min"/>
        <cfvo type="max"/>
        <color rgb="FF638EC6"/>
      </dataBar>
      <extLst>
        <ext xmlns:x14="http://schemas.microsoft.com/office/spreadsheetml/2009/9/main" uri="{B025F937-C7B1-47D3-B67F-A62EFF666E3E}">
          <x14:id>{AE1FBA97-435A-4B8D-A567-4B638BC3D21F}</x14:id>
        </ext>
      </extLst>
    </cfRule>
  </conditionalFormatting>
  <conditionalFormatting sqref="N419">
    <cfRule type="dataBar" priority="3">
      <dataBar>
        <cfvo type="min"/>
        <cfvo type="max"/>
        <color rgb="FF638EC6"/>
      </dataBar>
      <extLst>
        <ext xmlns:x14="http://schemas.microsoft.com/office/spreadsheetml/2009/9/main" uri="{B025F937-C7B1-47D3-B67F-A62EFF666E3E}">
          <x14:id>{2A1E41BA-30BA-47B0-8960-88D28A9BE7B2}</x14:id>
        </ext>
      </extLst>
    </cfRule>
  </conditionalFormatting>
  <conditionalFormatting sqref="O5:O20">
    <cfRule type="dataBar" priority="245">
      <dataBar>
        <cfvo type="min"/>
        <cfvo type="max"/>
        <color rgb="FF638EC6"/>
      </dataBar>
      <extLst>
        <ext xmlns:x14="http://schemas.microsoft.com/office/spreadsheetml/2009/9/main" uri="{B025F937-C7B1-47D3-B67F-A62EFF666E3E}">
          <x14:id>{619BAAC3-468A-458D-A5AA-C0E00506767F}</x14:id>
        </ext>
      </extLst>
    </cfRule>
  </conditionalFormatting>
  <conditionalFormatting sqref="O26:O41">
    <cfRule type="dataBar" priority="2">
      <dataBar>
        <cfvo type="min"/>
        <cfvo type="max"/>
        <color rgb="FF638EC6"/>
      </dataBar>
      <extLst>
        <ext xmlns:x14="http://schemas.microsoft.com/office/spreadsheetml/2009/9/main" uri="{B025F937-C7B1-47D3-B67F-A62EFF666E3E}">
          <x14:id>{829DA8EB-EB64-4D19-82FC-DB088C6A9B5D}</x14:id>
        </ext>
      </extLst>
    </cfRule>
  </conditionalFormatting>
  <conditionalFormatting sqref="O47:O59">
    <cfRule type="dataBar" priority="294">
      <dataBar>
        <cfvo type="min"/>
        <cfvo type="max"/>
        <color rgb="FF638EC6"/>
      </dataBar>
      <extLst>
        <ext xmlns:x14="http://schemas.microsoft.com/office/spreadsheetml/2009/9/main" uri="{B025F937-C7B1-47D3-B67F-A62EFF666E3E}">
          <x14:id>{FE05162E-5C0A-4529-915F-8C7C5864AB3E}</x14:id>
        </ext>
      </extLst>
    </cfRule>
  </conditionalFormatting>
  <conditionalFormatting sqref="O83:O103 O105:O132 O182 O198:O209 O212:O216">
    <cfRule type="dataBar" priority="90">
      <dataBar>
        <cfvo type="min"/>
        <cfvo type="max"/>
        <color rgb="FF638EC6"/>
      </dataBar>
      <extLst>
        <ext xmlns:x14="http://schemas.microsoft.com/office/spreadsheetml/2009/9/main" uri="{B025F937-C7B1-47D3-B67F-A62EFF666E3E}">
          <x14:id>{7243023F-FF01-45CA-AE4B-061EBAC4F6DE}</x14:id>
        </ext>
      </extLst>
    </cfRule>
  </conditionalFormatting>
  <conditionalFormatting sqref="O135:O154 O156 O180:O181">
    <cfRule type="dataBar" priority="259">
      <dataBar>
        <cfvo type="min"/>
        <cfvo type="max"/>
        <color rgb="FF638EC6"/>
      </dataBar>
      <extLst>
        <ext xmlns:x14="http://schemas.microsoft.com/office/spreadsheetml/2009/9/main" uri="{B025F937-C7B1-47D3-B67F-A62EFF666E3E}">
          <x14:id>{B226DE44-6A25-4DF3-839D-91E9A12A3031}</x14:id>
        </ext>
      </extLst>
    </cfRule>
  </conditionalFormatting>
  <conditionalFormatting sqref="O143:O145">
    <cfRule type="dataBar" priority="363">
      <dataBar>
        <cfvo type="min"/>
        <cfvo type="max"/>
        <color rgb="FF638EC6"/>
      </dataBar>
      <extLst>
        <ext xmlns:x14="http://schemas.microsoft.com/office/spreadsheetml/2009/9/main" uri="{B025F937-C7B1-47D3-B67F-A62EFF666E3E}">
          <x14:id>{A4444179-7FFC-4C04-B67B-C44126B3B536}</x14:id>
        </ext>
      </extLst>
    </cfRule>
  </conditionalFormatting>
  <conditionalFormatting sqref="O146:O152">
    <cfRule type="dataBar" priority="74">
      <dataBar>
        <cfvo type="min"/>
        <cfvo type="max"/>
        <color rgb="FF638EC6"/>
      </dataBar>
      <extLst>
        <ext xmlns:x14="http://schemas.microsoft.com/office/spreadsheetml/2009/9/main" uri="{B025F937-C7B1-47D3-B67F-A62EFF666E3E}">
          <x14:id>{812A9412-7D61-4CFC-BD09-9B4C7DFE0D65}</x14:id>
        </ext>
      </extLst>
    </cfRule>
  </conditionalFormatting>
  <conditionalFormatting sqref="O153:O154">
    <cfRule type="dataBar" priority="328">
      <dataBar>
        <cfvo type="min"/>
        <cfvo type="max"/>
        <color rgb="FF638EC6"/>
      </dataBar>
      <extLst>
        <ext xmlns:x14="http://schemas.microsoft.com/office/spreadsheetml/2009/9/main" uri="{B025F937-C7B1-47D3-B67F-A62EFF666E3E}">
          <x14:id>{5F66FB47-F526-4E32-954B-266D895BC1C1}</x14:id>
        </ext>
      </extLst>
    </cfRule>
  </conditionalFormatting>
  <conditionalFormatting sqref="O185:O197">
    <cfRule type="dataBar" priority="87">
      <dataBar>
        <cfvo type="min"/>
        <cfvo type="max"/>
        <color rgb="FF638EC6"/>
      </dataBar>
      <extLst>
        <ext xmlns:x14="http://schemas.microsoft.com/office/spreadsheetml/2009/9/main" uri="{B025F937-C7B1-47D3-B67F-A62EFF666E3E}">
          <x14:id>{9F79B39C-60B2-4505-A779-2012EAE0FBA3}</x14:id>
        </ext>
      </extLst>
    </cfRule>
  </conditionalFormatting>
  <conditionalFormatting sqref="O220:O233">
    <cfRule type="dataBar" priority="411">
      <dataBar>
        <cfvo type="min"/>
        <cfvo type="max"/>
        <color rgb="FF638EC6"/>
      </dataBar>
      <extLst>
        <ext xmlns:x14="http://schemas.microsoft.com/office/spreadsheetml/2009/9/main" uri="{B025F937-C7B1-47D3-B67F-A62EFF666E3E}">
          <x14:id>{00B1E059-51B6-466F-B8F8-F7370C67D61D}</x14:id>
        </ext>
      </extLst>
    </cfRule>
  </conditionalFormatting>
  <conditionalFormatting sqref="O258:O272">
    <cfRule type="dataBar" priority="46">
      <dataBar>
        <cfvo type="min"/>
        <cfvo type="max"/>
        <color rgb="FF638EC6"/>
      </dataBar>
      <extLst>
        <ext xmlns:x14="http://schemas.microsoft.com/office/spreadsheetml/2009/9/main" uri="{B025F937-C7B1-47D3-B67F-A62EFF666E3E}">
          <x14:id>{317216C0-53BB-45C6-B1E4-AA69F50CF140}</x14:id>
        </ext>
      </extLst>
    </cfRule>
  </conditionalFormatting>
  <conditionalFormatting sqref="O296:O321">
    <cfRule type="dataBar" priority="68">
      <dataBar>
        <cfvo type="min"/>
        <cfvo type="max"/>
        <color rgb="FF638EC6"/>
      </dataBar>
      <extLst>
        <ext xmlns:x14="http://schemas.microsoft.com/office/spreadsheetml/2009/9/main" uri="{B025F937-C7B1-47D3-B67F-A62EFF666E3E}">
          <x14:id>{6605EF21-53D0-4A0B-9189-374809215939}</x14:id>
        </ext>
      </extLst>
    </cfRule>
  </conditionalFormatting>
  <conditionalFormatting sqref="O423:O427 O353 O429:O430 O433 O435:O437 O441:O474 O476:O544 O547:O589">
    <cfRule type="dataBar" priority="34">
      <dataBar>
        <cfvo type="min"/>
        <cfvo type="max"/>
        <color rgb="FF638EC6"/>
      </dataBar>
      <extLst>
        <ext xmlns:x14="http://schemas.microsoft.com/office/spreadsheetml/2009/9/main" uri="{B025F937-C7B1-47D3-B67F-A62EFF666E3E}">
          <x14:id>{D7CC9F5E-BD89-4B5D-92B5-790B9D20B7FB}</x14:id>
        </ext>
      </extLst>
    </cfRule>
  </conditionalFormatting>
  <conditionalFormatting sqref="O83:Q103">
    <cfRule type="dataBar" priority="49">
      <dataBar>
        <cfvo type="min"/>
        <cfvo type="max"/>
        <color rgb="FF638EC6"/>
      </dataBar>
      <extLst>
        <ext xmlns:x14="http://schemas.microsoft.com/office/spreadsheetml/2009/9/main" uri="{B025F937-C7B1-47D3-B67F-A62EFF666E3E}">
          <x14:id>{44FFFBE5-12D3-4CE8-9774-BF47659B59B9}</x14:id>
        </ext>
      </extLst>
    </cfRule>
  </conditionalFormatting>
  <conditionalFormatting sqref="O135:Q154">
    <cfRule type="dataBar" priority="383">
      <dataBar>
        <cfvo type="min"/>
        <cfvo type="max"/>
        <color rgb="FF638EC6"/>
      </dataBar>
      <extLst>
        <ext xmlns:x14="http://schemas.microsoft.com/office/spreadsheetml/2009/9/main" uri="{B025F937-C7B1-47D3-B67F-A62EFF666E3E}">
          <x14:id>{A33472A2-DE20-4230-9076-20A31F7E6638}</x14:id>
        </ext>
      </extLst>
    </cfRule>
  </conditionalFormatting>
  <conditionalFormatting sqref="O185:Q197">
    <cfRule type="dataBar" priority="48">
      <dataBar>
        <cfvo type="min"/>
        <cfvo type="max"/>
        <color rgb="FF638EC6"/>
      </dataBar>
      <extLst>
        <ext xmlns:x14="http://schemas.microsoft.com/office/spreadsheetml/2009/9/main" uri="{B025F937-C7B1-47D3-B67F-A62EFF666E3E}">
          <x14:id>{B897AD35-EE66-44E1-9B8F-D2928BABB293}</x14:id>
        </ext>
      </extLst>
    </cfRule>
  </conditionalFormatting>
  <conditionalFormatting sqref="O296:Q321">
    <cfRule type="dataBar" priority="51">
      <dataBar>
        <cfvo type="min"/>
        <cfvo type="max"/>
        <color rgb="FF638EC6"/>
      </dataBar>
      <extLst>
        <ext xmlns:x14="http://schemas.microsoft.com/office/spreadsheetml/2009/9/main" uri="{B025F937-C7B1-47D3-B67F-A62EFF666E3E}">
          <x14:id>{B4174BFD-F16E-4676-9B31-5DADF2FF09B4}</x14:id>
        </ext>
      </extLst>
    </cfRule>
  </conditionalFormatting>
  <conditionalFormatting sqref="O360:Q369">
    <cfRule type="dataBar" priority="31">
      <dataBar>
        <cfvo type="min"/>
        <cfvo type="max"/>
        <color rgb="FF638EC6"/>
      </dataBar>
      <extLst>
        <ext xmlns:x14="http://schemas.microsoft.com/office/spreadsheetml/2009/9/main" uri="{B025F937-C7B1-47D3-B67F-A62EFF666E3E}">
          <x14:id>{1411554E-3647-44ED-8E30-3B49711EE12C}</x14:id>
        </ext>
      </extLst>
    </cfRule>
  </conditionalFormatting>
  <conditionalFormatting sqref="O370:Q377 O379:Q404">
    <cfRule type="dataBar" priority="307">
      <dataBar>
        <cfvo type="min"/>
        <cfvo type="max"/>
        <color rgb="FF638EC6"/>
      </dataBar>
      <extLst>
        <ext xmlns:x14="http://schemas.microsoft.com/office/spreadsheetml/2009/9/main" uri="{B025F937-C7B1-47D3-B67F-A62EFF666E3E}">
          <x14:id>{E1F1C189-DC16-4159-AD8D-89A3E5A70590}</x14:id>
        </ext>
      </extLst>
    </cfRule>
  </conditionalFormatting>
  <conditionalFormatting sqref="O407:Q421">
    <cfRule type="dataBar" priority="424">
      <dataBar>
        <cfvo type="min"/>
        <cfvo type="max"/>
        <color rgb="FF638EC6"/>
      </dataBar>
      <extLst>
        <ext xmlns:x14="http://schemas.microsoft.com/office/spreadsheetml/2009/9/main" uri="{B025F937-C7B1-47D3-B67F-A62EFF666E3E}">
          <x14:id>{A14A7515-DE2F-4FD0-A21C-DDB17D31ADDF}</x14:id>
        </ext>
      </extLst>
    </cfRule>
  </conditionalFormatting>
  <conditionalFormatting sqref="P5:P20">
    <cfRule type="dataBar" priority="246">
      <dataBar>
        <cfvo type="min"/>
        <cfvo type="max"/>
        <color rgb="FF638EC6"/>
      </dataBar>
      <extLst>
        <ext xmlns:x14="http://schemas.microsoft.com/office/spreadsheetml/2009/9/main" uri="{B025F937-C7B1-47D3-B67F-A62EFF666E3E}">
          <x14:id>{A661DDF9-808F-471F-9AD0-3D49DBD71454}</x14:id>
        </ext>
      </extLst>
    </cfRule>
  </conditionalFormatting>
  <conditionalFormatting sqref="P47:P59">
    <cfRule type="dataBar" priority="295">
      <dataBar>
        <cfvo type="min"/>
        <cfvo type="max"/>
        <color rgb="FF638EC6"/>
      </dataBar>
      <extLst>
        <ext xmlns:x14="http://schemas.microsoft.com/office/spreadsheetml/2009/9/main" uri="{B025F937-C7B1-47D3-B67F-A62EFF666E3E}">
          <x14:id>{BF1FC3EE-A12C-4E19-9C94-5BC6A9E62F67}</x14:id>
        </ext>
      </extLst>
    </cfRule>
  </conditionalFormatting>
  <conditionalFormatting sqref="P83:P103 P105:P132 P182 P198:P216">
    <cfRule type="dataBar" priority="91">
      <dataBar>
        <cfvo type="min"/>
        <cfvo type="max"/>
        <color rgb="FF638EC6"/>
      </dataBar>
      <extLst>
        <ext xmlns:x14="http://schemas.microsoft.com/office/spreadsheetml/2009/9/main" uri="{B025F937-C7B1-47D3-B67F-A62EFF666E3E}">
          <x14:id>{240AA5C3-7CA8-4C00-9D2C-50DF2CA7BEE8}</x14:id>
        </ext>
      </extLst>
    </cfRule>
  </conditionalFormatting>
  <conditionalFormatting sqref="P135:P154 P156:P181">
    <cfRule type="dataBar" priority="261">
      <dataBar>
        <cfvo type="min"/>
        <cfvo type="max"/>
        <color rgb="FF638EC6"/>
      </dataBar>
      <extLst>
        <ext xmlns:x14="http://schemas.microsoft.com/office/spreadsheetml/2009/9/main" uri="{B025F937-C7B1-47D3-B67F-A62EFF666E3E}">
          <x14:id>{D2358308-395F-4048-B234-5FC3E07D22D0}</x14:id>
        </ext>
      </extLst>
    </cfRule>
  </conditionalFormatting>
  <conditionalFormatting sqref="P143:P145">
    <cfRule type="dataBar" priority="364">
      <dataBar>
        <cfvo type="min"/>
        <cfvo type="max"/>
        <color rgb="FF638EC6"/>
      </dataBar>
      <extLst>
        <ext xmlns:x14="http://schemas.microsoft.com/office/spreadsheetml/2009/9/main" uri="{B025F937-C7B1-47D3-B67F-A62EFF666E3E}">
          <x14:id>{9D2ABB5E-FCAD-423E-A3FB-1D741DC57AC3}</x14:id>
        </ext>
      </extLst>
    </cfRule>
  </conditionalFormatting>
  <conditionalFormatting sqref="P146:P152">
    <cfRule type="dataBar" priority="75">
      <dataBar>
        <cfvo type="min"/>
        <cfvo type="max"/>
        <color rgb="FF638EC6"/>
      </dataBar>
      <extLst>
        <ext xmlns:x14="http://schemas.microsoft.com/office/spreadsheetml/2009/9/main" uri="{B025F937-C7B1-47D3-B67F-A62EFF666E3E}">
          <x14:id>{F9207AC0-FDA3-47E7-8720-359DE5A560C4}</x14:id>
        </ext>
      </extLst>
    </cfRule>
  </conditionalFormatting>
  <conditionalFormatting sqref="P153:P154">
    <cfRule type="dataBar" priority="329">
      <dataBar>
        <cfvo type="min"/>
        <cfvo type="max"/>
        <color rgb="FF638EC6"/>
      </dataBar>
      <extLst>
        <ext xmlns:x14="http://schemas.microsoft.com/office/spreadsheetml/2009/9/main" uri="{B025F937-C7B1-47D3-B67F-A62EFF666E3E}">
          <x14:id>{F9BBB7BA-BE8C-48DC-85D5-8F7F8EA31DA4}</x14:id>
        </ext>
      </extLst>
    </cfRule>
  </conditionalFormatting>
  <conditionalFormatting sqref="P185:P197">
    <cfRule type="dataBar" priority="88">
      <dataBar>
        <cfvo type="min"/>
        <cfvo type="max"/>
        <color rgb="FF638EC6"/>
      </dataBar>
      <extLst>
        <ext xmlns:x14="http://schemas.microsoft.com/office/spreadsheetml/2009/9/main" uri="{B025F937-C7B1-47D3-B67F-A62EFF666E3E}">
          <x14:id>{709EC729-DD63-4D90-830C-079E399E1415}</x14:id>
        </ext>
      </extLst>
    </cfRule>
  </conditionalFormatting>
  <conditionalFormatting sqref="P220:P233">
    <cfRule type="dataBar" priority="412">
      <dataBar>
        <cfvo type="min"/>
        <cfvo type="max"/>
        <color rgb="FF638EC6"/>
      </dataBar>
      <extLst>
        <ext xmlns:x14="http://schemas.microsoft.com/office/spreadsheetml/2009/9/main" uri="{B025F937-C7B1-47D3-B67F-A62EFF666E3E}">
          <x14:id>{2755B3B5-B77C-451F-9C5D-4A983630F5CF}</x14:id>
        </ext>
      </extLst>
    </cfRule>
  </conditionalFormatting>
  <conditionalFormatting sqref="P258:P272">
    <cfRule type="dataBar" priority="47">
      <dataBar>
        <cfvo type="min"/>
        <cfvo type="max"/>
        <color rgb="FF638EC6"/>
      </dataBar>
      <extLst>
        <ext xmlns:x14="http://schemas.microsoft.com/office/spreadsheetml/2009/9/main" uri="{B025F937-C7B1-47D3-B67F-A62EFF666E3E}">
          <x14:id>{304AF082-5511-4AD8-82FE-C41525C2DB66}</x14:id>
        </ext>
      </extLst>
    </cfRule>
  </conditionalFormatting>
  <conditionalFormatting sqref="P296:P321">
    <cfRule type="dataBar" priority="69">
      <dataBar>
        <cfvo type="min"/>
        <cfvo type="max"/>
        <color rgb="FF638EC6"/>
      </dataBar>
      <extLst>
        <ext xmlns:x14="http://schemas.microsoft.com/office/spreadsheetml/2009/9/main" uri="{B025F937-C7B1-47D3-B67F-A62EFF666E3E}">
          <x14:id>{D906B33B-9F6E-4EF6-BEF2-2EC34B43C330}</x14:id>
        </ext>
      </extLst>
    </cfRule>
  </conditionalFormatting>
  <conditionalFormatting sqref="P423:P460 P476:P544 P547:P589">
    <cfRule type="dataBar" priority="35">
      <dataBar>
        <cfvo type="min"/>
        <cfvo type="max"/>
        <color rgb="FF638EC6"/>
      </dataBar>
      <extLst>
        <ext xmlns:x14="http://schemas.microsoft.com/office/spreadsheetml/2009/9/main" uri="{B025F937-C7B1-47D3-B67F-A62EFF666E3E}">
          <x14:id>{04C51608-22E7-4E8D-B317-70A5C94E4131}</x14:id>
        </ext>
      </extLst>
    </cfRule>
  </conditionalFormatting>
  <conditionalFormatting sqref="P430:P474 P353">
    <cfRule type="dataBar" priority="409">
      <dataBar>
        <cfvo type="min"/>
        <cfvo type="max"/>
        <color rgb="FF638EC6"/>
      </dataBar>
      <extLst>
        <ext xmlns:x14="http://schemas.microsoft.com/office/spreadsheetml/2009/9/main" uri="{B025F937-C7B1-47D3-B67F-A62EFF666E3E}">
          <x14:id>{8C04BF30-E2F4-4D47-A22B-2C7C7B8A3577}</x14:id>
        </ext>
      </extLst>
    </cfRule>
  </conditionalFormatting>
  <conditionalFormatting sqref="Q5:Q20">
    <cfRule type="dataBar" priority="244">
      <dataBar>
        <cfvo type="min"/>
        <cfvo type="max"/>
        <color rgb="FF638EC6"/>
      </dataBar>
      <extLst>
        <ext xmlns:x14="http://schemas.microsoft.com/office/spreadsheetml/2009/9/main" uri="{B025F937-C7B1-47D3-B67F-A62EFF666E3E}">
          <x14:id>{27AFFF1B-4BE2-424B-A6C6-53A5233FB235}</x14:id>
        </ext>
      </extLst>
    </cfRule>
  </conditionalFormatting>
  <conditionalFormatting sqref="Q47:Q59">
    <cfRule type="dataBar" priority="293">
      <dataBar>
        <cfvo type="min"/>
        <cfvo type="max"/>
        <color rgb="FF638EC6"/>
      </dataBar>
      <extLst>
        <ext xmlns:x14="http://schemas.microsoft.com/office/spreadsheetml/2009/9/main" uri="{B025F937-C7B1-47D3-B67F-A62EFF666E3E}">
          <x14:id>{6D2C1AC1-4D1C-4E0A-BBFA-5749ACC7294D}</x14:id>
        </ext>
      </extLst>
    </cfRule>
  </conditionalFormatting>
  <conditionalFormatting sqref="Q83:Q103 Q105:Q132 Q182 Q198:Q216">
    <cfRule type="dataBar" priority="89">
      <dataBar>
        <cfvo type="min"/>
        <cfvo type="max"/>
        <color rgb="FF638EC6"/>
      </dataBar>
      <extLst>
        <ext xmlns:x14="http://schemas.microsoft.com/office/spreadsheetml/2009/9/main" uri="{B025F937-C7B1-47D3-B67F-A62EFF666E3E}">
          <x14:id>{318E952C-39C2-45F1-A411-970C7A06F235}</x14:id>
        </ext>
      </extLst>
    </cfRule>
  </conditionalFormatting>
  <conditionalFormatting sqref="Q135:Q154 Q156:Q181">
    <cfRule type="dataBar" priority="257">
      <dataBar>
        <cfvo type="min"/>
        <cfvo type="max"/>
        <color rgb="FF638EC6"/>
      </dataBar>
      <extLst>
        <ext xmlns:x14="http://schemas.microsoft.com/office/spreadsheetml/2009/9/main" uri="{B025F937-C7B1-47D3-B67F-A62EFF666E3E}">
          <x14:id>{06A93C3B-89E1-4597-861F-B5C361A2B956}</x14:id>
        </ext>
      </extLst>
    </cfRule>
  </conditionalFormatting>
  <conditionalFormatting sqref="Q143:Q145">
    <cfRule type="dataBar" priority="362">
      <dataBar>
        <cfvo type="min"/>
        <cfvo type="max"/>
        <color rgb="FF638EC6"/>
      </dataBar>
      <extLst>
        <ext xmlns:x14="http://schemas.microsoft.com/office/spreadsheetml/2009/9/main" uri="{B025F937-C7B1-47D3-B67F-A62EFF666E3E}">
          <x14:id>{5B7C0763-1395-409E-B65F-5206DCC0A012}</x14:id>
        </ext>
      </extLst>
    </cfRule>
  </conditionalFormatting>
  <conditionalFormatting sqref="Q146:Q152">
    <cfRule type="dataBar" priority="73">
      <dataBar>
        <cfvo type="min"/>
        <cfvo type="max"/>
        <color rgb="FF638EC6"/>
      </dataBar>
      <extLst>
        <ext xmlns:x14="http://schemas.microsoft.com/office/spreadsheetml/2009/9/main" uri="{B025F937-C7B1-47D3-B67F-A62EFF666E3E}">
          <x14:id>{BB67CFE7-7251-41F6-BEC4-9E3F4C4518FA}</x14:id>
        </ext>
      </extLst>
    </cfRule>
  </conditionalFormatting>
  <conditionalFormatting sqref="Q153:Q154">
    <cfRule type="dataBar" priority="327">
      <dataBar>
        <cfvo type="min"/>
        <cfvo type="max"/>
        <color rgb="FF638EC6"/>
      </dataBar>
      <extLst>
        <ext xmlns:x14="http://schemas.microsoft.com/office/spreadsheetml/2009/9/main" uri="{B025F937-C7B1-47D3-B67F-A62EFF666E3E}">
          <x14:id>{3C88F930-117D-4036-851C-8EF154E4BA82}</x14:id>
        </ext>
      </extLst>
    </cfRule>
  </conditionalFormatting>
  <conditionalFormatting sqref="Q185:Q197">
    <cfRule type="dataBar" priority="86">
      <dataBar>
        <cfvo type="min"/>
        <cfvo type="max"/>
        <color rgb="FF638EC6"/>
      </dataBar>
      <extLst>
        <ext xmlns:x14="http://schemas.microsoft.com/office/spreadsheetml/2009/9/main" uri="{B025F937-C7B1-47D3-B67F-A62EFF666E3E}">
          <x14:id>{BFBC4556-5DE7-4E7D-93E2-BFDBEA6039B7}</x14:id>
        </ext>
      </extLst>
    </cfRule>
  </conditionalFormatting>
  <conditionalFormatting sqref="Q220:Q233">
    <cfRule type="dataBar" priority="410">
      <dataBar>
        <cfvo type="min"/>
        <cfvo type="max"/>
        <color rgb="FF638EC6"/>
      </dataBar>
      <extLst>
        <ext xmlns:x14="http://schemas.microsoft.com/office/spreadsheetml/2009/9/main" uri="{B025F937-C7B1-47D3-B67F-A62EFF666E3E}">
          <x14:id>{D932CC78-51F7-4161-B1D5-789EC072A6F5}</x14:id>
        </ext>
      </extLst>
    </cfRule>
  </conditionalFormatting>
  <conditionalFormatting sqref="Q258:Q272">
    <cfRule type="dataBar" priority="45">
      <dataBar>
        <cfvo type="min"/>
        <cfvo type="max"/>
        <color rgb="FF638EC6"/>
      </dataBar>
      <extLst>
        <ext xmlns:x14="http://schemas.microsoft.com/office/spreadsheetml/2009/9/main" uri="{B025F937-C7B1-47D3-B67F-A62EFF666E3E}">
          <x14:id>{CB1ACC83-B486-4232-88F7-8C7EEEF1DC55}</x14:id>
        </ext>
      </extLst>
    </cfRule>
  </conditionalFormatting>
  <conditionalFormatting sqref="Q296:Q321">
    <cfRule type="dataBar" priority="67">
      <dataBar>
        <cfvo type="min"/>
        <cfvo type="max"/>
        <color rgb="FF638EC6"/>
      </dataBar>
      <extLst>
        <ext xmlns:x14="http://schemas.microsoft.com/office/spreadsheetml/2009/9/main" uri="{B025F937-C7B1-47D3-B67F-A62EFF666E3E}">
          <x14:id>{2BF3ADFD-779F-4327-A839-0C17D7FAF879}</x14:id>
        </ext>
      </extLst>
    </cfRule>
  </conditionalFormatting>
  <conditionalFormatting sqref="Q423:Q544 Q353 Q547:Q589">
    <cfRule type="dataBar" priority="33">
      <dataBar>
        <cfvo type="min"/>
        <cfvo type="max"/>
        <color rgb="FF638EC6"/>
      </dataBar>
      <extLst>
        <ext xmlns:x14="http://schemas.microsoft.com/office/spreadsheetml/2009/9/main" uri="{B025F937-C7B1-47D3-B67F-A62EFF666E3E}">
          <x14:id>{18700AD1-AE9C-4DBF-A906-0C67C649E6C7}</x14:id>
        </ext>
      </extLst>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dataBar" id="{22603916-3DC4-419B-A840-F8B3DABD9399}">
            <x14:dataBar minLength="0" maxLength="100" border="1" negativeBarBorderColorSameAsPositive="0">
              <x14:cfvo type="autoMin"/>
              <x14:cfvo type="autoMax"/>
              <x14:borderColor rgb="FF638EC6"/>
              <x14:negativeFillColor rgb="FFFF0000"/>
              <x14:negativeBorderColor rgb="FFFF0000"/>
              <x14:axisColor rgb="FF000000"/>
            </x14:dataBar>
          </x14:cfRule>
          <xm:sqref>L5:L20</xm:sqref>
        </x14:conditionalFormatting>
        <x14:conditionalFormatting xmlns:xm="http://schemas.microsoft.com/office/excel/2006/main">
          <x14:cfRule type="dataBar" id="{77CDC6DA-B645-42D9-B7CF-BC8928DE4714}">
            <x14:dataBar minLength="0" maxLength="100" border="1" negativeBarBorderColorSameAsPositive="0">
              <x14:cfvo type="autoMin"/>
              <x14:cfvo type="autoMax"/>
              <x14:borderColor rgb="FF638EC6"/>
              <x14:negativeFillColor rgb="FFFF0000"/>
              <x14:negativeBorderColor rgb="FFFF0000"/>
              <x14:axisColor rgb="FF000000"/>
            </x14:dataBar>
          </x14:cfRule>
          <xm:sqref>L48</xm:sqref>
        </x14:conditionalFormatting>
        <x14:conditionalFormatting xmlns:xm="http://schemas.microsoft.com/office/excel/2006/main">
          <x14:cfRule type="dataBar" id="{9B666569-DA00-44D5-91D3-5B4E6C62E7BF}">
            <x14:dataBar minLength="0" maxLength="100" border="1" negativeBarBorderColorSameAsPositive="0">
              <x14:cfvo type="autoMin"/>
              <x14:cfvo type="autoMax"/>
              <x14:borderColor rgb="FF638EC6"/>
              <x14:negativeFillColor rgb="FFFF0000"/>
              <x14:negativeBorderColor rgb="FFFF0000"/>
              <x14:axisColor rgb="FF000000"/>
            </x14:dataBar>
          </x14:cfRule>
          <xm:sqref>M5:M20</xm:sqref>
        </x14:conditionalFormatting>
        <x14:conditionalFormatting xmlns:xm="http://schemas.microsoft.com/office/excel/2006/main">
          <x14:cfRule type="dataBar" id="{7339CEC0-D7F4-4018-B672-DEFC1AD4E0D5}">
            <x14:dataBar minLength="0" maxLength="100" border="1" negativeBarBorderColorSameAsPositive="0">
              <x14:cfvo type="autoMin"/>
              <x14:cfvo type="autoMax"/>
              <x14:borderColor rgb="FF638EC6"/>
              <x14:negativeFillColor rgb="FFFF0000"/>
              <x14:negativeBorderColor rgb="FFFF0000"/>
              <x14:axisColor rgb="FF000000"/>
            </x14:dataBar>
          </x14:cfRule>
          <xm:sqref>M48</xm:sqref>
        </x14:conditionalFormatting>
        <x14:conditionalFormatting xmlns:xm="http://schemas.microsoft.com/office/excel/2006/main">
          <x14:cfRule type="dataBar" id="{A2BE16B0-DA67-4A03-B877-B50E2181A800}">
            <x14:dataBar minLength="0" maxLength="100" border="1" negativeBarBorderColorSameAsPositive="0">
              <x14:cfvo type="autoMin"/>
              <x14:cfvo type="autoMax"/>
              <x14:borderColor rgb="FF638EC6"/>
              <x14:negativeFillColor rgb="FFFF0000"/>
              <x14:negativeBorderColor rgb="FFFF0000"/>
              <x14:axisColor rgb="FF000000"/>
            </x14:dataBar>
          </x14:cfRule>
          <xm:sqref>N5:N20</xm:sqref>
        </x14:conditionalFormatting>
        <x14:conditionalFormatting xmlns:xm="http://schemas.microsoft.com/office/excel/2006/main">
          <x14:cfRule type="dataBar" id="{5ADB19F3-57FF-47C1-BE10-654F966CDA25}">
            <x14:dataBar minLength="0" maxLength="100" border="1" negativeBarBorderColorSameAsPositive="0">
              <x14:cfvo type="autoMin"/>
              <x14:cfvo type="autoMax"/>
              <x14:borderColor rgb="FF638EC6"/>
              <x14:negativeFillColor rgb="FFFF0000"/>
              <x14:negativeBorderColor rgb="FFFF0000"/>
              <x14:axisColor rgb="FF000000"/>
            </x14:dataBar>
          </x14:cfRule>
          <xm:sqref>N48</xm:sqref>
        </x14:conditionalFormatting>
        <x14:conditionalFormatting xmlns:xm="http://schemas.microsoft.com/office/excel/2006/main">
          <x14:cfRule type="dataBar" id="{1040DF5F-313A-41DF-BE04-5466F4C2A157}">
            <x14:dataBar minLength="0" maxLength="100" border="1" negativeBarBorderColorSameAsPositive="0">
              <x14:cfvo type="autoMin"/>
              <x14:cfvo type="autoMax"/>
              <x14:borderColor rgb="FF638EC6"/>
              <x14:negativeFillColor rgb="FFFF0000"/>
              <x14:negativeBorderColor rgb="FFFF0000"/>
              <x14:axisColor rgb="FF000000"/>
            </x14:dataBar>
          </x14:cfRule>
          <xm:sqref>N49:N59 N47</xm:sqref>
        </x14:conditionalFormatting>
        <x14:conditionalFormatting xmlns:xm="http://schemas.microsoft.com/office/excel/2006/main">
          <x14:cfRule type="dataBar" id="{901BC2FD-C5EB-4EA1-B94A-8B0BBA56DE95}">
            <x14:dataBar minLength="0" maxLength="100" border="1" negativeBarBorderColorSameAsPositive="0">
              <x14:cfvo type="autoMin"/>
              <x14:cfvo type="autoMax"/>
              <x14:borderColor rgb="FF638EC6"/>
              <x14:negativeFillColor rgb="FFFF0000"/>
              <x14:negativeBorderColor rgb="FFFF0000"/>
              <x14:axisColor rgb="FF000000"/>
            </x14:dataBar>
          </x14:cfRule>
          <xm:sqref>N83:N103</xm:sqref>
        </x14:conditionalFormatting>
        <x14:conditionalFormatting xmlns:xm="http://schemas.microsoft.com/office/excel/2006/main">
          <x14:cfRule type="dataBar" id="{A84F14E9-2051-4AFE-9858-83D4725D4620}">
            <x14:dataBar minLength="0" maxLength="100" border="1" negativeBarBorderColorSameAsPositive="0">
              <x14:cfvo type="autoMin"/>
              <x14:cfvo type="autoMax"/>
              <x14:borderColor rgb="FF638EC6"/>
              <x14:negativeFillColor rgb="FFFF0000"/>
              <x14:negativeBorderColor rgb="FFFF0000"/>
              <x14:axisColor rgb="FF000000"/>
            </x14:dataBar>
          </x14:cfRule>
          <xm:sqref>N135:N154</xm:sqref>
        </x14:conditionalFormatting>
        <x14:conditionalFormatting xmlns:xm="http://schemas.microsoft.com/office/excel/2006/main">
          <x14:cfRule type="dataBar" id="{98FFED8D-F07D-4D09-A63B-2085FB405932}">
            <x14:dataBar minLength="0" maxLength="100" border="1" negativeBarBorderColorSameAsPositive="0">
              <x14:cfvo type="autoMin"/>
              <x14:cfvo type="autoMax"/>
              <x14:borderColor rgb="FF638EC6"/>
              <x14:negativeFillColor rgb="FFFF0000"/>
              <x14:negativeBorderColor rgb="FFFF0000"/>
              <x14:axisColor rgb="FF000000"/>
            </x14:dataBar>
          </x14:cfRule>
          <xm:sqref>N185:N197</xm:sqref>
        </x14:conditionalFormatting>
        <x14:conditionalFormatting xmlns:xm="http://schemas.microsoft.com/office/excel/2006/main">
          <x14:cfRule type="dataBar" id="{BE0761E9-B6A5-40D7-971B-E61A5B17B3B9}">
            <x14:dataBar minLength="0" maxLength="100" border="1" negativeBarBorderColorSameAsPositive="0">
              <x14:cfvo type="autoMin"/>
              <x14:cfvo type="autoMax"/>
              <x14:borderColor rgb="FF638EC6"/>
              <x14:negativeFillColor rgb="FFFF0000"/>
              <x14:negativeBorderColor rgb="FFFF0000"/>
              <x14:axisColor rgb="FF000000"/>
            </x14:dataBar>
          </x14:cfRule>
          <xm:sqref>N220:N233</xm:sqref>
        </x14:conditionalFormatting>
        <x14:conditionalFormatting xmlns:xm="http://schemas.microsoft.com/office/excel/2006/main">
          <x14:cfRule type="dataBar" id="{977B12A7-2AE9-4EA0-ADCC-EB5AB25B42B0}">
            <x14:dataBar minLength="0" maxLength="100" border="1" negativeBarBorderColorSameAsPositive="0">
              <x14:cfvo type="autoMin"/>
              <x14:cfvo type="autoMax"/>
              <x14:borderColor rgb="FF638EC6"/>
              <x14:negativeFillColor rgb="FFFF0000"/>
              <x14:negativeBorderColor rgb="FFFF0000"/>
              <x14:axisColor rgb="FF000000"/>
            </x14:dataBar>
          </x14:cfRule>
          <xm:sqref>N296:N321</xm:sqref>
        </x14:conditionalFormatting>
        <x14:conditionalFormatting xmlns:xm="http://schemas.microsoft.com/office/excel/2006/main">
          <x14:cfRule type="dataBar" id="{D65A359D-3393-4EE8-ACCB-CBBF80A79AA5}">
            <x14:dataBar minLength="0" maxLength="100" border="1" negativeBarBorderColorSameAsPositive="0">
              <x14:cfvo type="autoMin"/>
              <x14:cfvo type="autoMax"/>
              <x14:borderColor rgb="FF638EC6"/>
              <x14:negativeFillColor rgb="FFFF0000"/>
              <x14:negativeBorderColor rgb="FFFF0000"/>
              <x14:axisColor rgb="FF000000"/>
            </x14:dataBar>
          </x14:cfRule>
          <xm:sqref>N360:N377</xm:sqref>
        </x14:conditionalFormatting>
        <x14:conditionalFormatting xmlns:xm="http://schemas.microsoft.com/office/excel/2006/main">
          <x14:cfRule type="dataBar" id="{AE1FBA97-435A-4B8D-A567-4B638BC3D21F}">
            <x14:dataBar minLength="0" maxLength="100" border="1" negativeBarBorderColorSameAsPositive="0">
              <x14:cfvo type="autoMin"/>
              <x14:cfvo type="autoMax"/>
              <x14:borderColor rgb="FF638EC6"/>
              <x14:negativeFillColor rgb="FFFF0000"/>
              <x14:negativeBorderColor rgb="FFFF0000"/>
              <x14:axisColor rgb="FF000000"/>
            </x14:dataBar>
          </x14:cfRule>
          <xm:sqref>N407:N418 N420:N421</xm:sqref>
        </x14:conditionalFormatting>
        <x14:conditionalFormatting xmlns:xm="http://schemas.microsoft.com/office/excel/2006/main">
          <x14:cfRule type="dataBar" id="{2A1E41BA-30BA-47B0-8960-88D28A9BE7B2}">
            <x14:dataBar minLength="0" maxLength="100" border="1" negativeBarBorderColorSameAsPositive="0">
              <x14:cfvo type="autoMin"/>
              <x14:cfvo type="autoMax"/>
              <x14:borderColor rgb="FF638EC6"/>
              <x14:negativeFillColor rgb="FFFF0000"/>
              <x14:negativeBorderColor rgb="FFFF0000"/>
              <x14:axisColor rgb="FF000000"/>
            </x14:dataBar>
          </x14:cfRule>
          <xm:sqref>N419</xm:sqref>
        </x14:conditionalFormatting>
        <x14:conditionalFormatting xmlns:xm="http://schemas.microsoft.com/office/excel/2006/main">
          <x14:cfRule type="dataBar" id="{619BAAC3-468A-458D-A5AA-C0E00506767F}">
            <x14:dataBar minLength="0" maxLength="100" border="1" negativeBarBorderColorSameAsPositive="0">
              <x14:cfvo type="autoMin"/>
              <x14:cfvo type="autoMax"/>
              <x14:borderColor rgb="FF638EC6"/>
              <x14:negativeFillColor rgb="FFFF0000"/>
              <x14:negativeBorderColor rgb="FFFF0000"/>
              <x14:axisColor rgb="FF000000"/>
            </x14:dataBar>
          </x14:cfRule>
          <xm:sqref>O5:O20</xm:sqref>
        </x14:conditionalFormatting>
        <x14:conditionalFormatting xmlns:xm="http://schemas.microsoft.com/office/excel/2006/main">
          <x14:cfRule type="dataBar" id="{829DA8EB-EB64-4D19-82FC-DB088C6A9B5D}">
            <x14:dataBar minLength="0" maxLength="100" border="1" negativeBarBorderColorSameAsPositive="0">
              <x14:cfvo type="autoMin"/>
              <x14:cfvo type="autoMax"/>
              <x14:borderColor rgb="FF638EC6"/>
              <x14:negativeFillColor rgb="FFFF0000"/>
              <x14:negativeBorderColor rgb="FFFF0000"/>
              <x14:axisColor rgb="FF000000"/>
            </x14:dataBar>
          </x14:cfRule>
          <xm:sqref>O26:O41</xm:sqref>
        </x14:conditionalFormatting>
        <x14:conditionalFormatting xmlns:xm="http://schemas.microsoft.com/office/excel/2006/main">
          <x14:cfRule type="dataBar" id="{FE05162E-5C0A-4529-915F-8C7C5864AB3E}">
            <x14:dataBar minLength="0" maxLength="100" border="1" negativeBarBorderColorSameAsPositive="0">
              <x14:cfvo type="autoMin"/>
              <x14:cfvo type="autoMax"/>
              <x14:borderColor rgb="FF638EC6"/>
              <x14:negativeFillColor rgb="FFFF0000"/>
              <x14:negativeBorderColor rgb="FFFF0000"/>
              <x14:axisColor rgb="FF000000"/>
            </x14:dataBar>
          </x14:cfRule>
          <xm:sqref>O47:O59</xm:sqref>
        </x14:conditionalFormatting>
        <x14:conditionalFormatting xmlns:xm="http://schemas.microsoft.com/office/excel/2006/main">
          <x14:cfRule type="dataBar" id="{7243023F-FF01-45CA-AE4B-061EBAC4F6DE}">
            <x14:dataBar minLength="0" maxLength="100" border="1" negativeBarBorderColorSameAsPositive="0">
              <x14:cfvo type="autoMin"/>
              <x14:cfvo type="autoMax"/>
              <x14:borderColor rgb="FF638EC6"/>
              <x14:negativeFillColor rgb="FFFF0000"/>
              <x14:negativeBorderColor rgb="FFFF0000"/>
              <x14:axisColor rgb="FF000000"/>
            </x14:dataBar>
          </x14:cfRule>
          <xm:sqref>O83:O103 O105:O132 O182 O198:O209 O212:O216</xm:sqref>
        </x14:conditionalFormatting>
        <x14:conditionalFormatting xmlns:xm="http://schemas.microsoft.com/office/excel/2006/main">
          <x14:cfRule type="dataBar" id="{B226DE44-6A25-4DF3-839D-91E9A12A3031}">
            <x14:dataBar minLength="0" maxLength="100" border="1" negativeBarBorderColorSameAsPositive="0">
              <x14:cfvo type="autoMin"/>
              <x14:cfvo type="autoMax"/>
              <x14:borderColor rgb="FF638EC6"/>
              <x14:negativeFillColor rgb="FFFF0000"/>
              <x14:negativeBorderColor rgb="FFFF0000"/>
              <x14:axisColor rgb="FF000000"/>
            </x14:dataBar>
          </x14:cfRule>
          <xm:sqref>O135:O154 O156 O180:O181</xm:sqref>
        </x14:conditionalFormatting>
        <x14:conditionalFormatting xmlns:xm="http://schemas.microsoft.com/office/excel/2006/main">
          <x14:cfRule type="dataBar" id="{A4444179-7FFC-4C04-B67B-C44126B3B536}">
            <x14:dataBar minLength="0" maxLength="100" border="1" negativeBarBorderColorSameAsPositive="0">
              <x14:cfvo type="autoMin"/>
              <x14:cfvo type="autoMax"/>
              <x14:borderColor rgb="FF638EC6"/>
              <x14:negativeFillColor rgb="FFFF0000"/>
              <x14:negativeBorderColor rgb="FFFF0000"/>
              <x14:axisColor rgb="FF000000"/>
            </x14:dataBar>
          </x14:cfRule>
          <xm:sqref>O143:O145</xm:sqref>
        </x14:conditionalFormatting>
        <x14:conditionalFormatting xmlns:xm="http://schemas.microsoft.com/office/excel/2006/main">
          <x14:cfRule type="dataBar" id="{812A9412-7D61-4CFC-BD09-9B4C7DFE0D65}">
            <x14:dataBar minLength="0" maxLength="100" border="1" negativeBarBorderColorSameAsPositive="0">
              <x14:cfvo type="autoMin"/>
              <x14:cfvo type="autoMax"/>
              <x14:borderColor rgb="FF638EC6"/>
              <x14:negativeFillColor rgb="FFFF0000"/>
              <x14:negativeBorderColor rgb="FFFF0000"/>
              <x14:axisColor rgb="FF000000"/>
            </x14:dataBar>
          </x14:cfRule>
          <xm:sqref>O146:O152</xm:sqref>
        </x14:conditionalFormatting>
        <x14:conditionalFormatting xmlns:xm="http://schemas.microsoft.com/office/excel/2006/main">
          <x14:cfRule type="dataBar" id="{5F66FB47-F526-4E32-954B-266D895BC1C1}">
            <x14:dataBar minLength="0" maxLength="100" border="1" negativeBarBorderColorSameAsPositive="0">
              <x14:cfvo type="autoMin"/>
              <x14:cfvo type="autoMax"/>
              <x14:borderColor rgb="FF638EC6"/>
              <x14:negativeFillColor rgb="FFFF0000"/>
              <x14:negativeBorderColor rgb="FFFF0000"/>
              <x14:axisColor rgb="FF000000"/>
            </x14:dataBar>
          </x14:cfRule>
          <xm:sqref>O153:O154</xm:sqref>
        </x14:conditionalFormatting>
        <x14:conditionalFormatting xmlns:xm="http://schemas.microsoft.com/office/excel/2006/main">
          <x14:cfRule type="dataBar" id="{9F79B39C-60B2-4505-A779-2012EAE0FBA3}">
            <x14:dataBar minLength="0" maxLength="100" border="1" negativeBarBorderColorSameAsPositive="0">
              <x14:cfvo type="autoMin"/>
              <x14:cfvo type="autoMax"/>
              <x14:borderColor rgb="FF638EC6"/>
              <x14:negativeFillColor rgb="FFFF0000"/>
              <x14:negativeBorderColor rgb="FFFF0000"/>
              <x14:axisColor rgb="FF000000"/>
            </x14:dataBar>
          </x14:cfRule>
          <xm:sqref>O185:O197</xm:sqref>
        </x14:conditionalFormatting>
        <x14:conditionalFormatting xmlns:xm="http://schemas.microsoft.com/office/excel/2006/main">
          <x14:cfRule type="dataBar" id="{00B1E059-51B6-466F-B8F8-F7370C67D61D}">
            <x14:dataBar minLength="0" maxLength="100" border="1" negativeBarBorderColorSameAsPositive="0">
              <x14:cfvo type="autoMin"/>
              <x14:cfvo type="autoMax"/>
              <x14:borderColor rgb="FF638EC6"/>
              <x14:negativeFillColor rgb="FFFF0000"/>
              <x14:negativeBorderColor rgb="FFFF0000"/>
              <x14:axisColor rgb="FF000000"/>
            </x14:dataBar>
          </x14:cfRule>
          <xm:sqref>O220:O233</xm:sqref>
        </x14:conditionalFormatting>
        <x14:conditionalFormatting xmlns:xm="http://schemas.microsoft.com/office/excel/2006/main">
          <x14:cfRule type="dataBar" id="{317216C0-53BB-45C6-B1E4-AA69F50CF140}">
            <x14:dataBar minLength="0" maxLength="100" border="1" negativeBarBorderColorSameAsPositive="0">
              <x14:cfvo type="autoMin"/>
              <x14:cfvo type="autoMax"/>
              <x14:borderColor rgb="FF638EC6"/>
              <x14:negativeFillColor rgb="FFFF0000"/>
              <x14:negativeBorderColor rgb="FFFF0000"/>
              <x14:axisColor rgb="FF000000"/>
            </x14:dataBar>
          </x14:cfRule>
          <xm:sqref>O258:O272</xm:sqref>
        </x14:conditionalFormatting>
        <x14:conditionalFormatting xmlns:xm="http://schemas.microsoft.com/office/excel/2006/main">
          <x14:cfRule type="dataBar" id="{6605EF21-53D0-4A0B-9189-374809215939}">
            <x14:dataBar minLength="0" maxLength="100" border="1" negativeBarBorderColorSameAsPositive="0">
              <x14:cfvo type="autoMin"/>
              <x14:cfvo type="autoMax"/>
              <x14:borderColor rgb="FF638EC6"/>
              <x14:negativeFillColor rgb="FFFF0000"/>
              <x14:negativeBorderColor rgb="FFFF0000"/>
              <x14:axisColor rgb="FF000000"/>
            </x14:dataBar>
          </x14:cfRule>
          <xm:sqref>O296:O321</xm:sqref>
        </x14:conditionalFormatting>
        <x14:conditionalFormatting xmlns:xm="http://schemas.microsoft.com/office/excel/2006/main">
          <x14:cfRule type="dataBar" id="{D7CC9F5E-BD89-4B5D-92B5-790B9D20B7FB}">
            <x14:dataBar minLength="0" maxLength="100" border="1" negativeBarBorderColorSameAsPositive="0">
              <x14:cfvo type="autoMin"/>
              <x14:cfvo type="autoMax"/>
              <x14:borderColor rgb="FF638EC6"/>
              <x14:negativeFillColor rgb="FFFF0000"/>
              <x14:negativeBorderColor rgb="FFFF0000"/>
              <x14:axisColor rgb="FF000000"/>
            </x14:dataBar>
          </x14:cfRule>
          <xm:sqref>O423:O427 O353 O429:O430 O433 O435:O437 O441:O474 O476:O544 O547:O589</xm:sqref>
        </x14:conditionalFormatting>
        <x14:conditionalFormatting xmlns:xm="http://schemas.microsoft.com/office/excel/2006/main">
          <x14:cfRule type="dataBar" id="{44FFFBE5-12D3-4CE8-9774-BF47659B59B9}">
            <x14:dataBar minLength="0" maxLength="100" border="1" negativeBarBorderColorSameAsPositive="0">
              <x14:cfvo type="autoMin"/>
              <x14:cfvo type="autoMax"/>
              <x14:borderColor rgb="FF638EC6"/>
              <x14:negativeFillColor rgb="FFFF0000"/>
              <x14:negativeBorderColor rgb="FFFF0000"/>
              <x14:axisColor rgb="FF000000"/>
            </x14:dataBar>
          </x14:cfRule>
          <xm:sqref>O83:Q103</xm:sqref>
        </x14:conditionalFormatting>
        <x14:conditionalFormatting xmlns:xm="http://schemas.microsoft.com/office/excel/2006/main">
          <x14:cfRule type="dataBar" id="{A33472A2-DE20-4230-9076-20A31F7E6638}">
            <x14:dataBar minLength="0" maxLength="100" border="1" negativeBarBorderColorSameAsPositive="0">
              <x14:cfvo type="autoMin"/>
              <x14:cfvo type="autoMax"/>
              <x14:borderColor rgb="FF638EC6"/>
              <x14:negativeFillColor rgb="FFFF0000"/>
              <x14:negativeBorderColor rgb="FFFF0000"/>
              <x14:axisColor rgb="FF000000"/>
            </x14:dataBar>
          </x14:cfRule>
          <xm:sqref>O135:Q154</xm:sqref>
        </x14:conditionalFormatting>
        <x14:conditionalFormatting xmlns:xm="http://schemas.microsoft.com/office/excel/2006/main">
          <x14:cfRule type="dataBar" id="{B897AD35-EE66-44E1-9B8F-D2928BABB293}">
            <x14:dataBar minLength="0" maxLength="100" border="1" negativeBarBorderColorSameAsPositive="0">
              <x14:cfvo type="autoMin"/>
              <x14:cfvo type="autoMax"/>
              <x14:borderColor rgb="FF638EC6"/>
              <x14:negativeFillColor rgb="FFFF0000"/>
              <x14:negativeBorderColor rgb="FFFF0000"/>
              <x14:axisColor rgb="FF000000"/>
            </x14:dataBar>
          </x14:cfRule>
          <xm:sqref>O185:Q197</xm:sqref>
        </x14:conditionalFormatting>
        <x14:conditionalFormatting xmlns:xm="http://schemas.microsoft.com/office/excel/2006/main">
          <x14:cfRule type="dataBar" id="{B4174BFD-F16E-4676-9B31-5DADF2FF09B4}">
            <x14:dataBar minLength="0" maxLength="100" border="1" negativeBarBorderColorSameAsPositive="0">
              <x14:cfvo type="autoMin"/>
              <x14:cfvo type="autoMax"/>
              <x14:borderColor rgb="FF638EC6"/>
              <x14:negativeFillColor rgb="FFFF0000"/>
              <x14:negativeBorderColor rgb="FFFF0000"/>
              <x14:axisColor rgb="FF000000"/>
            </x14:dataBar>
          </x14:cfRule>
          <xm:sqref>O296:Q321</xm:sqref>
        </x14:conditionalFormatting>
        <x14:conditionalFormatting xmlns:xm="http://schemas.microsoft.com/office/excel/2006/main">
          <x14:cfRule type="dataBar" id="{1411554E-3647-44ED-8E30-3B49711EE12C}">
            <x14:dataBar minLength="0" maxLength="100" border="1" negativeBarBorderColorSameAsPositive="0">
              <x14:cfvo type="autoMin"/>
              <x14:cfvo type="autoMax"/>
              <x14:borderColor rgb="FF638EC6"/>
              <x14:negativeFillColor rgb="FFFF0000"/>
              <x14:negativeBorderColor rgb="FFFF0000"/>
              <x14:axisColor rgb="FF000000"/>
            </x14:dataBar>
          </x14:cfRule>
          <xm:sqref>O360:Q369</xm:sqref>
        </x14:conditionalFormatting>
        <x14:conditionalFormatting xmlns:xm="http://schemas.microsoft.com/office/excel/2006/main">
          <x14:cfRule type="dataBar" id="{E1F1C189-DC16-4159-AD8D-89A3E5A70590}">
            <x14:dataBar minLength="0" maxLength="100" border="1" negativeBarBorderColorSameAsPositive="0">
              <x14:cfvo type="autoMin"/>
              <x14:cfvo type="autoMax"/>
              <x14:borderColor rgb="FF638EC6"/>
              <x14:negativeFillColor rgb="FFFF0000"/>
              <x14:negativeBorderColor rgb="FFFF0000"/>
              <x14:axisColor rgb="FF000000"/>
            </x14:dataBar>
          </x14:cfRule>
          <xm:sqref>O370:Q377 O379:Q404</xm:sqref>
        </x14:conditionalFormatting>
        <x14:conditionalFormatting xmlns:xm="http://schemas.microsoft.com/office/excel/2006/main">
          <x14:cfRule type="dataBar" id="{A14A7515-DE2F-4FD0-A21C-DDB17D31ADDF}">
            <x14:dataBar minLength="0" maxLength="100" border="1" negativeBarBorderColorSameAsPositive="0">
              <x14:cfvo type="autoMin"/>
              <x14:cfvo type="autoMax"/>
              <x14:borderColor rgb="FF638EC6"/>
              <x14:negativeFillColor rgb="FFFF0000"/>
              <x14:negativeBorderColor rgb="FFFF0000"/>
              <x14:axisColor rgb="FF000000"/>
            </x14:dataBar>
          </x14:cfRule>
          <xm:sqref>O407:Q421</xm:sqref>
        </x14:conditionalFormatting>
        <x14:conditionalFormatting xmlns:xm="http://schemas.microsoft.com/office/excel/2006/main">
          <x14:cfRule type="dataBar" id="{A661DDF9-808F-471F-9AD0-3D49DBD71454}">
            <x14:dataBar minLength="0" maxLength="100" border="1" negativeBarBorderColorSameAsPositive="0">
              <x14:cfvo type="autoMin"/>
              <x14:cfvo type="autoMax"/>
              <x14:borderColor rgb="FF638EC6"/>
              <x14:negativeFillColor rgb="FFFF0000"/>
              <x14:negativeBorderColor rgb="FFFF0000"/>
              <x14:axisColor rgb="FF000000"/>
            </x14:dataBar>
          </x14:cfRule>
          <xm:sqref>P5:P20</xm:sqref>
        </x14:conditionalFormatting>
        <x14:conditionalFormatting xmlns:xm="http://schemas.microsoft.com/office/excel/2006/main">
          <x14:cfRule type="dataBar" id="{BF1FC3EE-A12C-4E19-9C94-5BC6A9E62F67}">
            <x14:dataBar minLength="0" maxLength="100" border="1" negativeBarBorderColorSameAsPositive="0">
              <x14:cfvo type="autoMin"/>
              <x14:cfvo type="autoMax"/>
              <x14:borderColor rgb="FF638EC6"/>
              <x14:negativeFillColor rgb="FFFF0000"/>
              <x14:negativeBorderColor rgb="FFFF0000"/>
              <x14:axisColor rgb="FF000000"/>
            </x14:dataBar>
          </x14:cfRule>
          <xm:sqref>P47:P59</xm:sqref>
        </x14:conditionalFormatting>
        <x14:conditionalFormatting xmlns:xm="http://schemas.microsoft.com/office/excel/2006/main">
          <x14:cfRule type="dataBar" id="{240AA5C3-7CA8-4C00-9D2C-50DF2CA7BEE8}">
            <x14:dataBar minLength="0" maxLength="100" border="1" negativeBarBorderColorSameAsPositive="0">
              <x14:cfvo type="autoMin"/>
              <x14:cfvo type="autoMax"/>
              <x14:borderColor rgb="FF638EC6"/>
              <x14:negativeFillColor rgb="FFFF0000"/>
              <x14:negativeBorderColor rgb="FFFF0000"/>
              <x14:axisColor rgb="FF000000"/>
            </x14:dataBar>
          </x14:cfRule>
          <xm:sqref>P83:P103 P105:P132 P182 P198:P216</xm:sqref>
        </x14:conditionalFormatting>
        <x14:conditionalFormatting xmlns:xm="http://schemas.microsoft.com/office/excel/2006/main">
          <x14:cfRule type="dataBar" id="{D2358308-395F-4048-B234-5FC3E07D22D0}">
            <x14:dataBar minLength="0" maxLength="100" border="1" negativeBarBorderColorSameAsPositive="0">
              <x14:cfvo type="autoMin"/>
              <x14:cfvo type="autoMax"/>
              <x14:borderColor rgb="FF638EC6"/>
              <x14:negativeFillColor rgb="FFFF0000"/>
              <x14:negativeBorderColor rgb="FFFF0000"/>
              <x14:axisColor rgb="FF000000"/>
            </x14:dataBar>
          </x14:cfRule>
          <xm:sqref>P135:P154 P156:P181</xm:sqref>
        </x14:conditionalFormatting>
        <x14:conditionalFormatting xmlns:xm="http://schemas.microsoft.com/office/excel/2006/main">
          <x14:cfRule type="dataBar" id="{9D2ABB5E-FCAD-423E-A3FB-1D741DC57AC3}">
            <x14:dataBar minLength="0" maxLength="100" border="1" negativeBarBorderColorSameAsPositive="0">
              <x14:cfvo type="autoMin"/>
              <x14:cfvo type="autoMax"/>
              <x14:borderColor rgb="FF638EC6"/>
              <x14:negativeFillColor rgb="FFFF0000"/>
              <x14:negativeBorderColor rgb="FFFF0000"/>
              <x14:axisColor rgb="FF000000"/>
            </x14:dataBar>
          </x14:cfRule>
          <xm:sqref>P143:P145</xm:sqref>
        </x14:conditionalFormatting>
        <x14:conditionalFormatting xmlns:xm="http://schemas.microsoft.com/office/excel/2006/main">
          <x14:cfRule type="dataBar" id="{F9207AC0-FDA3-47E7-8720-359DE5A560C4}">
            <x14:dataBar minLength="0" maxLength="100" border="1" negativeBarBorderColorSameAsPositive="0">
              <x14:cfvo type="autoMin"/>
              <x14:cfvo type="autoMax"/>
              <x14:borderColor rgb="FF638EC6"/>
              <x14:negativeFillColor rgb="FFFF0000"/>
              <x14:negativeBorderColor rgb="FFFF0000"/>
              <x14:axisColor rgb="FF000000"/>
            </x14:dataBar>
          </x14:cfRule>
          <xm:sqref>P146:P152</xm:sqref>
        </x14:conditionalFormatting>
        <x14:conditionalFormatting xmlns:xm="http://schemas.microsoft.com/office/excel/2006/main">
          <x14:cfRule type="dataBar" id="{F9BBB7BA-BE8C-48DC-85D5-8F7F8EA31DA4}">
            <x14:dataBar minLength="0" maxLength="100" border="1" negativeBarBorderColorSameAsPositive="0">
              <x14:cfvo type="autoMin"/>
              <x14:cfvo type="autoMax"/>
              <x14:borderColor rgb="FF638EC6"/>
              <x14:negativeFillColor rgb="FFFF0000"/>
              <x14:negativeBorderColor rgb="FFFF0000"/>
              <x14:axisColor rgb="FF000000"/>
            </x14:dataBar>
          </x14:cfRule>
          <xm:sqref>P153:P154</xm:sqref>
        </x14:conditionalFormatting>
        <x14:conditionalFormatting xmlns:xm="http://schemas.microsoft.com/office/excel/2006/main">
          <x14:cfRule type="dataBar" id="{709EC729-DD63-4D90-830C-079E399E1415}">
            <x14:dataBar minLength="0" maxLength="100" border="1" negativeBarBorderColorSameAsPositive="0">
              <x14:cfvo type="autoMin"/>
              <x14:cfvo type="autoMax"/>
              <x14:borderColor rgb="FF638EC6"/>
              <x14:negativeFillColor rgb="FFFF0000"/>
              <x14:negativeBorderColor rgb="FFFF0000"/>
              <x14:axisColor rgb="FF000000"/>
            </x14:dataBar>
          </x14:cfRule>
          <xm:sqref>P185:P197</xm:sqref>
        </x14:conditionalFormatting>
        <x14:conditionalFormatting xmlns:xm="http://schemas.microsoft.com/office/excel/2006/main">
          <x14:cfRule type="dataBar" id="{2755B3B5-B77C-451F-9C5D-4A983630F5CF}">
            <x14:dataBar minLength="0" maxLength="100" border="1" negativeBarBorderColorSameAsPositive="0">
              <x14:cfvo type="autoMin"/>
              <x14:cfvo type="autoMax"/>
              <x14:borderColor rgb="FF638EC6"/>
              <x14:negativeFillColor rgb="FFFF0000"/>
              <x14:negativeBorderColor rgb="FFFF0000"/>
              <x14:axisColor rgb="FF000000"/>
            </x14:dataBar>
          </x14:cfRule>
          <xm:sqref>P220:P233</xm:sqref>
        </x14:conditionalFormatting>
        <x14:conditionalFormatting xmlns:xm="http://schemas.microsoft.com/office/excel/2006/main">
          <x14:cfRule type="dataBar" id="{304AF082-5511-4AD8-82FE-C41525C2DB66}">
            <x14:dataBar minLength="0" maxLength="100" border="1" negativeBarBorderColorSameAsPositive="0">
              <x14:cfvo type="autoMin"/>
              <x14:cfvo type="autoMax"/>
              <x14:borderColor rgb="FF638EC6"/>
              <x14:negativeFillColor rgb="FFFF0000"/>
              <x14:negativeBorderColor rgb="FFFF0000"/>
              <x14:axisColor rgb="FF000000"/>
            </x14:dataBar>
          </x14:cfRule>
          <xm:sqref>P258:P272</xm:sqref>
        </x14:conditionalFormatting>
        <x14:conditionalFormatting xmlns:xm="http://schemas.microsoft.com/office/excel/2006/main">
          <x14:cfRule type="dataBar" id="{D906B33B-9F6E-4EF6-BEF2-2EC34B43C330}">
            <x14:dataBar minLength="0" maxLength="100" border="1" negativeBarBorderColorSameAsPositive="0">
              <x14:cfvo type="autoMin"/>
              <x14:cfvo type="autoMax"/>
              <x14:borderColor rgb="FF638EC6"/>
              <x14:negativeFillColor rgb="FFFF0000"/>
              <x14:negativeBorderColor rgb="FFFF0000"/>
              <x14:axisColor rgb="FF000000"/>
            </x14:dataBar>
          </x14:cfRule>
          <xm:sqref>P296:P321</xm:sqref>
        </x14:conditionalFormatting>
        <x14:conditionalFormatting xmlns:xm="http://schemas.microsoft.com/office/excel/2006/main">
          <x14:cfRule type="dataBar" id="{04C51608-22E7-4E8D-B317-70A5C94E4131}">
            <x14:dataBar minLength="0" maxLength="100" border="1" negativeBarBorderColorSameAsPositive="0">
              <x14:cfvo type="autoMin"/>
              <x14:cfvo type="autoMax"/>
              <x14:borderColor rgb="FF638EC6"/>
              <x14:negativeFillColor rgb="FFFF0000"/>
              <x14:negativeBorderColor rgb="FFFF0000"/>
              <x14:axisColor rgb="FF000000"/>
            </x14:dataBar>
          </x14:cfRule>
          <xm:sqref>P423:P460 P476:P544 P547:P589</xm:sqref>
        </x14:conditionalFormatting>
        <x14:conditionalFormatting xmlns:xm="http://schemas.microsoft.com/office/excel/2006/main">
          <x14:cfRule type="dataBar" id="{8C04BF30-E2F4-4D47-A22B-2C7C7B8A3577}">
            <x14:dataBar minLength="0" maxLength="100" border="1" negativeBarBorderColorSameAsPositive="0">
              <x14:cfvo type="autoMin"/>
              <x14:cfvo type="autoMax"/>
              <x14:borderColor rgb="FF638EC6"/>
              <x14:negativeFillColor rgb="FFFF0000"/>
              <x14:negativeBorderColor rgb="FFFF0000"/>
              <x14:axisColor rgb="FF000000"/>
            </x14:dataBar>
          </x14:cfRule>
          <xm:sqref>P430:P474 P353</xm:sqref>
        </x14:conditionalFormatting>
        <x14:conditionalFormatting xmlns:xm="http://schemas.microsoft.com/office/excel/2006/main">
          <x14:cfRule type="dataBar" id="{27AFFF1B-4BE2-424B-A6C6-53A5233FB235}">
            <x14:dataBar minLength="0" maxLength="100" border="1" negativeBarBorderColorSameAsPositive="0">
              <x14:cfvo type="autoMin"/>
              <x14:cfvo type="autoMax"/>
              <x14:borderColor rgb="FF638EC6"/>
              <x14:negativeFillColor rgb="FFFF0000"/>
              <x14:negativeBorderColor rgb="FFFF0000"/>
              <x14:axisColor rgb="FF000000"/>
            </x14:dataBar>
          </x14:cfRule>
          <xm:sqref>Q5:Q20</xm:sqref>
        </x14:conditionalFormatting>
        <x14:conditionalFormatting xmlns:xm="http://schemas.microsoft.com/office/excel/2006/main">
          <x14:cfRule type="dataBar" id="{6D2C1AC1-4D1C-4E0A-BBFA-5749ACC7294D}">
            <x14:dataBar minLength="0" maxLength="100" border="1" negativeBarBorderColorSameAsPositive="0">
              <x14:cfvo type="autoMin"/>
              <x14:cfvo type="autoMax"/>
              <x14:borderColor rgb="FF638EC6"/>
              <x14:negativeFillColor rgb="FFFF0000"/>
              <x14:negativeBorderColor rgb="FFFF0000"/>
              <x14:axisColor rgb="FF000000"/>
            </x14:dataBar>
          </x14:cfRule>
          <xm:sqref>Q47:Q59</xm:sqref>
        </x14:conditionalFormatting>
        <x14:conditionalFormatting xmlns:xm="http://schemas.microsoft.com/office/excel/2006/main">
          <x14:cfRule type="dataBar" id="{318E952C-39C2-45F1-A411-970C7A06F235}">
            <x14:dataBar minLength="0" maxLength="100" border="1" negativeBarBorderColorSameAsPositive="0">
              <x14:cfvo type="autoMin"/>
              <x14:cfvo type="autoMax"/>
              <x14:borderColor rgb="FF638EC6"/>
              <x14:negativeFillColor rgb="FFFF0000"/>
              <x14:negativeBorderColor rgb="FFFF0000"/>
              <x14:axisColor rgb="FF000000"/>
            </x14:dataBar>
          </x14:cfRule>
          <xm:sqref>Q83:Q103 Q105:Q132 Q182 Q198:Q216</xm:sqref>
        </x14:conditionalFormatting>
        <x14:conditionalFormatting xmlns:xm="http://schemas.microsoft.com/office/excel/2006/main">
          <x14:cfRule type="dataBar" id="{06A93C3B-89E1-4597-861F-B5C361A2B956}">
            <x14:dataBar minLength="0" maxLength="100" border="1" negativeBarBorderColorSameAsPositive="0">
              <x14:cfvo type="autoMin"/>
              <x14:cfvo type="autoMax"/>
              <x14:borderColor rgb="FF638EC6"/>
              <x14:negativeFillColor rgb="FFFF0000"/>
              <x14:negativeBorderColor rgb="FFFF0000"/>
              <x14:axisColor rgb="FF000000"/>
            </x14:dataBar>
          </x14:cfRule>
          <xm:sqref>Q135:Q154 Q156:Q181</xm:sqref>
        </x14:conditionalFormatting>
        <x14:conditionalFormatting xmlns:xm="http://schemas.microsoft.com/office/excel/2006/main">
          <x14:cfRule type="dataBar" id="{5B7C0763-1395-409E-B65F-5206DCC0A012}">
            <x14:dataBar minLength="0" maxLength="100" border="1" negativeBarBorderColorSameAsPositive="0">
              <x14:cfvo type="autoMin"/>
              <x14:cfvo type="autoMax"/>
              <x14:borderColor rgb="FF638EC6"/>
              <x14:negativeFillColor rgb="FFFF0000"/>
              <x14:negativeBorderColor rgb="FFFF0000"/>
              <x14:axisColor rgb="FF000000"/>
            </x14:dataBar>
          </x14:cfRule>
          <xm:sqref>Q143:Q145</xm:sqref>
        </x14:conditionalFormatting>
        <x14:conditionalFormatting xmlns:xm="http://schemas.microsoft.com/office/excel/2006/main">
          <x14:cfRule type="dataBar" id="{BB67CFE7-7251-41F6-BEC4-9E3F4C4518FA}">
            <x14:dataBar minLength="0" maxLength="100" border="1" negativeBarBorderColorSameAsPositive="0">
              <x14:cfvo type="autoMin"/>
              <x14:cfvo type="autoMax"/>
              <x14:borderColor rgb="FF638EC6"/>
              <x14:negativeFillColor rgb="FFFF0000"/>
              <x14:negativeBorderColor rgb="FFFF0000"/>
              <x14:axisColor rgb="FF000000"/>
            </x14:dataBar>
          </x14:cfRule>
          <xm:sqref>Q146:Q152</xm:sqref>
        </x14:conditionalFormatting>
        <x14:conditionalFormatting xmlns:xm="http://schemas.microsoft.com/office/excel/2006/main">
          <x14:cfRule type="dataBar" id="{3C88F930-117D-4036-851C-8EF154E4BA82}">
            <x14:dataBar minLength="0" maxLength="100" border="1" negativeBarBorderColorSameAsPositive="0">
              <x14:cfvo type="autoMin"/>
              <x14:cfvo type="autoMax"/>
              <x14:borderColor rgb="FF638EC6"/>
              <x14:negativeFillColor rgb="FFFF0000"/>
              <x14:negativeBorderColor rgb="FFFF0000"/>
              <x14:axisColor rgb="FF000000"/>
            </x14:dataBar>
          </x14:cfRule>
          <xm:sqref>Q153:Q154</xm:sqref>
        </x14:conditionalFormatting>
        <x14:conditionalFormatting xmlns:xm="http://schemas.microsoft.com/office/excel/2006/main">
          <x14:cfRule type="dataBar" id="{BFBC4556-5DE7-4E7D-93E2-BFDBEA6039B7}">
            <x14:dataBar minLength="0" maxLength="100" border="1" negativeBarBorderColorSameAsPositive="0">
              <x14:cfvo type="autoMin"/>
              <x14:cfvo type="autoMax"/>
              <x14:borderColor rgb="FF638EC6"/>
              <x14:negativeFillColor rgb="FFFF0000"/>
              <x14:negativeBorderColor rgb="FFFF0000"/>
              <x14:axisColor rgb="FF000000"/>
            </x14:dataBar>
          </x14:cfRule>
          <xm:sqref>Q185:Q197</xm:sqref>
        </x14:conditionalFormatting>
        <x14:conditionalFormatting xmlns:xm="http://schemas.microsoft.com/office/excel/2006/main">
          <x14:cfRule type="dataBar" id="{D932CC78-51F7-4161-B1D5-789EC072A6F5}">
            <x14:dataBar minLength="0" maxLength="100" border="1" negativeBarBorderColorSameAsPositive="0">
              <x14:cfvo type="autoMin"/>
              <x14:cfvo type="autoMax"/>
              <x14:borderColor rgb="FF638EC6"/>
              <x14:negativeFillColor rgb="FFFF0000"/>
              <x14:negativeBorderColor rgb="FFFF0000"/>
              <x14:axisColor rgb="FF000000"/>
            </x14:dataBar>
          </x14:cfRule>
          <xm:sqref>Q220:Q233</xm:sqref>
        </x14:conditionalFormatting>
        <x14:conditionalFormatting xmlns:xm="http://schemas.microsoft.com/office/excel/2006/main">
          <x14:cfRule type="dataBar" id="{CB1ACC83-B486-4232-88F7-8C7EEEF1DC55}">
            <x14:dataBar minLength="0" maxLength="100" border="1" negativeBarBorderColorSameAsPositive="0">
              <x14:cfvo type="autoMin"/>
              <x14:cfvo type="autoMax"/>
              <x14:borderColor rgb="FF638EC6"/>
              <x14:negativeFillColor rgb="FFFF0000"/>
              <x14:negativeBorderColor rgb="FFFF0000"/>
              <x14:axisColor rgb="FF000000"/>
            </x14:dataBar>
          </x14:cfRule>
          <xm:sqref>Q258:Q272</xm:sqref>
        </x14:conditionalFormatting>
        <x14:conditionalFormatting xmlns:xm="http://schemas.microsoft.com/office/excel/2006/main">
          <x14:cfRule type="dataBar" id="{2BF3ADFD-779F-4327-A839-0C17D7FAF879}">
            <x14:dataBar minLength="0" maxLength="100" border="1" negativeBarBorderColorSameAsPositive="0">
              <x14:cfvo type="autoMin"/>
              <x14:cfvo type="autoMax"/>
              <x14:borderColor rgb="FF638EC6"/>
              <x14:negativeFillColor rgb="FFFF0000"/>
              <x14:negativeBorderColor rgb="FFFF0000"/>
              <x14:axisColor rgb="FF000000"/>
            </x14:dataBar>
          </x14:cfRule>
          <xm:sqref>Q296:Q321</xm:sqref>
        </x14:conditionalFormatting>
        <x14:conditionalFormatting xmlns:xm="http://schemas.microsoft.com/office/excel/2006/main">
          <x14:cfRule type="dataBar" id="{18700AD1-AE9C-4DBF-A906-0C67C649E6C7}">
            <x14:dataBar minLength="0" maxLength="100" border="1" negativeBarBorderColorSameAsPositive="0">
              <x14:cfvo type="autoMin"/>
              <x14:cfvo type="autoMax"/>
              <x14:borderColor rgb="FF638EC6"/>
              <x14:negativeFillColor rgb="FFFF0000"/>
              <x14:negativeBorderColor rgb="FFFF0000"/>
              <x14:axisColor rgb="FF000000"/>
            </x14:dataBar>
          </x14:cfRule>
          <xm:sqref>Q423:Q544 Q353 Q547:Q589</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B5519-2E26-47E9-B447-08B593113630}">
  <dimension ref="A1:L92"/>
  <sheetViews>
    <sheetView workbookViewId="0">
      <pane ySplit="2" topLeftCell="A3" activePane="bottomLeft" state="frozen"/>
      <selection pane="bottomLeft" sqref="A1:XFD1048576"/>
    </sheetView>
  </sheetViews>
  <sheetFormatPr defaultColWidth="8.83203125" defaultRowHeight="14"/>
  <cols>
    <col min="12" max="12" width="13" bestFit="1" customWidth="1"/>
  </cols>
  <sheetData>
    <row r="1" spans="1:12" s="457" customFormat="1" ht="22.5">
      <c r="A1" s="457" t="s">
        <v>25</v>
      </c>
    </row>
    <row r="2" spans="1:12" s="458" customFormat="1" ht="22.5">
      <c r="B2" s="460">
        <v>2020</v>
      </c>
      <c r="C2" s="460">
        <v>2021</v>
      </c>
      <c r="D2" s="460" t="s">
        <v>14</v>
      </c>
      <c r="E2" s="460" t="s">
        <v>11</v>
      </c>
      <c r="F2" s="460" t="s">
        <v>12</v>
      </c>
      <c r="G2" s="460" t="s">
        <v>13</v>
      </c>
      <c r="H2" s="460" t="s">
        <v>2220</v>
      </c>
      <c r="I2" s="460" t="s">
        <v>2221</v>
      </c>
      <c r="J2" s="460" t="s">
        <v>2222</v>
      </c>
      <c r="K2" s="460" t="s">
        <v>2223</v>
      </c>
      <c r="L2" s="460" t="s">
        <v>2224</v>
      </c>
    </row>
    <row r="3" spans="1:12" s="421" customFormat="1">
      <c r="A3" s="421" t="s">
        <v>167</v>
      </c>
    </row>
    <row r="4" spans="1:12">
      <c r="A4" s="64" t="s">
        <v>2036</v>
      </c>
    </row>
    <row r="5" spans="1:12">
      <c r="A5" s="246" t="s">
        <v>2197</v>
      </c>
      <c r="B5" s="415">
        <f>'BYD-Demand forecasting-detail'!B43</f>
        <v>0</v>
      </c>
      <c r="C5" s="415">
        <f>'BYD-Demand forecasting-detail'!C43</f>
        <v>76384</v>
      </c>
      <c r="D5" s="415">
        <f>'BYD-Demand forecasting-detail'!D43</f>
        <v>325607.86457080737</v>
      </c>
      <c r="E5" s="415">
        <f>'BYD-Demand forecasting-detail'!E43</f>
        <v>408053.53021350788</v>
      </c>
      <c r="F5" s="415">
        <f>'BYD-Demand forecasting-detail'!F43</f>
        <v>487416.99273196264</v>
      </c>
      <c r="G5" s="415">
        <f>'BYD-Demand forecasting-detail'!G43</f>
        <v>568647.76463257347</v>
      </c>
      <c r="H5" s="415">
        <f>'BYD-Demand forecasting-detail'!H43</f>
        <v>648781.77793208964</v>
      </c>
      <c r="I5" s="415">
        <f>'BYD-Demand forecasting-detail'!I43</f>
        <v>729545.72248716152</v>
      </c>
      <c r="J5" s="415">
        <f>'BYD-Demand forecasting-detail'!J43</f>
        <v>809953.92543695134</v>
      </c>
      <c r="K5" s="415">
        <f>'BYD-Demand forecasting-detail'!K43</f>
        <v>890560.38717813417</v>
      </c>
      <c r="L5" s="415">
        <f>'BYD-Demand forecasting-detail'!L43</f>
        <v>971057.52552924457</v>
      </c>
    </row>
    <row r="6" spans="1:12">
      <c r="A6" s="64" t="s">
        <v>2449</v>
      </c>
    </row>
    <row r="7" spans="1:12">
      <c r="A7" s="246" t="s">
        <v>2197</v>
      </c>
      <c r="B7" s="431">
        <f>'BYD-Demand forecasting-detail'!B26</f>
        <v>0</v>
      </c>
      <c r="C7" s="431">
        <f>'BYD-Demand forecasting-detail'!C26</f>
        <v>1.3553682405480525E-2</v>
      </c>
      <c r="D7" s="431">
        <f>'BYD-Demand forecasting-detail'!D26</f>
        <v>5.8402620121262752E-2</v>
      </c>
      <c r="E7" s="431">
        <f>'BYD-Demand forecasting-detail'!E26</f>
        <v>7.2795914296822237E-2</v>
      </c>
      <c r="F7" s="431">
        <f>'BYD-Demand forecasting-detail'!F26</f>
        <v>8.7189208472381721E-2</v>
      </c>
      <c r="G7" s="431">
        <f>'BYD-Demand forecasting-detail'!G26</f>
        <v>0.10158250264794121</v>
      </c>
      <c r="H7" s="431">
        <f>'BYD-Demand forecasting-detail'!H26</f>
        <v>0.11597579682350069</v>
      </c>
      <c r="I7" s="431">
        <f>'BYD-Demand forecasting-detail'!I26</f>
        <v>0.13036909099906019</v>
      </c>
      <c r="J7" s="431">
        <f>'BYD-Demand forecasting-detail'!J26</f>
        <v>0.14476238517461967</v>
      </c>
      <c r="K7" s="431">
        <f>'BYD-Demand forecasting-detail'!K26</f>
        <v>0.15915567935017916</v>
      </c>
      <c r="L7" s="431">
        <f>'BYD-Demand forecasting-detail'!L26</f>
        <v>0.17354897352573864</v>
      </c>
    </row>
    <row r="8" spans="1:12" s="421" customFormat="1">
      <c r="A8" s="421" t="s">
        <v>168</v>
      </c>
    </row>
    <row r="9" spans="1:12">
      <c r="A9" s="64" t="s">
        <v>2036</v>
      </c>
    </row>
    <row r="10" spans="1:12">
      <c r="A10" s="246" t="s">
        <v>2197</v>
      </c>
      <c r="B10" s="415">
        <f>'BYD-Demand forecasting-detail'!B79</f>
        <v>4000</v>
      </c>
      <c r="C10" s="415">
        <f>'BYD-Demand forecasting-detail'!C79</f>
        <v>29340</v>
      </c>
      <c r="D10" s="415">
        <f>'BYD-Demand forecasting-detail'!D79</f>
        <v>66414.675687813433</v>
      </c>
      <c r="E10" s="415">
        <f>'BYD-Demand forecasting-detail'!E79</f>
        <v>76209.938654715093</v>
      </c>
      <c r="F10" s="415">
        <f>'BYD-Demand forecasting-detail'!F79</f>
        <v>85414.371695968395</v>
      </c>
      <c r="G10" s="415">
        <f>'BYD-Demand forecasting-detail'!G79</f>
        <v>94952.368344662653</v>
      </c>
      <c r="H10" s="415">
        <f>'BYD-Demand forecasting-detail'!H79</f>
        <v>104304.50886732806</v>
      </c>
      <c r="I10" s="415">
        <f>'BYD-Demand forecasting-detail'!I79</f>
        <v>113759.11461416206</v>
      </c>
      <c r="J10" s="415">
        <f>'BYD-Demand forecasting-detail'!J79</f>
        <v>123157.71916833466</v>
      </c>
      <c r="K10" s="415">
        <f>'BYD-Demand forecasting-detail'!K79</f>
        <v>132586.70860912651</v>
      </c>
      <c r="L10" s="415">
        <f>'BYD-Demand forecasting-detail'!L79</f>
        <v>141999.31346146448</v>
      </c>
    </row>
    <row r="11" spans="1:12">
      <c r="A11" s="64" t="s">
        <v>2449</v>
      </c>
    </row>
    <row r="12" spans="1:12">
      <c r="A12" s="246" t="s">
        <v>2197</v>
      </c>
      <c r="B12" s="431">
        <f>'BYD-Demand forecasting-detail'!B65</f>
        <v>7.2532226975097875E-4</v>
      </c>
      <c r="C12" s="431">
        <f>'BYD-Demand forecasting-detail'!C65</f>
        <v>5.2061301028592192E-3</v>
      </c>
      <c r="D12" s="431">
        <f>'BYD-Demand forecasting-detail'!D65</f>
        <v>1.1912461266207356E-2</v>
      </c>
      <c r="E12" s="431">
        <f>'BYD-Demand forecasting-detail'!E65</f>
        <v>1.3595697015467386E-2</v>
      </c>
      <c r="F12" s="431">
        <f>'BYD-Demand forecasting-detail'!F65</f>
        <v>1.5278932764727417E-2</v>
      </c>
      <c r="G12" s="431">
        <f>'BYD-Demand forecasting-detail'!G65</f>
        <v>1.696216851398745E-2</v>
      </c>
      <c r="H12" s="431">
        <f>'BYD-Demand forecasting-detail'!H65</f>
        <v>1.864540426324748E-2</v>
      </c>
      <c r="I12" s="431">
        <f>'BYD-Demand forecasting-detail'!I65</f>
        <v>2.0328640012507511E-2</v>
      </c>
      <c r="J12" s="431">
        <f>'BYD-Demand forecasting-detail'!J65</f>
        <v>2.2011875761767542E-2</v>
      </c>
      <c r="K12" s="431">
        <f>'BYD-Demand forecasting-detail'!K65</f>
        <v>2.3695111511027572E-2</v>
      </c>
      <c r="L12" s="431">
        <f>'BYD-Demand forecasting-detail'!L65</f>
        <v>2.5378347260287603E-2</v>
      </c>
    </row>
    <row r="13" spans="1:12" s="421" customFormat="1">
      <c r="A13" s="421" t="s">
        <v>170</v>
      </c>
    </row>
    <row r="14" spans="1:12">
      <c r="A14" s="64" t="s">
        <v>2036</v>
      </c>
    </row>
    <row r="15" spans="1:12">
      <c r="A15" s="246" t="s">
        <v>2197</v>
      </c>
      <c r="B15" s="415">
        <f>'BYD-Demand forecasting-detail'!B131</f>
        <v>16300</v>
      </c>
      <c r="C15" s="415">
        <f>'BYD-Demand forecasting-detail'!C131</f>
        <v>41402</v>
      </c>
      <c r="D15" s="415">
        <f>'BYD-Demand forecasting-detail'!D131</f>
        <v>61526.158172933843</v>
      </c>
      <c r="E15" s="415">
        <f>'BYD-Demand forecasting-detail'!E131</f>
        <v>67196.235104424122</v>
      </c>
      <c r="F15" s="415">
        <f>'BYD-Demand forecasting-detail'!F131</f>
        <v>73570.294404619519</v>
      </c>
      <c r="G15" s="415">
        <f>'BYD-Demand forecasting-detail'!G131</f>
        <v>79559.356044860091</v>
      </c>
      <c r="H15" s="415">
        <f>'BYD-Demand forecasting-detail'!H131</f>
        <v>85757.419752879214</v>
      </c>
      <c r="I15" s="415">
        <f>'BYD-Demand forecasting-detail'!I131</f>
        <v>91842.730808108492</v>
      </c>
      <c r="J15" s="415">
        <f>'BYD-Demand forecasting-detail'!J131</f>
        <v>97988.543999182977</v>
      </c>
      <c r="K15" s="415">
        <f>'BYD-Demand forecasting-detail'!K131</f>
        <v>104102.04321760971</v>
      </c>
      <c r="L15" s="415">
        <f>'BYD-Demand forecasting-detail'!L131</f>
        <v>110232.7308747229</v>
      </c>
    </row>
    <row r="16" spans="1:12">
      <c r="A16" s="64" t="s">
        <v>2449</v>
      </c>
    </row>
    <row r="17" spans="1:12">
      <c r="A17" s="246" t="s">
        <v>2197</v>
      </c>
      <c r="B17" s="431">
        <f>'BYD-Demand forecasting-detail'!B109</f>
        <v>1.0376527911905188E-2</v>
      </c>
      <c r="C17" s="431">
        <f>'BYD-Demand forecasting-detail'!C109</f>
        <v>2.7121233262127158E-2</v>
      </c>
      <c r="D17" s="431">
        <f>'BYD-Demand forecasting-detail'!D109</f>
        <v>3.9727538574493522E-2</v>
      </c>
      <c r="E17" s="431">
        <f>'BYD-Demand forecasting-detail'!E109</f>
        <v>4.3701230144367893E-2</v>
      </c>
      <c r="F17" s="431">
        <f>'BYD-Demand forecasting-detail'!F109</f>
        <v>4.7674921714242265E-2</v>
      </c>
      <c r="G17" s="431">
        <f>'BYD-Demand forecasting-detail'!G109</f>
        <v>5.1648613284116636E-2</v>
      </c>
      <c r="H17" s="431">
        <f>'BYD-Demand forecasting-detail'!H109</f>
        <v>5.5622304853991007E-2</v>
      </c>
      <c r="I17" s="431">
        <f>'BYD-Demand forecasting-detail'!I109</f>
        <v>5.9595996423865379E-2</v>
      </c>
      <c r="J17" s="431">
        <f>'BYD-Demand forecasting-detail'!J109</f>
        <v>6.3569687993739743E-2</v>
      </c>
      <c r="K17" s="431">
        <f>'BYD-Demand forecasting-detail'!K109</f>
        <v>6.7543379563614114E-2</v>
      </c>
      <c r="L17" s="431">
        <f>'BYD-Demand forecasting-detail'!L109</f>
        <v>7.1517071133488486E-2</v>
      </c>
    </row>
    <row r="18" spans="1:12" s="421" customFormat="1">
      <c r="A18" s="421" t="s">
        <v>171</v>
      </c>
    </row>
    <row r="19" spans="1:12">
      <c r="A19" s="64" t="s">
        <v>2036</v>
      </c>
    </row>
    <row r="20" spans="1:12">
      <c r="A20" s="246" t="s">
        <v>2197</v>
      </c>
      <c r="B20" s="415">
        <f>'BYD-Demand forecasting-detail'!B181</f>
        <v>0</v>
      </c>
      <c r="C20" s="415">
        <f>'BYD-Demand forecasting-detail'!C181</f>
        <v>0</v>
      </c>
      <c r="D20" s="415">
        <f>'BYD-Demand forecasting-detail'!D181</f>
        <v>172388.54575154025</v>
      </c>
      <c r="E20" s="415">
        <f>'BYD-Demand forecasting-detail'!E181</f>
        <v>279636.9620189073</v>
      </c>
      <c r="F20" s="415">
        <f>'BYD-Demand forecasting-detail'!F181</f>
        <v>384910.69334868999</v>
      </c>
      <c r="G20" s="415">
        <f>'BYD-Demand forecasting-detail'!G181</f>
        <v>491601.61491971754</v>
      </c>
      <c r="H20" s="415">
        <f>'BYD-Demand forecasting-detail'!H181</f>
        <v>597369.01748389634</v>
      </c>
      <c r="I20" s="415">
        <f>'BYD-Demand forecasting-detail'!I181</f>
        <v>703705.64149461279</v>
      </c>
      <c r="J20" s="415">
        <f>'BYD-Demand forecasting-detail'!J181</f>
        <v>809703.92381050379</v>
      </c>
      <c r="K20" s="415">
        <f>'BYD-Demand forecasting-detail'!K181</f>
        <v>915898.24245958577</v>
      </c>
      <c r="L20" s="415">
        <f>'BYD-Demand forecasting-detail'!L181</f>
        <v>1021981.1101991831</v>
      </c>
    </row>
    <row r="21" spans="1:12">
      <c r="A21" s="64" t="s">
        <v>2449</v>
      </c>
    </row>
    <row r="22" spans="1:12">
      <c r="A22" s="246" t="s">
        <v>2197</v>
      </c>
      <c r="B22" s="431">
        <f>'BYD-Demand forecasting-detail'!B160</f>
        <v>0</v>
      </c>
      <c r="C22" s="431">
        <f>'BYD-Demand forecasting-detail'!C160</f>
        <v>0</v>
      </c>
      <c r="D22" s="431">
        <f>'BYD-Demand forecasting-detail'!D160</f>
        <v>3.092045323922062E-2</v>
      </c>
      <c r="E22" s="431">
        <f>'BYD-Demand forecasting-detail'!E160</f>
        <v>4.9886661464982093E-2</v>
      </c>
      <c r="F22" s="431">
        <f>'BYD-Demand forecasting-detail'!F160</f>
        <v>6.8852869690743557E-2</v>
      </c>
      <c r="G22" s="431">
        <f>'BYD-Demand forecasting-detail'!G160</f>
        <v>8.7819077916505034E-2</v>
      </c>
      <c r="H22" s="431">
        <f>'BYD-Demand forecasting-detail'!H160</f>
        <v>0.10678528614226651</v>
      </c>
      <c r="I22" s="431">
        <f>'BYD-Demand forecasting-detail'!I160</f>
        <v>0.12575149436802799</v>
      </c>
      <c r="J22" s="431">
        <f>'BYD-Demand forecasting-detail'!J160</f>
        <v>0.14471770259378947</v>
      </c>
      <c r="K22" s="431">
        <f>'BYD-Demand forecasting-detail'!K160</f>
        <v>0.16368391081955094</v>
      </c>
      <c r="L22" s="431">
        <f>'BYD-Demand forecasting-detail'!L160</f>
        <v>0.18265011904531242</v>
      </c>
    </row>
    <row r="23" spans="1:12" s="421" customFormat="1">
      <c r="A23" s="421" t="s">
        <v>172</v>
      </c>
    </row>
    <row r="24" spans="1:12">
      <c r="A24" s="64" t="s">
        <v>2036</v>
      </c>
    </row>
    <row r="25" spans="1:12">
      <c r="A25" s="246" t="s">
        <v>2197</v>
      </c>
      <c r="B25" s="415">
        <f>'BYD-Demand forecasting-detail'!B216</f>
        <v>0</v>
      </c>
      <c r="C25" s="415">
        <f>'BYD-Demand forecasting-detail'!C216</f>
        <v>29598</v>
      </c>
      <c r="D25" s="415">
        <f>'BYD-Demand forecasting-detail'!D216</f>
        <v>117425.01653517065</v>
      </c>
      <c r="E25" s="415">
        <f>'BYD-Demand forecasting-detail'!E216</f>
        <v>145726.93871630056</v>
      </c>
      <c r="F25" s="415">
        <f>'BYD-Demand forecasting-detail'!F216</f>
        <v>162018.8096330819</v>
      </c>
      <c r="G25" s="415">
        <f>'BYD-Demand forecasting-detail'!G216</f>
        <v>185229.61942566707</v>
      </c>
      <c r="H25" s="415">
        <f>'BYD-Demand forecasting-detail'!H216</f>
        <v>204524.00315853558</v>
      </c>
      <c r="I25" s="415">
        <f>'BYD-Demand forecasting-detail'!I216</f>
        <v>226005.07823216976</v>
      </c>
      <c r="J25" s="415">
        <f>'BYD-Demand forecasting-detail'!J216</f>
        <v>246278.56847996745</v>
      </c>
      <c r="K25" s="415">
        <f>'BYD-Demand forecasting-detail'!K216</f>
        <v>267212.97071841022</v>
      </c>
      <c r="L25" s="415">
        <f>'BYD-Demand forecasting-detail'!L216</f>
        <v>287788.35717266705</v>
      </c>
    </row>
    <row r="26" spans="1:12">
      <c r="A26" s="64" t="s">
        <v>2449</v>
      </c>
    </row>
    <row r="27" spans="1:12">
      <c r="A27" s="246" t="s">
        <v>2197</v>
      </c>
      <c r="B27" s="431">
        <f>'BYD-Demand forecasting-detail'!B203</f>
        <v>0</v>
      </c>
      <c r="C27" s="431">
        <f>'BYD-Demand forecasting-detail'!C203</f>
        <v>4.1539653401148596E-2</v>
      </c>
      <c r="D27" s="431">
        <f>'BYD-Demand forecasting-detail'!D203</f>
        <v>0.18499542971973909</v>
      </c>
      <c r="E27" s="431">
        <f>'BYD-Demand forecasting-detail'!E203</f>
        <v>0.21632930711531814</v>
      </c>
      <c r="F27" s="431">
        <f>'BYD-Demand forecasting-detail'!F203</f>
        <v>0.24766318451089719</v>
      </c>
      <c r="G27" s="431">
        <f>'BYD-Demand forecasting-detail'!G203</f>
        <v>0.27899706190647627</v>
      </c>
      <c r="H27" s="431">
        <f>'BYD-Demand forecasting-detail'!H203</f>
        <v>0.31033093930205535</v>
      </c>
      <c r="I27" s="431">
        <f>'BYD-Demand forecasting-detail'!I203</f>
        <v>0.34166481669763443</v>
      </c>
      <c r="J27" s="431">
        <f>'BYD-Demand forecasting-detail'!J203</f>
        <v>0.37299869409321351</v>
      </c>
      <c r="K27" s="431">
        <f>'BYD-Demand forecasting-detail'!K203</f>
        <v>0.40433257148879259</v>
      </c>
      <c r="L27" s="431">
        <f>'BYD-Demand forecasting-detail'!L203</f>
        <v>0.43566644888437167</v>
      </c>
    </row>
    <row r="28" spans="1:12" s="421" customFormat="1">
      <c r="A28" s="421" t="s">
        <v>173</v>
      </c>
    </row>
    <row r="29" spans="1:12">
      <c r="A29" s="64" t="s">
        <v>2036</v>
      </c>
    </row>
    <row r="30" spans="1:12">
      <c r="A30" s="246" t="s">
        <v>2197</v>
      </c>
      <c r="B30" s="415">
        <f>'BYD-Demand forecasting-detail'!B254</f>
        <v>21225</v>
      </c>
      <c r="C30" s="415">
        <f>'BYD-Demand forecasting-detail'!C254</f>
        <v>46783</v>
      </c>
      <c r="D30" s="415">
        <f>'BYD-Demand forecasting-detail'!D254</f>
        <v>98509.058543752079</v>
      </c>
      <c r="E30" s="415">
        <f>'BYD-Demand forecasting-detail'!E254</f>
        <v>138911.29231576336</v>
      </c>
      <c r="F30" s="415">
        <f>'BYD-Demand forecasting-detail'!F254</f>
        <v>172552.09918032261</v>
      </c>
      <c r="G30" s="415">
        <f>'BYD-Demand forecasting-detail'!G254</f>
        <v>210555.00940177438</v>
      </c>
      <c r="H30" s="415">
        <f>'BYD-Demand forecasting-detail'!H254</f>
        <v>245886.17299319661</v>
      </c>
      <c r="I30" s="415">
        <f>'BYD-Demand forecasting-detail'!I254</f>
        <v>282798.55737542524</v>
      </c>
      <c r="J30" s="415">
        <f>'BYD-Demand forecasting-detail'!J254</f>
        <v>318797.65762435494</v>
      </c>
      <c r="K30" s="415">
        <f>'BYD-Demand forecasting-detail'!K254</f>
        <v>355314.73680888198</v>
      </c>
      <c r="L30" s="415">
        <f>'BYD-Demand forecasting-detail'!L254</f>
        <v>391542.15809113637</v>
      </c>
    </row>
    <row r="31" spans="1:12">
      <c r="A31" s="64" t="s">
        <v>2449</v>
      </c>
    </row>
    <row r="32" spans="1:12">
      <c r="A32" s="246" t="s">
        <v>2197</v>
      </c>
      <c r="B32" s="431">
        <f>'BYD-Demand forecasting-detail'!B239</f>
        <v>9.9687387866365836E-3</v>
      </c>
      <c r="C32" s="431">
        <f>'BYD-Demand forecasting-detail'!C239</f>
        <v>1.8952079592009525E-2</v>
      </c>
      <c r="D32" s="431">
        <f>'BYD-Demand forecasting-detail'!D239</f>
        <v>4.2851963796140015E-2</v>
      </c>
      <c r="E32" s="431">
        <f>'BYD-Demand forecasting-detail'!E239</f>
        <v>5.8276574675585335E-2</v>
      </c>
      <c r="F32" s="431">
        <f>'BYD-Demand forecasting-detail'!F239</f>
        <v>7.3701185555030649E-2</v>
      </c>
      <c r="G32" s="431">
        <f>'BYD-Demand forecasting-detail'!G239</f>
        <v>8.9125796434475962E-2</v>
      </c>
      <c r="H32" s="431">
        <f>'BYD-Demand forecasting-detail'!H239</f>
        <v>0.10455040731392128</v>
      </c>
      <c r="I32" s="431">
        <f>'BYD-Demand forecasting-detail'!I239</f>
        <v>0.11997501819336659</v>
      </c>
      <c r="J32" s="431">
        <f>'BYD-Demand forecasting-detail'!J239</f>
        <v>0.13539962907281192</v>
      </c>
      <c r="K32" s="431">
        <f>'BYD-Demand forecasting-detail'!K239</f>
        <v>0.15082423995225724</v>
      </c>
      <c r="L32" s="431">
        <f>'BYD-Demand forecasting-detail'!L239</f>
        <v>0.16624885083170257</v>
      </c>
    </row>
    <row r="33" spans="1:12" s="421" customFormat="1">
      <c r="A33" s="421" t="s">
        <v>174</v>
      </c>
    </row>
    <row r="34" spans="1:12">
      <c r="A34" s="64" t="s">
        <v>2036</v>
      </c>
    </row>
    <row r="35" spans="1:12">
      <c r="A35" s="246" t="s">
        <v>2197</v>
      </c>
      <c r="B35" s="415">
        <f>'BYD-Demand forecasting-detail'!B292</f>
        <v>1537</v>
      </c>
      <c r="C35" s="415">
        <f>'BYD-Demand forecasting-detail'!C292</f>
        <v>5062</v>
      </c>
      <c r="D35" s="415">
        <f>'BYD-Demand forecasting-detail'!D292</f>
        <v>18608.117626188283</v>
      </c>
      <c r="E35" s="415">
        <f>'BYD-Demand forecasting-detail'!E292</f>
        <v>33701.585861836356</v>
      </c>
      <c r="F35" s="415">
        <f>'BYD-Demand forecasting-detail'!F292</f>
        <v>47252.282731126928</v>
      </c>
      <c r="G35" s="415">
        <f>'BYD-Demand forecasting-detail'!G292</f>
        <v>61958.913314410056</v>
      </c>
      <c r="H35" s="415">
        <f>'BYD-Demand forecasting-detail'!H292</f>
        <v>75895.303025289992</v>
      </c>
      <c r="I35" s="415">
        <f>'BYD-Demand forecasting-detail'!I292</f>
        <v>90312.950180074971</v>
      </c>
      <c r="J35" s="415">
        <f>'BYD-Demand forecasting-detail'!J292</f>
        <v>104441.90010905571</v>
      </c>
      <c r="K35" s="415">
        <f>'BYD-Demand forecasting-detail'!K292</f>
        <v>118739.23290286443</v>
      </c>
      <c r="L35" s="415">
        <f>'BYD-Demand forecasting-detail'!L292</f>
        <v>132940.35713829624</v>
      </c>
    </row>
    <row r="36" spans="1:12">
      <c r="A36" s="64" t="s">
        <v>2449</v>
      </c>
    </row>
    <row r="37" spans="1:12">
      <c r="A37" s="246" t="s">
        <v>2197</v>
      </c>
      <c r="B37" s="431">
        <f>'BYD-Demand forecasting-detail'!B277</f>
        <v>7.2188228575078574E-4</v>
      </c>
      <c r="C37" s="431">
        <f>'BYD-Demand forecasting-detail'!C277</f>
        <v>2.0506471772813247E-3</v>
      </c>
      <c r="D37" s="431">
        <f>'BYD-Demand forecasting-detail'!D277</f>
        <v>8.0946300230610602E-3</v>
      </c>
      <c r="E37" s="431">
        <f>'BYD-Demand forecasting-detail'!E277</f>
        <v>1.4138612868840796E-2</v>
      </c>
      <c r="F37" s="431">
        <f>'BYD-Demand forecasting-detail'!F277</f>
        <v>2.0182595714620534E-2</v>
      </c>
      <c r="G37" s="431">
        <f>'BYD-Demand forecasting-detail'!G277</f>
        <v>2.6226578560400268E-2</v>
      </c>
      <c r="H37" s="431">
        <f>'BYD-Demand forecasting-detail'!H277</f>
        <v>3.2270561406180003E-2</v>
      </c>
      <c r="I37" s="431">
        <f>'BYD-Demand forecasting-detail'!I277</f>
        <v>3.8314544251959737E-2</v>
      </c>
      <c r="J37" s="431">
        <f>'BYD-Demand forecasting-detail'!J277</f>
        <v>4.4358527097739471E-2</v>
      </c>
      <c r="K37" s="431">
        <f>'BYD-Demand forecasting-detail'!K277</f>
        <v>5.0402509943519205E-2</v>
      </c>
      <c r="L37" s="431">
        <f>'BYD-Demand forecasting-detail'!L277</f>
        <v>5.644649278929894E-2</v>
      </c>
    </row>
    <row r="38" spans="1:12" s="421" customFormat="1">
      <c r="A38" s="421" t="s">
        <v>175</v>
      </c>
    </row>
    <row r="39" spans="1:12">
      <c r="A39" s="64" t="s">
        <v>2036</v>
      </c>
    </row>
    <row r="40" spans="1:12">
      <c r="A40" s="246" t="s">
        <v>2197</v>
      </c>
      <c r="B40" s="415">
        <f>'BYD-Demand forecasting-detail'!B355</f>
        <v>0</v>
      </c>
      <c r="C40" s="415">
        <f>'BYD-Demand forecasting-detail'!C355</f>
        <v>55246</v>
      </c>
      <c r="D40" s="415">
        <f>'BYD-Demand forecasting-detail'!D355</f>
        <v>121153.3859238937</v>
      </c>
      <c r="E40" s="415">
        <f>'BYD-Demand forecasting-detail'!E355</f>
        <v>183557.05449465083</v>
      </c>
      <c r="F40" s="415">
        <f>'BYD-Demand forecasting-detail'!F355</f>
        <v>248848.19252695088</v>
      </c>
      <c r="G40" s="415">
        <f>'BYD-Demand forecasting-detail'!G355</f>
        <v>312127.79043599212</v>
      </c>
      <c r="H40" s="415">
        <f>'BYD-Demand forecasting-detail'!H355</f>
        <v>376697.06110290647</v>
      </c>
      <c r="I40" s="415">
        <f>'BYD-Demand forecasting-detail'!I355</f>
        <v>440479.54404276243</v>
      </c>
      <c r="J40" s="415">
        <f>'BYD-Demand forecasting-detail'!J355</f>
        <v>504726.39652020851</v>
      </c>
      <c r="K40" s="415">
        <f>'BYD-Demand forecasting-detail'!K355</f>
        <v>568705.57639182906</v>
      </c>
      <c r="L40" s="415">
        <f>'BYD-Demand forecasting-detail'!L355</f>
        <v>632836.33648487763</v>
      </c>
    </row>
    <row r="41" spans="1:12">
      <c r="A41" s="64" t="s">
        <v>2449</v>
      </c>
    </row>
    <row r="42" spans="1:12">
      <c r="A42" s="246" t="s">
        <v>2197</v>
      </c>
      <c r="B42" s="431">
        <f>'BYD-Demand forecasting-detail'!B327</f>
        <v>0</v>
      </c>
      <c r="C42" s="431">
        <f>'BYD-Demand forecasting-detail'!C327</f>
        <v>1.0367849794354527E-2</v>
      </c>
      <c r="D42" s="431">
        <f>'BYD-Demand forecasting-detail'!D327</f>
        <v>2.2203416449292534E-2</v>
      </c>
      <c r="E42" s="431">
        <f>'BYD-Demand forecasting-detail'!E327</f>
        <v>3.4038983104230543E-2</v>
      </c>
      <c r="F42" s="431">
        <f>'BYD-Demand forecasting-detail'!F327</f>
        <v>4.5874549759168548E-2</v>
      </c>
      <c r="G42" s="431">
        <f>'BYD-Demand forecasting-detail'!G327</f>
        <v>5.7710116414106553E-2</v>
      </c>
      <c r="H42" s="431">
        <f>'BYD-Demand forecasting-detail'!H327</f>
        <v>6.9545683069044559E-2</v>
      </c>
      <c r="I42" s="431">
        <f>'BYD-Demand forecasting-detail'!I327</f>
        <v>8.1381249723982571E-2</v>
      </c>
      <c r="J42" s="431">
        <f>'BYD-Demand forecasting-detail'!J327</f>
        <v>9.3216816378920583E-2</v>
      </c>
      <c r="K42" s="431">
        <f>'BYD-Demand forecasting-detail'!K327</f>
        <v>0.1050523830338586</v>
      </c>
      <c r="L42" s="431">
        <f>'BYD-Demand forecasting-detail'!L327</f>
        <v>0.11688794968879661</v>
      </c>
    </row>
    <row r="43" spans="1:12" s="421" customFormat="1">
      <c r="A43" s="421" t="s">
        <v>176</v>
      </c>
    </row>
    <row r="44" spans="1:12">
      <c r="A44" s="64" t="s">
        <v>2036</v>
      </c>
    </row>
    <row r="45" spans="1:12">
      <c r="A45" s="246" t="s">
        <v>2197</v>
      </c>
      <c r="B45" s="415">
        <f>'BYD-Demand forecasting-detail'!B356</f>
        <v>41621</v>
      </c>
      <c r="C45" s="415">
        <f>'BYD-Demand forecasting-detail'!C356</f>
        <v>19477</v>
      </c>
      <c r="D45" s="415">
        <f>'BYD-Demand forecasting-detail'!D356</f>
        <v>30306.068358987883</v>
      </c>
      <c r="E45" s="415">
        <f>'BYD-Demand forecasting-detail'!E356</f>
        <v>24830.80126924091</v>
      </c>
      <c r="F45" s="415">
        <f>'BYD-Demand forecasting-detail'!F356</f>
        <v>27553.251586551141</v>
      </c>
      <c r="G45" s="415">
        <f>'BYD-Demand forecasting-detail'!G356</f>
        <v>26188.230621005208</v>
      </c>
      <c r="H45" s="415">
        <f>'BYD-Demand forecasting-detail'!H356</f>
        <v>26869.79215205547</v>
      </c>
      <c r="I45" s="415">
        <f>'BYD-Demand forecasting-detail'!I356</f>
        <v>26528.774148599663</v>
      </c>
      <c r="J45" s="415">
        <f>'BYD-Demand forecasting-detail'!J356</f>
        <v>26699.223840844897</v>
      </c>
      <c r="K45" s="415">
        <f>'BYD-Demand forecasting-detail'!K356</f>
        <v>26613.984167351613</v>
      </c>
      <c r="L45" s="415">
        <f>'BYD-Demand forecasting-detail'!L356</f>
        <v>26656.600297255591</v>
      </c>
    </row>
    <row r="46" spans="1:12">
      <c r="A46" s="64" t="s">
        <v>2449</v>
      </c>
    </row>
    <row r="47" spans="1:12">
      <c r="A47" s="246" t="s">
        <v>2197</v>
      </c>
      <c r="B47" s="431">
        <f>'BYD-Demand forecasting-detail'!B328</f>
        <v>7.4530141901121187E-3</v>
      </c>
      <c r="C47" s="431">
        <f>'BYD-Demand forecasting-detail'!C328</f>
        <v>3.6551897050400594E-3</v>
      </c>
      <c r="D47" s="431">
        <f>'BYD-Demand forecasting-detail'!D328</f>
        <v>5.5541019475760893E-3</v>
      </c>
      <c r="E47" s="431">
        <f>'BYD-Demand forecasting-detail'!E328</f>
        <v>4.6046458263080741E-3</v>
      </c>
      <c r="F47" s="431">
        <f>'BYD-Demand forecasting-detail'!F328</f>
        <v>5.0793738869420822E-3</v>
      </c>
      <c r="G47" s="431">
        <f>'BYD-Demand forecasting-detail'!G328</f>
        <v>4.8420098566250777E-3</v>
      </c>
      <c r="H47" s="431">
        <f>'BYD-Demand forecasting-detail'!H328</f>
        <v>4.9606918717835799E-3</v>
      </c>
      <c r="I47" s="431">
        <f>'BYD-Demand forecasting-detail'!I328</f>
        <v>4.9013508642043284E-3</v>
      </c>
      <c r="J47" s="431">
        <f>'BYD-Demand forecasting-detail'!J328</f>
        <v>4.9310213679939537E-3</v>
      </c>
      <c r="K47" s="431">
        <f>'BYD-Demand forecasting-detail'!K328</f>
        <v>4.9161861160991411E-3</v>
      </c>
      <c r="L47" s="431">
        <f>'BYD-Demand forecasting-detail'!L328</f>
        <v>4.9236037420465478E-3</v>
      </c>
    </row>
    <row r="48" spans="1:12" s="421" customFormat="1">
      <c r="A48" s="421" t="s">
        <v>177</v>
      </c>
    </row>
    <row r="49" spans="1:12">
      <c r="A49" s="64" t="s">
        <v>2036</v>
      </c>
    </row>
    <row r="50" spans="1:12">
      <c r="A50" s="246" t="s">
        <v>2197</v>
      </c>
      <c r="B50" s="415">
        <f>'BYD-Demand forecasting-detail'!B402</f>
        <v>0</v>
      </c>
      <c r="C50" s="415">
        <f>'BYD-Demand forecasting-detail'!C402</f>
        <v>110971</v>
      </c>
      <c r="D50" s="415">
        <f>'BYD-Demand forecasting-detail'!D402</f>
        <v>211541.63747108221</v>
      </c>
      <c r="E50" s="415">
        <f>'BYD-Demand forecasting-detail'!E402</f>
        <v>305820.4006736952</v>
      </c>
      <c r="F50" s="415">
        <f>'BYD-Demand forecasting-detail'!F402</f>
        <v>404966.71461152966</v>
      </c>
      <c r="G50" s="415">
        <f>'BYD-Demand forecasting-detail'!G402</f>
        <v>500818.44638125994</v>
      </c>
      <c r="H50" s="415">
        <f>'BYD-Demand forecasting-detail'!H402</f>
        <v>598747.8726352891</v>
      </c>
      <c r="I50" s="415">
        <f>'BYD-Demand forecasting-detail'!I402</f>
        <v>695423.24994704535</v>
      </c>
      <c r="J50" s="415">
        <f>'BYD-Demand forecasting-detail'!J402</f>
        <v>792833.25257999985</v>
      </c>
      <c r="K50" s="415">
        <f>'BYD-Demand forecasting-detail'!K402</f>
        <v>889822.14212732448</v>
      </c>
      <c r="L50" s="415">
        <f>'BYD-Demand forecasting-detail'!L402</f>
        <v>987048.48842997942</v>
      </c>
    </row>
    <row r="51" spans="1:12">
      <c r="A51" s="64" t="s">
        <v>2449</v>
      </c>
    </row>
    <row r="52" spans="1:12">
      <c r="A52" s="246" t="s">
        <v>2197</v>
      </c>
      <c r="B52" s="431">
        <f>'BYD-Demand forecasting-detail'!B383</f>
        <v>0</v>
      </c>
      <c r="C52" s="431">
        <f>'BYD-Demand forecasting-detail'!C383</f>
        <v>2.0825592070544768E-2</v>
      </c>
      <c r="D52" s="431">
        <f>'BYD-Demand forecasting-detail'!D383</f>
        <v>3.8768599303417237E-2</v>
      </c>
      <c r="E52" s="431">
        <f>'BYD-Demand forecasting-detail'!E383</f>
        <v>5.6711606536289705E-2</v>
      </c>
      <c r="F52" s="431">
        <f>'BYD-Demand forecasting-detail'!F383</f>
        <v>7.4654613769162173E-2</v>
      </c>
      <c r="G52" s="431">
        <f>'BYD-Demand forecasting-detail'!G383</f>
        <v>9.2597621002034641E-2</v>
      </c>
      <c r="H52" s="431">
        <f>'BYD-Demand forecasting-detail'!H383</f>
        <v>0.11054062823490711</v>
      </c>
      <c r="I52" s="431">
        <f>'BYD-Demand forecasting-detail'!I383</f>
        <v>0.12848363546777958</v>
      </c>
      <c r="J52" s="431">
        <f>'BYD-Demand forecasting-detail'!J383</f>
        <v>0.14642664270065206</v>
      </c>
      <c r="K52" s="431">
        <f>'BYD-Demand forecasting-detail'!K383</f>
        <v>0.16436964993352454</v>
      </c>
      <c r="L52" s="431">
        <f>'BYD-Demand forecasting-detail'!L383</f>
        <v>0.18231265716639702</v>
      </c>
    </row>
    <row r="53" spans="1:12" s="421" customFormat="1">
      <c r="A53" s="421" t="s">
        <v>178</v>
      </c>
    </row>
    <row r="54" spans="1:12">
      <c r="A54" s="64" t="s">
        <v>2036</v>
      </c>
    </row>
    <row r="55" spans="1:12">
      <c r="A55" s="246" t="s">
        <v>2197</v>
      </c>
      <c r="B55" s="415">
        <f>'BYD-Demand forecasting-detail'!B403</f>
        <v>19616</v>
      </c>
      <c r="C55" s="415">
        <f>'BYD-Demand forecasting-detail'!C403</f>
        <v>34265</v>
      </c>
      <c r="D55" s="415">
        <f>'BYD-Demand forecasting-detail'!D403</f>
        <v>27127.139950261237</v>
      </c>
      <c r="E55" s="415">
        <f>'BYD-Demand forecasting-detail'!E403</f>
        <v>30742.729962695928</v>
      </c>
      <c r="F55" s="415">
        <f>'BYD-Demand forecasting-detail'!F403</f>
        <v>28946.599953369907</v>
      </c>
      <c r="G55" s="415">
        <f>'BYD-Demand forecasting-detail'!G403</f>
        <v>29847.581207255749</v>
      </c>
      <c r="H55" s="415">
        <f>'BYD-Demand forecasting-detail'!H403</f>
        <v>29397.819642618535</v>
      </c>
      <c r="I55" s="415">
        <f>'BYD-Demand forecasting-detail'!I403</f>
        <v>29622.882690513568</v>
      </c>
      <c r="J55" s="415">
        <f>'BYD-Demand forecasting-detail'!J403</f>
        <v>29510.396732960162</v>
      </c>
      <c r="K55" s="415">
        <f>'BYD-Demand forecasting-detail'!K403</f>
        <v>29566.651103335389</v>
      </c>
      <c r="L55" s="415">
        <f>'BYD-Demand forecasting-detail'!L403</f>
        <v>29538.526766047406</v>
      </c>
    </row>
    <row r="56" spans="1:12">
      <c r="A56" s="64" t="s">
        <v>2449</v>
      </c>
    </row>
    <row r="57" spans="1:12">
      <c r="A57" s="246" t="s">
        <v>2197</v>
      </c>
      <c r="B57" s="431">
        <f>'BYD-Demand forecasting-detail'!B384</f>
        <v>3.5126096526570559E-3</v>
      </c>
      <c r="C57" s="431">
        <f>'BYD-Demand forecasting-detail'!C384</f>
        <v>6.4304089563689297E-3</v>
      </c>
      <c r="D57" s="431">
        <f>'BYD-Demand forecasting-detail'!D384</f>
        <v>4.9715093045129928E-3</v>
      </c>
      <c r="E57" s="431">
        <f>'BYD-Demand forecasting-detail'!E384</f>
        <v>5.7009591304409612E-3</v>
      </c>
      <c r="F57" s="431">
        <f>'BYD-Demand forecasting-detail'!F384</f>
        <v>5.336234217476977E-3</v>
      </c>
      <c r="G57" s="431">
        <f>'BYD-Demand forecasting-detail'!G384</f>
        <v>5.5185966739589691E-3</v>
      </c>
      <c r="H57" s="431">
        <f>'BYD-Demand forecasting-detail'!H384</f>
        <v>5.4274154457179726E-3</v>
      </c>
      <c r="I57" s="431">
        <f>'BYD-Demand forecasting-detail'!I384</f>
        <v>5.4730060598384709E-3</v>
      </c>
      <c r="J57" s="431">
        <f>'BYD-Demand forecasting-detail'!J384</f>
        <v>5.4502107527782222E-3</v>
      </c>
      <c r="K57" s="431">
        <f>'BYD-Demand forecasting-detail'!K384</f>
        <v>5.4616084063083461E-3</v>
      </c>
      <c r="L57" s="431">
        <f>'BYD-Demand forecasting-detail'!L384</f>
        <v>5.4559095795432841E-3</v>
      </c>
    </row>
    <row r="58" spans="1:12" s="421" customFormat="1">
      <c r="A58" s="421" t="s">
        <v>1854</v>
      </c>
    </row>
    <row r="59" spans="1:12">
      <c r="A59" s="64" t="s">
        <v>2036</v>
      </c>
    </row>
    <row r="60" spans="1:12">
      <c r="A60" s="246" t="s">
        <v>2197</v>
      </c>
      <c r="B60" s="415">
        <f>'BYD-Demand forecasting-detail'!B444</f>
        <v>11783</v>
      </c>
      <c r="C60" s="415">
        <f>'BYD-Demand forecasting-detail'!C444</f>
        <v>30500</v>
      </c>
      <c r="D60" s="415">
        <f>'BYD-Demand forecasting-detail'!D444</f>
        <v>67510.405682133336</v>
      </c>
      <c r="E60" s="415">
        <f>'BYD-Demand forecasting-detail'!E444</f>
        <v>79041.310072399996</v>
      </c>
      <c r="F60" s="415">
        <f>'BYD-Demand forecasting-detail'!F444</f>
        <v>88111.854398999989</v>
      </c>
      <c r="G60" s="415">
        <f>'BYD-Demand forecasting-detail'!G444</f>
        <v>98575.673570433311</v>
      </c>
      <c r="H60" s="415">
        <f>'BYD-Demand forecasting-detail'!H444</f>
        <v>108261.30791294997</v>
      </c>
      <c r="I60" s="415">
        <f>'BYD-Demand forecasting-detail'!I444</f>
        <v>118376.80837317496</v>
      </c>
      <c r="J60" s="415">
        <f>'BYD-Demand forecasting-detail'!J444</f>
        <v>128256.98892292079</v>
      </c>
      <c r="K60" s="415">
        <f>'BYD-Demand forecasting-detail'!K444</f>
        <v>138265.02285371869</v>
      </c>
      <c r="L60" s="415">
        <f>'BYD-Demand forecasting-detail'!L444</f>
        <v>148204.03338108433</v>
      </c>
    </row>
    <row r="61" spans="1:12">
      <c r="A61" s="64" t="s">
        <v>2449</v>
      </c>
    </row>
    <row r="62" spans="1:12">
      <c r="A62" s="246" t="s">
        <v>2197</v>
      </c>
      <c r="B62" s="431">
        <f>'BYD-Demand forecasting-detail'!B428</f>
        <v>4.0000000000000001E-3</v>
      </c>
      <c r="C62" s="431">
        <f>'BYD-Demand forecasting-detail'!C428</f>
        <v>9.4999999999999998E-3</v>
      </c>
      <c r="D62" s="431">
        <f>'BYD-Demand forecasting-detail'!D428</f>
        <v>2.1999733333333334E-2</v>
      </c>
      <c r="E62" s="431">
        <f>'BYD-Demand forecasting-detail'!E428</f>
        <v>2.5199199999999998E-2</v>
      </c>
      <c r="F62" s="431">
        <f>'BYD-Demand forecasting-detail'!F428</f>
        <v>2.8398666666666662E-2</v>
      </c>
      <c r="G62" s="431">
        <f>'BYD-Demand forecasting-detail'!G428</f>
        <v>3.1598133333333327E-2</v>
      </c>
      <c r="H62" s="431">
        <f>'BYD-Demand forecasting-detail'!H428</f>
        <v>3.4797599999999991E-2</v>
      </c>
      <c r="I62" s="431">
        <f>'BYD-Demand forecasting-detail'!I428</f>
        <v>3.7997066666666655E-2</v>
      </c>
      <c r="J62" s="431">
        <f>'BYD-Demand forecasting-detail'!J428</f>
        <v>4.119653333333332E-2</v>
      </c>
      <c r="K62" s="431">
        <f>'BYD-Demand forecasting-detail'!K428</f>
        <v>4.4395999999999984E-2</v>
      </c>
      <c r="L62" s="431">
        <f>'BYD-Demand forecasting-detail'!L428</f>
        <v>4.7595466666666648E-2</v>
      </c>
    </row>
    <row r="63" spans="1:12" s="421" customFormat="1">
      <c r="A63" s="421" t="s">
        <v>182</v>
      </c>
    </row>
    <row r="64" spans="1:12">
      <c r="A64" s="64" t="s">
        <v>2036</v>
      </c>
    </row>
    <row r="65" spans="1:12">
      <c r="A65" s="246" t="s">
        <v>2197</v>
      </c>
      <c r="B65" s="415">
        <f>'BYD-Demand forecasting-detail'!B443</f>
        <v>28773</v>
      </c>
      <c r="C65" s="415">
        <f>'BYD-Demand forecasting-detail'!C443</f>
        <v>87082</v>
      </c>
      <c r="D65" s="415">
        <f>'BYD-Demand forecasting-detail'!D443</f>
        <v>140545.27528213331</v>
      </c>
      <c r="E65" s="415">
        <f>'BYD-Demand forecasting-detail'!E443</f>
        <v>172513.76317239998</v>
      </c>
      <c r="F65" s="415">
        <f>'BYD-Demand forecasting-detail'!F443</f>
        <v>199187.64624899995</v>
      </c>
      <c r="G65" s="415">
        <f>'BYD-Demand forecasting-detail'!G443</f>
        <v>228977.78029543327</v>
      </c>
      <c r="H65" s="415">
        <f>'BYD-Demand forecasting-detail'!H443</f>
        <v>256975.31457544988</v>
      </c>
      <c r="I65" s="415">
        <f>'BYD-Demand forecasting-detail'!I443</f>
        <v>285986.38587942487</v>
      </c>
      <c r="J65" s="415">
        <f>'BYD-Demand forecasting-detail'!J443</f>
        <v>314432.07010104565</v>
      </c>
      <c r="K65" s="415">
        <f>'BYD-Demand forecasting-detail'!K443</f>
        <v>343189.75714903104</v>
      </c>
      <c r="L65" s="415">
        <f>'BYD-Demand forecasting-detail'!L443</f>
        <v>371776.78814124037</v>
      </c>
    </row>
    <row r="66" spans="1:12">
      <c r="A66" s="64" t="s">
        <v>2449</v>
      </c>
    </row>
    <row r="67" spans="1:12">
      <c r="A67" s="246" t="s">
        <v>2197</v>
      </c>
      <c r="B67" s="431">
        <f>'BYD-Demand forecasting-detail'!B427</f>
        <v>9.7999999999999997E-3</v>
      </c>
      <c r="C67" s="431">
        <f>'BYD-Demand forecasting-detail'!C427</f>
        <v>2.7199999999999998E-2</v>
      </c>
      <c r="D67" s="431">
        <f>'BYD-Demand forecasting-detail'!D427</f>
        <v>4.5799733333333328E-2</v>
      </c>
      <c r="E67" s="431">
        <f>'BYD-Demand forecasting-detail'!E427</f>
        <v>5.4999199999999991E-2</v>
      </c>
      <c r="F67" s="431">
        <f>'BYD-Demand forecasting-detail'!F427</f>
        <v>6.4198666666666654E-2</v>
      </c>
      <c r="G67" s="431">
        <f>'BYD-Demand forecasting-detail'!G427</f>
        <v>7.339813333333331E-2</v>
      </c>
      <c r="H67" s="431">
        <f>'BYD-Demand forecasting-detail'!H427</f>
        <v>8.2597599999999965E-2</v>
      </c>
      <c r="I67" s="431">
        <f>'BYD-Demand forecasting-detail'!I427</f>
        <v>9.1797066666666621E-2</v>
      </c>
      <c r="J67" s="431">
        <f>'BYD-Demand forecasting-detail'!J427</f>
        <v>0.10099653333333328</v>
      </c>
      <c r="K67" s="431">
        <f>'BYD-Demand forecasting-detail'!K427</f>
        <v>0.11019599999999993</v>
      </c>
      <c r="L67" s="431">
        <f>'BYD-Demand forecasting-detail'!L427</f>
        <v>0.11939546666666659</v>
      </c>
    </row>
    <row r="69" spans="1:12" s="421" customFormat="1">
      <c r="A69" s="421" t="s">
        <v>2646</v>
      </c>
    </row>
    <row r="70" spans="1:12">
      <c r="A70" s="64" t="s">
        <v>2647</v>
      </c>
      <c r="B70" s="541">
        <f>B5+B10+B15+B20+B25+B30+B35+B40+B45+B50+B55+B60+B65</f>
        <v>144855</v>
      </c>
      <c r="C70" s="541">
        <f t="shared" ref="C70:L70" si="0">C5+C10+C15+C20+C25+C30+C35+C40+C45+C50+C55+C60+C65</f>
        <v>566110</v>
      </c>
      <c r="D70" s="541">
        <f t="shared" si="0"/>
        <v>1458663.3495566975</v>
      </c>
      <c r="E70" s="541">
        <f t="shared" si="0"/>
        <v>1945942.5425305371</v>
      </c>
      <c r="F70" s="541">
        <f t="shared" si="0"/>
        <v>2410749.803052173</v>
      </c>
      <c r="G70" s="541">
        <f t="shared" si="0"/>
        <v>2889040.1485950449</v>
      </c>
      <c r="H70" s="541">
        <f t="shared" si="0"/>
        <v>3359467.3712344854</v>
      </c>
      <c r="I70" s="541">
        <f t="shared" si="0"/>
        <v>3834387.440273236</v>
      </c>
      <c r="J70" s="541">
        <f t="shared" si="0"/>
        <v>4306780.5673263315</v>
      </c>
      <c r="K70" s="541">
        <f t="shared" si="0"/>
        <v>4780577.4556872044</v>
      </c>
      <c r="L70" s="541">
        <f t="shared" si="0"/>
        <v>5253602.3259671992</v>
      </c>
    </row>
    <row r="71" spans="1:12">
      <c r="A71" s="64" t="s">
        <v>2648</v>
      </c>
      <c r="L71" s="358">
        <f>L75+L80+L85+L90</f>
        <v>730000</v>
      </c>
    </row>
    <row r="74" spans="1:12">
      <c r="A74" t="s">
        <v>1772</v>
      </c>
    </row>
    <row r="75" spans="1:12">
      <c r="A75" t="s">
        <v>2036</v>
      </c>
      <c r="L75" s="358">
        <f>L76*L77</f>
        <v>450000</v>
      </c>
    </row>
    <row r="76" spans="1:12">
      <c r="A76" t="s">
        <v>2649</v>
      </c>
      <c r="L76" s="235">
        <v>9000000</v>
      </c>
    </row>
    <row r="77" spans="1:12">
      <c r="A77" t="s">
        <v>2449</v>
      </c>
      <c r="L77" s="327">
        <v>0.05</v>
      </c>
    </row>
    <row r="79" spans="1:12">
      <c r="A79" t="s">
        <v>2650</v>
      </c>
    </row>
    <row r="80" spans="1:12">
      <c r="A80" t="s">
        <v>2036</v>
      </c>
      <c r="L80" s="358">
        <f>L81*L82</f>
        <v>0</v>
      </c>
    </row>
    <row r="81" spans="1:12">
      <c r="A81" t="s">
        <v>2649</v>
      </c>
      <c r="L81" s="235">
        <v>9000000</v>
      </c>
    </row>
    <row r="82" spans="1:12">
      <c r="A82" t="s">
        <v>2449</v>
      </c>
      <c r="L82" s="327">
        <v>0</v>
      </c>
    </row>
    <row r="84" spans="1:12">
      <c r="A84" t="s">
        <v>2651</v>
      </c>
    </row>
    <row r="85" spans="1:12">
      <c r="A85" t="s">
        <v>2036</v>
      </c>
      <c r="L85" s="358">
        <f>L86*L87</f>
        <v>30000</v>
      </c>
    </row>
    <row r="86" spans="1:12">
      <c r="A86" t="s">
        <v>2649</v>
      </c>
      <c r="L86" s="235">
        <v>1000000</v>
      </c>
    </row>
    <row r="87" spans="1:12">
      <c r="A87" t="s">
        <v>2449</v>
      </c>
      <c r="L87" s="327">
        <v>0.03</v>
      </c>
    </row>
    <row r="89" spans="1:12">
      <c r="A89" t="s">
        <v>2652</v>
      </c>
    </row>
    <row r="90" spans="1:12">
      <c r="A90" t="s">
        <v>2036</v>
      </c>
      <c r="L90" s="358">
        <f>L91*L92</f>
        <v>250000</v>
      </c>
    </row>
    <row r="91" spans="1:12">
      <c r="A91" t="s">
        <v>2649</v>
      </c>
      <c r="L91" s="235">
        <v>5000000</v>
      </c>
    </row>
    <row r="92" spans="1:12">
      <c r="A92" t="s">
        <v>2449</v>
      </c>
      <c r="L92" s="327">
        <v>0.05</v>
      </c>
    </row>
  </sheetData>
  <phoneticPr fontId="4"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2C020-111B-4DCA-8B44-94DB54F6EEFD}">
  <dimension ref="A1:X135"/>
  <sheetViews>
    <sheetView workbookViewId="0">
      <pane xSplit="2" ySplit="4" topLeftCell="C5" activePane="bottomRight" state="frozen"/>
      <selection pane="topRight"/>
      <selection pane="bottomLeft"/>
      <selection pane="bottomRight" activeCell="U6" sqref="U6"/>
    </sheetView>
  </sheetViews>
  <sheetFormatPr defaultColWidth="8.83203125" defaultRowHeight="14" outlineLevelCol="1"/>
  <cols>
    <col min="1" max="1" width="27.4140625" style="49" customWidth="1"/>
    <col min="2" max="2" width="11.1640625" hidden="1" customWidth="1"/>
    <col min="3" max="3" width="11" customWidth="1" outlineLevel="1"/>
    <col min="4" max="4" width="12" customWidth="1" outlineLevel="1"/>
    <col min="5" max="8" width="12" bestFit="1" customWidth="1"/>
    <col min="9" max="10" width="12.83203125" bestFit="1" customWidth="1"/>
    <col min="11" max="12" width="13.1640625" bestFit="1" customWidth="1"/>
    <col min="18" max="18" width="9.83203125" customWidth="1"/>
    <col min="19" max="19" width="10.75" customWidth="1"/>
    <col min="20" max="20" width="10.25" customWidth="1"/>
  </cols>
  <sheetData>
    <row r="1" spans="1:24">
      <c r="B1" s="103"/>
      <c r="C1" s="104"/>
      <c r="D1" s="104"/>
      <c r="E1" s="105"/>
      <c r="F1" s="106"/>
      <c r="G1" s="106"/>
      <c r="H1" s="107"/>
      <c r="I1" s="107"/>
      <c r="J1" s="107"/>
      <c r="K1" s="107"/>
      <c r="L1" s="107"/>
      <c r="M1" s="103"/>
      <c r="N1" s="103"/>
      <c r="O1" s="103"/>
      <c r="P1" s="103"/>
      <c r="Q1" s="103"/>
      <c r="R1" s="103"/>
      <c r="S1" s="103"/>
      <c r="T1" s="103"/>
      <c r="U1" s="103"/>
      <c r="V1" s="103"/>
      <c r="W1" s="103"/>
      <c r="X1" s="103"/>
    </row>
    <row r="2" spans="1:24" ht="17.5">
      <c r="A2" s="365" t="s">
        <v>1805</v>
      </c>
      <c r="B2" s="108"/>
      <c r="C2" s="109"/>
      <c r="D2" s="109"/>
      <c r="E2" s="110"/>
      <c r="F2" s="111"/>
      <c r="G2" s="111"/>
      <c r="H2" s="112"/>
      <c r="I2" s="112"/>
      <c r="J2" s="112"/>
      <c r="K2" s="112"/>
      <c r="L2" s="113"/>
      <c r="M2" s="108"/>
      <c r="N2" s="108"/>
      <c r="O2" s="108"/>
      <c r="P2" s="108"/>
      <c r="Q2" s="108"/>
      <c r="R2" s="108"/>
      <c r="S2" s="108"/>
      <c r="T2" s="108"/>
      <c r="U2" s="108"/>
      <c r="V2" s="108"/>
      <c r="W2" s="108"/>
      <c r="X2" s="108"/>
    </row>
    <row r="3" spans="1:24">
      <c r="A3" s="366" t="s">
        <v>1670</v>
      </c>
      <c r="B3" s="104">
        <v>2015</v>
      </c>
      <c r="C3" s="104">
        <v>2016</v>
      </c>
      <c r="D3" s="104">
        <v>2017</v>
      </c>
      <c r="E3" s="114">
        <v>2018</v>
      </c>
      <c r="F3" s="114">
        <v>2019</v>
      </c>
      <c r="G3" s="114">
        <v>2020</v>
      </c>
      <c r="H3" s="115">
        <v>2021</v>
      </c>
      <c r="I3" s="115">
        <v>2022</v>
      </c>
      <c r="J3" s="115">
        <v>2023</v>
      </c>
      <c r="K3" s="115" t="s">
        <v>2653</v>
      </c>
      <c r="L3" s="115" t="s">
        <v>2654</v>
      </c>
      <c r="M3" s="103"/>
      <c r="N3" s="116"/>
      <c r="O3" s="114">
        <f t="shared" ref="O3:V4" si="0">E3</f>
        <v>2018</v>
      </c>
      <c r="P3" s="114">
        <f t="shared" si="0"/>
        <v>2019</v>
      </c>
      <c r="Q3" s="114">
        <f t="shared" si="0"/>
        <v>2020</v>
      </c>
      <c r="R3" s="117">
        <f t="shared" si="0"/>
        <v>2021</v>
      </c>
      <c r="S3" s="117">
        <f t="shared" si="0"/>
        <v>2022</v>
      </c>
      <c r="T3" s="117">
        <f t="shared" si="0"/>
        <v>2023</v>
      </c>
      <c r="U3" s="117" t="str">
        <f t="shared" si="0"/>
        <v>CQ + 3</v>
      </c>
      <c r="V3" s="117" t="str">
        <f t="shared" si="0"/>
        <v>CQ + 4</v>
      </c>
      <c r="W3" s="103"/>
      <c r="X3" s="103"/>
    </row>
    <row r="4" spans="1:24">
      <c r="A4" s="367" t="s">
        <v>1807</v>
      </c>
      <c r="B4" s="104" t="s">
        <v>1575</v>
      </c>
      <c r="C4" s="104" t="s">
        <v>1575</v>
      </c>
      <c r="D4" s="104" t="s">
        <v>1575</v>
      </c>
      <c r="E4" s="114" t="s">
        <v>1575</v>
      </c>
      <c r="F4" s="114" t="s">
        <v>1575</v>
      </c>
      <c r="G4" s="114" t="s">
        <v>1575</v>
      </c>
      <c r="H4" s="115" t="s">
        <v>1576</v>
      </c>
      <c r="I4" s="115" t="s">
        <v>1576</v>
      </c>
      <c r="J4" s="115" t="s">
        <v>1576</v>
      </c>
      <c r="K4" s="115" t="s">
        <v>1576</v>
      </c>
      <c r="L4" s="115" t="s">
        <v>1576</v>
      </c>
      <c r="M4" s="103"/>
      <c r="N4" s="118"/>
      <c r="O4" s="114" t="str">
        <f t="shared" si="0"/>
        <v>Actual</v>
      </c>
      <c r="P4" s="114" t="str">
        <f t="shared" si="0"/>
        <v>Actual</v>
      </c>
      <c r="Q4" s="114" t="str">
        <f t="shared" si="0"/>
        <v>Actual</v>
      </c>
      <c r="R4" s="117" t="str">
        <f t="shared" si="0"/>
        <v>Forecast</v>
      </c>
      <c r="S4" s="117" t="str">
        <f t="shared" si="0"/>
        <v>Forecast</v>
      </c>
      <c r="T4" s="117" t="str">
        <f t="shared" si="0"/>
        <v>Forecast</v>
      </c>
      <c r="U4" s="117" t="str">
        <f t="shared" si="0"/>
        <v>Forecast</v>
      </c>
      <c r="V4" s="117" t="str">
        <f t="shared" si="0"/>
        <v>Forecast</v>
      </c>
      <c r="W4" s="119"/>
      <c r="X4" s="103"/>
    </row>
    <row r="5" spans="1:24">
      <c r="A5" s="121"/>
      <c r="B5" s="120"/>
      <c r="C5" s="121"/>
      <c r="D5" s="121"/>
      <c r="E5" s="120"/>
      <c r="F5" s="120"/>
      <c r="G5" s="120"/>
      <c r="H5" s="122"/>
      <c r="I5" s="122"/>
      <c r="J5" s="122"/>
      <c r="K5" s="122"/>
      <c r="L5" s="122"/>
      <c r="M5" s="120"/>
      <c r="N5" s="103"/>
      <c r="O5" s="103"/>
      <c r="P5" s="103"/>
      <c r="Q5" s="103"/>
      <c r="R5" s="103"/>
      <c r="S5" s="103"/>
      <c r="T5" s="103"/>
      <c r="U5" s="103"/>
      <c r="V5" s="103"/>
      <c r="W5" s="103"/>
      <c r="X5" s="103"/>
    </row>
    <row r="6" spans="1:24" ht="20">
      <c r="A6" s="368" t="s">
        <v>1577</v>
      </c>
      <c r="B6" s="123"/>
      <c r="C6" s="124"/>
      <c r="D6" s="124"/>
      <c r="E6" s="125"/>
      <c r="F6" s="125"/>
      <c r="G6" s="126"/>
      <c r="H6" s="127"/>
      <c r="I6" s="127"/>
      <c r="J6" s="128"/>
      <c r="K6" s="128"/>
      <c r="L6" s="128"/>
      <c r="M6" s="129"/>
      <c r="N6" s="118" t="s">
        <v>1613</v>
      </c>
      <c r="O6" s="129"/>
      <c r="P6" s="129"/>
      <c r="Q6" s="129"/>
      <c r="R6" s="129"/>
      <c r="S6" s="129"/>
      <c r="T6" s="129"/>
      <c r="U6" s="129"/>
      <c r="V6" s="129"/>
      <c r="W6" s="129"/>
      <c r="X6" s="129"/>
    </row>
    <row r="7" spans="1:24">
      <c r="A7" s="65" t="s">
        <v>508</v>
      </c>
      <c r="B7" s="119"/>
      <c r="C7" s="130">
        <f>SUM(C8,C9:C12)</f>
        <v>7000129</v>
      </c>
      <c r="D7" s="130">
        <f t="shared" ref="D7:J7" si="1">SUM(D8,D9:D12)</f>
        <v>11759210</v>
      </c>
      <c r="E7" s="130">
        <f>SUM(E8,E9:E12)</f>
        <v>21460800</v>
      </c>
      <c r="F7" s="130">
        <f t="shared" si="1"/>
        <v>24578000</v>
      </c>
      <c r="G7" s="130">
        <f t="shared" si="1"/>
        <v>31536000</v>
      </c>
      <c r="H7" s="130">
        <f>SUM(H8,H9:H12)</f>
        <v>53823000</v>
      </c>
      <c r="I7" s="130">
        <f t="shared" si="1"/>
        <v>81462000.00000003</v>
      </c>
      <c r="J7" s="130">
        <f t="shared" si="1"/>
        <v>96394360.853666633</v>
      </c>
      <c r="K7" s="131">
        <f>SUM(K8,K9:K12)</f>
        <v>96394360.853666633</v>
      </c>
      <c r="L7" s="131">
        <f>SUM(L8,L9:L12)</f>
        <v>96394360.853666633</v>
      </c>
      <c r="M7" s="103"/>
      <c r="N7" s="119" t="s">
        <v>1631</v>
      </c>
      <c r="O7" s="132">
        <f>IFERROR(E7/D7-1,"")</f>
        <v>0.82502055835383503</v>
      </c>
      <c r="P7" s="132">
        <f t="shared" ref="P7:T11" si="2">IFERROR(F7/E7-1,"")</f>
        <v>0.14525087601580555</v>
      </c>
      <c r="Q7" s="132">
        <f t="shared" si="2"/>
        <v>0.28309870615998056</v>
      </c>
      <c r="R7" s="132">
        <f>IFERROR(H7/G7-1,"")</f>
        <v>0.70671613394216126</v>
      </c>
      <c r="S7" s="132">
        <f>IFERROR(I7/H7-1,"")</f>
        <v>0.51351652639206335</v>
      </c>
      <c r="T7" s="132">
        <f>IFERROR(J7/I7-1,"")</f>
        <v>0.18330461876293969</v>
      </c>
      <c r="U7" s="133"/>
      <c r="V7" s="133"/>
      <c r="W7" s="134"/>
      <c r="X7" s="103"/>
    </row>
    <row r="8" spans="1:24">
      <c r="A8" s="369" t="s">
        <v>1808</v>
      </c>
      <c r="B8" s="135"/>
      <c r="C8" s="136">
        <f>'Earning Forecast'!B5</f>
        <v>6350769</v>
      </c>
      <c r="D8" s="136">
        <f>'Earning Forecast'!C5</f>
        <v>9641750</v>
      </c>
      <c r="E8" s="136">
        <f>'Earning Forecast'!D5</f>
        <v>18514520</v>
      </c>
      <c r="F8" s="136">
        <f>'Earning Forecast'!E5</f>
        <v>20821000</v>
      </c>
      <c r="G8" s="136">
        <f>'Earning Forecast'!F5</f>
        <v>27236000</v>
      </c>
      <c r="H8" s="136">
        <f>'Earning Forecast'!G5</f>
        <v>47232000</v>
      </c>
      <c r="I8" s="136">
        <f>'Earning Forecast'!H5</f>
        <v>71462000.00000003</v>
      </c>
      <c r="J8" s="136">
        <f>'Earning Forecast'!I5</f>
        <v>83926771.802430227</v>
      </c>
      <c r="K8" s="137">
        <f>J8*(1+U8)</f>
        <v>83926771.802430227</v>
      </c>
      <c r="L8" s="137">
        <f t="shared" ref="K8:L11" si="3">K8*(1+V8)</f>
        <v>83926771.802430227</v>
      </c>
      <c r="M8" s="120"/>
      <c r="N8" s="120" t="str">
        <f t="shared" ref="N8:N12" si="4">A8</f>
        <v>Automotive Sales&amp;Leasing</v>
      </c>
      <c r="O8" s="138">
        <f>IFERROR(E8/D8-1,"")</f>
        <v>0.92024476884383022</v>
      </c>
      <c r="P8" s="138">
        <f t="shared" si="2"/>
        <v>0.1245768186266778</v>
      </c>
      <c r="Q8" s="138">
        <f t="shared" si="2"/>
        <v>0.30810239661879835</v>
      </c>
      <c r="R8" s="138">
        <f t="shared" si="2"/>
        <v>0.73417535614627694</v>
      </c>
      <c r="S8" s="138">
        <f t="shared" si="2"/>
        <v>0.512999661246613</v>
      </c>
      <c r="T8" s="138">
        <f t="shared" si="2"/>
        <v>0.1744251742524725</v>
      </c>
      <c r="U8" s="139"/>
      <c r="V8" s="139"/>
      <c r="W8" s="140"/>
      <c r="X8" s="120"/>
    </row>
    <row r="9" spans="1:24">
      <c r="A9" s="369" t="s">
        <v>515</v>
      </c>
      <c r="B9" s="135"/>
      <c r="C9" s="136">
        <f>'Earning Forecast'!B12</f>
        <v>467970</v>
      </c>
      <c r="D9" s="136">
        <f>'Earning Forecast'!C12</f>
        <v>1001190</v>
      </c>
      <c r="E9" s="136">
        <f>'Earning Forecast'!D12</f>
        <v>1391040</v>
      </c>
      <c r="F9" s="136">
        <f>'Earning Forecast'!E12</f>
        <v>2226000</v>
      </c>
      <c r="G9" s="136">
        <f>'Earning Forecast'!F12</f>
        <v>2306000</v>
      </c>
      <c r="H9" s="136">
        <f>'Earning Forecast'!G12</f>
        <v>3802000</v>
      </c>
      <c r="I9" s="136">
        <f>'Earning Forecast'!H12</f>
        <v>6091000</v>
      </c>
      <c r="J9" s="136">
        <f>'Earning Forecast'!I12</f>
        <v>7005024.5548287649</v>
      </c>
      <c r="K9" s="137">
        <f t="shared" si="3"/>
        <v>7005024.5548287649</v>
      </c>
      <c r="L9" s="137">
        <f t="shared" si="3"/>
        <v>7005024.5548287649</v>
      </c>
      <c r="M9" s="141"/>
      <c r="N9" s="120" t="str">
        <f t="shared" si="4"/>
        <v>Services &amp; Other</v>
      </c>
      <c r="O9" s="138">
        <f>IFERROR(E9/D9-1,"")</f>
        <v>0.38938662991040651</v>
      </c>
      <c r="P9" s="138">
        <f t="shared" si="2"/>
        <v>0.60024154589371981</v>
      </c>
      <c r="Q9" s="138">
        <f t="shared" si="2"/>
        <v>3.5938903863432126E-2</v>
      </c>
      <c r="R9" s="138">
        <f t="shared" si="2"/>
        <v>0.64874241110147435</v>
      </c>
      <c r="S9" s="138">
        <f t="shared" si="2"/>
        <v>0.60205155181483438</v>
      </c>
      <c r="T9" s="138">
        <f t="shared" si="2"/>
        <v>0.15006149315855599</v>
      </c>
      <c r="U9" s="139"/>
      <c r="V9" s="139"/>
      <c r="W9" s="120"/>
      <c r="X9" s="120"/>
    </row>
    <row r="10" spans="1:24">
      <c r="A10" s="369" t="s">
        <v>520</v>
      </c>
      <c r="B10" s="135"/>
      <c r="C10" s="136">
        <f>'Earning Forecast'!B20</f>
        <v>181390</v>
      </c>
      <c r="D10" s="136">
        <f>'Earning Forecast'!C20</f>
        <v>1116270</v>
      </c>
      <c r="E10" s="136">
        <f>'Earning Forecast'!D20</f>
        <v>1555240</v>
      </c>
      <c r="F10" s="136">
        <f>'Earning Forecast'!E20</f>
        <v>1531000</v>
      </c>
      <c r="G10" s="136">
        <f>'Earning Forecast'!F20</f>
        <v>1994000</v>
      </c>
      <c r="H10" s="136">
        <f>'Earning Forecast'!G20</f>
        <v>2789000</v>
      </c>
      <c r="I10" s="136">
        <f>'Earning Forecast'!H20</f>
        <v>3909000</v>
      </c>
      <c r="J10" s="136">
        <f>'Earning Forecast'!I20</f>
        <v>5462564.4964076504</v>
      </c>
      <c r="K10" s="137">
        <f t="shared" si="3"/>
        <v>5462564.4964076504</v>
      </c>
      <c r="L10" s="137">
        <f t="shared" si="3"/>
        <v>5462564.4964076504</v>
      </c>
      <c r="M10" s="120"/>
      <c r="N10" s="120" t="str">
        <f t="shared" si="4"/>
        <v>Energy Generation &amp; Storage</v>
      </c>
      <c r="O10" s="138">
        <f>IFERROR(E10/D10-1,"")</f>
        <v>0.39324715346645522</v>
      </c>
      <c r="P10" s="138">
        <f t="shared" si="2"/>
        <v>-1.5586018878115282E-2</v>
      </c>
      <c r="Q10" s="138">
        <f t="shared" si="2"/>
        <v>0.30241672109732209</v>
      </c>
      <c r="R10" s="138">
        <f t="shared" si="2"/>
        <v>0.3986960882647943</v>
      </c>
      <c r="S10" s="138">
        <f t="shared" si="2"/>
        <v>0.40157762638938688</v>
      </c>
      <c r="T10" s="138">
        <f t="shared" si="2"/>
        <v>0.39743271844657202</v>
      </c>
      <c r="U10" s="139"/>
      <c r="V10" s="139"/>
      <c r="W10" s="120"/>
      <c r="X10" s="120"/>
    </row>
    <row r="11" spans="1:24">
      <c r="A11" s="369" t="s">
        <v>1809</v>
      </c>
      <c r="B11" s="135"/>
      <c r="C11" s="142">
        <v>0</v>
      </c>
      <c r="D11" s="142">
        <v>0</v>
      </c>
      <c r="E11" s="142">
        <v>0</v>
      </c>
      <c r="F11" s="142">
        <v>0</v>
      </c>
      <c r="G11" s="142">
        <v>0</v>
      </c>
      <c r="H11" s="142">
        <v>0</v>
      </c>
      <c r="I11" s="142">
        <v>0</v>
      </c>
      <c r="J11" s="142">
        <v>0</v>
      </c>
      <c r="K11" s="137">
        <f t="shared" si="3"/>
        <v>0</v>
      </c>
      <c r="L11" s="137">
        <f t="shared" si="3"/>
        <v>0</v>
      </c>
      <c r="M11" s="141"/>
      <c r="N11" s="120" t="str">
        <f t="shared" si="4"/>
        <v>Other Revenue</v>
      </c>
      <c r="O11" s="143" t="str">
        <f>IFERROR(E11/D11-1,"")</f>
        <v/>
      </c>
      <c r="P11" s="143" t="str">
        <f t="shared" si="2"/>
        <v/>
      </c>
      <c r="Q11" s="143" t="str">
        <f t="shared" si="2"/>
        <v/>
      </c>
      <c r="R11" s="143" t="str">
        <f t="shared" si="2"/>
        <v/>
      </c>
      <c r="S11" s="143" t="str">
        <f t="shared" si="2"/>
        <v/>
      </c>
      <c r="T11" s="143" t="str">
        <f t="shared" si="2"/>
        <v/>
      </c>
      <c r="U11" s="139"/>
      <c r="V11" s="139"/>
      <c r="W11" s="120"/>
      <c r="X11" s="120"/>
    </row>
    <row r="12" spans="1:24">
      <c r="A12" s="369" t="s">
        <v>1629</v>
      </c>
      <c r="B12" s="135"/>
      <c r="C12" s="144">
        <v>0</v>
      </c>
      <c r="D12" s="144">
        <v>0</v>
      </c>
      <c r="E12" s="144">
        <v>0</v>
      </c>
      <c r="F12" s="144">
        <v>0</v>
      </c>
      <c r="G12" s="144">
        <v>0</v>
      </c>
      <c r="H12" s="144">
        <v>0</v>
      </c>
      <c r="I12" s="144">
        <v>0</v>
      </c>
      <c r="J12" s="144">
        <v>0</v>
      </c>
      <c r="K12" s="145" t="str">
        <f t="shared" ref="K12:L12" si="5">U12</f>
        <v>($)</v>
      </c>
      <c r="L12" s="145" t="str">
        <f t="shared" si="5"/>
        <v>($)</v>
      </c>
      <c r="M12" s="120"/>
      <c r="N12" s="120" t="str">
        <f t="shared" si="4"/>
        <v>Other/Manual Adjustments</v>
      </c>
      <c r="O12" s="143"/>
      <c r="P12" s="143"/>
      <c r="Q12" s="146" t="s">
        <v>1810</v>
      </c>
      <c r="R12" s="146" t="s">
        <v>1810</v>
      </c>
      <c r="S12" s="146" t="s">
        <v>1810</v>
      </c>
      <c r="T12" s="146" t="s">
        <v>1810</v>
      </c>
      <c r="U12" s="147" t="str">
        <f>T12</f>
        <v>($)</v>
      </c>
      <c r="V12" s="147" t="str">
        <f>U12</f>
        <v>($)</v>
      </c>
      <c r="W12" s="120"/>
      <c r="X12" s="120"/>
    </row>
    <row r="13" spans="1:24" ht="14.5">
      <c r="A13" s="370" t="s">
        <v>1581</v>
      </c>
      <c r="B13" s="148"/>
      <c r="C13" s="104"/>
      <c r="D13" s="104"/>
      <c r="E13" s="104"/>
      <c r="F13" s="149"/>
      <c r="G13" s="150"/>
      <c r="H13" s="151"/>
      <c r="I13" s="151"/>
      <c r="J13" s="131"/>
      <c r="K13" s="152"/>
      <c r="L13" s="152"/>
      <c r="M13" s="103"/>
      <c r="N13" s="153"/>
      <c r="O13" s="103"/>
      <c r="P13" s="103"/>
      <c r="Q13" s="103"/>
      <c r="R13" s="103"/>
      <c r="S13" s="103"/>
      <c r="T13" s="103"/>
      <c r="U13" s="103"/>
      <c r="V13" s="103"/>
      <c r="W13" s="103"/>
      <c r="X13" s="103"/>
    </row>
    <row r="14" spans="1:24">
      <c r="A14" s="65" t="s">
        <v>287</v>
      </c>
      <c r="B14" s="119"/>
      <c r="C14" s="130">
        <f>SUM(C15,C16:C19)</f>
        <v>5400872</v>
      </c>
      <c r="D14" s="130">
        <f t="shared" ref="D14:G14" si="6">SUM(D15,D16:D19)</f>
        <v>9536047</v>
      </c>
      <c r="E14" s="130">
        <f t="shared" si="6"/>
        <v>17367113</v>
      </c>
      <c r="F14" s="130">
        <f t="shared" si="6"/>
        <v>20509000</v>
      </c>
      <c r="G14" s="130">
        <f t="shared" si="6"/>
        <v>24906000</v>
      </c>
      <c r="H14" s="130">
        <f>SUM(H15,H16:H19)</f>
        <v>40216294</v>
      </c>
      <c r="I14" s="130">
        <f t="shared" ref="I14" si="7">SUM(I15,I16:I19)</f>
        <v>60557450.446945287</v>
      </c>
      <c r="J14" s="130">
        <f t="shared" ref="J14" si="8">SUM(J15,J16:J19)</f>
        <v>79924762.575856596</v>
      </c>
      <c r="K14" s="131">
        <f t="shared" ref="K14:L14" si="9">SUM(K15,K16:K19)</f>
        <v>0</v>
      </c>
      <c r="L14" s="131">
        <f t="shared" si="9"/>
        <v>0</v>
      </c>
      <c r="M14" s="103"/>
      <c r="N14" s="119" t="s">
        <v>1632</v>
      </c>
      <c r="O14" s="154">
        <f>IFERROR(E14/E$7,"")</f>
        <v>0.80924816409453515</v>
      </c>
      <c r="P14" s="154">
        <f t="shared" ref="P14:Q18" si="10">IFERROR(F14/F$7,"")</f>
        <v>0.83444543901049717</v>
      </c>
      <c r="Q14" s="154">
        <f t="shared" si="10"/>
        <v>0.7897640791476408</v>
      </c>
      <c r="R14" s="154">
        <f t="shared" ref="R14:T14" si="11">IFERROR(H14/H7,"")</f>
        <v>0.74719532541850142</v>
      </c>
      <c r="S14" s="154">
        <f t="shared" si="11"/>
        <v>0.74338280973883852</v>
      </c>
      <c r="T14" s="154">
        <f t="shared" si="11"/>
        <v>0.82914355018327224</v>
      </c>
      <c r="U14" s="154"/>
      <c r="V14" s="154"/>
      <c r="W14" s="103"/>
      <c r="X14" s="103"/>
    </row>
    <row r="15" spans="1:24">
      <c r="A15" s="369" t="s">
        <v>1808</v>
      </c>
      <c r="B15" s="135"/>
      <c r="C15" s="214">
        <f>'Earning Forecast'!B5-'Earning Forecast'!B7</f>
        <v>4750084</v>
      </c>
      <c r="D15" s="214">
        <f>'Earning Forecast'!C5-'Earning Forecast'!C7</f>
        <v>7432750</v>
      </c>
      <c r="E15" s="214">
        <f>'Earning Forecast'!D5-'Earning Forecast'!D7</f>
        <v>14173520</v>
      </c>
      <c r="F15" s="214">
        <f>'Earning Forecast'!E5-'Earning Forecast'!E7</f>
        <v>16398000</v>
      </c>
      <c r="G15" s="214">
        <f>'Earning Forecast'!F5-'Earning Forecast'!F7</f>
        <v>20259000</v>
      </c>
      <c r="H15" s="214">
        <f>'Earning Forecast'!G5-'Earning Forecast'!G7</f>
        <v>33393000</v>
      </c>
      <c r="I15" s="214">
        <f>'Earning Forecast'!H5-'Earning Forecast'!H7</f>
        <v>51056450.446945287</v>
      </c>
      <c r="J15" s="214">
        <f>'Earning Forecast'!I5-'Earning Forecast'!I7</f>
        <v>68269689.795095026</v>
      </c>
      <c r="K15" s="137">
        <f t="shared" ref="I15:L18" si="12">K$7*(U15)</f>
        <v>0</v>
      </c>
      <c r="L15" s="137">
        <f t="shared" si="12"/>
        <v>0</v>
      </c>
      <c r="M15" s="103"/>
      <c r="N15" s="155" t="str">
        <f t="shared" ref="N15:N19" si="13">A15</f>
        <v>Automotive Sales&amp;Leasing</v>
      </c>
      <c r="O15" s="143">
        <f t="shared" ref="O15:O18" si="14">IFERROR(E15/E$7,"")</f>
        <v>0.66043763513009768</v>
      </c>
      <c r="P15" s="143">
        <f t="shared" si="10"/>
        <v>0.66718203271218157</v>
      </c>
      <c r="Q15" s="143">
        <f t="shared" si="10"/>
        <v>0.64240867579908678</v>
      </c>
      <c r="R15" s="139">
        <f>Q15</f>
        <v>0.64240867579908678</v>
      </c>
      <c r="S15" s="139">
        <f t="shared" ref="S15:T15" si="15">R15</f>
        <v>0.64240867579908678</v>
      </c>
      <c r="T15" s="139">
        <f t="shared" si="15"/>
        <v>0.64240867579908678</v>
      </c>
      <c r="U15" s="139"/>
      <c r="V15" s="139"/>
      <c r="W15" s="103"/>
      <c r="X15" s="103" t="s">
        <v>1811</v>
      </c>
    </row>
    <row r="16" spans="1:24">
      <c r="A16" s="369" t="s">
        <v>515</v>
      </c>
      <c r="B16" s="135"/>
      <c r="C16" s="214">
        <f>'Earning Forecast'!B12-'Earning Forecast'!B15</f>
        <v>472460</v>
      </c>
      <c r="D16" s="214">
        <f>'Earning Forecast'!C12-'Earning Forecast'!C15</f>
        <v>1229027</v>
      </c>
      <c r="E16" s="214">
        <f>'Earning Forecast'!D12-'Earning Forecast'!D15</f>
        <v>1880353</v>
      </c>
      <c r="F16" s="214">
        <f>'Earning Forecast'!E12-'Earning Forecast'!E15</f>
        <v>2770000</v>
      </c>
      <c r="G16" s="214">
        <f>'Earning Forecast'!F12-'Earning Forecast'!F15</f>
        <v>2671000</v>
      </c>
      <c r="H16" s="214">
        <f>'Earning Forecast'!G12-'Earning Forecast'!G15</f>
        <v>3906000</v>
      </c>
      <c r="I16" s="214">
        <f>'Earning Forecast'!H12-'Earning Forecast'!H15</f>
        <v>5880000</v>
      </c>
      <c r="J16" s="214">
        <f>'Earning Forecast'!I12-'Earning Forecast'!I15</f>
        <v>6412110.3520308714</v>
      </c>
      <c r="K16" s="137">
        <f t="shared" si="12"/>
        <v>0</v>
      </c>
      <c r="L16" s="137">
        <f t="shared" si="12"/>
        <v>0</v>
      </c>
      <c r="M16" s="103"/>
      <c r="N16" s="120" t="str">
        <f t="shared" si="13"/>
        <v>Services &amp; Other</v>
      </c>
      <c r="O16" s="143">
        <f t="shared" si="14"/>
        <v>8.7618029150823826E-2</v>
      </c>
      <c r="P16" s="143">
        <f t="shared" si="10"/>
        <v>0.11270241679550817</v>
      </c>
      <c r="Q16" s="143">
        <f t="shared" si="10"/>
        <v>8.4696854388635209E-2</v>
      </c>
      <c r="R16" s="139">
        <f>Q16</f>
        <v>8.4696854388635209E-2</v>
      </c>
      <c r="S16" s="139">
        <f>Q16</f>
        <v>8.4696854388635209E-2</v>
      </c>
      <c r="T16" s="139">
        <f>S16</f>
        <v>8.4696854388635209E-2</v>
      </c>
      <c r="U16" s="139"/>
      <c r="V16" s="139"/>
      <c r="W16" s="103"/>
      <c r="X16" s="103" t="s">
        <v>1812</v>
      </c>
    </row>
    <row r="17" spans="1:24">
      <c r="A17" s="369" t="s">
        <v>520</v>
      </c>
      <c r="B17" s="135"/>
      <c r="C17" s="214">
        <f>'Earning Forecast'!B20-'Earning Forecast'!B22</f>
        <v>178328</v>
      </c>
      <c r="D17" s="214">
        <f>'Earning Forecast'!C20-'Earning Forecast'!C22</f>
        <v>874270</v>
      </c>
      <c r="E17" s="214">
        <f>'Earning Forecast'!D20-'Earning Forecast'!D22</f>
        <v>1313240</v>
      </c>
      <c r="F17" s="214">
        <f>'Earning Forecast'!E20-'Earning Forecast'!E22</f>
        <v>1341000</v>
      </c>
      <c r="G17" s="214">
        <f>'Earning Forecast'!F20-'Earning Forecast'!F22</f>
        <v>1976000</v>
      </c>
      <c r="H17" s="214">
        <f>'Earning Forecast'!G20-'Earning Forecast'!G22</f>
        <v>2917294</v>
      </c>
      <c r="I17" s="214">
        <f>'Earning Forecast'!H20-'Earning Forecast'!H22</f>
        <v>3621000</v>
      </c>
      <c r="J17" s="214">
        <f>'Earning Forecast'!I20-'Earning Forecast'!I22</f>
        <v>5242962.4287306909</v>
      </c>
      <c r="K17" s="137">
        <f t="shared" si="12"/>
        <v>0</v>
      </c>
      <c r="L17" s="137">
        <f t="shared" si="12"/>
        <v>0</v>
      </c>
      <c r="M17" s="103"/>
      <c r="N17" s="120" t="str">
        <f t="shared" si="13"/>
        <v>Energy Generation &amp; Storage</v>
      </c>
      <c r="O17" s="143">
        <f t="shared" si="14"/>
        <v>6.119249981361366E-2</v>
      </c>
      <c r="P17" s="143">
        <f t="shared" si="10"/>
        <v>5.456098950280739E-2</v>
      </c>
      <c r="Q17" s="143">
        <f t="shared" si="10"/>
        <v>6.2658548959918819E-2</v>
      </c>
      <c r="R17" s="139">
        <f>Q17</f>
        <v>6.2658548959918819E-2</v>
      </c>
      <c r="S17" s="139">
        <f t="shared" ref="S17:T17" si="16">R17</f>
        <v>6.2658548959918819E-2</v>
      </c>
      <c r="T17" s="139">
        <f t="shared" si="16"/>
        <v>6.2658548959918819E-2</v>
      </c>
      <c r="U17" s="139"/>
      <c r="V17" s="139"/>
      <c r="W17" s="103"/>
      <c r="X17" s="103" t="s">
        <v>1811</v>
      </c>
    </row>
    <row r="18" spans="1:24">
      <c r="A18" s="369" t="s">
        <v>1673</v>
      </c>
      <c r="B18" s="135"/>
      <c r="C18" s="144">
        <v>0</v>
      </c>
      <c r="D18" s="144"/>
      <c r="E18" s="144">
        <v>0</v>
      </c>
      <c r="F18" s="144">
        <v>0</v>
      </c>
      <c r="G18" s="144">
        <v>0</v>
      </c>
      <c r="H18" s="137">
        <f>H$7*(R18)</f>
        <v>0</v>
      </c>
      <c r="I18" s="137">
        <f t="shared" si="12"/>
        <v>0</v>
      </c>
      <c r="J18" s="137">
        <f t="shared" si="12"/>
        <v>0</v>
      </c>
      <c r="K18" s="137">
        <f t="shared" si="12"/>
        <v>0</v>
      </c>
      <c r="L18" s="137">
        <f t="shared" si="12"/>
        <v>0</v>
      </c>
      <c r="M18" s="103"/>
      <c r="N18" s="120" t="str">
        <f t="shared" si="13"/>
        <v>Implementation</v>
      </c>
      <c r="O18" s="143">
        <f t="shared" si="14"/>
        <v>0</v>
      </c>
      <c r="P18" s="143">
        <f t="shared" si="10"/>
        <v>0</v>
      </c>
      <c r="Q18" s="143">
        <f t="shared" si="10"/>
        <v>0</v>
      </c>
      <c r="R18" s="139">
        <f>Q18</f>
        <v>0</v>
      </c>
      <c r="S18" s="139">
        <f>R18</f>
        <v>0</v>
      </c>
      <c r="T18" s="139">
        <f>S18</f>
        <v>0</v>
      </c>
      <c r="U18" s="139"/>
      <c r="V18" s="139"/>
      <c r="W18" s="120"/>
      <c r="X18" s="103"/>
    </row>
    <row r="19" spans="1:24">
      <c r="A19" s="369" t="s">
        <v>1674</v>
      </c>
      <c r="B19" s="135"/>
      <c r="C19" s="144">
        <v>0</v>
      </c>
      <c r="D19" s="144"/>
      <c r="E19" s="144">
        <v>0</v>
      </c>
      <c r="F19" s="144">
        <v>0</v>
      </c>
      <c r="G19" s="144">
        <v>0</v>
      </c>
      <c r="H19" s="145">
        <f>R19</f>
        <v>0</v>
      </c>
      <c r="I19" s="145">
        <f t="shared" ref="I19:L19" si="17">S19</f>
        <v>0</v>
      </c>
      <c r="J19" s="145">
        <f t="shared" si="17"/>
        <v>0</v>
      </c>
      <c r="K19" s="145">
        <f t="shared" si="17"/>
        <v>0</v>
      </c>
      <c r="L19" s="145">
        <f t="shared" si="17"/>
        <v>0</v>
      </c>
      <c r="M19" s="103"/>
      <c r="N19" s="120" t="str">
        <f t="shared" si="13"/>
        <v>Fixed</v>
      </c>
      <c r="O19" s="143"/>
      <c r="P19" s="143"/>
      <c r="Q19" s="146" t="s">
        <v>1810</v>
      </c>
      <c r="R19" s="147">
        <v>0</v>
      </c>
      <c r="S19" s="147">
        <v>0</v>
      </c>
      <c r="T19" s="147">
        <v>0</v>
      </c>
      <c r="U19" s="147"/>
      <c r="V19" s="147"/>
      <c r="W19" s="103"/>
      <c r="X19" s="103"/>
    </row>
    <row r="20" spans="1:24" ht="14.5">
      <c r="A20" s="371" t="s">
        <v>1581</v>
      </c>
      <c r="B20" s="156"/>
      <c r="C20" s="157"/>
      <c r="D20" s="157"/>
      <c r="E20" s="157"/>
      <c r="F20" s="158"/>
      <c r="G20" s="158"/>
      <c r="H20" s="159"/>
      <c r="I20" s="159"/>
      <c r="J20" s="159"/>
      <c r="K20" s="159"/>
      <c r="L20" s="159"/>
      <c r="M20" s="103"/>
      <c r="N20" s="103"/>
      <c r="O20" s="160"/>
      <c r="P20" s="160"/>
      <c r="Q20" s="160"/>
      <c r="R20" s="103"/>
      <c r="S20" s="103"/>
      <c r="T20" s="103"/>
      <c r="U20" s="103"/>
      <c r="V20" s="161"/>
      <c r="W20" s="103"/>
      <c r="X20" s="103"/>
    </row>
    <row r="21" spans="1:24">
      <c r="A21" s="65" t="s">
        <v>511</v>
      </c>
      <c r="B21" s="119"/>
      <c r="C21" s="130">
        <f>C7-C14</f>
        <v>1599257</v>
      </c>
      <c r="D21" s="130">
        <f>D7-D14</f>
        <v>2223163</v>
      </c>
      <c r="E21" s="130">
        <f>E7-E14</f>
        <v>4093687</v>
      </c>
      <c r="F21" s="130">
        <f t="shared" ref="F21:L21" si="18">F7-F14</f>
        <v>4069000</v>
      </c>
      <c r="G21" s="130">
        <f t="shared" si="18"/>
        <v>6630000</v>
      </c>
      <c r="H21" s="131">
        <f>H7-H14</f>
        <v>13606706</v>
      </c>
      <c r="I21" s="131">
        <f t="shared" si="18"/>
        <v>20904549.553054743</v>
      </c>
      <c r="J21" s="131">
        <f t="shared" si="18"/>
        <v>16469598.277810037</v>
      </c>
      <c r="K21" s="131">
        <f t="shared" si="18"/>
        <v>96394360.853666633</v>
      </c>
      <c r="L21" s="131">
        <f t="shared" si="18"/>
        <v>96394360.853666633</v>
      </c>
      <c r="M21" s="103"/>
      <c r="N21" s="119" t="s">
        <v>1633</v>
      </c>
      <c r="O21" s="133">
        <f>IFERROR(E21/E7,"")</f>
        <v>0.19075183590546485</v>
      </c>
      <c r="P21" s="133">
        <f>IFERROR(F21/F7,"")</f>
        <v>0.1655545609895028</v>
      </c>
      <c r="Q21" s="133">
        <f>IFERROR(G21/G7,"")</f>
        <v>0.2102359208523592</v>
      </c>
      <c r="R21" s="133">
        <f t="shared" ref="R21:T21" si="19">IFERROR(H21/H7,"")</f>
        <v>0.25280467458149863</v>
      </c>
      <c r="S21" s="133">
        <f t="shared" si="19"/>
        <v>0.25661719026116148</v>
      </c>
      <c r="T21" s="133">
        <f t="shared" si="19"/>
        <v>0.17085644981672773</v>
      </c>
      <c r="U21" s="133"/>
      <c r="V21" s="133"/>
      <c r="W21" s="103"/>
      <c r="X21" s="103"/>
    </row>
    <row r="22" spans="1:24" ht="14.5">
      <c r="A22" s="371" t="s">
        <v>1581</v>
      </c>
      <c r="B22" s="156"/>
      <c r="C22" s="158"/>
      <c r="D22" s="158"/>
      <c r="E22" s="158"/>
      <c r="F22" s="158"/>
      <c r="G22" s="158"/>
      <c r="H22" s="159"/>
      <c r="I22" s="159"/>
      <c r="J22" s="159"/>
      <c r="K22" s="159"/>
      <c r="L22" s="159"/>
      <c r="M22" s="103"/>
      <c r="N22" s="103"/>
      <c r="O22" s="103"/>
      <c r="P22" s="103"/>
      <c r="Q22" s="103"/>
      <c r="R22" s="103"/>
      <c r="S22" s="161"/>
      <c r="T22" s="103"/>
      <c r="U22" s="103"/>
      <c r="V22" s="103"/>
      <c r="W22" s="103"/>
      <c r="X22" s="103"/>
    </row>
    <row r="23" spans="1:24">
      <c r="A23" s="65" t="s">
        <v>1582</v>
      </c>
      <c r="B23" s="119"/>
      <c r="C23" s="130">
        <f>SUM(,C24:C27)</f>
        <v>2266597</v>
      </c>
      <c r="D23" s="130">
        <f t="shared" ref="D23:G23" si="20">SUM(,D24:D27)</f>
        <v>3855249</v>
      </c>
      <c r="E23" s="130">
        <f t="shared" si="20"/>
        <v>4481760</v>
      </c>
      <c r="F23" s="130">
        <f t="shared" si="20"/>
        <v>4138000</v>
      </c>
      <c r="G23" s="130">
        <f t="shared" si="20"/>
        <v>4636000</v>
      </c>
      <c r="H23" s="130">
        <f t="shared" ref="H23" si="21">SUM(,H24:H27)</f>
        <v>7110000</v>
      </c>
      <c r="I23" s="130">
        <f>SUM(,I24:I27)</f>
        <v>7021000</v>
      </c>
      <c r="J23" s="130">
        <f>SUM(,J24:J27)</f>
        <v>7639194.5756951794</v>
      </c>
      <c r="K23" s="131">
        <f>SUM(,K24:K27)</f>
        <v>0</v>
      </c>
      <c r="L23" s="131">
        <f>SUM(,L24:L27)</f>
        <v>0</v>
      </c>
      <c r="M23" s="103"/>
      <c r="N23" s="119" t="s">
        <v>1634</v>
      </c>
      <c r="O23" s="154">
        <f>IFERROR(E23/E$7,"")</f>
        <v>0.20883471259226125</v>
      </c>
      <c r="P23" s="154">
        <f t="shared" ref="P23:Q26" si="22">IFERROR(F23/F$7,"")</f>
        <v>0.16836194971112378</v>
      </c>
      <c r="Q23" s="154">
        <f t="shared" si="22"/>
        <v>0.14700659563673263</v>
      </c>
      <c r="R23" s="154">
        <f t="shared" ref="R23:T23" si="23">IFERROR(H23/H7,"")</f>
        <v>0.13209965999665571</v>
      </c>
      <c r="S23" s="154">
        <f t="shared" si="23"/>
        <v>8.6187424811568547E-2</v>
      </c>
      <c r="T23" s="154">
        <f t="shared" si="23"/>
        <v>7.9249392890233583E-2</v>
      </c>
      <c r="U23" s="154"/>
      <c r="V23" s="154"/>
      <c r="W23" s="103"/>
      <c r="X23" s="103"/>
    </row>
    <row r="24" spans="1:24">
      <c r="A24" s="369" t="s">
        <v>1583</v>
      </c>
      <c r="B24" s="135"/>
      <c r="C24" s="136">
        <f>'Earning Forecast'!B43</f>
        <v>1432189</v>
      </c>
      <c r="D24" s="136">
        <f>'Earning Forecast'!C43</f>
        <v>2476500</v>
      </c>
      <c r="E24" s="136">
        <f>'Earning Forecast'!D43</f>
        <v>2834491</v>
      </c>
      <c r="F24" s="136">
        <f>'Earning Forecast'!E43</f>
        <v>2795000</v>
      </c>
      <c r="G24" s="136">
        <f>'Earning Forecast'!F43</f>
        <v>3145000</v>
      </c>
      <c r="H24" s="136">
        <f>'Earning Forecast'!G43</f>
        <v>4517000</v>
      </c>
      <c r="I24" s="136">
        <f>'Earning Forecast'!H43</f>
        <v>3946000</v>
      </c>
      <c r="J24" s="136">
        <f>'Earning Forecast'!I43</f>
        <v>4293442.7853145106</v>
      </c>
      <c r="K24" s="137">
        <f t="shared" ref="K24:L26" si="24">K$7*(U24)</f>
        <v>0</v>
      </c>
      <c r="L24" s="137">
        <f t="shared" si="24"/>
        <v>0</v>
      </c>
      <c r="M24" s="103"/>
      <c r="N24" s="155" t="str">
        <f t="shared" ref="N24:N27" si="25">A24</f>
        <v>Selling General &amp; Admin Exp.</v>
      </c>
      <c r="O24" s="143">
        <f t="shared" ref="O24:O26" si="26">IFERROR(E24/E$7,"")</f>
        <v>0.13207760195332885</v>
      </c>
      <c r="P24" s="143">
        <f t="shared" si="22"/>
        <v>0.11371958662218244</v>
      </c>
      <c r="Q24" s="143">
        <f t="shared" si="22"/>
        <v>9.9727295788939629E-2</v>
      </c>
      <c r="R24" s="139">
        <v>0.08</v>
      </c>
      <c r="S24" s="139">
        <f>Q24</f>
        <v>9.9727295788939629E-2</v>
      </c>
      <c r="T24" s="139">
        <f>S24</f>
        <v>9.9727295788939629E-2</v>
      </c>
      <c r="U24" s="139"/>
      <c r="V24" s="139"/>
      <c r="W24" s="103"/>
      <c r="X24" s="103"/>
    </row>
    <row r="25" spans="1:24">
      <c r="A25" s="369" t="s">
        <v>770</v>
      </c>
      <c r="B25" s="135"/>
      <c r="C25" s="142">
        <v>0</v>
      </c>
      <c r="D25" s="142">
        <v>0</v>
      </c>
      <c r="E25" s="142">
        <v>0</v>
      </c>
      <c r="F25" s="142">
        <v>0</v>
      </c>
      <c r="G25" s="142">
        <v>0</v>
      </c>
      <c r="H25" s="142">
        <v>0</v>
      </c>
      <c r="I25" s="142">
        <v>0</v>
      </c>
      <c r="J25" s="142">
        <v>0</v>
      </c>
      <c r="K25" s="137">
        <f t="shared" si="24"/>
        <v>0</v>
      </c>
      <c r="L25" s="137">
        <f t="shared" si="24"/>
        <v>0</v>
      </c>
      <c r="M25" s="103"/>
      <c r="N25" s="120" t="str">
        <f t="shared" si="25"/>
        <v>Depreciation &amp; Amort.</v>
      </c>
      <c r="O25" s="143">
        <f t="shared" si="26"/>
        <v>0</v>
      </c>
      <c r="P25" s="143">
        <f t="shared" si="22"/>
        <v>0</v>
      </c>
      <c r="Q25" s="143">
        <f t="shared" si="22"/>
        <v>0</v>
      </c>
      <c r="R25" s="139">
        <f>Q25</f>
        <v>0</v>
      </c>
      <c r="S25" s="139">
        <f>R25*0.95</f>
        <v>0</v>
      </c>
      <c r="T25" s="139">
        <f>S25*0.95</f>
        <v>0</v>
      </c>
      <c r="U25" s="139"/>
      <c r="V25" s="139"/>
      <c r="W25" s="103"/>
      <c r="X25" s="103" t="s">
        <v>2655</v>
      </c>
    </row>
    <row r="26" spans="1:24">
      <c r="A26" s="369" t="s">
        <v>1675</v>
      </c>
      <c r="B26" s="135"/>
      <c r="C26" s="136">
        <f>'Earning Forecast'!B45</f>
        <v>834408</v>
      </c>
      <c r="D26" s="136">
        <f>'Earning Forecast'!C45</f>
        <v>1378073</v>
      </c>
      <c r="E26" s="136">
        <f>'Earning Forecast'!D45</f>
        <v>1460370</v>
      </c>
      <c r="F26" s="136">
        <f>'Earning Forecast'!E45</f>
        <v>1343000</v>
      </c>
      <c r="G26" s="136">
        <f>'Earning Forecast'!F45</f>
        <v>1491000</v>
      </c>
      <c r="H26" s="136">
        <f>'Earning Forecast'!G45</f>
        <v>2593000</v>
      </c>
      <c r="I26" s="136">
        <f>'Earning Forecast'!H45</f>
        <v>3075000</v>
      </c>
      <c r="J26" s="136">
        <f>'Earning Forecast'!I45</f>
        <v>3345751.7903806688</v>
      </c>
      <c r="K26" s="137">
        <f t="shared" si="24"/>
        <v>0</v>
      </c>
      <c r="L26" s="137">
        <f t="shared" si="24"/>
        <v>0</v>
      </c>
      <c r="M26" s="103"/>
      <c r="N26" s="120" t="str">
        <f t="shared" si="25"/>
        <v>R&amp;D</v>
      </c>
      <c r="O26" s="143">
        <f t="shared" si="26"/>
        <v>6.8048255423842546E-2</v>
      </c>
      <c r="P26" s="143">
        <f t="shared" si="22"/>
        <v>5.4642363088941333E-2</v>
      </c>
      <c r="Q26" s="143">
        <f t="shared" si="22"/>
        <v>4.7279299847792999E-2</v>
      </c>
      <c r="R26" s="139">
        <f>Q26</f>
        <v>4.7279299847792999E-2</v>
      </c>
      <c r="S26" s="139">
        <f t="shared" ref="S26:T26" si="27">R26</f>
        <v>4.7279299847792999E-2</v>
      </c>
      <c r="T26" s="139">
        <f t="shared" si="27"/>
        <v>4.7279299847792999E-2</v>
      </c>
      <c r="U26" s="139"/>
      <c r="V26" s="139"/>
      <c r="W26" s="103"/>
      <c r="X26" s="103"/>
    </row>
    <row r="27" spans="1:24">
      <c r="A27" s="369" t="s">
        <v>1584</v>
      </c>
      <c r="B27" s="135"/>
      <c r="C27" s="144">
        <v>0</v>
      </c>
      <c r="D27" s="144">
        <v>676</v>
      </c>
      <c r="E27" s="144">
        <v>186899</v>
      </c>
      <c r="F27" s="144">
        <v>0</v>
      </c>
      <c r="G27" s="144">
        <v>0</v>
      </c>
      <c r="H27" s="145">
        <f>R27</f>
        <v>0</v>
      </c>
      <c r="I27" s="145">
        <f t="shared" ref="I27:L27" si="28">S27</f>
        <v>0</v>
      </c>
      <c r="J27" s="145">
        <f t="shared" si="28"/>
        <v>0</v>
      </c>
      <c r="K27" s="145">
        <f t="shared" si="28"/>
        <v>0</v>
      </c>
      <c r="L27" s="145">
        <f t="shared" si="28"/>
        <v>0</v>
      </c>
      <c r="M27" s="103"/>
      <c r="N27" s="120" t="str">
        <f t="shared" si="25"/>
        <v>Manual Adjustments</v>
      </c>
      <c r="O27" s="143"/>
      <c r="P27" s="143"/>
      <c r="Q27" s="146" t="s">
        <v>1810</v>
      </c>
      <c r="R27" s="147">
        <v>0</v>
      </c>
      <c r="S27" s="147">
        <v>0</v>
      </c>
      <c r="T27" s="147">
        <v>0</v>
      </c>
      <c r="U27" s="147">
        <v>0</v>
      </c>
      <c r="V27" s="147">
        <v>0</v>
      </c>
      <c r="W27" s="103"/>
      <c r="X27" s="103"/>
    </row>
    <row r="28" spans="1:24" ht="14.5">
      <c r="A28" s="371" t="s">
        <v>1581</v>
      </c>
      <c r="B28" s="156"/>
      <c r="C28" s="157"/>
      <c r="D28" s="157"/>
      <c r="E28" s="49"/>
      <c r="F28" s="49"/>
      <c r="G28" s="49"/>
      <c r="H28" s="159"/>
      <c r="I28" s="159"/>
      <c r="J28" s="159"/>
      <c r="K28" s="159"/>
      <c r="L28" s="159"/>
      <c r="M28" s="103"/>
      <c r="N28" s="103"/>
      <c r="O28" s="103"/>
      <c r="P28" s="103"/>
      <c r="Q28" s="103"/>
      <c r="R28" s="161"/>
      <c r="S28" s="161"/>
      <c r="T28" s="161"/>
      <c r="U28" s="161"/>
      <c r="V28" s="161"/>
      <c r="W28" s="103"/>
      <c r="X28" s="103"/>
    </row>
    <row r="29" spans="1:24">
      <c r="A29" s="65" t="s">
        <v>532</v>
      </c>
      <c r="B29" s="119"/>
      <c r="C29" s="130">
        <f>C21-C23</f>
        <v>-667340</v>
      </c>
      <c r="D29" s="130">
        <f>D21-D23</f>
        <v>-1632086</v>
      </c>
      <c r="E29" s="130">
        <f t="shared" ref="E29:L29" si="29">E21-E23</f>
        <v>-388073</v>
      </c>
      <c r="F29" s="130">
        <f t="shared" si="29"/>
        <v>-69000</v>
      </c>
      <c r="G29" s="130">
        <f t="shared" si="29"/>
        <v>1994000</v>
      </c>
      <c r="H29" s="131">
        <f t="shared" si="29"/>
        <v>6496706</v>
      </c>
      <c r="I29" s="131">
        <f t="shared" si="29"/>
        <v>13883549.553054743</v>
      </c>
      <c r="J29" s="131">
        <f t="shared" si="29"/>
        <v>8830403.7021148577</v>
      </c>
      <c r="K29" s="131">
        <f t="shared" si="29"/>
        <v>96394360.853666633</v>
      </c>
      <c r="L29" s="131">
        <f t="shared" si="29"/>
        <v>96394360.853666633</v>
      </c>
      <c r="M29" s="163"/>
      <c r="N29" s="119" t="s">
        <v>1635</v>
      </c>
      <c r="O29" s="154">
        <f t="shared" ref="O29:T29" si="30">IFERROR(E29/E7,"")</f>
        <v>-1.8082876686796392E-2</v>
      </c>
      <c r="P29" s="154">
        <f t="shared" si="30"/>
        <v>-2.8073887216209618E-3</v>
      </c>
      <c r="Q29" s="154">
        <f t="shared" si="30"/>
        <v>6.3229325215626589E-2</v>
      </c>
      <c r="R29" s="154">
        <f t="shared" si="30"/>
        <v>0.12070501458484291</v>
      </c>
      <c r="S29" s="154">
        <f t="shared" si="30"/>
        <v>0.1704297654495929</v>
      </c>
      <c r="T29" s="154">
        <f t="shared" si="30"/>
        <v>9.1607056926494138E-2</v>
      </c>
      <c r="U29" s="154"/>
      <c r="V29" s="154"/>
      <c r="W29" s="103"/>
      <c r="X29" s="103"/>
    </row>
    <row r="30" spans="1:24">
      <c r="A30" s="65" t="s">
        <v>1676</v>
      </c>
      <c r="B30" s="119"/>
      <c r="C30" s="136">
        <f>'Earning Forecast'!B49</f>
        <v>190280</v>
      </c>
      <c r="D30" s="136">
        <f>'Earning Forecast'!C49</f>
        <v>451573</v>
      </c>
      <c r="E30" s="136">
        <f>'Earning Forecast'!D49</f>
        <v>638538</v>
      </c>
      <c r="F30" s="136">
        <f>'Earning Forecast'!E49</f>
        <v>641000</v>
      </c>
      <c r="G30" s="136">
        <f>'Earning Forecast'!F49</f>
        <v>718000</v>
      </c>
      <c r="H30" s="136">
        <f>'Earning Forecast'!G49</f>
        <v>371000</v>
      </c>
      <c r="I30" s="136">
        <f>'Earning Forecast'!H49</f>
        <v>191000</v>
      </c>
      <c r="J30" s="136">
        <f>'Earning Forecast'!I49</f>
        <v>171900</v>
      </c>
      <c r="K30" s="137">
        <f>K$7*(U30)</f>
        <v>0</v>
      </c>
      <c r="L30" s="137">
        <f>L$7*(V30)</f>
        <v>0</v>
      </c>
      <c r="M30" s="103"/>
      <c r="N30" s="120" t="str">
        <f>A30</f>
        <v>Financial Cost</v>
      </c>
      <c r="O30" s="162">
        <f>IFERROR(E30/E$7,"")</f>
        <v>2.9753690449563858E-2</v>
      </c>
      <c r="P30" s="162">
        <f>IFERROR(F30/F$7,"")</f>
        <v>2.6080234355928066E-2</v>
      </c>
      <c r="Q30" s="162">
        <f>IFERROR(G30/G$7,"")</f>
        <v>2.2767630644342972E-2</v>
      </c>
      <c r="R30" s="139">
        <f>Q30</f>
        <v>2.2767630644342972E-2</v>
      </c>
      <c r="S30" s="139">
        <f>Q30</f>
        <v>2.2767630644342972E-2</v>
      </c>
      <c r="T30" s="139">
        <f>S30</f>
        <v>2.2767630644342972E-2</v>
      </c>
      <c r="U30" s="139"/>
      <c r="V30" s="139"/>
      <c r="W30" s="103"/>
      <c r="X30" s="103" t="s">
        <v>2656</v>
      </c>
    </row>
    <row r="31" spans="1:24" ht="14.5">
      <c r="A31" s="371" t="s">
        <v>1581</v>
      </c>
      <c r="B31" s="156"/>
      <c r="C31" s="158"/>
      <c r="D31" s="158"/>
      <c r="E31" s="158"/>
      <c r="F31" s="158"/>
      <c r="G31" s="158"/>
      <c r="H31" s="159"/>
      <c r="I31" s="159"/>
      <c r="J31" s="159"/>
      <c r="K31" s="159"/>
      <c r="L31" s="159"/>
      <c r="M31" s="103"/>
      <c r="N31" s="103"/>
      <c r="O31" s="103"/>
      <c r="P31" s="103"/>
      <c r="Q31" s="103"/>
      <c r="R31" s="103"/>
      <c r="S31" s="103"/>
      <c r="T31" s="103"/>
      <c r="U31" s="103"/>
      <c r="V31" s="103"/>
      <c r="W31" s="103"/>
      <c r="X31" s="103"/>
    </row>
    <row r="32" spans="1:24" ht="14.5">
      <c r="A32" s="49" t="s">
        <v>1678</v>
      </c>
      <c r="B32" s="103"/>
      <c r="C32" s="136">
        <f>'Earning Forecast'!B55</f>
        <v>-111272</v>
      </c>
      <c r="D32" s="136">
        <f>'Earning Forecast'!C55</f>
        <v>125373</v>
      </c>
      <c r="E32" s="136">
        <f>'Earning Forecast'!D55</f>
        <v>-21866</v>
      </c>
      <c r="F32" s="136">
        <f>'Earning Forecast'!E55</f>
        <v>-45000</v>
      </c>
      <c r="G32" s="136">
        <f>'Earning Forecast'!F55</f>
        <v>122000</v>
      </c>
      <c r="H32" s="136">
        <f>'Earning Forecast'!G55</f>
        <v>-217000</v>
      </c>
      <c r="I32" s="136">
        <f>'Earning Forecast'!H55</f>
        <v>-76991</v>
      </c>
      <c r="J32" s="136">
        <f>'Earning Forecast'!I55</f>
        <v>-125625</v>
      </c>
      <c r="K32" s="159">
        <f t="shared" ref="K32:L32" si="31">U32</f>
        <v>0</v>
      </c>
      <c r="L32" s="159">
        <f t="shared" si="31"/>
        <v>0</v>
      </c>
      <c r="M32" s="103"/>
      <c r="N32" s="120" t="str">
        <f t="shared" ref="N32" si="32">A32</f>
        <v>Other income/(expense), net</v>
      </c>
      <c r="O32" s="164"/>
      <c r="P32" s="164"/>
      <c r="Q32" s="164"/>
      <c r="R32" s="147">
        <f>-500000+720000</f>
        <v>220000</v>
      </c>
      <c r="S32" s="147">
        <f>-500000+720000</f>
        <v>220000</v>
      </c>
      <c r="T32" s="147">
        <f>-500000+720000</f>
        <v>220000</v>
      </c>
      <c r="U32" s="147"/>
      <c r="V32" s="147"/>
      <c r="W32" s="103"/>
      <c r="X32" s="156" t="s">
        <v>2657</v>
      </c>
    </row>
    <row r="33" spans="1:24" ht="14.5">
      <c r="A33" s="371" t="s">
        <v>1581</v>
      </c>
      <c r="B33" s="156"/>
      <c r="C33" s="157"/>
      <c r="D33" s="157"/>
      <c r="E33" s="157"/>
      <c r="F33" s="157"/>
      <c r="G33" s="165"/>
      <c r="H33" s="166"/>
      <c r="I33" s="166"/>
      <c r="J33" s="166"/>
      <c r="K33" s="166"/>
      <c r="L33" s="166"/>
      <c r="M33" s="103"/>
      <c r="N33" s="120"/>
      <c r="O33" s="164"/>
      <c r="P33" s="164"/>
      <c r="Q33" s="164"/>
      <c r="R33" s="164"/>
      <c r="S33" s="164"/>
      <c r="T33" s="164"/>
      <c r="U33" s="164"/>
      <c r="V33" s="164"/>
      <c r="W33" s="103"/>
      <c r="X33" s="103"/>
    </row>
    <row r="34" spans="1:24">
      <c r="A34" s="121" t="s">
        <v>1679</v>
      </c>
      <c r="B34" s="120"/>
      <c r="C34" s="221">
        <f>C29-C30-C32</f>
        <v>-746348</v>
      </c>
      <c r="D34" s="221">
        <f>D29-D30-D32</f>
        <v>-2209032</v>
      </c>
      <c r="E34" s="221">
        <f t="shared" ref="E34:J34" si="33">E29-E30-E32</f>
        <v>-1004745</v>
      </c>
      <c r="F34" s="221">
        <f t="shared" si="33"/>
        <v>-665000</v>
      </c>
      <c r="G34" s="221">
        <f t="shared" si="33"/>
        <v>1154000</v>
      </c>
      <c r="H34" s="221">
        <f t="shared" si="33"/>
        <v>6342706</v>
      </c>
      <c r="I34" s="221">
        <f t="shared" si="33"/>
        <v>13769540.553054743</v>
      </c>
      <c r="J34" s="221">
        <f t="shared" si="33"/>
        <v>8784128.7021148577</v>
      </c>
      <c r="K34" s="166">
        <f t="shared" ref="K34:L34" si="34">K29+K32</f>
        <v>96394360.853666633</v>
      </c>
      <c r="L34" s="166">
        <f t="shared" si="34"/>
        <v>96394360.853666633</v>
      </c>
      <c r="M34" s="103"/>
      <c r="N34" s="120" t="s">
        <v>1636</v>
      </c>
      <c r="O34" s="143" t="s">
        <v>1428</v>
      </c>
      <c r="P34" s="143">
        <f>F34/F$7</f>
        <v>-2.7056717389535356E-2</v>
      </c>
      <c r="Q34" s="143">
        <f>G34/G$7</f>
        <v>3.6593099949264331E-2</v>
      </c>
      <c r="R34" s="143">
        <f t="shared" ref="R34:T34" si="35">H34/H$7</f>
        <v>0.11784378425580143</v>
      </c>
      <c r="S34" s="143">
        <f t="shared" si="35"/>
        <v>0.16903022946962679</v>
      </c>
      <c r="T34" s="143">
        <f t="shared" si="35"/>
        <v>9.1126997723962072E-2</v>
      </c>
      <c r="U34" s="143"/>
      <c r="V34" s="143"/>
      <c r="W34" s="103"/>
      <c r="X34" s="103"/>
    </row>
    <row r="35" spans="1:24" ht="14.5">
      <c r="A35" s="372" t="s">
        <v>1680</v>
      </c>
      <c r="B35" s="155"/>
      <c r="C35" s="136">
        <f>'Earning Forecast'!B57</f>
        <v>26698</v>
      </c>
      <c r="D35" s="136">
        <f>'Earning Forecast'!C57</f>
        <v>31546</v>
      </c>
      <c r="E35" s="136">
        <f>'Earning Forecast'!D57</f>
        <v>57837</v>
      </c>
      <c r="F35" s="136">
        <f>'Earning Forecast'!E57</f>
        <v>110000</v>
      </c>
      <c r="G35" s="136">
        <f>'Earning Forecast'!F57</f>
        <v>292000</v>
      </c>
      <c r="H35" s="136">
        <f>'Earning Forecast'!G57</f>
        <v>699000</v>
      </c>
      <c r="I35" s="136">
        <f>'Earning Forecast'!H57</f>
        <v>1132000</v>
      </c>
      <c r="J35" s="136">
        <f>'Earning Forecast'!I57</f>
        <v>978546.8249941672</v>
      </c>
      <c r="K35" s="137">
        <f t="shared" ref="K35:L35" si="36">K34*U35</f>
        <v>0</v>
      </c>
      <c r="L35" s="137">
        <f t="shared" si="36"/>
        <v>0</v>
      </c>
      <c r="M35" s="103"/>
      <c r="N35" s="120" t="s">
        <v>1637</v>
      </c>
      <c r="O35" s="143">
        <f>IFERROR(E35/E34,"")</f>
        <v>-5.7563859486735439E-2</v>
      </c>
      <c r="P35" s="143">
        <f t="shared" ref="P35:Q35" si="37">IFERROR(F35/F34,"")</f>
        <v>-0.16541353383458646</v>
      </c>
      <c r="Q35" s="143">
        <f t="shared" si="37"/>
        <v>0.2530329289428076</v>
      </c>
      <c r="R35" s="139">
        <v>0.04</v>
      </c>
      <c r="S35" s="139">
        <f t="shared" ref="S35:T35" si="38">R35</f>
        <v>0.04</v>
      </c>
      <c r="T35" s="139">
        <f t="shared" si="38"/>
        <v>0.04</v>
      </c>
      <c r="U35" s="139"/>
      <c r="V35" s="139"/>
      <c r="W35" s="103"/>
      <c r="X35" s="156" t="s">
        <v>2658</v>
      </c>
    </row>
    <row r="36" spans="1:24" ht="14.5">
      <c r="A36" s="371" t="s">
        <v>1581</v>
      </c>
      <c r="B36" s="156"/>
      <c r="C36" s="157"/>
      <c r="D36" s="157"/>
      <c r="E36" s="157"/>
      <c r="F36" s="157"/>
      <c r="G36" s="167"/>
      <c r="H36" s="137"/>
      <c r="I36" s="137"/>
      <c r="J36" s="137"/>
      <c r="K36" s="137"/>
      <c r="L36" s="137"/>
      <c r="M36" s="103"/>
      <c r="N36" s="103"/>
      <c r="O36" s="103"/>
      <c r="P36" s="103"/>
      <c r="Q36" s="103"/>
      <c r="R36" s="103"/>
      <c r="S36" s="103"/>
      <c r="T36" s="103"/>
      <c r="U36" s="103"/>
      <c r="V36" s="103"/>
      <c r="W36" s="103"/>
      <c r="X36" s="103"/>
    </row>
    <row r="37" spans="1:24">
      <c r="A37" s="121" t="s">
        <v>1681</v>
      </c>
      <c r="B37" s="120"/>
      <c r="C37" s="136">
        <f>-'Earning Forecast'!B60</f>
        <v>98132</v>
      </c>
      <c r="D37" s="136">
        <f>-'Earning Forecast'!C60</f>
        <v>279178</v>
      </c>
      <c r="E37" s="136">
        <f>-'Earning Forecast'!D60</f>
        <v>86491</v>
      </c>
      <c r="F37" s="136">
        <f>-'Earning Forecast'!E60</f>
        <v>-87000</v>
      </c>
      <c r="G37" s="136">
        <f>-'Earning Forecast'!F60</f>
        <v>-141000</v>
      </c>
      <c r="H37" s="136">
        <f>-'Earning Forecast'!G60</f>
        <v>-125000</v>
      </c>
      <c r="I37" s="136">
        <f>-'Earning Forecast'!H60</f>
        <v>-31000</v>
      </c>
      <c r="J37" s="136">
        <f>-'Earning Forecast'!I60</f>
        <v>-32944.471504307461</v>
      </c>
      <c r="K37" s="137">
        <f t="shared" ref="K37:L37" si="39">U37</f>
        <v>0</v>
      </c>
      <c r="L37" s="137">
        <f t="shared" si="39"/>
        <v>0</v>
      </c>
      <c r="M37" s="103"/>
      <c r="N37" s="120" t="str">
        <f>A37</f>
        <v>Minority interest+Prefered share dividend</v>
      </c>
      <c r="O37" s="164"/>
      <c r="P37" s="164"/>
      <c r="Q37" s="164"/>
      <c r="R37" s="147">
        <v>-200000</v>
      </c>
      <c r="S37" s="147">
        <v>-320000</v>
      </c>
      <c r="T37" s="147">
        <v>-330000</v>
      </c>
      <c r="U37" s="147">
        <v>0</v>
      </c>
      <c r="V37" s="147">
        <v>0</v>
      </c>
      <c r="W37" s="103"/>
      <c r="X37" s="103" t="s">
        <v>2659</v>
      </c>
    </row>
    <row r="38" spans="1:24" ht="14.5">
      <c r="A38" s="371" t="s">
        <v>1581</v>
      </c>
      <c r="B38" s="156"/>
      <c r="C38" s="157"/>
      <c r="D38" s="157"/>
      <c r="E38" s="157"/>
      <c r="F38" s="157"/>
      <c r="G38" s="157"/>
      <c r="H38" s="137"/>
      <c r="I38" s="137"/>
      <c r="J38" s="137"/>
      <c r="K38" s="137"/>
      <c r="L38" s="137"/>
      <c r="M38" s="103"/>
      <c r="N38" s="103"/>
      <c r="O38" s="103"/>
      <c r="P38" s="103"/>
      <c r="Q38" s="103"/>
      <c r="R38" s="103"/>
      <c r="S38" s="103"/>
      <c r="T38" s="103"/>
      <c r="U38" s="103"/>
      <c r="V38" s="103"/>
      <c r="W38" s="103"/>
      <c r="X38" s="103"/>
    </row>
    <row r="39" spans="1:24">
      <c r="A39" s="373" t="s">
        <v>1588</v>
      </c>
      <c r="B39" s="153"/>
      <c r="C39" s="168">
        <f>C34-C35+C37</f>
        <v>-674914</v>
      </c>
      <c r="D39" s="168">
        <f t="shared" ref="D39:L39" si="40">D34-D35+D37</f>
        <v>-1961400</v>
      </c>
      <c r="E39" s="168">
        <f t="shared" si="40"/>
        <v>-976091</v>
      </c>
      <c r="F39" s="168">
        <f t="shared" si="40"/>
        <v>-862000</v>
      </c>
      <c r="G39" s="168">
        <f>G34-G35+G37</f>
        <v>721000</v>
      </c>
      <c r="H39" s="169">
        <f t="shared" si="40"/>
        <v>5518706</v>
      </c>
      <c r="I39" s="169">
        <f>I34-I35+I37</f>
        <v>12606540.553054743</v>
      </c>
      <c r="J39" s="169">
        <f t="shared" si="40"/>
        <v>7772637.4056163831</v>
      </c>
      <c r="K39" s="169">
        <f t="shared" si="40"/>
        <v>96394360.853666633</v>
      </c>
      <c r="L39" s="169">
        <f t="shared" si="40"/>
        <v>96394360.853666633</v>
      </c>
      <c r="M39" s="119"/>
      <c r="N39" s="120" t="s">
        <v>1638</v>
      </c>
      <c r="O39" s="143">
        <f>E39/E$7</f>
        <v>-4.5482507641840003E-2</v>
      </c>
      <c r="P39" s="143">
        <f>F39/F$7</f>
        <v>-3.5072015623728539E-2</v>
      </c>
      <c r="Q39" s="143">
        <f>G39/G$7</f>
        <v>2.2862760020294266E-2</v>
      </c>
      <c r="R39" s="143">
        <f t="shared" ref="R39:T39" si="41">H39/H$7</f>
        <v>0.10253434405365736</v>
      </c>
      <c r="S39" s="143">
        <f t="shared" si="41"/>
        <v>0.15475363424731456</v>
      </c>
      <c r="T39" s="143">
        <f t="shared" si="41"/>
        <v>8.0633735591813194E-2</v>
      </c>
      <c r="U39" s="143"/>
      <c r="V39" s="143"/>
      <c r="W39" s="119"/>
      <c r="X39" s="119"/>
    </row>
    <row r="40" spans="1:24" ht="14.5">
      <c r="A40" s="371" t="s">
        <v>1581</v>
      </c>
      <c r="B40" s="156"/>
      <c r="C40" s="157"/>
      <c r="D40" s="157"/>
      <c r="E40" s="157"/>
      <c r="F40" s="170"/>
      <c r="G40" s="170"/>
      <c r="H40" s="159"/>
      <c r="I40" s="159"/>
      <c r="J40" s="159"/>
      <c r="K40" s="159"/>
      <c r="L40" s="159"/>
      <c r="M40" s="103"/>
      <c r="N40" s="103"/>
      <c r="O40" s="103"/>
      <c r="P40" s="103"/>
      <c r="Q40" s="103"/>
      <c r="R40" s="103"/>
      <c r="S40" s="103"/>
      <c r="T40" s="103"/>
      <c r="U40" s="103"/>
      <c r="V40" s="103"/>
      <c r="W40" s="103"/>
      <c r="X40" s="103"/>
    </row>
    <row r="41" spans="1:24" ht="20">
      <c r="A41" s="368" t="s">
        <v>1590</v>
      </c>
      <c r="B41" s="123"/>
      <c r="C41" s="124"/>
      <c r="D41" s="124"/>
      <c r="E41" s="124"/>
      <c r="F41" s="124"/>
      <c r="G41" s="124"/>
      <c r="H41" s="128"/>
      <c r="I41" s="128"/>
      <c r="J41" s="128"/>
      <c r="K41" s="128"/>
      <c r="L41" s="128"/>
      <c r="M41" s="129"/>
      <c r="N41" s="118" t="s">
        <v>1613</v>
      </c>
      <c r="O41" s="129"/>
      <c r="P41" s="129"/>
      <c r="Q41" s="129"/>
      <c r="R41" s="129"/>
      <c r="S41" s="129"/>
      <c r="T41" s="129"/>
      <c r="U41" s="129"/>
      <c r="V41" s="129"/>
      <c r="W41" s="129"/>
      <c r="X41" s="129"/>
    </row>
    <row r="42" spans="1:24">
      <c r="A42" s="121" t="s">
        <v>877</v>
      </c>
      <c r="B42" s="218">
        <f>1196908</f>
        <v>1196908</v>
      </c>
      <c r="C42" s="136">
        <f>'Fin Sta as rep'!C44</f>
        <v>3393216</v>
      </c>
      <c r="D42" s="136">
        <f>'Fin Sta as rep'!D44</f>
        <v>3367914</v>
      </c>
      <c r="E42" s="136">
        <f>'Fin Sta as rep'!E44</f>
        <v>3686000</v>
      </c>
      <c r="F42" s="136">
        <f>'Fin Sta as rep'!F44</f>
        <v>6268000</v>
      </c>
      <c r="G42" s="136">
        <f>'Fin Sta as rep'!G44</f>
        <v>19384000</v>
      </c>
      <c r="H42" s="159">
        <f>H106</f>
        <v>18590655.643456586</v>
      </c>
      <c r="I42" s="159">
        <f>I106</f>
        <v>16959922.297589108</v>
      </c>
      <c r="J42" s="159">
        <f>J106</f>
        <v>10969823.171215933</v>
      </c>
      <c r="K42" s="159">
        <f>K106</f>
        <v>99381626.681997582</v>
      </c>
      <c r="L42" s="159" t="e">
        <f>L106</f>
        <v>#DIV/0!</v>
      </c>
      <c r="M42" s="103"/>
      <c r="N42" s="171" t="s">
        <v>1591</v>
      </c>
      <c r="O42" s="103"/>
      <c r="P42" s="103"/>
      <c r="Q42" s="103"/>
      <c r="R42" s="103"/>
      <c r="S42" s="103"/>
      <c r="T42" s="103"/>
      <c r="U42" s="103"/>
      <c r="V42" s="103"/>
      <c r="W42" s="103"/>
      <c r="X42" s="103"/>
    </row>
    <row r="43" spans="1:24">
      <c r="A43" s="121" t="s">
        <v>788</v>
      </c>
      <c r="B43" s="120"/>
      <c r="C43" s="136">
        <f>'Fin Sta as rep'!C45</f>
        <v>499142</v>
      </c>
      <c r="D43" s="136">
        <f>'Fin Sta as rep'!D45</f>
        <v>515381</v>
      </c>
      <c r="E43" s="136">
        <f>'Fin Sta as rep'!E45</f>
        <v>949000</v>
      </c>
      <c r="F43" s="136">
        <f>'Fin Sta as rep'!F45</f>
        <v>1324000</v>
      </c>
      <c r="G43" s="136">
        <f>'Fin Sta as rep'!G45</f>
        <v>1886000</v>
      </c>
      <c r="H43" s="159">
        <f>G43*(H7/G7)*0.7</f>
        <v>2253206.6400304409</v>
      </c>
      <c r="I43" s="159">
        <f t="shared" ref="I43" si="42">H43*(I7/H7)*0.7</f>
        <v>2387185.8409436834</v>
      </c>
      <c r="J43" s="159">
        <f>I43*(J7/I7)*0.7</f>
        <v>1977337.6220039069</v>
      </c>
      <c r="K43" s="159">
        <f>J43*(K7/J7)</f>
        <v>1977337.6220039069</v>
      </c>
      <c r="L43" s="159">
        <f>K43*(L7/K7)</f>
        <v>1977337.6220039069</v>
      </c>
      <c r="M43" s="103"/>
      <c r="N43" s="171" t="s">
        <v>2125</v>
      </c>
      <c r="O43" s="172" t="s">
        <v>2126</v>
      </c>
      <c r="P43" s="103"/>
      <c r="Q43" s="103"/>
      <c r="R43" s="103"/>
      <c r="S43" s="103"/>
      <c r="T43" s="103"/>
      <c r="U43" s="103"/>
      <c r="V43" s="103"/>
      <c r="W43" s="103"/>
      <c r="X43" s="103"/>
    </row>
    <row r="44" spans="1:24">
      <c r="A44" s="121" t="s">
        <v>696</v>
      </c>
      <c r="B44" s="120"/>
      <c r="C44" s="136">
        <f>'Fin Sta as rep'!C46</f>
        <v>2067454</v>
      </c>
      <c r="D44" s="136">
        <f>'Fin Sta as rep'!D46</f>
        <v>2263537</v>
      </c>
      <c r="E44" s="136">
        <f>'Fin Sta as rep'!E46</f>
        <v>3113000</v>
      </c>
      <c r="F44" s="136">
        <f>'Fin Sta as rep'!F46</f>
        <v>3552000</v>
      </c>
      <c r="G44" s="136">
        <f>'Fin Sta as rep'!G46</f>
        <v>4101000</v>
      </c>
      <c r="H44" s="159">
        <f>G44*(H14/G14)</f>
        <v>6621979.5107203089</v>
      </c>
      <c r="I44" s="159">
        <f>H44*(I14/H14)</f>
        <v>9971336.3961664923</v>
      </c>
      <c r="J44" s="159">
        <f>I44*(J14/I14)</f>
        <v>13160340.934858587</v>
      </c>
      <c r="K44" s="159">
        <f>J44*(K14/J14)</f>
        <v>0</v>
      </c>
      <c r="L44" s="159" t="e">
        <f>K44*(L14/K14)</f>
        <v>#DIV/0!</v>
      </c>
      <c r="M44" s="103"/>
      <c r="N44" s="171" t="s">
        <v>2127</v>
      </c>
      <c r="O44" s="103"/>
      <c r="P44" s="103"/>
      <c r="Q44" s="103"/>
      <c r="R44" s="103"/>
      <c r="S44" s="103"/>
      <c r="T44" s="103"/>
      <c r="U44" s="103"/>
      <c r="V44" s="103"/>
      <c r="W44" s="103"/>
      <c r="X44" s="103"/>
    </row>
    <row r="45" spans="1:24">
      <c r="A45" s="121" t="s">
        <v>1069</v>
      </c>
      <c r="B45" s="120"/>
      <c r="C45" s="136">
        <f>SUM('Fin Sta as rep'!C47:C48)</f>
        <v>299984</v>
      </c>
      <c r="D45" s="136">
        <f>SUM('Fin Sta as rep'!D47:D48)</f>
        <v>423688</v>
      </c>
      <c r="E45" s="136">
        <f>SUM('Fin Sta as rep'!E47:E48)</f>
        <v>559000</v>
      </c>
      <c r="F45" s="136">
        <f>SUM('Fin Sta as rep'!F47:F48)</f>
        <v>959000</v>
      </c>
      <c r="G45" s="136">
        <f>SUM('Fin Sta as rep'!G47:G48)</f>
        <v>1346000</v>
      </c>
      <c r="H45" s="173">
        <f>G45*(H23/G23)</f>
        <v>2064292.4935289042</v>
      </c>
      <c r="I45" s="173">
        <f>H45*(I23/H23)</f>
        <v>2038452.5452976704</v>
      </c>
      <c r="J45" s="173">
        <f>I45*(J23/I23)</f>
        <v>2217936.9928571424</v>
      </c>
      <c r="K45" s="173">
        <f>J45*(K23/J23)</f>
        <v>0</v>
      </c>
      <c r="L45" s="173" t="e">
        <f>K45*(L23/K23)</f>
        <v>#DIV/0!</v>
      </c>
      <c r="M45" s="103"/>
      <c r="N45" s="171" t="s">
        <v>2128</v>
      </c>
      <c r="O45" s="103"/>
      <c r="P45" s="103"/>
      <c r="Q45" s="103"/>
      <c r="R45" s="103"/>
      <c r="S45" s="103"/>
      <c r="T45" s="103"/>
      <c r="U45" s="103"/>
      <c r="V45" s="103"/>
      <c r="W45" s="103"/>
      <c r="X45" s="103"/>
    </row>
    <row r="46" spans="1:24">
      <c r="A46" s="373" t="s">
        <v>1071</v>
      </c>
      <c r="B46" s="153"/>
      <c r="C46" s="175">
        <f>SUM(C42:C45)</f>
        <v>6259796</v>
      </c>
      <c r="D46" s="175">
        <f t="shared" ref="D46:L46" si="43">SUM(D42:D45)</f>
        <v>6570520</v>
      </c>
      <c r="E46" s="175">
        <f t="shared" si="43"/>
        <v>8307000</v>
      </c>
      <c r="F46" s="175">
        <f t="shared" si="43"/>
        <v>12103000</v>
      </c>
      <c r="G46" s="175">
        <f t="shared" si="43"/>
        <v>26717000</v>
      </c>
      <c r="H46" s="176">
        <f>SUM(H42:H45)</f>
        <v>29530134.287736237</v>
      </c>
      <c r="I46" s="176">
        <f t="shared" si="43"/>
        <v>31356897.079996955</v>
      </c>
      <c r="J46" s="176">
        <f t="shared" si="43"/>
        <v>28325438.720935568</v>
      </c>
      <c r="K46" s="176">
        <f t="shared" si="43"/>
        <v>101358964.3040015</v>
      </c>
      <c r="L46" s="176" t="e">
        <f t="shared" si="43"/>
        <v>#DIV/0!</v>
      </c>
      <c r="M46" s="103"/>
      <c r="N46" s="103"/>
      <c r="O46" s="103"/>
      <c r="P46" s="103"/>
      <c r="Q46" s="103"/>
      <c r="R46" s="103"/>
      <c r="S46" s="103"/>
      <c r="T46" s="103"/>
      <c r="U46" s="103"/>
      <c r="V46" s="103"/>
      <c r="W46" s="103"/>
      <c r="X46" s="103"/>
    </row>
    <row r="47" spans="1:24" ht="14.5">
      <c r="A47" s="371" t="s">
        <v>1581</v>
      </c>
      <c r="B47" s="156"/>
      <c r="C47" s="157"/>
      <c r="D47" s="157"/>
      <c r="E47" s="157"/>
      <c r="F47" s="158"/>
      <c r="G47" s="158"/>
      <c r="H47" s="159"/>
      <c r="I47" s="159"/>
      <c r="J47" s="159"/>
      <c r="K47" s="159"/>
      <c r="L47" s="159"/>
      <c r="M47" s="103"/>
      <c r="N47" s="103"/>
      <c r="O47" s="103"/>
      <c r="P47" s="103"/>
      <c r="Q47" s="103"/>
      <c r="R47" s="103"/>
      <c r="S47" s="103"/>
      <c r="T47" s="103"/>
      <c r="U47" s="103"/>
      <c r="V47" s="103"/>
      <c r="W47" s="103"/>
      <c r="X47" s="103"/>
    </row>
    <row r="48" spans="1:24">
      <c r="A48" s="121" t="s">
        <v>1076</v>
      </c>
      <c r="B48" s="120"/>
      <c r="C48" s="136">
        <f>SUM('Fin Sta as rep'!C52,'Fin Sta as rep'!C56,'Fin Sta as rep'!C54)</f>
        <v>15036917</v>
      </c>
      <c r="D48" s="136">
        <f>SUM('Fin Sta as rep'!D52,'Fin Sta as rep'!D56,'Fin Sta as rep'!D54)</f>
        <v>20491616</v>
      </c>
      <c r="E48" s="136">
        <f>SUM('Fin Sta as rep'!E52,'Fin Sta as rep'!E56,'Fin Sta as rep'!E54)</f>
        <v>19691000</v>
      </c>
      <c r="F48" s="136">
        <f>SUM('Fin Sta as rep'!F52,'Fin Sta as rep'!F56,'Fin Sta as rep'!F54)</f>
        <v>18981000</v>
      </c>
      <c r="G48" s="136">
        <f>SUM('Fin Sta as rep'!G52,'Fin Sta as rep'!G56,'Fin Sta as rep'!G54)</f>
        <v>21817000</v>
      </c>
      <c r="H48" s="159">
        <f>G48-H76-H91</f>
        <v>26047266.60958904</v>
      </c>
      <c r="I48" s="159">
        <f>H48-I76-I91</f>
        <v>33031517.191780824</v>
      </c>
      <c r="J48" s="159">
        <f>I48-J76-J91</f>
        <v>41915478.979840584</v>
      </c>
      <c r="K48" s="159">
        <f>J48-K76-K91</f>
        <v>41915478.979840584</v>
      </c>
      <c r="L48" s="159">
        <f>K48-L76-L91</f>
        <v>41915478.979840584</v>
      </c>
      <c r="M48" s="103"/>
      <c r="N48" s="171" t="s">
        <v>2129</v>
      </c>
      <c r="O48" s="103"/>
      <c r="P48" s="103"/>
      <c r="Q48" s="103"/>
      <c r="R48" s="103"/>
      <c r="S48" s="103"/>
      <c r="T48" s="103"/>
      <c r="U48" s="103"/>
      <c r="V48" s="103"/>
      <c r="W48" s="103"/>
      <c r="X48" s="103"/>
    </row>
    <row r="49" spans="1:24" ht="14.5">
      <c r="A49" s="374" t="s">
        <v>1596</v>
      </c>
      <c r="B49" s="120"/>
      <c r="C49" s="136">
        <v>-1417000</v>
      </c>
      <c r="D49" s="136">
        <v>-2677000</v>
      </c>
      <c r="E49" s="136">
        <v>-3653000</v>
      </c>
      <c r="F49" s="136">
        <v>-4863000</v>
      </c>
      <c r="G49" s="136">
        <v>-6518000</v>
      </c>
      <c r="H49" s="159">
        <f>G49-H79</f>
        <v>-10541183.39041096</v>
      </c>
      <c r="I49" s="159">
        <f t="shared" ref="I49" si="44">H49-I79</f>
        <v>-15956232.808219181</v>
      </c>
      <c r="J49" s="159">
        <f>I49-J79</f>
        <v>-21711425.148209419</v>
      </c>
      <c r="K49" s="159"/>
      <c r="L49" s="159"/>
      <c r="M49" s="103"/>
      <c r="N49" s="171"/>
      <c r="O49" s="103"/>
      <c r="P49" s="103"/>
      <c r="Q49" s="103"/>
      <c r="R49" s="103"/>
      <c r="S49" s="103"/>
      <c r="T49" s="103"/>
      <c r="U49" s="103"/>
      <c r="V49" s="103"/>
      <c r="W49" s="103"/>
      <c r="X49" s="103"/>
    </row>
    <row r="50" spans="1:24">
      <c r="A50" s="216" t="s">
        <v>2660</v>
      </c>
      <c r="B50" s="216"/>
      <c r="C50" s="144">
        <v>0</v>
      </c>
      <c r="D50" s="157">
        <v>0</v>
      </c>
      <c r="E50" s="158">
        <v>0</v>
      </c>
      <c r="F50" s="136">
        <f>'Fin Sta as rep'!F51</f>
        <v>1218000</v>
      </c>
      <c r="G50" s="136">
        <f>'Fin Sta as rep'!G51</f>
        <v>1558000</v>
      </c>
      <c r="H50" s="159">
        <f>G50-H78-H92</f>
        <v>1378000</v>
      </c>
      <c r="I50" s="159">
        <f>H50-I78-I92</f>
        <v>1198000</v>
      </c>
      <c r="J50" s="159">
        <f>I50-J78-J92</f>
        <v>1018000</v>
      </c>
      <c r="K50" s="159">
        <f>J50-K78-K92</f>
        <v>1018000</v>
      </c>
      <c r="L50" s="159">
        <f>K50-L78-L92</f>
        <v>1018000</v>
      </c>
      <c r="M50" s="103"/>
      <c r="N50" s="171" t="s">
        <v>2131</v>
      </c>
      <c r="O50" s="103"/>
      <c r="P50" s="103"/>
      <c r="Q50" s="103"/>
      <c r="R50" s="103"/>
      <c r="S50" s="103"/>
      <c r="T50" s="103"/>
      <c r="U50" s="103"/>
      <c r="V50" s="103"/>
      <c r="W50" s="103"/>
      <c r="X50" s="103"/>
    </row>
    <row r="51" spans="1:24">
      <c r="A51" s="121" t="s">
        <v>713</v>
      </c>
      <c r="B51" s="120"/>
      <c r="C51" s="144">
        <v>0</v>
      </c>
      <c r="D51" s="136">
        <f>'Fin Sta as rep'!D59</f>
        <v>60237</v>
      </c>
      <c r="E51" s="136">
        <f>'Fin Sta as rep'!E59</f>
        <v>68000</v>
      </c>
      <c r="F51" s="136">
        <f>'Fin Sta as rep'!F59</f>
        <v>198000</v>
      </c>
      <c r="G51" s="136">
        <f>'Fin Sta as rep'!G59</f>
        <v>207000</v>
      </c>
      <c r="H51" s="159">
        <f>G51</f>
        <v>207000</v>
      </c>
      <c r="I51" s="159">
        <f>H51</f>
        <v>207000</v>
      </c>
      <c r="J51" s="159">
        <f>I51</f>
        <v>207000</v>
      </c>
      <c r="K51" s="159">
        <f>J51</f>
        <v>207000</v>
      </c>
      <c r="L51" s="159">
        <f>K51</f>
        <v>207000</v>
      </c>
      <c r="M51" s="103"/>
      <c r="N51" s="171" t="s">
        <v>2132</v>
      </c>
      <c r="O51" s="103"/>
      <c r="P51" s="103"/>
      <c r="Q51" s="103"/>
      <c r="R51" s="103"/>
      <c r="S51" s="103"/>
      <c r="T51" s="103"/>
      <c r="U51" s="103"/>
      <c r="V51" s="103"/>
      <c r="W51" s="103"/>
      <c r="X51" s="103"/>
    </row>
    <row r="52" spans="1:24">
      <c r="A52" s="121" t="s">
        <v>902</v>
      </c>
      <c r="B52" s="120"/>
      <c r="C52" s="136">
        <f>'Fin Sta as rep'!C61</f>
        <v>376145</v>
      </c>
      <c r="D52" s="136">
        <f>'Fin Sta as rep'!D61</f>
        <v>361502</v>
      </c>
      <c r="E52" s="136">
        <f>'Fin Sta as rep'!E61</f>
        <v>282000</v>
      </c>
      <c r="F52" s="136">
        <f>'Fin Sta as rep'!F61</f>
        <v>339000</v>
      </c>
      <c r="G52" s="136">
        <f>'Fin Sta as rep'!G61</f>
        <v>313000</v>
      </c>
      <c r="H52" s="159">
        <f>G52-H77</f>
        <v>313000</v>
      </c>
      <c r="I52" s="159">
        <f>H52-I77</f>
        <v>313000</v>
      </c>
      <c r="J52" s="159">
        <f>I52-J77</f>
        <v>313000</v>
      </c>
      <c r="K52" s="159">
        <f>J52-K77</f>
        <v>313000</v>
      </c>
      <c r="L52" s="159">
        <f>K52-L77</f>
        <v>313000</v>
      </c>
      <c r="M52" s="103"/>
      <c r="N52" s="171" t="s">
        <v>2133</v>
      </c>
      <c r="O52" s="103"/>
      <c r="P52" s="103"/>
      <c r="Q52" s="103"/>
      <c r="R52" s="103"/>
      <c r="S52" s="103"/>
      <c r="T52" s="103"/>
      <c r="U52" s="103"/>
      <c r="V52" s="103"/>
      <c r="W52" s="103"/>
      <c r="X52" s="103"/>
    </row>
    <row r="53" spans="1:24">
      <c r="A53" s="121" t="s">
        <v>1081</v>
      </c>
      <c r="B53" s="120"/>
      <c r="C53" s="136">
        <f>SUM('Fin Sta as rep'!C64,'Fin Sta as rep'!C62)</f>
        <v>484916</v>
      </c>
      <c r="D53" s="136">
        <f>SUM('Fin Sta as rep'!D64,'Fin Sta as rep'!D62)</f>
        <v>714845</v>
      </c>
      <c r="E53" s="136">
        <f>SUM('Fin Sta as rep'!E64,'Fin Sta as rep'!E62)</f>
        <v>970000</v>
      </c>
      <c r="F53" s="136">
        <f>SUM('Fin Sta as rep'!F64,'Fin Sta as rep'!F62)</f>
        <v>1077000</v>
      </c>
      <c r="G53" s="136">
        <f>SUM('Fin Sta as rep'!G64,'Fin Sta as rep'!G62)</f>
        <v>1536000</v>
      </c>
      <c r="H53" s="159">
        <f>G53*(H7/G7)-H94</f>
        <v>2621515.9817351596</v>
      </c>
      <c r="I53" s="159">
        <f t="shared" ref="I53:J53" si="45">H53*(I7/H7)-I94</f>
        <v>3967707.7625570786</v>
      </c>
      <c r="J53" s="159">
        <f t="shared" si="45"/>
        <v>4695006.92133536</v>
      </c>
      <c r="K53" s="159">
        <f>J53*(K7/J7)</f>
        <v>4695006.92133536</v>
      </c>
      <c r="L53" s="159">
        <f>K53*(L7/K7)</f>
        <v>4695006.92133536</v>
      </c>
      <c r="M53" s="103"/>
      <c r="N53" s="171" t="s">
        <v>2125</v>
      </c>
      <c r="O53" s="103"/>
      <c r="P53" s="103"/>
      <c r="Q53" s="103"/>
      <c r="R53" s="103"/>
      <c r="S53" s="103"/>
      <c r="T53" s="103"/>
      <c r="U53" s="103"/>
      <c r="V53" s="103"/>
      <c r="W53" s="103"/>
      <c r="X53" s="103"/>
    </row>
    <row r="54" spans="1:24">
      <c r="A54" s="372" t="s">
        <v>711</v>
      </c>
      <c r="B54" s="155"/>
      <c r="C54" s="136">
        <f>'Fin Sta as rep'!C58</f>
        <v>506302</v>
      </c>
      <c r="D54" s="136">
        <f>'Fin Sta as rep'!D58</f>
        <v>456652</v>
      </c>
      <c r="E54" s="136">
        <f>'Fin Sta as rep'!E58</f>
        <v>422000</v>
      </c>
      <c r="F54" s="136">
        <f>'Fin Sta as rep'!F58</f>
        <v>393000</v>
      </c>
      <c r="G54" s="136">
        <v>0</v>
      </c>
      <c r="H54" s="159">
        <f>G54-H93</f>
        <v>100000</v>
      </c>
      <c r="I54" s="159">
        <f>H54-I93</f>
        <v>200000</v>
      </c>
      <c r="J54" s="159">
        <f>I54-J93</f>
        <v>300000</v>
      </c>
      <c r="K54" s="159">
        <f>J54-K93</f>
        <v>300000</v>
      </c>
      <c r="L54" s="159">
        <f>K54-L93</f>
        <v>300000</v>
      </c>
      <c r="M54" s="103"/>
      <c r="N54" s="171" t="s">
        <v>2132</v>
      </c>
      <c r="O54" s="103"/>
      <c r="P54" s="103"/>
      <c r="Q54" s="103"/>
      <c r="R54" s="103"/>
      <c r="S54" s="103"/>
      <c r="T54" s="103"/>
      <c r="U54" s="103"/>
      <c r="V54" s="103"/>
      <c r="W54" s="103"/>
      <c r="X54" s="103"/>
    </row>
    <row r="55" spans="1:24">
      <c r="A55" s="375" t="s">
        <v>1085</v>
      </c>
      <c r="B55" s="177"/>
      <c r="C55" s="175">
        <f t="shared" ref="C55:L55" si="46">SUM(C54,C53,C52,C51,C50,C48,C46)</f>
        <v>22664076</v>
      </c>
      <c r="D55" s="175">
        <f t="shared" si="46"/>
        <v>28655372</v>
      </c>
      <c r="E55" s="175">
        <f t="shared" si="46"/>
        <v>29740000</v>
      </c>
      <c r="F55" s="175">
        <f t="shared" si="46"/>
        <v>34309000</v>
      </c>
      <c r="G55" s="175">
        <f t="shared" si="46"/>
        <v>52148000</v>
      </c>
      <c r="H55" s="176">
        <f>SUM(H54,H53,H52,H51,H50,H48,H46)</f>
        <v>60196916.879060432</v>
      </c>
      <c r="I55" s="176">
        <f t="shared" si="46"/>
        <v>70274122.034334853</v>
      </c>
      <c r="J55" s="176">
        <f t="shared" si="46"/>
        <v>76773924.622111514</v>
      </c>
      <c r="K55" s="176">
        <f t="shared" si="46"/>
        <v>149807450.20517743</v>
      </c>
      <c r="L55" s="176" t="e">
        <f t="shared" si="46"/>
        <v>#DIV/0!</v>
      </c>
      <c r="M55" s="103"/>
      <c r="N55" s="178"/>
      <c r="O55" s="103"/>
      <c r="P55" s="103"/>
      <c r="Q55" s="103"/>
      <c r="R55" s="103"/>
      <c r="S55" s="103"/>
      <c r="T55" s="103"/>
      <c r="U55" s="103"/>
      <c r="V55" s="103"/>
      <c r="W55" s="103"/>
      <c r="X55" s="103"/>
    </row>
    <row r="56" spans="1:24" ht="14.5">
      <c r="A56" s="371" t="s">
        <v>1581</v>
      </c>
      <c r="B56" s="156"/>
      <c r="C56" s="157"/>
      <c r="D56" s="157"/>
      <c r="E56" s="157"/>
      <c r="F56" s="170"/>
      <c r="G56" s="170"/>
      <c r="H56" s="159"/>
      <c r="I56" s="159"/>
      <c r="J56" s="159"/>
      <c r="K56" s="159"/>
      <c r="L56" s="159"/>
      <c r="M56" s="103"/>
      <c r="N56" s="103"/>
      <c r="O56" s="103"/>
      <c r="P56" s="103"/>
      <c r="Q56" s="103"/>
      <c r="R56" s="103"/>
      <c r="S56" s="103"/>
      <c r="T56" s="103"/>
      <c r="U56" s="103"/>
      <c r="V56" s="103"/>
      <c r="W56" s="103"/>
      <c r="X56" s="103"/>
    </row>
    <row r="57" spans="1:24">
      <c r="A57" s="121" t="s">
        <v>791</v>
      </c>
      <c r="B57" s="120"/>
      <c r="C57" s="159">
        <f>'Fin Sta as rep'!C69</f>
        <v>1860341</v>
      </c>
      <c r="D57" s="159">
        <f>'Fin Sta as rep'!D69</f>
        <v>2390250</v>
      </c>
      <c r="E57" s="159">
        <f>'Fin Sta as rep'!E69</f>
        <v>3405000</v>
      </c>
      <c r="F57" s="159">
        <f>'Fin Sta as rep'!F69</f>
        <v>3771000</v>
      </c>
      <c r="G57" s="159">
        <f>'Fin Sta as rep'!G69</f>
        <v>6051000</v>
      </c>
      <c r="H57" s="173">
        <f>G57*(H23/G23)</f>
        <v>9280114.3226919752</v>
      </c>
      <c r="I57" s="173">
        <f>H57*(I23/H23)</f>
        <v>9163949.7411561683</v>
      </c>
      <c r="J57" s="173">
        <f>I57*(J23/I23)</f>
        <v>9970829.6759127546</v>
      </c>
      <c r="K57" s="173">
        <f>J57*(K23/J23)</f>
        <v>0</v>
      </c>
      <c r="L57" s="173" t="e">
        <f>K57*(L23/K23)</f>
        <v>#DIV/0!</v>
      </c>
      <c r="M57" s="103"/>
      <c r="N57" s="171" t="s">
        <v>2128</v>
      </c>
      <c r="O57" s="103"/>
      <c r="P57" s="103"/>
      <c r="Q57" s="103"/>
      <c r="R57" s="103"/>
      <c r="S57" s="103"/>
      <c r="T57" s="103"/>
      <c r="U57" s="103"/>
      <c r="V57" s="103"/>
      <c r="W57" s="103"/>
      <c r="X57" s="103"/>
    </row>
    <row r="58" spans="1:24">
      <c r="A58" s="121" t="s">
        <v>729</v>
      </c>
      <c r="B58" s="120"/>
      <c r="C58" s="159">
        <f>SUM('Fin Sta as rep'!C72,'Fin Sta as rep'!C73,'Fin Sta as rep'!C74,'Fin Sta as rep'!C75)</f>
        <v>1158931</v>
      </c>
      <c r="D58" s="159">
        <f>SUM('Fin Sta as rep'!D72,'Fin Sta as rep'!D73,'Fin Sta as rep'!D74,'Fin Sta as rep'!D75)</f>
        <v>896619</v>
      </c>
      <c r="E58" s="159">
        <f>SUM('Fin Sta as rep'!E72,'Fin Sta as rep'!E73,'Fin Sta as rep'!E74,'Fin Sta as rep'!E75)</f>
        <v>2568000</v>
      </c>
      <c r="F58" s="159">
        <f>SUM('Fin Sta as rep'!F72,'Fin Sta as rep'!F73,'Fin Sta as rep'!F74,'Fin Sta as rep'!F75)</f>
        <v>1785000</v>
      </c>
      <c r="G58" s="159">
        <f>SUM('Fin Sta as rep'!G72,'Fin Sta as rep'!G73,'Fin Sta as rep'!G74,'Fin Sta as rep'!G75)</f>
        <v>2132000</v>
      </c>
      <c r="H58" s="173">
        <f>G58*(H23/G23)</f>
        <v>3269741.1561691109</v>
      </c>
      <c r="I58" s="173">
        <f t="shared" ref="I58:J58" si="47">H58*(I23/H23)</f>
        <v>3228811.9068162204</v>
      </c>
      <c r="J58" s="173">
        <f t="shared" si="47"/>
        <v>3513106.7375716395</v>
      </c>
      <c r="K58" s="173">
        <f>J58*(K23/J23)</f>
        <v>0</v>
      </c>
      <c r="L58" s="173" t="e">
        <f>K58*(L23/K23)</f>
        <v>#DIV/0!</v>
      </c>
      <c r="M58" s="103"/>
      <c r="N58" s="171" t="s">
        <v>2128</v>
      </c>
      <c r="O58" s="103"/>
      <c r="P58" s="103"/>
      <c r="Q58" s="103"/>
      <c r="R58" s="103"/>
      <c r="S58" s="103"/>
      <c r="T58" s="103"/>
      <c r="U58" s="103"/>
      <c r="V58" s="103"/>
      <c r="W58" s="103"/>
      <c r="X58" s="103"/>
    </row>
    <row r="59" spans="1:24">
      <c r="A59" s="121" t="s">
        <v>1091</v>
      </c>
      <c r="B59" s="120"/>
      <c r="C59" s="159">
        <f>SUM('Fin Sta as rep'!C70,'Fin Sta as rep'!C77,'Fin Sta as rep'!C78,'Fin Sta as rep'!C79)</f>
        <v>2816517</v>
      </c>
      <c r="D59" s="159">
        <f>SUM('Fin Sta as rep'!D70,'Fin Sta as rep'!D77,'Fin Sta as rep'!D78,'Fin Sta as rep'!D79)</f>
        <v>4387871</v>
      </c>
      <c r="E59" s="159">
        <f>SUM('Fin Sta as rep'!E70,'Fin Sta as rep'!E77,'Fin Sta as rep'!E78,'Fin Sta as rep'!E79)</f>
        <v>4020000</v>
      </c>
      <c r="F59" s="159">
        <f>SUM('Fin Sta as rep'!F70,'Fin Sta as rep'!F77,'Fin Sta as rep'!F78)</f>
        <v>5111000</v>
      </c>
      <c r="G59" s="159">
        <f>SUM('Fin Sta as rep'!G70,'Fin Sta as rep'!G77,'Fin Sta as rep'!G78)</f>
        <v>6065000</v>
      </c>
      <c r="H59" s="173">
        <f>G59*(H23/G23)</f>
        <v>9301585.4184641931</v>
      </c>
      <c r="I59" s="173">
        <f>H59*(I23/H23)</f>
        <v>9185152.0707506463</v>
      </c>
      <c r="J59" s="173">
        <f>I59*(J23/I23)</f>
        <v>9993898.8571163211</v>
      </c>
      <c r="K59" s="173">
        <f>J59*(K23/J23)</f>
        <v>0</v>
      </c>
      <c r="L59" s="173" t="e">
        <f>K59*(L23/K23)</f>
        <v>#DIV/0!</v>
      </c>
      <c r="M59" s="103"/>
      <c r="N59" s="171" t="s">
        <v>2128</v>
      </c>
      <c r="O59" s="103"/>
      <c r="P59" s="103"/>
      <c r="Q59" s="103"/>
      <c r="R59" s="103"/>
      <c r="S59" s="103"/>
      <c r="T59" s="103"/>
      <c r="U59" s="103"/>
      <c r="V59" s="103"/>
      <c r="W59" s="103"/>
      <c r="X59" s="103"/>
    </row>
    <row r="60" spans="1:24">
      <c r="A60" s="373" t="s">
        <v>1099</v>
      </c>
      <c r="B60" s="153"/>
      <c r="C60" s="175">
        <f t="shared" ref="C60:L60" si="48">SUM(C57:C59)</f>
        <v>5835789</v>
      </c>
      <c r="D60" s="175">
        <f t="shared" si="48"/>
        <v>7674740</v>
      </c>
      <c r="E60" s="175">
        <f t="shared" si="48"/>
        <v>9993000</v>
      </c>
      <c r="F60" s="175">
        <f t="shared" si="48"/>
        <v>10667000</v>
      </c>
      <c r="G60" s="175">
        <f t="shared" si="48"/>
        <v>14248000</v>
      </c>
      <c r="H60" s="176">
        <f t="shared" si="48"/>
        <v>21851440.897325277</v>
      </c>
      <c r="I60" s="176">
        <f t="shared" si="48"/>
        <v>21577913.718723036</v>
      </c>
      <c r="J60" s="176">
        <f t="shared" si="48"/>
        <v>23477835.270600714</v>
      </c>
      <c r="K60" s="176">
        <f t="shared" si="48"/>
        <v>0</v>
      </c>
      <c r="L60" s="176" t="e">
        <f t="shared" si="48"/>
        <v>#DIV/0!</v>
      </c>
      <c r="M60" s="103"/>
      <c r="N60" s="178"/>
      <c r="O60" s="103"/>
      <c r="P60" s="103"/>
      <c r="Q60" s="103"/>
      <c r="R60" s="103"/>
      <c r="S60" s="103"/>
      <c r="T60" s="103"/>
      <c r="U60" s="103"/>
      <c r="V60" s="103"/>
      <c r="W60" s="103"/>
      <c r="X60" s="103"/>
    </row>
    <row r="61" spans="1:24" ht="14.5">
      <c r="A61" s="371" t="s">
        <v>1581</v>
      </c>
      <c r="B61" s="156"/>
      <c r="C61" s="157"/>
      <c r="D61" s="157"/>
      <c r="E61" s="157"/>
      <c r="F61" s="158"/>
      <c r="G61" s="158"/>
      <c r="H61" s="159"/>
      <c r="I61" s="159"/>
      <c r="J61" s="159"/>
      <c r="K61" s="159"/>
      <c r="L61" s="159"/>
      <c r="M61" s="103"/>
      <c r="N61" s="103"/>
      <c r="O61" s="103"/>
      <c r="P61" s="103"/>
      <c r="Q61" s="103"/>
      <c r="R61" s="103"/>
      <c r="S61" s="103"/>
      <c r="T61" s="103"/>
      <c r="U61" s="103"/>
      <c r="V61" s="103"/>
      <c r="W61" s="103"/>
      <c r="X61" s="103"/>
    </row>
    <row r="62" spans="1:24">
      <c r="A62" s="121" t="s">
        <v>740</v>
      </c>
      <c r="B62" s="120"/>
      <c r="C62" s="159">
        <f>SUM('Fin Sta as rep'!C83:C87)</f>
        <v>5969500</v>
      </c>
      <c r="D62" s="159">
        <f>SUM('Fin Sta as rep'!D83:D87)</f>
        <v>9418319</v>
      </c>
      <c r="E62" s="159">
        <f>SUM('Fin Sta as rep'!E83:E87)</f>
        <v>9404000</v>
      </c>
      <c r="F62" s="159">
        <f>SUM('Fin Sta as rep'!F83:F87)</f>
        <v>11634000</v>
      </c>
      <c r="G62" s="159">
        <f>SUM('Fin Sta as rep'!G83:G87)</f>
        <v>9607000</v>
      </c>
      <c r="H62" s="225">
        <f>R62</f>
        <v>5738000</v>
      </c>
      <c r="I62" s="225">
        <f>S62</f>
        <v>5038000</v>
      </c>
      <c r="J62" s="225">
        <f>T62</f>
        <v>4338000</v>
      </c>
      <c r="K62" s="159">
        <f>U62</f>
        <v>4338000</v>
      </c>
      <c r="L62" s="159">
        <f>V62</f>
        <v>4338000</v>
      </c>
      <c r="M62" s="103"/>
      <c r="N62" s="179" t="s">
        <v>740</v>
      </c>
      <c r="O62" s="164"/>
      <c r="P62" s="180"/>
      <c r="Q62" s="180"/>
      <c r="R62" s="147">
        <f>6438000-700000</f>
        <v>5738000</v>
      </c>
      <c r="S62" s="147">
        <f>H62-700000</f>
        <v>5038000</v>
      </c>
      <c r="T62" s="147">
        <f>I62-700000</f>
        <v>4338000</v>
      </c>
      <c r="U62" s="147">
        <f t="shared" ref="U62:V62" si="49">T62</f>
        <v>4338000</v>
      </c>
      <c r="V62" s="147">
        <f t="shared" si="49"/>
        <v>4338000</v>
      </c>
      <c r="W62" s="103"/>
      <c r="X62" s="103" t="s">
        <v>2134</v>
      </c>
    </row>
    <row r="63" spans="1:24">
      <c r="A63" s="121" t="s">
        <v>745</v>
      </c>
      <c r="B63" s="120"/>
      <c r="C63" s="159">
        <f>SUM('Fin Sta as rep'!C88,'Fin Sta as rep'!C90:C91)</f>
        <v>4953662</v>
      </c>
      <c r="D63" s="159">
        <f>SUM('Fin Sta as rep'!D88,'Fin Sta as rep'!D90:D91)</f>
        <v>5929991</v>
      </c>
      <c r="E63" s="159">
        <f>SUM('Fin Sta as rep'!E88,'Fin Sta as rep'!E90:E91)</f>
        <v>4030000</v>
      </c>
      <c r="F63" s="219">
        <f>SUM('Fin Sta as rep'!F96,'Fin Sta as rep'!F88,'Fin Sta as rep'!F90)</f>
        <v>4505000</v>
      </c>
      <c r="G63" s="219">
        <f>SUM('Fin Sta as rep'!G96,'Fin Sta as rep'!G88,'Fin Sta as rep'!G90)</f>
        <v>5218000</v>
      </c>
      <c r="H63" s="159">
        <f>G63+H53-G53+H94</f>
        <v>6303515.9817351596</v>
      </c>
      <c r="I63" s="159">
        <f>H63+I53-H53</f>
        <v>7649707.7625570791</v>
      </c>
      <c r="J63" s="159">
        <f>I63+J53-I53</f>
        <v>8377006.9213353619</v>
      </c>
      <c r="K63" s="159">
        <f>J63+K53-J53</f>
        <v>8377006.9213353619</v>
      </c>
      <c r="L63" s="159">
        <f>K63+L53-K53</f>
        <v>8377006.9213353619</v>
      </c>
      <c r="M63" s="103"/>
      <c r="N63" s="171" t="s">
        <v>2135</v>
      </c>
      <c r="O63" s="103"/>
      <c r="P63" s="103"/>
      <c r="Q63" s="103"/>
      <c r="R63" s="103"/>
      <c r="S63" s="103"/>
      <c r="T63" s="103"/>
      <c r="U63" s="103"/>
      <c r="V63" s="103"/>
      <c r="W63" s="103"/>
      <c r="X63" s="103"/>
    </row>
    <row r="64" spans="1:24">
      <c r="A64" s="373" t="s">
        <v>1108</v>
      </c>
      <c r="B64" s="153"/>
      <c r="C64" s="175">
        <f>SUM(C63,C62,C60)</f>
        <v>16758951</v>
      </c>
      <c r="D64" s="175">
        <f t="shared" ref="D64:L64" si="50">SUM(D63,D62,D60)</f>
        <v>23023050</v>
      </c>
      <c r="E64" s="175">
        <f t="shared" si="50"/>
        <v>23427000</v>
      </c>
      <c r="F64" s="175">
        <f t="shared" si="50"/>
        <v>26806000</v>
      </c>
      <c r="G64" s="175">
        <f t="shared" si="50"/>
        <v>29073000</v>
      </c>
      <c r="H64" s="176">
        <f t="shared" si="50"/>
        <v>33892956.879060432</v>
      </c>
      <c r="I64" s="176">
        <f t="shared" si="50"/>
        <v>34265621.481280118</v>
      </c>
      <c r="J64" s="176">
        <f t="shared" si="50"/>
        <v>36192842.191936076</v>
      </c>
      <c r="K64" s="176">
        <f t="shared" si="50"/>
        <v>12715006.921335362</v>
      </c>
      <c r="L64" s="176" t="e">
        <f t="shared" si="50"/>
        <v>#DIV/0!</v>
      </c>
      <c r="M64" s="103"/>
      <c r="N64" s="178"/>
      <c r="O64" s="103"/>
      <c r="P64" s="103"/>
      <c r="Q64" s="103"/>
      <c r="R64" s="103"/>
      <c r="S64" s="103"/>
      <c r="T64" s="103"/>
      <c r="U64" s="103"/>
      <c r="V64" s="103"/>
      <c r="W64" s="103"/>
      <c r="X64" s="103"/>
    </row>
    <row r="65" spans="1:24" ht="14.5">
      <c r="A65" s="371" t="s">
        <v>1581</v>
      </c>
      <c r="B65" s="156"/>
      <c r="C65" s="157"/>
      <c r="D65" s="157"/>
      <c r="E65" s="157"/>
      <c r="F65" s="158"/>
      <c r="G65" s="158"/>
      <c r="H65" s="159"/>
      <c r="I65" s="159"/>
      <c r="J65" s="159"/>
      <c r="K65" s="159"/>
      <c r="L65" s="159"/>
      <c r="M65" s="103"/>
      <c r="N65" s="103"/>
      <c r="O65" s="103"/>
      <c r="P65" s="103"/>
      <c r="Q65" s="103"/>
      <c r="R65" s="103"/>
      <c r="S65" s="103"/>
      <c r="T65" s="103"/>
      <c r="U65" s="103"/>
      <c r="V65" s="103"/>
      <c r="W65" s="103"/>
      <c r="X65" s="103"/>
    </row>
    <row r="66" spans="1:24">
      <c r="A66" s="121" t="s">
        <v>755</v>
      </c>
      <c r="B66" s="120"/>
      <c r="C66" s="159">
        <f>SUM('Fin Sta as rep'!C98:C99)</f>
        <v>7773888</v>
      </c>
      <c r="D66" s="159">
        <f>SUM('Fin Sta as rep'!D98:D99)</f>
        <v>9178193</v>
      </c>
      <c r="E66" s="159">
        <f>SUM('Fin Sta as rep'!E98:E99)</f>
        <v>10249000</v>
      </c>
      <c r="F66" s="159">
        <f>SUM('Fin Sta as rep'!F98:F99)</f>
        <v>12737000</v>
      </c>
      <c r="G66" s="159">
        <f>SUM('Fin Sta as rep'!G98:G99)</f>
        <v>27261000</v>
      </c>
      <c r="H66" s="159">
        <f>G66+SUM(H86:H87)</f>
        <v>27378000</v>
      </c>
      <c r="I66" s="159">
        <f t="shared" ref="I66:L66" si="51">H66+SUM(I86:I87)</f>
        <v>27495000</v>
      </c>
      <c r="J66" s="159">
        <f t="shared" si="51"/>
        <v>27612000</v>
      </c>
      <c r="K66" s="159">
        <f t="shared" si="51"/>
        <v>27729000</v>
      </c>
      <c r="L66" s="159">
        <f t="shared" si="51"/>
        <v>27846000</v>
      </c>
      <c r="M66" s="103"/>
      <c r="N66" s="171" t="s">
        <v>2136</v>
      </c>
      <c r="O66" s="103"/>
      <c r="P66" s="103"/>
      <c r="Q66" s="103"/>
      <c r="R66" s="103"/>
      <c r="S66" s="103"/>
      <c r="T66" s="103"/>
      <c r="U66" s="103"/>
      <c r="V66" s="103"/>
      <c r="W66" s="103"/>
      <c r="X66" s="103"/>
    </row>
    <row r="67" spans="1:24" ht="14.5">
      <c r="A67" s="121" t="s">
        <v>1125</v>
      </c>
      <c r="B67" s="120"/>
      <c r="C67" s="142">
        <v>0</v>
      </c>
      <c r="D67" s="142">
        <v>0</v>
      </c>
      <c r="E67" s="142">
        <v>0</v>
      </c>
      <c r="F67" s="142">
        <v>0</v>
      </c>
      <c r="G67" s="142">
        <v>0</v>
      </c>
      <c r="H67" s="159">
        <f>G67+H100/2</f>
        <v>-200000</v>
      </c>
      <c r="I67" s="159">
        <f t="shared" ref="I67:L67" si="52">H67+I100/2</f>
        <v>-575000</v>
      </c>
      <c r="J67" s="159">
        <f t="shared" si="52"/>
        <v>-1000000</v>
      </c>
      <c r="K67" s="159">
        <f t="shared" si="52"/>
        <v>-1000000</v>
      </c>
      <c r="L67" s="159">
        <f t="shared" si="52"/>
        <v>-1000000</v>
      </c>
      <c r="M67" s="103"/>
      <c r="N67" s="171" t="s">
        <v>2137</v>
      </c>
      <c r="O67" s="103"/>
      <c r="P67" s="103"/>
      <c r="Q67" s="103"/>
      <c r="R67" s="103"/>
      <c r="S67" s="103"/>
      <c r="T67" s="103"/>
      <c r="U67" s="103"/>
      <c r="V67" s="103"/>
      <c r="W67" s="103"/>
      <c r="X67" s="103"/>
    </row>
    <row r="68" spans="1:24" ht="14.5">
      <c r="A68" s="121" t="s">
        <v>758</v>
      </c>
      <c r="B68" s="120"/>
      <c r="C68" s="136">
        <f>'Fin Sta as rep'!C100</f>
        <v>-2997237</v>
      </c>
      <c r="D68" s="136">
        <f>'Fin Sta as rep'!D100</f>
        <v>-4974299</v>
      </c>
      <c r="E68" s="136">
        <f>'Fin Sta as rep'!E100</f>
        <v>-5318000</v>
      </c>
      <c r="F68" s="136">
        <f>'Fin Sta as rep'!F100</f>
        <v>-6083000</v>
      </c>
      <c r="G68" s="136">
        <f>'Fin Sta as rep'!G100</f>
        <v>-5399000</v>
      </c>
      <c r="H68" s="159">
        <f>G68+H75+H98</f>
        <v>-1755294</v>
      </c>
      <c r="I68" s="159">
        <f t="shared" ref="I68:L68" si="53">H68+I75+I98</f>
        <v>8582246.5530547425</v>
      </c>
      <c r="J68" s="159">
        <f t="shared" si="53"/>
        <v>13887828.430175433</v>
      </c>
      <c r="K68" s="159">
        <f t="shared" si="53"/>
        <v>110282189.28384207</v>
      </c>
      <c r="L68" s="159">
        <f t="shared" si="53"/>
        <v>206676550.13750869</v>
      </c>
      <c r="M68" s="103"/>
      <c r="N68" s="171" t="s">
        <v>2138</v>
      </c>
      <c r="O68" s="103"/>
      <c r="P68" s="103"/>
      <c r="Q68" s="103"/>
      <c r="R68" s="103"/>
      <c r="S68" s="103"/>
      <c r="T68" s="103"/>
      <c r="U68" s="103"/>
      <c r="V68" s="103"/>
      <c r="W68" s="103"/>
      <c r="X68" s="103"/>
    </row>
    <row r="69" spans="1:24" ht="14.5">
      <c r="A69" s="121" t="s">
        <v>765</v>
      </c>
      <c r="B69" s="120"/>
      <c r="C69" s="159">
        <v>0</v>
      </c>
      <c r="D69" s="159">
        <v>0</v>
      </c>
      <c r="E69" s="159">
        <v>0</v>
      </c>
      <c r="F69" s="159">
        <v>0</v>
      </c>
      <c r="G69" s="159">
        <v>0</v>
      </c>
      <c r="H69" s="159">
        <f>G69+H99</f>
        <v>0</v>
      </c>
      <c r="I69" s="159">
        <f t="shared" ref="I69:L69" si="54">H69+I99</f>
        <v>0</v>
      </c>
      <c r="J69" s="159">
        <f t="shared" si="54"/>
        <v>0</v>
      </c>
      <c r="K69" s="159">
        <f t="shared" si="54"/>
        <v>0</v>
      </c>
      <c r="L69" s="159">
        <f t="shared" si="54"/>
        <v>0</v>
      </c>
      <c r="M69" s="103"/>
      <c r="N69" s="171" t="s">
        <v>2139</v>
      </c>
      <c r="O69" s="103"/>
      <c r="P69" s="103"/>
      <c r="Q69" s="103"/>
      <c r="R69" s="103"/>
      <c r="S69" s="103"/>
      <c r="T69" s="103"/>
      <c r="U69" s="103"/>
      <c r="V69" s="103"/>
      <c r="W69" s="103"/>
      <c r="X69" s="103"/>
    </row>
    <row r="70" spans="1:24" ht="14.5">
      <c r="A70" s="121" t="s">
        <v>760</v>
      </c>
      <c r="B70" s="120"/>
      <c r="C70" s="136">
        <f>'Fin Sta as rep'!C101</f>
        <v>-23740</v>
      </c>
      <c r="D70" s="136">
        <f>'Fin Sta as rep'!D101</f>
        <v>33348</v>
      </c>
      <c r="E70" s="136">
        <f>'Fin Sta as rep'!E101</f>
        <v>-8000</v>
      </c>
      <c r="F70" s="220" t="e">
        <f>'Fin Sta as rep'!F101+'Fin Sta as rep'!#REF!</f>
        <v>#REF!</v>
      </c>
      <c r="G70" s="220" t="e">
        <f>'Fin Sta as rep'!G101+'Fin Sta as rep'!#REF!</f>
        <v>#REF!</v>
      </c>
      <c r="H70" s="159" t="e">
        <f>G70+H100/2+H102</f>
        <v>#REF!</v>
      </c>
      <c r="I70" s="159" t="e">
        <f t="shared" ref="I70:J70" si="55">H70+I100/2+I102</f>
        <v>#REF!</v>
      </c>
      <c r="J70" s="159" t="e">
        <f t="shared" si="55"/>
        <v>#REF!</v>
      </c>
      <c r="K70" s="159" t="e">
        <f t="shared" ref="K70:L70" si="56">J70+K100/2</f>
        <v>#REF!</v>
      </c>
      <c r="L70" s="159" t="e">
        <f t="shared" si="56"/>
        <v>#REF!</v>
      </c>
      <c r="M70" s="103"/>
      <c r="N70" s="171" t="s">
        <v>2140</v>
      </c>
      <c r="O70" s="103"/>
      <c r="P70" s="103"/>
      <c r="Q70" s="103"/>
      <c r="R70" s="103"/>
      <c r="S70" s="103"/>
      <c r="T70" s="103"/>
      <c r="U70" s="103"/>
      <c r="V70" s="103"/>
      <c r="W70" s="103"/>
      <c r="X70" s="103"/>
    </row>
    <row r="71" spans="1:24">
      <c r="A71" s="373" t="s">
        <v>1610</v>
      </c>
      <c r="B71" s="153"/>
      <c r="C71" s="174">
        <f>SUM(C66:C70)</f>
        <v>4752911</v>
      </c>
      <c r="D71" s="174">
        <f t="shared" ref="D71:L71" si="57">SUM(D66:D70)</f>
        <v>4237242</v>
      </c>
      <c r="E71" s="175">
        <f t="shared" si="57"/>
        <v>4923000</v>
      </c>
      <c r="F71" s="175" t="e">
        <f t="shared" si="57"/>
        <v>#REF!</v>
      </c>
      <c r="G71" s="175" t="e">
        <f t="shared" si="57"/>
        <v>#REF!</v>
      </c>
      <c r="H71" s="176" t="e">
        <f t="shared" si="57"/>
        <v>#REF!</v>
      </c>
      <c r="I71" s="176" t="e">
        <f t="shared" si="57"/>
        <v>#REF!</v>
      </c>
      <c r="J71" s="176" t="e">
        <f t="shared" si="57"/>
        <v>#REF!</v>
      </c>
      <c r="K71" s="176" t="e">
        <f t="shared" si="57"/>
        <v>#REF!</v>
      </c>
      <c r="L71" s="176" t="e">
        <f t="shared" si="57"/>
        <v>#REF!</v>
      </c>
      <c r="M71" s="103"/>
      <c r="N71" s="178"/>
      <c r="O71" s="103"/>
      <c r="P71" s="103"/>
      <c r="Q71" s="103"/>
      <c r="R71" s="103"/>
      <c r="S71" s="103"/>
      <c r="T71" s="103"/>
      <c r="U71" s="103"/>
      <c r="V71" s="103"/>
      <c r="W71" s="103"/>
      <c r="X71" s="103"/>
    </row>
    <row r="72" spans="1:24">
      <c r="A72" s="373" t="s">
        <v>1611</v>
      </c>
      <c r="B72" s="153"/>
      <c r="C72" s="181">
        <f t="shared" ref="C72:L72" si="58">SUM(C71,C64)</f>
        <v>21511862</v>
      </c>
      <c r="D72" s="181">
        <f t="shared" si="58"/>
        <v>27260292</v>
      </c>
      <c r="E72" s="130">
        <f t="shared" si="58"/>
        <v>28350000</v>
      </c>
      <c r="F72" s="130" t="e">
        <f t="shared" si="58"/>
        <v>#REF!</v>
      </c>
      <c r="G72" s="130" t="e">
        <f t="shared" si="58"/>
        <v>#REF!</v>
      </c>
      <c r="H72" s="131" t="e">
        <f t="shared" si="58"/>
        <v>#REF!</v>
      </c>
      <c r="I72" s="131" t="e">
        <f t="shared" si="58"/>
        <v>#REF!</v>
      </c>
      <c r="J72" s="131" t="e">
        <f t="shared" si="58"/>
        <v>#REF!</v>
      </c>
      <c r="K72" s="131" t="e">
        <f t="shared" si="58"/>
        <v>#REF!</v>
      </c>
      <c r="L72" s="131" t="e">
        <f t="shared" si="58"/>
        <v>#REF!</v>
      </c>
      <c r="M72" s="103"/>
      <c r="N72" s="178"/>
      <c r="O72" s="103"/>
      <c r="P72" s="103"/>
      <c r="Q72" s="103"/>
      <c r="R72" s="103"/>
      <c r="S72" s="103"/>
      <c r="T72" s="103"/>
      <c r="U72" s="103"/>
      <c r="V72" s="103"/>
      <c r="W72" s="103"/>
      <c r="X72" s="103"/>
    </row>
    <row r="73" spans="1:24" ht="14.5">
      <c r="A73" s="371" t="s">
        <v>1581</v>
      </c>
      <c r="B73" s="156"/>
      <c r="C73" s="182">
        <f t="shared" ref="C73:K73" si="59">ROUND(C72-C55,1)</f>
        <v>-1152214</v>
      </c>
      <c r="D73" s="182">
        <f t="shared" si="59"/>
        <v>-1395080</v>
      </c>
      <c r="E73" s="182">
        <f t="shared" si="59"/>
        <v>-1390000</v>
      </c>
      <c r="F73" s="182" t="e">
        <f>ROUND(F72-F55,1)</f>
        <v>#REF!</v>
      </c>
      <c r="G73" s="182" t="e">
        <f t="shared" si="59"/>
        <v>#REF!</v>
      </c>
      <c r="H73" s="137" t="e">
        <f>ROUND(H72-H55,1)</f>
        <v>#REF!</v>
      </c>
      <c r="I73" s="137" t="e">
        <f t="shared" si="59"/>
        <v>#REF!</v>
      </c>
      <c r="J73" s="137" t="e">
        <f t="shared" si="59"/>
        <v>#REF!</v>
      </c>
      <c r="K73" s="137" t="e">
        <f t="shared" si="59"/>
        <v>#REF!</v>
      </c>
      <c r="L73" s="137" t="e">
        <f>ROUND(L72-L55,1)</f>
        <v>#REF!</v>
      </c>
      <c r="M73" s="103"/>
      <c r="N73" s="103"/>
      <c r="O73" s="103"/>
      <c r="P73" s="103"/>
      <c r="Q73" s="103"/>
      <c r="R73" s="103"/>
      <c r="S73" s="103"/>
      <c r="T73" s="103"/>
      <c r="U73" s="103"/>
      <c r="V73" s="103"/>
      <c r="W73" s="103"/>
      <c r="X73" s="103"/>
    </row>
    <row r="74" spans="1:24" ht="20">
      <c r="A74" s="368" t="s">
        <v>1612</v>
      </c>
      <c r="B74" s="123"/>
      <c r="C74" s="124"/>
      <c r="D74" s="124"/>
      <c r="E74" s="124"/>
      <c r="F74" s="124"/>
      <c r="G74" s="124"/>
      <c r="H74" s="128"/>
      <c r="I74" s="128"/>
      <c r="J74" s="128"/>
      <c r="K74" s="128"/>
      <c r="L74" s="128"/>
      <c r="M74" s="129"/>
      <c r="N74" s="118" t="s">
        <v>1613</v>
      </c>
      <c r="O74" s="129"/>
      <c r="P74" s="129"/>
      <c r="Q74" s="129"/>
      <c r="R74" s="129"/>
      <c r="S74" s="129"/>
      <c r="T74" s="129"/>
      <c r="U74" s="129"/>
      <c r="V74" s="129"/>
      <c r="W74" s="129"/>
      <c r="X74" s="108"/>
    </row>
    <row r="75" spans="1:24" ht="15.5">
      <c r="A75" s="121" t="s">
        <v>543</v>
      </c>
      <c r="B75" s="120"/>
      <c r="C75" s="222">
        <f>C39-C37</f>
        <v>-773046</v>
      </c>
      <c r="D75" s="183">
        <f>D39-D37</f>
        <v>-2240578</v>
      </c>
      <c r="E75" s="184">
        <f>E39-E37</f>
        <v>-1062582</v>
      </c>
      <c r="F75" s="185">
        <f t="shared" ref="F75:G75" si="60">F39-F37</f>
        <v>-775000</v>
      </c>
      <c r="G75" s="185">
        <f t="shared" si="60"/>
        <v>862000</v>
      </c>
      <c r="H75" s="159">
        <f>H39-H37</f>
        <v>5643706</v>
      </c>
      <c r="I75" s="159">
        <f t="shared" ref="I75:J75" si="61">I39-I37</f>
        <v>12637540.553054743</v>
      </c>
      <c r="J75" s="159">
        <f t="shared" si="61"/>
        <v>7805581.8771206904</v>
      </c>
      <c r="K75" s="159">
        <f t="shared" ref="K75:L75" si="62">K39</f>
        <v>96394360.853666633</v>
      </c>
      <c r="L75" s="159">
        <f t="shared" si="62"/>
        <v>96394360.853666633</v>
      </c>
      <c r="M75" s="103"/>
      <c r="N75" s="178"/>
      <c r="O75" s="103"/>
      <c r="P75" s="103"/>
      <c r="Q75" s="103"/>
      <c r="R75" s="103"/>
      <c r="S75" s="103"/>
      <c r="T75" s="103"/>
      <c r="U75" s="103"/>
      <c r="V75" s="103"/>
      <c r="W75" s="103"/>
      <c r="X75" s="103"/>
    </row>
    <row r="76" spans="1:24">
      <c r="A76" s="376" t="s">
        <v>770</v>
      </c>
      <c r="B76" s="186"/>
      <c r="C76" s="136">
        <f>'Fin Sta as rep'!C117</f>
        <v>947099</v>
      </c>
      <c r="D76" s="136">
        <f>'Fin Sta as rep'!D117</f>
        <v>1636003</v>
      </c>
      <c r="E76" s="136">
        <f>'Fin Sta as rep'!E117</f>
        <v>1901050</v>
      </c>
      <c r="F76" s="136">
        <f>'Fin Sta as rep'!F117</f>
        <v>2154000</v>
      </c>
      <c r="G76" s="136">
        <f>'Fin Sta as rep'!G117</f>
        <v>2322000</v>
      </c>
      <c r="H76" s="159">
        <f>H7*R76</f>
        <v>3843183.3904109593</v>
      </c>
      <c r="I76" s="159">
        <f>I7*S76</f>
        <v>5235049.4178082217</v>
      </c>
      <c r="J76" s="159">
        <f>J7*T76</f>
        <v>5575192.3399902368</v>
      </c>
      <c r="K76" s="159">
        <f>K7*U76</f>
        <v>0</v>
      </c>
      <c r="L76" s="159">
        <f>L7*V76</f>
        <v>0</v>
      </c>
      <c r="M76" s="103"/>
      <c r="N76" s="172" t="s">
        <v>1615</v>
      </c>
      <c r="O76" s="187">
        <f>E79/E7</f>
        <v>9.597871467978826E-2</v>
      </c>
      <c r="P76" s="187">
        <f>F79/F7</f>
        <v>9.5288469362844824E-2</v>
      </c>
      <c r="Q76" s="187">
        <f>G79/G7</f>
        <v>7.9337899543378998E-2</v>
      </c>
      <c r="R76" s="139">
        <f>Q76*0.9</f>
        <v>7.1404109589041101E-2</v>
      </c>
      <c r="S76" s="139">
        <f t="shared" ref="S76:T76" si="63">R76*0.9</f>
        <v>6.4263698630136992E-2</v>
      </c>
      <c r="T76" s="139">
        <f t="shared" si="63"/>
        <v>5.7837328767123296E-2</v>
      </c>
      <c r="U76" s="139"/>
      <c r="V76" s="139"/>
      <c r="W76" s="103"/>
      <c r="X76" s="103" t="s">
        <v>1815</v>
      </c>
    </row>
    <row r="77" spans="1:24">
      <c r="A77" s="369" t="s">
        <v>951</v>
      </c>
      <c r="B77" s="135"/>
      <c r="C77" s="157">
        <v>0</v>
      </c>
      <c r="D77" s="157"/>
      <c r="E77" s="157"/>
      <c r="F77" s="157"/>
      <c r="G77" s="157"/>
      <c r="H77" s="159">
        <f>R77</f>
        <v>0</v>
      </c>
      <c r="I77" s="159">
        <f t="shared" ref="I77:L77" si="64">S77</f>
        <v>0</v>
      </c>
      <c r="J77" s="159">
        <f t="shared" si="64"/>
        <v>0</v>
      </c>
      <c r="K77" s="159">
        <f t="shared" si="64"/>
        <v>0</v>
      </c>
      <c r="L77" s="159">
        <f t="shared" si="64"/>
        <v>0</v>
      </c>
      <c r="M77" s="103"/>
      <c r="N77" s="103" t="s">
        <v>951</v>
      </c>
      <c r="O77" s="103"/>
      <c r="P77" s="103"/>
      <c r="Q77" s="103"/>
      <c r="R77" s="147">
        <v>0</v>
      </c>
      <c r="S77" s="147">
        <v>0</v>
      </c>
      <c r="T77" s="147">
        <v>0</v>
      </c>
      <c r="U77" s="147">
        <v>0</v>
      </c>
      <c r="V77" s="147">
        <v>0</v>
      </c>
      <c r="W77" s="103"/>
      <c r="X77" s="103"/>
    </row>
    <row r="78" spans="1:24">
      <c r="A78" s="369" t="s">
        <v>771</v>
      </c>
      <c r="B78" s="135"/>
      <c r="C78" s="136">
        <f>'Fin Sta as rep'!C118</f>
        <v>94690</v>
      </c>
      <c r="D78" s="136">
        <f>'Fin Sta as rep'!D118</f>
        <v>91037</v>
      </c>
      <c r="E78" s="136">
        <f>'Fin Sta as rep'!E118</f>
        <v>158730</v>
      </c>
      <c r="F78" s="136">
        <f>'Fin Sta as rep'!F118</f>
        <v>188000</v>
      </c>
      <c r="G78" s="136">
        <f>'Fin Sta as rep'!G118</f>
        <v>180000</v>
      </c>
      <c r="H78" s="219">
        <v>180000</v>
      </c>
      <c r="I78" s="219">
        <v>180000</v>
      </c>
      <c r="J78" s="219">
        <v>180000</v>
      </c>
      <c r="K78" s="159">
        <f>K7*U78</f>
        <v>0</v>
      </c>
      <c r="L78" s="159">
        <f>L7*V78</f>
        <v>0</v>
      </c>
      <c r="M78" s="103"/>
      <c r="N78" s="103" t="s">
        <v>1683</v>
      </c>
      <c r="O78" s="103"/>
      <c r="P78" s="103"/>
      <c r="Q78" s="103"/>
      <c r="R78" s="139">
        <v>0</v>
      </c>
      <c r="S78" s="139">
        <v>0</v>
      </c>
      <c r="T78" s="139">
        <v>0</v>
      </c>
      <c r="U78" s="139">
        <v>0</v>
      </c>
      <c r="V78" s="139">
        <v>0</v>
      </c>
      <c r="W78" s="103"/>
      <c r="X78" s="103"/>
    </row>
    <row r="79" spans="1:24">
      <c r="A79" s="372" t="s">
        <v>1139</v>
      </c>
      <c r="B79" s="155"/>
      <c r="C79" s="137">
        <f>SUM(C76:C78)</f>
        <v>1041789</v>
      </c>
      <c r="D79" s="137">
        <f>SUM(D76:D78)</f>
        <v>1727040</v>
      </c>
      <c r="E79" s="137">
        <f t="shared" ref="E79:G79" si="65">SUM(E76:E78)</f>
        <v>2059780</v>
      </c>
      <c r="F79" s="137">
        <f t="shared" si="65"/>
        <v>2342000</v>
      </c>
      <c r="G79" s="137">
        <f t="shared" si="65"/>
        <v>2502000</v>
      </c>
      <c r="H79" s="137">
        <f>SUM(H76:H78)</f>
        <v>4023183.3904109593</v>
      </c>
      <c r="I79" s="137">
        <f>SUM(I76:I78)</f>
        <v>5415049.4178082217</v>
      </c>
      <c r="J79" s="137">
        <f>SUM(J76:J78)</f>
        <v>5755192.3399902368</v>
      </c>
      <c r="K79" s="137">
        <f>SUM(K76:K78)</f>
        <v>0</v>
      </c>
      <c r="L79" s="137">
        <f>SUM(L76:L78)</f>
        <v>0</v>
      </c>
      <c r="M79" s="103"/>
      <c r="N79" s="178"/>
      <c r="O79" s="103"/>
      <c r="P79" s="103"/>
      <c r="Q79" s="103"/>
      <c r="R79" s="103"/>
      <c r="S79" s="103"/>
      <c r="T79" s="103"/>
      <c r="U79" s="103"/>
      <c r="V79" s="103"/>
      <c r="W79" s="103"/>
      <c r="X79" s="103"/>
    </row>
    <row r="80" spans="1:24">
      <c r="A80" s="121" t="s">
        <v>788</v>
      </c>
      <c r="B80" s="120"/>
      <c r="C80" s="136">
        <f>'Fin Sta as rep'!C133</f>
        <v>-216565</v>
      </c>
      <c r="D80" s="136">
        <f>'Fin Sta as rep'!D133</f>
        <v>-24635</v>
      </c>
      <c r="E80" s="136">
        <f>'Fin Sta as rep'!E133</f>
        <v>-496732</v>
      </c>
      <c r="F80" s="136">
        <f>'Fin Sta as rep'!F133</f>
        <v>-367000</v>
      </c>
      <c r="G80" s="136">
        <f>'Fin Sta as rep'!G133</f>
        <v>-652000</v>
      </c>
      <c r="H80" s="159">
        <f>-(H43-G43)</f>
        <v>-367206.64003044087</v>
      </c>
      <c r="I80" s="159">
        <f t="shared" ref="I80:L82" si="66">-(I43-H43)</f>
        <v>-133979.20091324253</v>
      </c>
      <c r="J80" s="159">
        <f t="shared" si="66"/>
        <v>409848.21893977653</v>
      </c>
      <c r="K80" s="159">
        <f t="shared" si="66"/>
        <v>0</v>
      </c>
      <c r="L80" s="159">
        <f t="shared" si="66"/>
        <v>0</v>
      </c>
      <c r="M80" s="103"/>
      <c r="N80" s="171" t="s">
        <v>1617</v>
      </c>
      <c r="O80" s="103"/>
      <c r="P80" s="103"/>
      <c r="Q80" s="103"/>
      <c r="R80" s="103"/>
      <c r="S80" s="103"/>
      <c r="T80" s="103"/>
      <c r="U80" s="103"/>
      <c r="V80" s="103"/>
      <c r="W80" s="103"/>
      <c r="X80" s="103"/>
    </row>
    <row r="81" spans="1:24">
      <c r="A81" s="121" t="s">
        <v>696</v>
      </c>
      <c r="B81" s="120"/>
      <c r="C81" s="136">
        <f>'Fin Sta as rep'!C135</f>
        <v>-632867</v>
      </c>
      <c r="D81" s="136">
        <f>'Fin Sta as rep'!D135</f>
        <v>-178850</v>
      </c>
      <c r="E81" s="136">
        <f>'Fin Sta as rep'!E135</f>
        <v>-1023264</v>
      </c>
      <c r="F81" s="136">
        <f>'Fin Sta as rep'!F135</f>
        <v>-429000</v>
      </c>
      <c r="G81" s="136">
        <f>'Fin Sta as rep'!G135</f>
        <v>-422000</v>
      </c>
      <c r="H81" s="159">
        <f>-(H44-G44)</f>
        <v>-2520979.5107203089</v>
      </c>
      <c r="I81" s="159">
        <f t="shared" si="66"/>
        <v>-3349356.8854461834</v>
      </c>
      <c r="J81" s="159">
        <f t="shared" si="66"/>
        <v>-3189004.5386920944</v>
      </c>
      <c r="K81" s="159">
        <f t="shared" si="66"/>
        <v>13160340.934858587</v>
      </c>
      <c r="L81" s="159" t="e">
        <f t="shared" si="66"/>
        <v>#DIV/0!</v>
      </c>
      <c r="M81" s="103"/>
      <c r="N81" s="171" t="s">
        <v>1617</v>
      </c>
      <c r="O81" s="103"/>
      <c r="P81" s="103"/>
      <c r="Q81" s="103"/>
      <c r="R81" s="103"/>
      <c r="S81" s="103"/>
      <c r="T81" s="103"/>
      <c r="U81" s="103"/>
      <c r="V81" s="103"/>
      <c r="W81" s="103"/>
      <c r="X81" s="103"/>
    </row>
    <row r="82" spans="1:24">
      <c r="A82" s="121" t="s">
        <v>1069</v>
      </c>
      <c r="B82" s="216"/>
      <c r="C82" s="142">
        <f>C45</f>
        <v>299984</v>
      </c>
      <c r="D82" s="142">
        <f>D45</f>
        <v>423688</v>
      </c>
      <c r="E82" s="142">
        <f>E45</f>
        <v>559000</v>
      </c>
      <c r="F82" s="142">
        <f>F45</f>
        <v>959000</v>
      </c>
      <c r="G82" s="142">
        <f>G45</f>
        <v>1346000</v>
      </c>
      <c r="H82" s="159">
        <f>-(H45-G45)</f>
        <v>-718292.49352890416</v>
      </c>
      <c r="I82" s="159">
        <f t="shared" si="66"/>
        <v>25839.94823123375</v>
      </c>
      <c r="J82" s="159">
        <f t="shared" si="66"/>
        <v>-179484.44755947194</v>
      </c>
      <c r="K82" s="159">
        <f t="shared" si="66"/>
        <v>2217936.9928571424</v>
      </c>
      <c r="L82" s="159" t="e">
        <f t="shared" si="66"/>
        <v>#DIV/0!</v>
      </c>
      <c r="M82" s="103"/>
      <c r="N82" s="171" t="s">
        <v>1617</v>
      </c>
      <c r="O82" s="103"/>
      <c r="P82" s="103"/>
      <c r="Q82" s="103"/>
      <c r="R82" s="103"/>
      <c r="S82" s="103"/>
      <c r="T82" s="103"/>
      <c r="U82" s="103"/>
      <c r="V82" s="103"/>
      <c r="W82" s="103"/>
      <c r="X82" s="103"/>
    </row>
    <row r="83" spans="1:24">
      <c r="A83" s="121" t="s">
        <v>791</v>
      </c>
      <c r="B83" s="120"/>
      <c r="C83" s="136">
        <f>'Fin Sta as rep'!C136</f>
        <v>750640</v>
      </c>
      <c r="D83" s="136">
        <f>'Fin Sta as rep'!D136</f>
        <v>388206</v>
      </c>
      <c r="E83" s="136">
        <f>'Fin Sta as rep'!E136</f>
        <v>1722850</v>
      </c>
      <c r="F83" s="136">
        <f>'Fin Sta as rep'!F136</f>
        <v>646000</v>
      </c>
      <c r="G83" s="136">
        <f>'Fin Sta as rep'!G136</f>
        <v>2102000</v>
      </c>
      <c r="H83" s="159">
        <f>H57-G57</f>
        <v>3229114.3226919752</v>
      </c>
      <c r="I83" s="159">
        <f>I57-H57</f>
        <v>-116164.58153580688</v>
      </c>
      <c r="J83" s="159">
        <f>J57-I57</f>
        <v>806879.93475658633</v>
      </c>
      <c r="K83" s="159">
        <f>K57-J57</f>
        <v>-9970829.6759127546</v>
      </c>
      <c r="L83" s="159" t="e">
        <f>L57-K57</f>
        <v>#DIV/0!</v>
      </c>
      <c r="M83" s="103"/>
      <c r="N83" s="171" t="s">
        <v>1617</v>
      </c>
      <c r="O83" s="103"/>
      <c r="P83" s="103"/>
      <c r="Q83" s="103"/>
      <c r="R83" s="103"/>
      <c r="S83" s="103"/>
      <c r="T83" s="103"/>
      <c r="U83" s="103"/>
      <c r="V83" s="103"/>
      <c r="W83" s="103"/>
      <c r="X83" s="103"/>
    </row>
    <row r="84" spans="1:24">
      <c r="A84" s="121" t="s">
        <v>775</v>
      </c>
      <c r="B84" s="120"/>
      <c r="C84" s="136">
        <f>SUM('Fin Sta as rep'!C120)</f>
        <v>-88727</v>
      </c>
      <c r="D84" s="136">
        <f>SUM('Fin Sta as rep'!D120)</f>
        <v>57746</v>
      </c>
      <c r="E84" s="144">
        <f>SUM('Fin Sta as rep'!E120)</f>
        <v>0</v>
      </c>
      <c r="F84" s="144">
        <f>SUM('Fin Sta as rep'!F120)</f>
        <v>0</v>
      </c>
      <c r="G84" s="144">
        <f>SUM('Fin Sta as rep'!G120)</f>
        <v>0</v>
      </c>
      <c r="H84" s="159">
        <f>H59-G59</f>
        <v>3236585.4184641931</v>
      </c>
      <c r="I84" s="159">
        <f t="shared" ref="I84:L84" si="67">I59-H59</f>
        <v>-116433.34771354683</v>
      </c>
      <c r="J84" s="159">
        <f t="shared" si="67"/>
        <v>808746.78636567481</v>
      </c>
      <c r="K84" s="159">
        <f t="shared" si="67"/>
        <v>-9993898.8571163211</v>
      </c>
      <c r="L84" s="159" t="e">
        <f t="shared" si="67"/>
        <v>#DIV/0!</v>
      </c>
      <c r="M84" s="103"/>
      <c r="N84" s="171" t="s">
        <v>1617</v>
      </c>
      <c r="O84" s="103"/>
      <c r="P84" s="103"/>
      <c r="Q84" s="103"/>
      <c r="R84" s="103"/>
      <c r="S84" s="103"/>
      <c r="T84" s="103"/>
      <c r="U84" s="103"/>
      <c r="V84" s="103"/>
      <c r="W84" s="103"/>
      <c r="X84" s="103"/>
    </row>
    <row r="85" spans="1:24">
      <c r="A85" s="121" t="s">
        <v>2141</v>
      </c>
      <c r="B85" s="120"/>
      <c r="C85" s="144">
        <v>0</v>
      </c>
      <c r="D85" s="142">
        <v>0</v>
      </c>
      <c r="E85" s="142">
        <v>0</v>
      </c>
      <c r="F85" s="142">
        <v>0</v>
      </c>
      <c r="G85" s="142">
        <v>0</v>
      </c>
      <c r="H85" s="159">
        <v>0</v>
      </c>
      <c r="I85" s="159">
        <v>0</v>
      </c>
      <c r="J85" s="159">
        <v>0</v>
      </c>
      <c r="K85" s="159">
        <v>0</v>
      </c>
      <c r="L85" s="159">
        <v>0</v>
      </c>
      <c r="M85" s="103"/>
      <c r="N85" s="171" t="s">
        <v>2142</v>
      </c>
      <c r="O85" s="103"/>
      <c r="P85" s="103"/>
      <c r="Q85" s="103"/>
      <c r="R85" s="103"/>
      <c r="S85" s="103"/>
      <c r="T85" s="103"/>
      <c r="U85" s="103"/>
      <c r="V85" s="103"/>
      <c r="W85" s="103"/>
      <c r="X85" s="103"/>
    </row>
    <row r="86" spans="1:24">
      <c r="A86" s="49" t="s">
        <v>778</v>
      </c>
      <c r="B86" s="103"/>
      <c r="C86" s="136">
        <f>'Fin Sta as rep'!C122</f>
        <v>334225</v>
      </c>
      <c r="D86" s="136">
        <f>'Fin Sta as rep'!D122</f>
        <v>466760</v>
      </c>
      <c r="E86" s="136">
        <f>'Fin Sta as rep'!E122</f>
        <v>749024</v>
      </c>
      <c r="F86" s="136">
        <f>'Fin Sta as rep'!F122</f>
        <v>898000</v>
      </c>
      <c r="G86" s="136">
        <f>'Fin Sta as rep'!G122</f>
        <v>1734000</v>
      </c>
      <c r="H86" s="159">
        <f>R86</f>
        <v>0</v>
      </c>
      <c r="I86" s="159">
        <f t="shared" ref="I86:L86" si="68">S86</f>
        <v>0</v>
      </c>
      <c r="J86" s="159">
        <f t="shared" si="68"/>
        <v>0</v>
      </c>
      <c r="K86" s="159">
        <f t="shared" si="68"/>
        <v>0</v>
      </c>
      <c r="L86" s="159">
        <f t="shared" si="68"/>
        <v>0</v>
      </c>
      <c r="M86" s="103"/>
      <c r="N86" s="120" t="s">
        <v>1619</v>
      </c>
      <c r="O86" s="103"/>
      <c r="P86" s="103"/>
      <c r="Q86" s="103"/>
      <c r="R86" s="147">
        <v>0</v>
      </c>
      <c r="S86" s="147">
        <v>0</v>
      </c>
      <c r="T86" s="147">
        <v>0</v>
      </c>
      <c r="U86" s="147">
        <v>0</v>
      </c>
      <c r="V86" s="147">
        <v>0</v>
      </c>
      <c r="W86" s="103"/>
      <c r="X86" s="103"/>
    </row>
    <row r="87" spans="1:24">
      <c r="A87" s="121" t="s">
        <v>773</v>
      </c>
      <c r="B87" s="120"/>
      <c r="C87" s="220">
        <f>'Fin Sta as rep'!C119</f>
        <v>34633</v>
      </c>
      <c r="D87" s="136">
        <f>'Fin Sta as rep'!D119</f>
        <v>105770</v>
      </c>
      <c r="E87" s="136">
        <f>'Fin Sta as rep'!E119</f>
        <v>161361</v>
      </c>
      <c r="F87" s="136">
        <f>'Fin Sta as rep'!F119</f>
        <v>146000</v>
      </c>
      <c r="G87" s="136">
        <f>'Fin Sta as rep'!G119</f>
        <v>117000</v>
      </c>
      <c r="H87" s="159">
        <f>G87</f>
        <v>117000</v>
      </c>
      <c r="I87" s="159">
        <f t="shared" ref="I87:L87" si="69">H87</f>
        <v>117000</v>
      </c>
      <c r="J87" s="159">
        <f t="shared" si="69"/>
        <v>117000</v>
      </c>
      <c r="K87" s="159">
        <f t="shared" si="69"/>
        <v>117000</v>
      </c>
      <c r="L87" s="159">
        <f t="shared" si="69"/>
        <v>117000</v>
      </c>
      <c r="M87" s="103"/>
      <c r="N87" s="171" t="s">
        <v>2132</v>
      </c>
      <c r="O87" s="103"/>
      <c r="P87" s="103"/>
      <c r="Q87" s="103"/>
      <c r="R87" s="103"/>
      <c r="S87" s="103"/>
      <c r="T87" s="103"/>
      <c r="U87" s="103"/>
      <c r="V87" s="103"/>
      <c r="W87" s="103"/>
      <c r="X87" s="103"/>
    </row>
    <row r="88" spans="1:24">
      <c r="A88" s="121" t="s">
        <v>780</v>
      </c>
      <c r="B88" s="120"/>
      <c r="C88" s="224">
        <f>SUM('Fin Sta as rep'!C123:C132,'Fin Sta as rep'!C137:C140)</f>
        <v>-573911</v>
      </c>
      <c r="D88" s="224">
        <f>SUM('Fin Sta as rep'!D123:D132,'Fin Sta as rep'!D137:D140)</f>
        <v>-362113</v>
      </c>
      <c r="E88" s="224">
        <f>SUM('Fin Sta as rep'!E123:E132,'Fin Sta as rep'!E137:E140)</f>
        <v>-12635</v>
      </c>
      <c r="F88" s="224">
        <f>SUM('Fin Sta as rep'!F123:F132,'Fin Sta as rep'!F137:F140)</f>
        <v>-56000</v>
      </c>
      <c r="G88" s="224">
        <f>SUM('Fin Sta as rep'!G123:G132,'Fin Sta as rep'!G137:G140)</f>
        <v>-300000</v>
      </c>
      <c r="H88" s="159">
        <f>R88</f>
        <v>-480338</v>
      </c>
      <c r="I88" s="159">
        <f t="shared" ref="I88:L88" si="70">S88</f>
        <v>0</v>
      </c>
      <c r="J88" s="159">
        <f t="shared" si="70"/>
        <v>0</v>
      </c>
      <c r="K88" s="159">
        <f t="shared" si="70"/>
        <v>0</v>
      </c>
      <c r="L88" s="159">
        <f t="shared" si="70"/>
        <v>0</v>
      </c>
      <c r="M88" s="103"/>
      <c r="N88" s="120" t="s">
        <v>807</v>
      </c>
      <c r="O88" s="103"/>
      <c r="P88" s="103"/>
      <c r="Q88" s="103"/>
      <c r="R88" s="147">
        <v>-480338</v>
      </c>
      <c r="S88" s="147">
        <v>0</v>
      </c>
      <c r="T88" s="147">
        <v>0</v>
      </c>
      <c r="U88" s="147">
        <v>0</v>
      </c>
      <c r="V88" s="147">
        <v>0</v>
      </c>
      <c r="W88" s="103"/>
      <c r="X88" s="103"/>
    </row>
    <row r="89" spans="1:24">
      <c r="A89" s="373" t="s">
        <v>1620</v>
      </c>
      <c r="B89" s="153"/>
      <c r="C89" s="130">
        <f>SUM(C79:C81,C83:C88,C75)</f>
        <v>-123829</v>
      </c>
      <c r="D89" s="130">
        <f>SUM(D79:D81,D83:D88,D75)</f>
        <v>-60654</v>
      </c>
      <c r="E89" s="130">
        <f t="shared" ref="E89:G89" si="71">SUM(E79:E81,E83:E88,E75)</f>
        <v>2097802</v>
      </c>
      <c r="F89" s="130">
        <f t="shared" si="71"/>
        <v>2405000</v>
      </c>
      <c r="G89" s="130">
        <f t="shared" si="71"/>
        <v>5943000</v>
      </c>
      <c r="H89" s="176">
        <f>SUM(H79:H88,H75)</f>
        <v>12162772.487287473</v>
      </c>
      <c r="I89" s="176">
        <f>SUM(I79:I88,I75)</f>
        <v>14479495.903485417</v>
      </c>
      <c r="J89" s="176">
        <f>SUM(J79:J88,J75)</f>
        <v>12334760.170921398</v>
      </c>
      <c r="K89" s="176">
        <f>SUM(K79:K88,K75)</f>
        <v>91924910.248353288</v>
      </c>
      <c r="L89" s="176" t="e">
        <f>SUM(L79:L88,L75)</f>
        <v>#DIV/0!</v>
      </c>
      <c r="M89" s="103"/>
      <c r="N89" s="178"/>
      <c r="O89" s="103"/>
      <c r="P89" s="103"/>
      <c r="Q89" s="103"/>
      <c r="R89" s="103"/>
      <c r="S89" s="103"/>
      <c r="T89" s="103"/>
      <c r="U89" s="103"/>
      <c r="V89" s="103"/>
      <c r="W89" s="103"/>
      <c r="X89" s="103"/>
    </row>
    <row r="90" spans="1:24" ht="14.5">
      <c r="A90" s="371" t="s">
        <v>1581</v>
      </c>
      <c r="B90" s="156"/>
      <c r="C90" s="157"/>
      <c r="D90" s="157"/>
      <c r="E90" s="157"/>
      <c r="F90" s="157"/>
      <c r="G90" s="158"/>
      <c r="H90" s="159"/>
      <c r="I90" s="159"/>
      <c r="J90" s="159"/>
      <c r="K90" s="159"/>
      <c r="L90" s="159"/>
      <c r="M90" s="103"/>
      <c r="N90" s="103"/>
      <c r="O90" s="103"/>
      <c r="P90" s="103"/>
      <c r="Q90" s="103"/>
      <c r="R90" s="103"/>
      <c r="S90" s="103"/>
      <c r="T90" s="103"/>
      <c r="U90" s="103"/>
      <c r="V90" s="103"/>
      <c r="W90" s="103"/>
      <c r="X90" s="103"/>
    </row>
    <row r="91" spans="1:24">
      <c r="A91" s="121" t="s">
        <v>797</v>
      </c>
      <c r="B91" s="120"/>
      <c r="C91" s="173">
        <f>SUM('Fin Sta as rep'!C146:C147)</f>
        <v>-1440471</v>
      </c>
      <c r="D91" s="173">
        <f>SUM('Fin Sta as rep'!D146:D147)</f>
        <v>-4081540</v>
      </c>
      <c r="E91" s="173">
        <f>SUM('Fin Sta as rep'!E146:E147)</f>
        <v>-2319000</v>
      </c>
      <c r="F91" s="173">
        <f>SUM('Fin Sta as rep'!F146:F147)</f>
        <v>-1432000</v>
      </c>
      <c r="G91" s="173">
        <f>SUM('Fin Sta as rep'!G146:G147)</f>
        <v>-3232000</v>
      </c>
      <c r="H91" s="173">
        <f>-R91*H7</f>
        <v>-8073450</v>
      </c>
      <c r="I91" s="173">
        <f>-S91*I7</f>
        <v>-12219300.000000004</v>
      </c>
      <c r="J91" s="173">
        <f>-T91*J7</f>
        <v>-14459154.128049994</v>
      </c>
      <c r="K91" s="173">
        <f>-U91*K7</f>
        <v>0</v>
      </c>
      <c r="L91" s="173">
        <f>-V91*L7</f>
        <v>0</v>
      </c>
      <c r="M91" s="103"/>
      <c r="N91" s="120" t="s">
        <v>1621</v>
      </c>
      <c r="O91" s="187">
        <f>-E91/E7</f>
        <v>0.10805748154775217</v>
      </c>
      <c r="P91" s="187">
        <f>-F91/F7</f>
        <v>5.8263487671901704E-2</v>
      </c>
      <c r="Q91" s="187">
        <f>-G91/G7</f>
        <v>0.10248604769152714</v>
      </c>
      <c r="R91" s="139">
        <v>0.15</v>
      </c>
      <c r="S91" s="139">
        <v>0.15</v>
      </c>
      <c r="T91" s="139">
        <v>0.15</v>
      </c>
      <c r="U91" s="139"/>
      <c r="V91" s="139"/>
      <c r="W91" s="103"/>
      <c r="X91" s="103" t="s">
        <v>2143</v>
      </c>
    </row>
    <row r="92" spans="1:24">
      <c r="A92" s="121" t="s">
        <v>2660</v>
      </c>
      <c r="B92" s="216"/>
      <c r="C92" s="144">
        <f>SUM('Fin Sta as rep'!C153)</f>
        <v>0</v>
      </c>
      <c r="D92" s="144">
        <f>SUM('Fin Sta as rep'!D153)</f>
        <v>0</v>
      </c>
      <c r="E92" s="144">
        <f>SUM('Fin Sta as rep'!E153)</f>
        <v>0</v>
      </c>
      <c r="F92" s="173">
        <f>SUM('Fin Sta as rep'!F153)</f>
        <v>-5000</v>
      </c>
      <c r="G92" s="173">
        <f>SUM('Fin Sta as rep'!G153)</f>
        <v>-10000</v>
      </c>
      <c r="H92" s="173">
        <f>-R92*H7</f>
        <v>0</v>
      </c>
      <c r="I92" s="173">
        <f>-S92*I7</f>
        <v>0</v>
      </c>
      <c r="J92" s="173">
        <f>-T92*J7</f>
        <v>0</v>
      </c>
      <c r="K92" s="173">
        <f>-U92*K7</f>
        <v>0</v>
      </c>
      <c r="L92" s="173">
        <f>-V92*L7</f>
        <v>0</v>
      </c>
      <c r="M92" s="103"/>
      <c r="N92" s="120" t="s">
        <v>2144</v>
      </c>
      <c r="O92" s="187">
        <f>-E92/E7</f>
        <v>0</v>
      </c>
      <c r="P92" s="187">
        <f>-F92/F7</f>
        <v>2.034339653348523E-4</v>
      </c>
      <c r="Q92" s="187">
        <f>-G92/G7</f>
        <v>3.1709791983764585E-4</v>
      </c>
      <c r="R92" s="139">
        <v>0</v>
      </c>
      <c r="S92" s="139">
        <v>0</v>
      </c>
      <c r="T92" s="139">
        <v>0</v>
      </c>
      <c r="U92" s="139"/>
      <c r="V92" s="139"/>
      <c r="W92" s="103"/>
      <c r="X92" s="103"/>
    </row>
    <row r="93" spans="1:24">
      <c r="A93" s="121" t="s">
        <v>804</v>
      </c>
      <c r="B93" s="120"/>
      <c r="C93" s="173">
        <f>SUM('Fin Sta as rep'!C152)</f>
        <v>213523</v>
      </c>
      <c r="D93" s="173">
        <f>SUM('Fin Sta as rep'!D152)</f>
        <v>-115000</v>
      </c>
      <c r="E93" s="173">
        <f>SUM('Fin Sta as rep'!E152)</f>
        <v>-18000</v>
      </c>
      <c r="F93" s="173">
        <f>SUM('Fin Sta as rep'!F152)</f>
        <v>-45000</v>
      </c>
      <c r="G93" s="173">
        <f>SUM('Fin Sta as rep'!G152)</f>
        <v>-13000</v>
      </c>
      <c r="H93" s="159">
        <f t="shared" ref="H93:L94" si="72">R93</f>
        <v>-100000</v>
      </c>
      <c r="I93" s="159">
        <f t="shared" si="72"/>
        <v>-100000</v>
      </c>
      <c r="J93" s="159">
        <f t="shared" si="72"/>
        <v>-100000</v>
      </c>
      <c r="K93" s="159">
        <f t="shared" si="72"/>
        <v>0</v>
      </c>
      <c r="L93" s="159">
        <f>V93</f>
        <v>0</v>
      </c>
      <c r="M93" s="103"/>
      <c r="N93" s="120" t="s">
        <v>804</v>
      </c>
      <c r="O93" s="103"/>
      <c r="P93" s="103"/>
      <c r="Q93" s="103"/>
      <c r="R93" s="147">
        <v>-100000</v>
      </c>
      <c r="S93" s="147">
        <v>-100000</v>
      </c>
      <c r="T93" s="147">
        <v>-100000</v>
      </c>
      <c r="U93" s="147">
        <v>0</v>
      </c>
      <c r="V93" s="147">
        <v>0</v>
      </c>
      <c r="W93" s="103"/>
      <c r="X93" s="103" t="s">
        <v>2145</v>
      </c>
    </row>
    <row r="94" spans="1:24">
      <c r="A94" s="121" t="s">
        <v>807</v>
      </c>
      <c r="B94" s="216"/>
      <c r="C94" s="173">
        <f>SUM('Fin Sta as rep'!C156:C157)</f>
        <v>16667</v>
      </c>
      <c r="D94" s="173">
        <f>SUM('Fin Sta as rep'!D156:D157)</f>
        <v>0</v>
      </c>
      <c r="E94" s="173">
        <f>SUM('Fin Sta as rep'!E156:E157)</f>
        <v>0</v>
      </c>
      <c r="F94" s="173">
        <f>SUM('Fin Sta as rep'!F156:F157)</f>
        <v>46000</v>
      </c>
      <c r="G94" s="173">
        <f>SUM('Fin Sta as rep'!G156:G157)</f>
        <v>123000</v>
      </c>
      <c r="H94" s="159">
        <f t="shared" si="72"/>
        <v>0</v>
      </c>
      <c r="I94" s="159">
        <f t="shared" si="72"/>
        <v>0</v>
      </c>
      <c r="J94" s="159">
        <f t="shared" si="72"/>
        <v>0</v>
      </c>
      <c r="K94" s="159">
        <f t="shared" si="72"/>
        <v>0</v>
      </c>
      <c r="L94" s="159">
        <f t="shared" si="72"/>
        <v>0</v>
      </c>
      <c r="M94" s="103"/>
      <c r="N94" s="120" t="s">
        <v>807</v>
      </c>
      <c r="O94" s="103"/>
      <c r="P94" s="103"/>
      <c r="Q94" s="103"/>
      <c r="R94" s="147">
        <v>0</v>
      </c>
      <c r="S94" s="147">
        <v>0</v>
      </c>
      <c r="T94" s="147">
        <v>0</v>
      </c>
      <c r="U94" s="147">
        <v>0</v>
      </c>
      <c r="V94" s="147">
        <v>0</v>
      </c>
      <c r="W94" s="103"/>
      <c r="X94" s="103"/>
    </row>
    <row r="95" spans="1:24">
      <c r="A95" s="373" t="s">
        <v>1684</v>
      </c>
      <c r="B95" s="153"/>
      <c r="C95" s="175">
        <f t="shared" ref="C95:L95" si="73">SUM(C91:C94)</f>
        <v>-1210281</v>
      </c>
      <c r="D95" s="175">
        <f>SUM(D91:D94)</f>
        <v>-4196540</v>
      </c>
      <c r="E95" s="175">
        <f t="shared" si="73"/>
        <v>-2337000</v>
      </c>
      <c r="F95" s="175">
        <f t="shared" si="73"/>
        <v>-1436000</v>
      </c>
      <c r="G95" s="175">
        <f t="shared" si="73"/>
        <v>-3132000</v>
      </c>
      <c r="H95" s="176">
        <f t="shared" si="73"/>
        <v>-8173450</v>
      </c>
      <c r="I95" s="176">
        <f t="shared" si="73"/>
        <v>-12319300.000000004</v>
      </c>
      <c r="J95" s="176">
        <f t="shared" si="73"/>
        <v>-14559154.128049994</v>
      </c>
      <c r="K95" s="176">
        <f t="shared" si="73"/>
        <v>0</v>
      </c>
      <c r="L95" s="176">
        <f t="shared" si="73"/>
        <v>0</v>
      </c>
      <c r="M95" s="103"/>
      <c r="N95" s="178"/>
      <c r="O95" s="103"/>
      <c r="P95" s="103"/>
      <c r="Q95" s="103"/>
      <c r="R95" s="103"/>
      <c r="S95" s="103"/>
      <c r="T95" s="103"/>
      <c r="U95" s="103"/>
      <c r="V95" s="103"/>
      <c r="W95" s="103"/>
      <c r="X95" s="103"/>
    </row>
    <row r="96" spans="1:24" ht="14.5">
      <c r="A96" s="371" t="s">
        <v>1581</v>
      </c>
      <c r="B96" s="156"/>
      <c r="C96" s="157"/>
      <c r="D96" s="157"/>
      <c r="E96" s="157"/>
      <c r="F96" s="158"/>
      <c r="G96" s="158"/>
      <c r="H96" s="159"/>
      <c r="I96" s="159"/>
      <c r="J96" s="159"/>
      <c r="K96" s="159"/>
      <c r="L96" s="159"/>
      <c r="M96" s="103"/>
      <c r="N96" s="103"/>
      <c r="O96" s="103"/>
      <c r="P96" s="103"/>
      <c r="Q96" s="103"/>
      <c r="R96" s="103"/>
      <c r="S96" s="103"/>
      <c r="T96" s="103"/>
      <c r="U96" s="103"/>
      <c r="V96" s="103"/>
      <c r="W96" s="103"/>
      <c r="X96" s="103"/>
    </row>
    <row r="97" spans="1:24" ht="14.5">
      <c r="A97" s="121" t="s">
        <v>816</v>
      </c>
      <c r="B97" s="120"/>
      <c r="C97" s="173">
        <f>SUM('Fin Sta as rep'!C162:C169,'Fin Sta as rep'!C177)</f>
        <v>1718190</v>
      </c>
      <c r="D97" s="173">
        <f>SUM('Fin Sta as rep'!D162:D169,'Fin Sta as rep'!D177)</f>
        <v>3385588</v>
      </c>
      <c r="E97" s="173">
        <f>SUM('Fin Sta as rep'!E162:E169,'Fin Sta as rep'!E177)</f>
        <v>74000</v>
      </c>
      <c r="F97" s="173">
        <f>SUM('Fin Sta as rep'!F162:F169,'Fin Sta as rep'!F177)</f>
        <v>761000</v>
      </c>
      <c r="G97" s="173">
        <f>SUM('Fin Sta as rep'!G162:G169,'Fin Sta as rep'!G177)</f>
        <v>-2494000</v>
      </c>
      <c r="H97" s="159">
        <f>H58-G58+H62-G62</f>
        <v>-2731258.8438308891</v>
      </c>
      <c r="I97" s="159">
        <f t="shared" ref="I97:L97" si="74">I58-H58+I62-H62</f>
        <v>-740929.249352891</v>
      </c>
      <c r="J97" s="159">
        <f t="shared" si="74"/>
        <v>-415705.1692445809</v>
      </c>
      <c r="K97" s="159">
        <f t="shared" si="74"/>
        <v>-3513106.7375716395</v>
      </c>
      <c r="L97" s="159" t="e">
        <f t="shared" si="74"/>
        <v>#DIV/0!</v>
      </c>
      <c r="M97" s="103"/>
      <c r="N97" s="171" t="s">
        <v>2146</v>
      </c>
      <c r="O97" s="103"/>
      <c r="P97" s="103"/>
      <c r="Q97" s="103"/>
      <c r="R97" s="103"/>
      <c r="S97" s="103"/>
      <c r="T97" s="103"/>
      <c r="U97" s="103"/>
      <c r="V97" s="103"/>
      <c r="W97" s="103"/>
      <c r="X97" s="103"/>
    </row>
    <row r="98" spans="1:24" ht="14.5">
      <c r="A98" s="377" t="s">
        <v>825</v>
      </c>
      <c r="B98" s="188"/>
      <c r="C98" s="173">
        <f>SUM('Fin Sta as rep'!C170:C176,'Fin Sta as rep'!C181)</f>
        <v>2025786</v>
      </c>
      <c r="D98" s="173">
        <f>SUM('Fin Sta as rep'!D170:D176,'Fin Sta as rep'!D181)</f>
        <v>1124040</v>
      </c>
      <c r="E98" s="173">
        <f>SUM('Fin Sta as rep'!E170:E176,'Fin Sta as rep'!E181)</f>
        <v>506000</v>
      </c>
      <c r="F98" s="173">
        <f>SUM('Fin Sta as rep'!F170:F176,'Fin Sta as rep'!F181)</f>
        <v>1079000</v>
      </c>
      <c r="G98" s="173">
        <f>SUM('Fin Sta as rep'!G170:G176,'Fin Sta as rep'!G181)</f>
        <v>12502000</v>
      </c>
      <c r="H98" s="159">
        <f>R98</f>
        <v>-2000000</v>
      </c>
      <c r="I98" s="159">
        <f t="shared" ref="H98:L100" si="75">S98</f>
        <v>-2300000</v>
      </c>
      <c r="J98" s="159">
        <f t="shared" si="75"/>
        <v>-2500000</v>
      </c>
      <c r="K98" s="159">
        <f t="shared" si="75"/>
        <v>0</v>
      </c>
      <c r="L98" s="159">
        <f t="shared" si="75"/>
        <v>0</v>
      </c>
      <c r="M98" s="103"/>
      <c r="N98" s="188" t="s">
        <v>825</v>
      </c>
      <c r="O98" s="103"/>
      <c r="P98" s="103"/>
      <c r="Q98" s="103"/>
      <c r="R98" s="147">
        <v>-2000000</v>
      </c>
      <c r="S98" s="147">
        <v>-2300000</v>
      </c>
      <c r="T98" s="147">
        <v>-2500000</v>
      </c>
      <c r="U98" s="147">
        <v>0</v>
      </c>
      <c r="V98" s="147">
        <v>0</v>
      </c>
      <c r="W98" s="103"/>
      <c r="X98" s="156" t="s">
        <v>2147</v>
      </c>
    </row>
    <row r="99" spans="1:24">
      <c r="A99" s="377" t="s">
        <v>834</v>
      </c>
      <c r="B99" s="188"/>
      <c r="C99" s="173">
        <f>SUM('Fin Sta as rep'!C178:C179)</f>
        <v>0</v>
      </c>
      <c r="D99" s="173">
        <f>SUM('Fin Sta as rep'!D178:D179)</f>
        <v>-177502</v>
      </c>
      <c r="E99" s="173">
        <f>SUM('Fin Sta as rep'!E178:E179)</f>
        <v>0</v>
      </c>
      <c r="F99" s="173">
        <f>SUM('Fin Sta as rep'!F178:F179)</f>
        <v>174000</v>
      </c>
      <c r="G99" s="144">
        <f>SUM('Fin Sta as rep'!G178:G179)</f>
        <v>0</v>
      </c>
      <c r="H99" s="159">
        <f>R99</f>
        <v>0</v>
      </c>
      <c r="I99" s="159">
        <f t="shared" si="75"/>
        <v>0</v>
      </c>
      <c r="J99" s="159">
        <f t="shared" si="75"/>
        <v>0</v>
      </c>
      <c r="K99" s="159"/>
      <c r="L99" s="159"/>
      <c r="M99" s="103"/>
      <c r="N99" s="188" t="s">
        <v>1645</v>
      </c>
      <c r="O99" s="103"/>
      <c r="P99" s="103"/>
      <c r="Q99" s="103"/>
      <c r="R99" s="147">
        <f>(G69-E69)/2</f>
        <v>0</v>
      </c>
      <c r="S99" s="147">
        <f>R99</f>
        <v>0</v>
      </c>
      <c r="T99" s="147">
        <f>S99</f>
        <v>0</v>
      </c>
      <c r="U99" s="147"/>
      <c r="V99" s="147"/>
      <c r="W99" s="103"/>
      <c r="X99" s="103"/>
    </row>
    <row r="100" spans="1:24">
      <c r="A100" s="121" t="s">
        <v>837</v>
      </c>
      <c r="B100" s="120"/>
      <c r="C100" s="173">
        <f>SUM('Fin Sta as rep'!C180,'Fin Sta as rep'!C182:C183)</f>
        <v>0</v>
      </c>
      <c r="D100" s="173">
        <f>SUM('Fin Sta as rep'!D180,'Fin Sta as rep'!D182:D183)</f>
        <v>82738</v>
      </c>
      <c r="E100" s="173">
        <f>SUM('Fin Sta as rep'!E180,'Fin Sta as rep'!E182:E183)</f>
        <v>-6000</v>
      </c>
      <c r="F100" s="173">
        <f>SUM('Fin Sta as rep'!F180,'Fin Sta as rep'!F182:F183)</f>
        <v>-485000</v>
      </c>
      <c r="G100" s="173">
        <f>SUM('Fin Sta as rep'!G180,'Fin Sta as rep'!G182:G183)</f>
        <v>-35000</v>
      </c>
      <c r="H100" s="159">
        <f t="shared" si="75"/>
        <v>-400000</v>
      </c>
      <c r="I100" s="159">
        <f t="shared" si="75"/>
        <v>-750000</v>
      </c>
      <c r="J100" s="159">
        <f t="shared" si="75"/>
        <v>-850000</v>
      </c>
      <c r="K100" s="159">
        <f t="shared" si="75"/>
        <v>0</v>
      </c>
      <c r="L100" s="159">
        <f t="shared" si="75"/>
        <v>0</v>
      </c>
      <c r="M100" s="103"/>
      <c r="N100" s="120" t="s">
        <v>807</v>
      </c>
      <c r="O100" s="103"/>
      <c r="P100" s="103"/>
      <c r="Q100" s="103"/>
      <c r="R100" s="147">
        <v>-400000</v>
      </c>
      <c r="S100" s="147">
        <v>-750000</v>
      </c>
      <c r="T100" s="147">
        <v>-850000</v>
      </c>
      <c r="U100" s="147">
        <v>0</v>
      </c>
      <c r="V100" s="147">
        <v>0</v>
      </c>
      <c r="W100" s="103"/>
      <c r="X100" s="103" t="s">
        <v>1818</v>
      </c>
    </row>
    <row r="101" spans="1:24">
      <c r="A101" s="373" t="s">
        <v>1623</v>
      </c>
      <c r="B101" s="153"/>
      <c r="C101" s="174">
        <f>SUM(C97:C100)</f>
        <v>3743976</v>
      </c>
      <c r="D101" s="174">
        <f t="shared" ref="D101:L101" si="76">SUM(D97:D100)</f>
        <v>4414864</v>
      </c>
      <c r="E101" s="175">
        <f t="shared" si="76"/>
        <v>574000</v>
      </c>
      <c r="F101" s="175">
        <f t="shared" si="76"/>
        <v>1529000</v>
      </c>
      <c r="G101" s="175">
        <f t="shared" si="76"/>
        <v>9973000</v>
      </c>
      <c r="H101" s="176">
        <f t="shared" si="76"/>
        <v>-5131258.8438308891</v>
      </c>
      <c r="I101" s="176">
        <f t="shared" si="76"/>
        <v>-3790929.249352891</v>
      </c>
      <c r="J101" s="176">
        <f t="shared" si="76"/>
        <v>-3765705.1692445809</v>
      </c>
      <c r="K101" s="176">
        <f t="shared" si="76"/>
        <v>-3513106.7375716395</v>
      </c>
      <c r="L101" s="176" t="e">
        <f t="shared" si="76"/>
        <v>#DIV/0!</v>
      </c>
      <c r="M101" s="103"/>
      <c r="N101" s="178"/>
      <c r="O101" s="103"/>
      <c r="P101" s="103"/>
      <c r="Q101" s="103"/>
      <c r="R101" s="103"/>
      <c r="S101" s="103"/>
      <c r="T101" s="103"/>
      <c r="U101" s="103"/>
      <c r="V101" s="103"/>
      <c r="W101" s="103"/>
      <c r="X101" s="103"/>
    </row>
    <row r="102" spans="1:24">
      <c r="A102" s="121" t="s">
        <v>1624</v>
      </c>
      <c r="B102" s="120"/>
      <c r="C102" s="173">
        <f>SUM('Fin Sta as rep'!C187)</f>
        <v>-7409</v>
      </c>
      <c r="D102" s="173">
        <f>SUM('Fin Sta as rep'!D187)</f>
        <v>39455</v>
      </c>
      <c r="E102" s="173">
        <f>SUM('Fin Sta as rep'!E187)</f>
        <v>-22700</v>
      </c>
      <c r="F102" s="173">
        <f>SUM('Fin Sta as rep'!F187)</f>
        <v>8000</v>
      </c>
      <c r="G102" s="173">
        <f>SUM('Fin Sta as rep'!G187)</f>
        <v>334000</v>
      </c>
      <c r="H102" s="225">
        <v>0</v>
      </c>
      <c r="I102" s="225">
        <v>0</v>
      </c>
      <c r="J102" s="225">
        <v>0</v>
      </c>
      <c r="K102" s="159">
        <f t="shared" ref="K102:L102" si="77">U102</f>
        <v>0</v>
      </c>
      <c r="L102" s="159">
        <f t="shared" si="77"/>
        <v>0</v>
      </c>
      <c r="M102" s="103"/>
      <c r="N102" s="120" t="s">
        <v>1624</v>
      </c>
      <c r="O102" s="103"/>
      <c r="P102" s="103"/>
      <c r="Q102" s="103"/>
      <c r="R102" s="147">
        <v>0</v>
      </c>
      <c r="S102" s="147">
        <v>0</v>
      </c>
      <c r="T102" s="147">
        <v>0</v>
      </c>
      <c r="U102" s="147">
        <v>0</v>
      </c>
      <c r="V102" s="147">
        <v>0</v>
      </c>
      <c r="W102" s="103"/>
      <c r="X102" s="103"/>
    </row>
    <row r="103" spans="1:24">
      <c r="A103" s="373" t="s">
        <v>1625</v>
      </c>
      <c r="B103" s="153"/>
      <c r="C103" s="174">
        <f>C89+C95+C101+C102</f>
        <v>2402457</v>
      </c>
      <c r="D103" s="174">
        <f>D89+D95+D101+D102</f>
        <v>197125</v>
      </c>
      <c r="E103" s="176">
        <f t="shared" ref="E103:L103" si="78">E89+E95+E101+E102</f>
        <v>312102</v>
      </c>
      <c r="F103" s="176">
        <f t="shared" si="78"/>
        <v>2506000</v>
      </c>
      <c r="G103" s="176">
        <f t="shared" si="78"/>
        <v>13118000</v>
      </c>
      <c r="H103" s="176">
        <f t="shared" si="78"/>
        <v>-1141936.3565434162</v>
      </c>
      <c r="I103" s="176">
        <f t="shared" si="78"/>
        <v>-1630733.3458674774</v>
      </c>
      <c r="J103" s="176">
        <f t="shared" si="78"/>
        <v>-5990099.1263731765</v>
      </c>
      <c r="K103" s="176">
        <f t="shared" si="78"/>
        <v>88411803.510781646</v>
      </c>
      <c r="L103" s="176" t="e">
        <f t="shared" si="78"/>
        <v>#DIV/0!</v>
      </c>
      <c r="M103" s="103"/>
      <c r="N103" s="178"/>
      <c r="O103" s="103"/>
      <c r="P103" s="103"/>
      <c r="Q103" s="103"/>
      <c r="R103" s="103"/>
      <c r="S103" s="103"/>
      <c r="T103" s="103"/>
      <c r="U103" s="103"/>
      <c r="V103" s="103"/>
      <c r="W103" s="103"/>
      <c r="X103" s="103"/>
    </row>
    <row r="104" spans="1:24" ht="14.5">
      <c r="A104" s="371" t="s">
        <v>1581</v>
      </c>
      <c r="B104" s="156"/>
      <c r="C104" s="157"/>
      <c r="D104" s="157"/>
      <c r="E104" s="164"/>
      <c r="F104" s="180"/>
      <c r="G104" s="180"/>
      <c r="H104" s="159"/>
      <c r="I104" s="159"/>
      <c r="J104" s="159"/>
      <c r="K104" s="159"/>
      <c r="L104" s="159"/>
      <c r="M104" s="103"/>
      <c r="N104" s="103"/>
      <c r="O104" s="103"/>
      <c r="P104" s="103"/>
      <c r="Q104" s="103"/>
      <c r="R104" s="103"/>
      <c r="S104" s="103"/>
      <c r="T104" s="103"/>
      <c r="U104" s="103"/>
      <c r="V104" s="103"/>
      <c r="W104" s="103"/>
      <c r="X104" s="103"/>
    </row>
    <row r="105" spans="1:24">
      <c r="A105" s="121" t="s">
        <v>1626</v>
      </c>
      <c r="B105" s="120"/>
      <c r="C105" s="157">
        <f>B42</f>
        <v>1196908</v>
      </c>
      <c r="D105" s="157">
        <f>C106</f>
        <v>3599365</v>
      </c>
      <c r="E105" s="159">
        <f t="shared" ref="E105:G105" si="79">D106</f>
        <v>3796490</v>
      </c>
      <c r="F105" s="159">
        <f t="shared" si="79"/>
        <v>4108592</v>
      </c>
      <c r="G105" s="159">
        <f t="shared" si="79"/>
        <v>6614592</v>
      </c>
      <c r="H105" s="159">
        <f>G106</f>
        <v>19732592</v>
      </c>
      <c r="I105" s="159">
        <f>H106</f>
        <v>18590655.643456586</v>
      </c>
      <c r="J105" s="159">
        <f>I106</f>
        <v>16959922.297589108</v>
      </c>
      <c r="K105" s="159">
        <f>J106</f>
        <v>10969823.171215933</v>
      </c>
      <c r="L105" s="159">
        <f>K106</f>
        <v>99381626.681997582</v>
      </c>
      <c r="M105" s="103"/>
      <c r="N105" s="178"/>
      <c r="O105" s="103"/>
      <c r="P105" s="103"/>
      <c r="Q105" s="103"/>
      <c r="R105" s="103"/>
      <c r="S105" s="103"/>
      <c r="T105" s="103"/>
      <c r="U105" s="103"/>
      <c r="V105" s="103"/>
      <c r="W105" s="103"/>
      <c r="X105" s="103"/>
    </row>
    <row r="106" spans="1:24">
      <c r="A106" s="121" t="s">
        <v>1627</v>
      </c>
      <c r="B106" s="120"/>
      <c r="C106" s="157">
        <f>SUM(C105,C103)</f>
        <v>3599365</v>
      </c>
      <c r="D106" s="157">
        <f t="shared" ref="D106:G106" si="80">SUM(D105,D103)</f>
        <v>3796490</v>
      </c>
      <c r="E106" s="137">
        <f t="shared" si="80"/>
        <v>4108592</v>
      </c>
      <c r="F106" s="159">
        <f t="shared" si="80"/>
        <v>6614592</v>
      </c>
      <c r="G106" s="159">
        <f t="shared" si="80"/>
        <v>19732592</v>
      </c>
      <c r="H106" s="159">
        <f>SUM(H105,H103)</f>
        <v>18590655.643456586</v>
      </c>
      <c r="I106" s="159">
        <f>SUM(I105,I103)</f>
        <v>16959922.297589108</v>
      </c>
      <c r="J106" s="159">
        <f>SUM(J105,J103)</f>
        <v>10969823.171215933</v>
      </c>
      <c r="K106" s="159">
        <f>SUM(K105,K103)</f>
        <v>99381626.681997582</v>
      </c>
      <c r="L106" s="159" t="e">
        <f>SUM(L105,L103)</f>
        <v>#DIV/0!</v>
      </c>
      <c r="M106" s="103"/>
      <c r="N106" s="178"/>
      <c r="O106" s="103"/>
      <c r="P106" s="103"/>
      <c r="Q106" s="103"/>
      <c r="R106" s="103"/>
      <c r="S106" s="103"/>
      <c r="T106" s="103"/>
      <c r="U106" s="103"/>
      <c r="V106" s="103"/>
      <c r="W106" s="103"/>
      <c r="X106" s="103"/>
    </row>
    <row r="107" spans="1:24" ht="14.5">
      <c r="A107" s="371" t="s">
        <v>1581</v>
      </c>
      <c r="B107" s="156"/>
      <c r="C107" s="157"/>
      <c r="D107" s="157"/>
      <c r="E107" s="164"/>
      <c r="F107" s="180"/>
      <c r="G107" s="180"/>
      <c r="H107" s="159"/>
      <c r="I107" s="159"/>
      <c r="J107" s="159"/>
      <c r="K107" s="159"/>
      <c r="L107" s="159"/>
      <c r="M107" s="103"/>
      <c r="N107" s="103"/>
      <c r="O107" s="103"/>
      <c r="P107" s="103"/>
      <c r="Q107" s="103"/>
      <c r="R107" s="103"/>
      <c r="S107" s="103"/>
      <c r="T107" s="103"/>
      <c r="U107" s="103"/>
      <c r="V107" s="103"/>
      <c r="W107" s="103"/>
      <c r="X107" s="103"/>
    </row>
    <row r="108" spans="1:24" ht="20">
      <c r="A108" s="368" t="s">
        <v>1819</v>
      </c>
      <c r="B108" s="123"/>
      <c r="C108" s="189"/>
      <c r="D108" s="189"/>
      <c r="E108" s="190"/>
      <c r="F108" s="190"/>
      <c r="G108" s="190"/>
      <c r="H108" s="128"/>
      <c r="I108" s="128"/>
      <c r="J108" s="128"/>
      <c r="K108" s="128"/>
      <c r="L108" s="128"/>
      <c r="M108" s="191"/>
      <c r="N108" s="191"/>
      <c r="O108" s="191"/>
      <c r="P108" s="191"/>
      <c r="Q108" s="191"/>
      <c r="R108" s="191"/>
      <c r="S108" s="191"/>
      <c r="T108" s="191"/>
      <c r="U108" s="191"/>
      <c r="V108" s="191"/>
      <c r="W108" s="191"/>
      <c r="X108" s="191"/>
    </row>
    <row r="109" spans="1:24" ht="14.5">
      <c r="A109" s="378" t="s">
        <v>1581</v>
      </c>
      <c r="B109" s="192"/>
      <c r="C109" s="193"/>
      <c r="D109" s="193"/>
      <c r="E109" s="194"/>
      <c r="F109" s="194"/>
      <c r="G109" s="194"/>
      <c r="H109" s="137"/>
      <c r="I109" s="137"/>
      <c r="J109" s="137"/>
      <c r="K109" s="137"/>
      <c r="L109" s="137"/>
      <c r="M109" s="195"/>
      <c r="N109" s="195"/>
      <c r="O109" s="195"/>
      <c r="P109" s="195"/>
      <c r="Q109" s="195"/>
      <c r="R109" s="195"/>
      <c r="S109" s="195"/>
      <c r="T109" s="195"/>
      <c r="U109" s="195"/>
      <c r="V109" s="195"/>
      <c r="W109" s="195"/>
      <c r="X109" s="195"/>
    </row>
    <row r="110" spans="1:24">
      <c r="A110" s="373" t="s">
        <v>508</v>
      </c>
      <c r="B110" s="153"/>
      <c r="C110" s="196">
        <f t="shared" ref="C110:J110" si="81">IFERROR(C7/C7,"")</f>
        <v>1</v>
      </c>
      <c r="D110" s="196">
        <f t="shared" si="81"/>
        <v>1</v>
      </c>
      <c r="E110" s="197">
        <f t="shared" si="81"/>
        <v>1</v>
      </c>
      <c r="F110" s="197">
        <f t="shared" si="81"/>
        <v>1</v>
      </c>
      <c r="G110" s="197">
        <f t="shared" si="81"/>
        <v>1</v>
      </c>
      <c r="H110" s="197">
        <f t="shared" si="81"/>
        <v>1</v>
      </c>
      <c r="I110" s="197">
        <f t="shared" si="81"/>
        <v>1</v>
      </c>
      <c r="J110" s="197">
        <f t="shared" si="81"/>
        <v>1</v>
      </c>
      <c r="K110" s="197"/>
      <c r="L110" s="197"/>
      <c r="M110" s="195"/>
      <c r="N110" s="195"/>
      <c r="O110" s="195"/>
      <c r="P110" s="195"/>
      <c r="Q110" s="195"/>
      <c r="R110" s="195"/>
      <c r="S110" s="195"/>
      <c r="T110" s="195"/>
      <c r="U110" s="195"/>
      <c r="V110" s="195"/>
      <c r="W110" s="195"/>
      <c r="X110" s="195"/>
    </row>
    <row r="111" spans="1:24">
      <c r="A111" s="373" t="s">
        <v>1632</v>
      </c>
      <c r="B111" s="153"/>
      <c r="C111" s="198">
        <f t="shared" ref="C111:J111" si="82">IFERROR(C14/C7,"")</f>
        <v>0.77153892449696282</v>
      </c>
      <c r="D111" s="198">
        <f t="shared" si="82"/>
        <v>0.8109428269416058</v>
      </c>
      <c r="E111" s="199">
        <f t="shared" si="82"/>
        <v>0.80924816409453515</v>
      </c>
      <c r="F111" s="199">
        <f t="shared" si="82"/>
        <v>0.83444543901049717</v>
      </c>
      <c r="G111" s="199">
        <f t="shared" si="82"/>
        <v>0.7897640791476408</v>
      </c>
      <c r="H111" s="199">
        <f t="shared" si="82"/>
        <v>0.74719532541850142</v>
      </c>
      <c r="I111" s="199">
        <f t="shared" si="82"/>
        <v>0.74338280973883852</v>
      </c>
      <c r="J111" s="199">
        <f t="shared" si="82"/>
        <v>0.82914355018327224</v>
      </c>
      <c r="K111" s="199"/>
      <c r="L111" s="199"/>
      <c r="M111" s="195"/>
      <c r="N111" s="195"/>
      <c r="O111" s="195"/>
      <c r="P111" s="195"/>
      <c r="Q111" s="195"/>
      <c r="R111" s="195"/>
      <c r="S111" s="195"/>
      <c r="T111" s="195"/>
      <c r="U111" s="195"/>
      <c r="V111" s="195"/>
      <c r="W111" s="195"/>
      <c r="X111" s="195"/>
    </row>
    <row r="112" spans="1:24">
      <c r="A112" s="373" t="s">
        <v>1820</v>
      </c>
      <c r="B112" s="153"/>
      <c r="C112" s="198">
        <f t="shared" ref="C112:J112" si="83">IFERROR(C21/C7,"")</f>
        <v>0.22846107550303715</v>
      </c>
      <c r="D112" s="198">
        <f t="shared" si="83"/>
        <v>0.18905717305839423</v>
      </c>
      <c r="E112" s="199">
        <f t="shared" si="83"/>
        <v>0.19075183590546485</v>
      </c>
      <c r="F112" s="199">
        <f t="shared" si="83"/>
        <v>0.1655545609895028</v>
      </c>
      <c r="G112" s="199">
        <f t="shared" si="83"/>
        <v>0.2102359208523592</v>
      </c>
      <c r="H112" s="199">
        <f t="shared" si="83"/>
        <v>0.25280467458149863</v>
      </c>
      <c r="I112" s="199">
        <f t="shared" si="83"/>
        <v>0.25661719026116148</v>
      </c>
      <c r="J112" s="199">
        <f t="shared" si="83"/>
        <v>0.17085644981672773</v>
      </c>
      <c r="K112" s="199"/>
      <c r="L112" s="199"/>
      <c r="M112" s="195"/>
      <c r="N112" s="195"/>
      <c r="O112" s="195"/>
      <c r="P112" s="195"/>
      <c r="Q112" s="195"/>
      <c r="R112" s="195"/>
      <c r="S112" s="195"/>
      <c r="T112" s="195"/>
      <c r="U112" s="195"/>
      <c r="V112" s="195"/>
      <c r="W112" s="195"/>
      <c r="X112" s="195"/>
    </row>
    <row r="113" spans="1:24">
      <c r="A113" s="373" t="s">
        <v>1821</v>
      </c>
      <c r="B113" s="153"/>
      <c r="C113" s="198">
        <f t="shared" ref="C113:J113" si="84">IFERROR(C23/C7,"")</f>
        <v>0.3237936043750051</v>
      </c>
      <c r="D113" s="198">
        <f t="shared" si="84"/>
        <v>0.32784931980974913</v>
      </c>
      <c r="E113" s="199">
        <f t="shared" si="84"/>
        <v>0.20883471259226125</v>
      </c>
      <c r="F113" s="199">
        <f t="shared" si="84"/>
        <v>0.16836194971112378</v>
      </c>
      <c r="G113" s="199">
        <f t="shared" si="84"/>
        <v>0.14700659563673263</v>
      </c>
      <c r="H113" s="199">
        <f t="shared" si="84"/>
        <v>0.13209965999665571</v>
      </c>
      <c r="I113" s="199">
        <f t="shared" si="84"/>
        <v>8.6187424811568547E-2</v>
      </c>
      <c r="J113" s="199">
        <f t="shared" si="84"/>
        <v>7.9249392890233583E-2</v>
      </c>
      <c r="K113" s="199"/>
      <c r="L113" s="199"/>
      <c r="M113" s="195"/>
      <c r="N113" s="195"/>
      <c r="O113" s="195"/>
      <c r="P113" s="195"/>
      <c r="Q113" s="195"/>
      <c r="R113" s="195"/>
      <c r="S113" s="195"/>
      <c r="T113" s="195"/>
      <c r="U113" s="195"/>
      <c r="V113" s="195"/>
      <c r="W113" s="195"/>
      <c r="X113" s="195"/>
    </row>
    <row r="114" spans="1:24">
      <c r="A114" s="373" t="s">
        <v>1822</v>
      </c>
      <c r="B114" s="153"/>
      <c r="C114" s="198">
        <f t="shared" ref="C114:J114" si="85">IFERROR(C29/C7,"")</f>
        <v>-9.5332528871967928E-2</v>
      </c>
      <c r="D114" s="198">
        <f t="shared" si="85"/>
        <v>-0.1387921467513549</v>
      </c>
      <c r="E114" s="199">
        <f t="shared" si="85"/>
        <v>-1.8082876686796392E-2</v>
      </c>
      <c r="F114" s="199">
        <f t="shared" si="85"/>
        <v>-2.8073887216209618E-3</v>
      </c>
      <c r="G114" s="199">
        <f t="shared" si="85"/>
        <v>6.3229325215626589E-2</v>
      </c>
      <c r="H114" s="199">
        <f t="shared" si="85"/>
        <v>0.12070501458484291</v>
      </c>
      <c r="I114" s="199">
        <f t="shared" si="85"/>
        <v>0.1704297654495929</v>
      </c>
      <c r="J114" s="199">
        <f t="shared" si="85"/>
        <v>9.1607056926494138E-2</v>
      </c>
      <c r="K114" s="199"/>
      <c r="L114" s="199"/>
      <c r="M114" s="195"/>
      <c r="N114" s="195"/>
      <c r="O114" s="195"/>
      <c r="P114" s="195"/>
      <c r="Q114" s="195"/>
      <c r="R114" s="195"/>
      <c r="S114" s="195"/>
      <c r="T114" s="195"/>
      <c r="U114" s="195"/>
      <c r="V114" s="195"/>
      <c r="W114" s="195"/>
      <c r="X114" s="195"/>
    </row>
    <row r="115" spans="1:24">
      <c r="A115" s="121" t="s">
        <v>1823</v>
      </c>
      <c r="B115" s="120"/>
      <c r="C115" s="167">
        <f t="shared" ref="C115:J115" si="86">IFERROR(C35/C34,"")</f>
        <v>-3.5771516772336767E-2</v>
      </c>
      <c r="D115" s="167">
        <f t="shared" si="86"/>
        <v>-1.4280463116876533E-2</v>
      </c>
      <c r="E115" s="200">
        <f t="shared" si="86"/>
        <v>-5.7563859486735439E-2</v>
      </c>
      <c r="F115" s="200">
        <f t="shared" si="86"/>
        <v>-0.16541353383458646</v>
      </c>
      <c r="G115" s="200">
        <f t="shared" si="86"/>
        <v>0.2530329289428076</v>
      </c>
      <c r="H115" s="200">
        <f t="shared" si="86"/>
        <v>0.11020532876661791</v>
      </c>
      <c r="I115" s="200">
        <f t="shared" si="86"/>
        <v>8.2210440910380864E-2</v>
      </c>
      <c r="J115" s="200">
        <f t="shared" si="86"/>
        <v>0.11139941799333761</v>
      </c>
      <c r="K115" s="200"/>
      <c r="L115" s="200"/>
      <c r="M115" s="195"/>
      <c r="N115" s="195"/>
      <c r="O115" s="195"/>
      <c r="P115" s="195"/>
      <c r="Q115" s="195"/>
      <c r="R115" s="195"/>
      <c r="S115" s="195"/>
      <c r="T115" s="195"/>
      <c r="U115" s="195"/>
      <c r="V115" s="195"/>
      <c r="W115" s="195"/>
      <c r="X115" s="195"/>
    </row>
    <row r="116" spans="1:24">
      <c r="A116" s="373" t="s">
        <v>1824</v>
      </c>
      <c r="B116" s="153"/>
      <c r="C116" s="201">
        <f t="shared" ref="C116:J116" si="87">C39/C7</f>
        <v>-9.6414508932621101E-2</v>
      </c>
      <c r="D116" s="201">
        <f t="shared" si="87"/>
        <v>-0.16679691918079531</v>
      </c>
      <c r="E116" s="151">
        <f t="shared" si="87"/>
        <v>-4.5482507641840003E-2</v>
      </c>
      <c r="F116" s="151">
        <f t="shared" si="87"/>
        <v>-3.5072015623728539E-2</v>
      </c>
      <c r="G116" s="202">
        <f t="shared" si="87"/>
        <v>2.2862760020294266E-2</v>
      </c>
      <c r="H116" s="151">
        <f t="shared" si="87"/>
        <v>0.10253434405365736</v>
      </c>
      <c r="I116" s="151">
        <f t="shared" si="87"/>
        <v>0.15475363424731456</v>
      </c>
      <c r="J116" s="151">
        <f t="shared" si="87"/>
        <v>8.0633735591813194E-2</v>
      </c>
      <c r="K116" s="151"/>
      <c r="L116" s="151"/>
      <c r="M116" s="195"/>
      <c r="N116" s="195"/>
      <c r="O116" s="195"/>
      <c r="P116" s="195"/>
      <c r="Q116" s="195"/>
      <c r="R116" s="195"/>
      <c r="S116" s="195"/>
      <c r="T116" s="195"/>
      <c r="U116" s="195"/>
      <c r="V116" s="195"/>
      <c r="W116" s="195"/>
      <c r="X116" s="195"/>
    </row>
    <row r="117" spans="1:24" ht="20">
      <c r="A117" s="368" t="s">
        <v>1825</v>
      </c>
      <c r="B117" s="123"/>
      <c r="C117" s="203"/>
      <c r="D117" s="203"/>
      <c r="E117" s="128"/>
      <c r="F117" s="128"/>
      <c r="G117" s="128"/>
      <c r="H117" s="128"/>
      <c r="I117" s="128"/>
      <c r="J117" s="128"/>
      <c r="K117" s="128"/>
      <c r="L117" s="128"/>
      <c r="M117" s="191"/>
      <c r="N117" s="191"/>
      <c r="O117" s="191"/>
      <c r="P117" s="191"/>
      <c r="Q117" s="191"/>
      <c r="R117" s="191"/>
      <c r="S117" s="191"/>
      <c r="T117" s="191"/>
      <c r="U117" s="191"/>
      <c r="V117" s="191"/>
      <c r="W117" s="191"/>
      <c r="X117" s="191"/>
    </row>
    <row r="118" spans="1:24">
      <c r="A118" s="373" t="s">
        <v>508</v>
      </c>
      <c r="B118" s="153"/>
      <c r="C118" s="198"/>
      <c r="D118" s="198"/>
      <c r="E118" s="199">
        <f t="shared" ref="E118:J118" si="88">IFERROR(E7/D7-1,"")</f>
        <v>0.82502055835383503</v>
      </c>
      <c r="F118" s="199">
        <f t="shared" si="88"/>
        <v>0.14525087601580555</v>
      </c>
      <c r="G118" s="202">
        <f t="shared" si="88"/>
        <v>0.28309870615998056</v>
      </c>
      <c r="H118" s="199">
        <f t="shared" si="88"/>
        <v>0.70671613394216126</v>
      </c>
      <c r="I118" s="199">
        <f t="shared" si="88"/>
        <v>0.51351652639206335</v>
      </c>
      <c r="J118" s="199">
        <f t="shared" si="88"/>
        <v>0.18330461876293969</v>
      </c>
      <c r="K118" s="199"/>
      <c r="L118" s="199"/>
      <c r="M118" s="195"/>
      <c r="N118" s="195"/>
      <c r="O118" s="195"/>
      <c r="P118" s="195"/>
      <c r="Q118" s="195"/>
      <c r="R118" s="195"/>
      <c r="S118" s="195"/>
      <c r="T118" s="195"/>
      <c r="U118" s="195"/>
      <c r="V118" s="195"/>
      <c r="W118" s="195"/>
      <c r="X118" s="195"/>
    </row>
    <row r="119" spans="1:24">
      <c r="A119" s="373" t="s">
        <v>287</v>
      </c>
      <c r="B119" s="153"/>
      <c r="C119" s="198"/>
      <c r="D119" s="198"/>
      <c r="E119" s="199">
        <f t="shared" ref="E119:J119" si="89">IFERROR(E14/D14-1,"")</f>
        <v>0.82120673272688349</v>
      </c>
      <c r="F119" s="199">
        <f t="shared" si="89"/>
        <v>0.18091014896949198</v>
      </c>
      <c r="G119" s="199">
        <f t="shared" si="89"/>
        <v>0.21439368082305332</v>
      </c>
      <c r="H119" s="199">
        <f t="shared" si="89"/>
        <v>0.61472311892716625</v>
      </c>
      <c r="I119" s="199">
        <f t="shared" si="89"/>
        <v>0.50579390649335543</v>
      </c>
      <c r="J119" s="199">
        <f t="shared" si="89"/>
        <v>0.31981716512122849</v>
      </c>
      <c r="K119" s="199"/>
      <c r="L119" s="199"/>
      <c r="M119" s="195"/>
      <c r="N119" s="195"/>
      <c r="O119" s="195"/>
      <c r="P119" s="195"/>
      <c r="Q119" s="195"/>
      <c r="R119" s="195"/>
      <c r="S119" s="195"/>
      <c r="T119" s="195"/>
      <c r="U119" s="195"/>
      <c r="V119" s="195"/>
      <c r="W119" s="195"/>
      <c r="X119" s="195"/>
    </row>
    <row r="120" spans="1:24">
      <c r="A120" s="373" t="s">
        <v>511</v>
      </c>
      <c r="B120" s="153"/>
      <c r="C120" s="201"/>
      <c r="D120" s="201"/>
      <c r="E120" s="199">
        <f t="shared" ref="E120:J120" si="90">IFERROR(E21/D21-1,"")</f>
        <v>0.84137960194551642</v>
      </c>
      <c r="F120" s="199">
        <f t="shared" si="90"/>
        <v>-6.0305050190696541E-3</v>
      </c>
      <c r="G120" s="202">
        <f t="shared" si="90"/>
        <v>0.62939297124600646</v>
      </c>
      <c r="H120" s="199">
        <f t="shared" si="90"/>
        <v>1.0522935143288086</v>
      </c>
      <c r="I120" s="199">
        <f t="shared" si="90"/>
        <v>0.53634167983454217</v>
      </c>
      <c r="J120" s="199">
        <f t="shared" si="90"/>
        <v>-0.2121524438490775</v>
      </c>
      <c r="K120" s="199"/>
      <c r="L120" s="199"/>
      <c r="M120" s="195"/>
      <c r="N120" s="195"/>
      <c r="O120" s="195"/>
      <c r="P120" s="195"/>
      <c r="Q120" s="195"/>
      <c r="R120" s="195"/>
      <c r="S120" s="195"/>
      <c r="T120" s="195"/>
      <c r="U120" s="195"/>
      <c r="V120" s="195"/>
      <c r="W120" s="195"/>
      <c r="X120" s="195"/>
    </row>
    <row r="121" spans="1:24">
      <c r="A121" s="373" t="s">
        <v>1582</v>
      </c>
      <c r="B121" s="153"/>
      <c r="C121" s="201"/>
      <c r="D121" s="201"/>
      <c r="E121" s="199">
        <f t="shared" ref="E121:J121" si="91">IFERROR(E23/D23-1,"")</f>
        <v>0.16250856948539516</v>
      </c>
      <c r="F121" s="199">
        <f t="shared" si="91"/>
        <v>-7.6702009924672465E-2</v>
      </c>
      <c r="G121" s="199">
        <f t="shared" si="91"/>
        <v>0.12034799420009668</v>
      </c>
      <c r="H121" s="199">
        <f t="shared" si="91"/>
        <v>0.53364969801553053</v>
      </c>
      <c r="I121" s="199">
        <f t="shared" si="91"/>
        <v>-1.2517580872011269E-2</v>
      </c>
      <c r="J121" s="199">
        <f t="shared" si="91"/>
        <v>8.8049362725420854E-2</v>
      </c>
      <c r="K121" s="199"/>
      <c r="L121" s="199"/>
      <c r="M121" s="195"/>
      <c r="N121" s="195"/>
      <c r="O121" s="195"/>
      <c r="P121" s="195"/>
      <c r="Q121" s="195"/>
      <c r="R121" s="195"/>
      <c r="S121" s="195"/>
      <c r="T121" s="195"/>
      <c r="U121" s="195"/>
      <c r="V121" s="195"/>
      <c r="W121" s="195"/>
      <c r="X121" s="195"/>
    </row>
    <row r="122" spans="1:24">
      <c r="A122" s="373" t="s">
        <v>532</v>
      </c>
      <c r="B122" s="153"/>
      <c r="C122" s="201"/>
      <c r="D122" s="201"/>
      <c r="E122" s="199">
        <f t="shared" ref="E122:J122" si="92">IFERROR(E29/D29-1,"")</f>
        <v>-0.76222270149979843</v>
      </c>
      <c r="F122" s="199">
        <f t="shared" si="92"/>
        <v>-0.82219840081634121</v>
      </c>
      <c r="G122" s="199">
        <f t="shared" si="92"/>
        <v>-29.89855072463768</v>
      </c>
      <c r="H122" s="199">
        <f t="shared" si="92"/>
        <v>2.2581273821464394</v>
      </c>
      <c r="I122" s="199">
        <f t="shared" si="92"/>
        <v>1.1370136732452942</v>
      </c>
      <c r="J122" s="199">
        <f t="shared" si="92"/>
        <v>-0.36396642167262339</v>
      </c>
      <c r="K122" s="199"/>
      <c r="L122" s="199"/>
      <c r="M122" s="195"/>
      <c r="N122" s="195"/>
      <c r="O122" s="195"/>
      <c r="P122" s="195"/>
      <c r="Q122" s="195"/>
      <c r="R122" s="195"/>
      <c r="S122" s="195"/>
      <c r="T122" s="195"/>
      <c r="U122" s="195"/>
      <c r="V122" s="195"/>
      <c r="W122" s="195"/>
      <c r="X122" s="195"/>
    </row>
    <row r="123" spans="1:24">
      <c r="A123" s="49" t="s">
        <v>1678</v>
      </c>
      <c r="B123" s="103"/>
      <c r="C123" s="167"/>
      <c r="D123" s="167"/>
      <c r="E123" s="204">
        <f t="shared" ref="E123:J123" si="93">IFERROR(E32/D32-1,"")</f>
        <v>-1.1744075678176322</v>
      </c>
      <c r="F123" s="204">
        <f t="shared" si="93"/>
        <v>1.057989572852831</v>
      </c>
      <c r="G123" s="204">
        <f t="shared" si="93"/>
        <v>-3.7111111111111112</v>
      </c>
      <c r="H123" s="204">
        <f t="shared" si="93"/>
        <v>-2.778688524590164</v>
      </c>
      <c r="I123" s="204">
        <f t="shared" si="93"/>
        <v>-0.6452027649769585</v>
      </c>
      <c r="J123" s="204">
        <f t="shared" si="93"/>
        <v>0.63168422283124004</v>
      </c>
      <c r="K123" s="204"/>
      <c r="L123" s="204"/>
      <c r="M123" s="195"/>
      <c r="N123" s="195"/>
      <c r="O123" s="195"/>
      <c r="P123" s="195"/>
      <c r="Q123" s="195"/>
      <c r="R123" s="195"/>
      <c r="S123" s="195"/>
      <c r="T123" s="195"/>
      <c r="U123" s="195"/>
      <c r="V123" s="195"/>
      <c r="W123" s="195"/>
      <c r="X123" s="195"/>
    </row>
    <row r="124" spans="1:24">
      <c r="A124" s="121" t="s">
        <v>1679</v>
      </c>
      <c r="B124" s="120"/>
      <c r="C124" s="205"/>
      <c r="D124" s="205"/>
      <c r="E124" s="204">
        <f t="shared" ref="E124:J125" si="94">IFERROR(E34/D34-1,"")</f>
        <v>-0.54516503156133544</v>
      </c>
      <c r="F124" s="204">
        <f t="shared" si="94"/>
        <v>-0.33814052321733379</v>
      </c>
      <c r="G124" s="204">
        <f t="shared" si="94"/>
        <v>-2.7353383458646618</v>
      </c>
      <c r="H124" s="204">
        <f t="shared" si="94"/>
        <v>4.4962790294627384</v>
      </c>
      <c r="I124" s="204">
        <f t="shared" si="94"/>
        <v>1.170925241222712</v>
      </c>
      <c r="J124" s="204">
        <f t="shared" si="94"/>
        <v>-0.36206087136537624</v>
      </c>
      <c r="K124" s="204"/>
      <c r="L124" s="204"/>
      <c r="M124" s="195"/>
      <c r="N124" s="195"/>
      <c r="O124" s="195"/>
      <c r="P124" s="195"/>
      <c r="Q124" s="195"/>
      <c r="R124" s="195"/>
      <c r="S124" s="195"/>
      <c r="T124" s="195"/>
      <c r="U124" s="195"/>
      <c r="V124" s="195"/>
      <c r="W124" s="195"/>
      <c r="X124" s="195"/>
    </row>
    <row r="125" spans="1:24">
      <c r="A125" s="372" t="s">
        <v>1680</v>
      </c>
      <c r="B125" s="155"/>
      <c r="C125" s="157"/>
      <c r="D125" s="157"/>
      <c r="E125" s="204">
        <f t="shared" si="94"/>
        <v>0.83341786597349898</v>
      </c>
      <c r="F125" s="204">
        <f t="shared" si="94"/>
        <v>0.90189670971869229</v>
      </c>
      <c r="G125" s="204">
        <f t="shared" si="94"/>
        <v>1.6545454545454548</v>
      </c>
      <c r="H125" s="204">
        <f t="shared" si="94"/>
        <v>1.3938356164383561</v>
      </c>
      <c r="I125" s="204">
        <f t="shared" si="94"/>
        <v>0.61945636623748213</v>
      </c>
      <c r="J125" s="204">
        <f t="shared" si="94"/>
        <v>-0.13555934187794416</v>
      </c>
      <c r="K125" s="204"/>
      <c r="L125" s="204"/>
      <c r="M125" s="120"/>
      <c r="N125" s="120"/>
      <c r="O125" s="120"/>
      <c r="P125" s="120"/>
      <c r="Q125" s="120"/>
      <c r="R125" s="120"/>
      <c r="S125" s="120"/>
      <c r="T125" s="120"/>
      <c r="U125" s="120"/>
      <c r="V125" s="120"/>
      <c r="W125" s="120"/>
      <c r="X125" s="120"/>
    </row>
    <row r="126" spans="1:24">
      <c r="A126" s="121" t="s">
        <v>1826</v>
      </c>
      <c r="B126" s="120"/>
      <c r="C126" s="167"/>
      <c r="D126" s="167"/>
      <c r="E126" s="204">
        <f t="shared" ref="E126:J126" si="95">IFERROR(E37/D37-1,"")</f>
        <v>-0.69019406973328845</v>
      </c>
      <c r="F126" s="204">
        <f t="shared" si="95"/>
        <v>-2.0058850053762818</v>
      </c>
      <c r="G126" s="204">
        <f t="shared" si="95"/>
        <v>0.6206896551724137</v>
      </c>
      <c r="H126" s="204">
        <f t="shared" si="95"/>
        <v>-0.11347517730496459</v>
      </c>
      <c r="I126" s="204">
        <f t="shared" si="95"/>
        <v>-0.752</v>
      </c>
      <c r="J126" s="204">
        <f t="shared" si="95"/>
        <v>6.2724887235724447E-2</v>
      </c>
      <c r="K126" s="204"/>
      <c r="L126" s="204"/>
      <c r="M126" s="120"/>
      <c r="N126" s="120"/>
      <c r="O126" s="120"/>
      <c r="P126" s="120"/>
      <c r="Q126" s="120"/>
      <c r="R126" s="120"/>
      <c r="S126" s="120"/>
      <c r="T126" s="120"/>
      <c r="U126" s="120"/>
      <c r="V126" s="120"/>
      <c r="W126" s="120"/>
      <c r="X126" s="120"/>
    </row>
    <row r="127" spans="1:24">
      <c r="A127" s="121" t="s">
        <v>543</v>
      </c>
      <c r="B127" s="120"/>
      <c r="C127" s="167"/>
      <c r="D127" s="167"/>
      <c r="E127" s="151">
        <f t="shared" ref="E127:J127" si="96">IFERROR(E39/D39-1,"")</f>
        <v>-0.50234985214642602</v>
      </c>
      <c r="F127" s="151">
        <f t="shared" si="96"/>
        <v>-0.11688561824665933</v>
      </c>
      <c r="G127" s="199">
        <f t="shared" si="96"/>
        <v>-1.8364269141531322</v>
      </c>
      <c r="H127" s="151">
        <f t="shared" si="96"/>
        <v>6.654238557558946</v>
      </c>
      <c r="I127" s="151">
        <f t="shared" si="96"/>
        <v>1.2843290715350197</v>
      </c>
      <c r="J127" s="151">
        <f t="shared" si="96"/>
        <v>-0.38344406438029799</v>
      </c>
      <c r="K127" s="151"/>
      <c r="L127" s="151"/>
      <c r="M127" s="120"/>
      <c r="N127" s="120"/>
      <c r="O127" s="120"/>
      <c r="P127" s="120"/>
      <c r="Q127" s="120"/>
      <c r="R127" s="120"/>
      <c r="S127" s="120"/>
      <c r="T127" s="120"/>
      <c r="U127" s="120"/>
      <c r="V127" s="120"/>
      <c r="W127" s="120"/>
      <c r="X127" s="120"/>
    </row>
    <row r="128" spans="1:24" s="233" customFormat="1">
      <c r="A128" s="379" t="s">
        <v>1827</v>
      </c>
      <c r="B128" s="228"/>
      <c r="C128" s="229"/>
      <c r="D128" s="229"/>
      <c r="E128" s="230"/>
      <c r="F128" s="231">
        <f>F129/E129-1</f>
        <v>0.30597164772499097</v>
      </c>
      <c r="G128" s="231">
        <f>G129/F129-1</f>
        <v>1.0541205412054122</v>
      </c>
      <c r="H128" s="231">
        <f>H129/G129-1</f>
        <v>2.8609206014596267</v>
      </c>
      <c r="I128" s="231">
        <f>I129/H129-1</f>
        <v>0.39755665380741845</v>
      </c>
      <c r="J128" s="231">
        <f>J129/I129-1</f>
        <v>-0.19801071346773724</v>
      </c>
      <c r="K128" s="232"/>
      <c r="L128" s="232"/>
      <c r="M128" s="228"/>
      <c r="N128" s="228"/>
      <c r="O128" s="228"/>
      <c r="P128" s="228"/>
      <c r="Q128" s="228"/>
      <c r="R128" s="228"/>
      <c r="S128" s="228"/>
      <c r="T128" s="228"/>
      <c r="U128" s="228"/>
      <c r="V128" s="228"/>
      <c r="W128" s="228"/>
      <c r="X128" s="228"/>
    </row>
    <row r="129" spans="1:24">
      <c r="A129" s="49" t="s">
        <v>1827</v>
      </c>
      <c r="B129" s="103"/>
      <c r="C129" s="104"/>
      <c r="D129" s="104"/>
      <c r="E129" s="137">
        <f>E39+E79+E87+E84</f>
        <v>1245050</v>
      </c>
      <c r="F129" s="137">
        <f t="shared" ref="F129:J129" si="97">F39+F79+F87+F84</f>
        <v>1626000</v>
      </c>
      <c r="G129" s="137">
        <f t="shared" si="97"/>
        <v>3340000</v>
      </c>
      <c r="H129" s="137">
        <f t="shared" si="97"/>
        <v>12895474.808875153</v>
      </c>
      <c r="I129" s="137">
        <f t="shared" si="97"/>
        <v>18022156.623149417</v>
      </c>
      <c r="J129" s="137">
        <f t="shared" si="97"/>
        <v>14453576.531972295</v>
      </c>
      <c r="K129" s="107"/>
      <c r="L129" s="107"/>
      <c r="M129" s="103"/>
      <c r="N129" s="103"/>
      <c r="O129" s="103"/>
      <c r="P129" s="103"/>
      <c r="Q129" s="103"/>
      <c r="R129" s="103"/>
      <c r="S129" s="103"/>
      <c r="T129" s="103"/>
      <c r="U129" s="103"/>
      <c r="V129" s="103"/>
      <c r="W129" s="103"/>
      <c r="X129" s="103"/>
    </row>
    <row r="130" spans="1:24" ht="21">
      <c r="A130" s="380" t="s">
        <v>1828</v>
      </c>
      <c r="B130" s="206"/>
      <c r="C130" s="128"/>
      <c r="D130" s="128"/>
      <c r="E130" s="128"/>
      <c r="F130" s="128"/>
      <c r="G130" s="128"/>
      <c r="H130" s="128"/>
      <c r="I130" s="128"/>
      <c r="J130" s="128"/>
      <c r="K130" s="128"/>
      <c r="L130" s="128"/>
      <c r="M130" s="103"/>
      <c r="N130" s="103"/>
      <c r="O130" s="103"/>
      <c r="P130" s="103"/>
      <c r="Q130" s="103"/>
      <c r="R130" s="103"/>
      <c r="S130" s="103"/>
      <c r="T130" s="103"/>
      <c r="U130" s="103"/>
      <c r="V130" s="103"/>
      <c r="W130" s="103"/>
      <c r="X130" s="103"/>
    </row>
    <row r="131" spans="1:24">
      <c r="A131" s="49" t="s">
        <v>1829</v>
      </c>
      <c r="B131" s="103"/>
      <c r="C131" s="104"/>
      <c r="D131" s="104"/>
      <c r="E131" s="207">
        <f>E7</f>
        <v>21460800</v>
      </c>
      <c r="F131" s="207">
        <f t="shared" ref="F131:J131" si="98">F7</f>
        <v>24578000</v>
      </c>
      <c r="G131" s="207">
        <f t="shared" si="98"/>
        <v>31536000</v>
      </c>
      <c r="H131" s="207">
        <f t="shared" si="98"/>
        <v>53823000</v>
      </c>
      <c r="I131" s="207">
        <f t="shared" si="98"/>
        <v>81462000.00000003</v>
      </c>
      <c r="J131" s="207">
        <f t="shared" si="98"/>
        <v>96394360.853666633</v>
      </c>
      <c r="K131" s="107"/>
      <c r="L131" s="107"/>
      <c r="M131" s="103"/>
      <c r="N131" s="103"/>
      <c r="O131" s="103"/>
      <c r="P131" s="103"/>
      <c r="Q131" s="103"/>
      <c r="R131" s="103"/>
      <c r="S131" s="103"/>
      <c r="T131" s="103"/>
      <c r="U131" s="103"/>
      <c r="V131" s="103"/>
      <c r="W131" s="103"/>
      <c r="X131" s="103"/>
    </row>
    <row r="132" spans="1:24">
      <c r="A132" s="49" t="s">
        <v>1830</v>
      </c>
      <c r="B132" s="103"/>
      <c r="C132" s="104"/>
      <c r="D132" s="104"/>
      <c r="E132" s="207">
        <f>E37</f>
        <v>86491</v>
      </c>
      <c r="F132" s="207">
        <f t="shared" ref="F132:J132" si="99">F129</f>
        <v>1626000</v>
      </c>
      <c r="G132" s="207">
        <f t="shared" si="99"/>
        <v>3340000</v>
      </c>
      <c r="H132" s="207">
        <f t="shared" si="99"/>
        <v>12895474.808875153</v>
      </c>
      <c r="I132" s="207">
        <f t="shared" si="99"/>
        <v>18022156.623149417</v>
      </c>
      <c r="J132" s="207">
        <f t="shared" si="99"/>
        <v>14453576.531972295</v>
      </c>
      <c r="K132" s="107"/>
      <c r="L132" s="107"/>
      <c r="M132" s="103"/>
      <c r="N132" s="103"/>
      <c r="O132" s="103"/>
      <c r="P132" s="103"/>
      <c r="Q132" s="103"/>
      <c r="R132" s="103"/>
      <c r="S132" s="103"/>
      <c r="T132" s="103"/>
      <c r="U132" s="103"/>
      <c r="V132" s="103"/>
      <c r="W132" s="103"/>
      <c r="X132" s="103"/>
    </row>
    <row r="133" spans="1:24">
      <c r="A133" s="49" t="s">
        <v>1832</v>
      </c>
      <c r="B133" s="103"/>
      <c r="C133" s="104"/>
      <c r="D133" s="104"/>
      <c r="E133" s="234">
        <f>'Earning Forecast'!B65</f>
        <v>-0.19926601712429878</v>
      </c>
      <c r="F133" s="234">
        <f>'Earning Forecast'!C65</f>
        <v>-0.57889695896073223</v>
      </c>
      <c r="G133" s="234">
        <f>'Earning Forecast'!D65</f>
        <v>-0.30839859320046892</v>
      </c>
      <c r="H133" s="234">
        <f>'Earning Forecast'!E65</f>
        <v>-0.32393836903419765</v>
      </c>
      <c r="I133" s="234">
        <f>'Earning Forecast'!F65</f>
        <v>0.22191443521083409</v>
      </c>
      <c r="J133" s="234">
        <f>'Earning Forecast'!G65</f>
        <v>1.6293788012990846</v>
      </c>
      <c r="K133" s="107"/>
      <c r="L133" s="107"/>
      <c r="M133" s="103"/>
      <c r="N133" s="103"/>
      <c r="O133" s="103"/>
      <c r="P133" s="103"/>
      <c r="Q133" s="103"/>
      <c r="R133" s="103"/>
      <c r="S133" s="103"/>
      <c r="T133" s="103"/>
      <c r="U133" s="103"/>
      <c r="V133" s="103"/>
      <c r="W133" s="103"/>
      <c r="X133" s="103"/>
    </row>
    <row r="134" spans="1:24">
      <c r="A134" s="49" t="s">
        <v>1834</v>
      </c>
      <c r="B134" s="103"/>
      <c r="C134" s="104"/>
      <c r="D134" s="104"/>
      <c r="E134" s="210">
        <f>E39/(E71-E69)</f>
        <v>-0.1982715823684745</v>
      </c>
      <c r="F134" s="210" t="e">
        <f t="shared" ref="F134:G134" si="100">F39/(F71-F69)</f>
        <v>#REF!</v>
      </c>
      <c r="G134" s="210" t="e">
        <f t="shared" si="100"/>
        <v>#REF!</v>
      </c>
      <c r="H134" s="210" t="e">
        <f>H39/(H71-H69)</f>
        <v>#REF!</v>
      </c>
      <c r="I134" s="210" t="e">
        <f>I39/(I71-I69)</f>
        <v>#REF!</v>
      </c>
      <c r="J134" s="210" t="e">
        <f>J39/(J71-J69)</f>
        <v>#REF!</v>
      </c>
      <c r="K134" s="107"/>
      <c r="L134" s="107"/>
      <c r="M134" s="103"/>
      <c r="N134" s="103"/>
      <c r="O134" s="103"/>
      <c r="P134" s="103"/>
      <c r="Q134" s="103"/>
      <c r="R134" s="103"/>
      <c r="S134" s="103"/>
      <c r="T134" s="103"/>
      <c r="U134" s="103"/>
      <c r="V134" s="103"/>
      <c r="W134" s="103"/>
      <c r="X134" s="103"/>
    </row>
    <row r="135" spans="1:24">
      <c r="A135" s="49" t="s">
        <v>1836</v>
      </c>
      <c r="B135" s="103"/>
      <c r="C135" s="104"/>
      <c r="D135" s="104"/>
      <c r="E135" s="208">
        <v>-32.649000000000001</v>
      </c>
      <c r="F135" s="208">
        <v>-37.180999999999997</v>
      </c>
      <c r="G135" s="209">
        <v>-31.911999999999999</v>
      </c>
      <c r="H135" s="208">
        <f>Valuation!D4</f>
        <v>112.08566102271077</v>
      </c>
      <c r="I135" s="208">
        <f>Valuation!E7</f>
        <v>36.009826609170055</v>
      </c>
      <c r="J135" s="208">
        <f>Valuation!F7</f>
        <v>49.217840566423604</v>
      </c>
      <c r="K135" s="107"/>
      <c r="L135" s="107"/>
      <c r="M135" s="103"/>
      <c r="N135" s="103"/>
      <c r="O135" s="103"/>
      <c r="P135" s="103"/>
      <c r="Q135" s="103"/>
      <c r="R135" s="103"/>
      <c r="S135" s="103"/>
      <c r="T135" s="103"/>
      <c r="U135" s="103"/>
      <c r="V135" s="103"/>
      <c r="W135" s="103"/>
      <c r="X135" s="103"/>
    </row>
  </sheetData>
  <phoneticPr fontId="4" type="noConversion"/>
  <conditionalFormatting sqref="C73:L73">
    <cfRule type="cellIs" dxfId="0" priority="1" operator="notEqual">
      <formula>0</formula>
    </cfRule>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955EF-31C3-481B-85CB-75E09A9D801A}">
  <dimension ref="A1:K31"/>
  <sheetViews>
    <sheetView workbookViewId="0">
      <pane ySplit="1" topLeftCell="A2" activePane="bottomLeft" state="frozen"/>
      <selection pane="bottomLeft" activeCell="O9" sqref="O9"/>
    </sheetView>
  </sheetViews>
  <sheetFormatPr defaultColWidth="8.83203125" defaultRowHeight="14"/>
  <cols>
    <col min="1" max="1" width="29.83203125" customWidth="1"/>
  </cols>
  <sheetData>
    <row r="1" spans="1:11" s="49" customFormat="1">
      <c r="A1" s="39"/>
      <c r="B1" s="309">
        <v>2016</v>
      </c>
      <c r="C1" s="309">
        <v>2017</v>
      </c>
      <c r="D1" s="310">
        <v>2018</v>
      </c>
      <c r="E1" s="310">
        <v>2019</v>
      </c>
      <c r="F1" s="310">
        <v>2020</v>
      </c>
      <c r="G1" s="311">
        <v>2021</v>
      </c>
      <c r="H1" s="311">
        <v>2022</v>
      </c>
      <c r="I1" s="311">
        <v>2023</v>
      </c>
    </row>
    <row r="2" spans="1:11" s="49" customFormat="1">
      <c r="A2" s="312" t="s">
        <v>1409</v>
      </c>
      <c r="B2" s="312"/>
      <c r="C2" s="312"/>
      <c r="D2" s="226"/>
      <c r="E2" s="226"/>
      <c r="F2" s="226"/>
      <c r="G2" s="226"/>
      <c r="H2" s="226"/>
      <c r="I2" s="226"/>
    </row>
    <row r="3" spans="1:11">
      <c r="A3" s="55" t="s">
        <v>2661</v>
      </c>
      <c r="B3" s="55"/>
      <c r="C3" s="55"/>
      <c r="D3" s="39"/>
      <c r="E3" s="39"/>
      <c r="F3" s="39"/>
      <c r="G3" s="39"/>
      <c r="H3" s="39"/>
      <c r="I3" s="39"/>
    </row>
    <row r="4" spans="1:11">
      <c r="A4" t="s">
        <v>1461</v>
      </c>
      <c r="B4" s="227">
        <f>'Model 20A'!C39/'Model 20A'!C71</f>
        <v>-0.1420001342335255</v>
      </c>
      <c r="C4" s="227">
        <f>'Model 20A'!D39/'Model 20A'!D71</f>
        <v>-0.46289544000555077</v>
      </c>
      <c r="D4" s="227">
        <f>'Model 20A'!E39/'Model 20A'!E71</f>
        <v>-0.1982715823684745</v>
      </c>
      <c r="E4" s="227" t="e">
        <f>'Model 20A'!F39/'Model 20A'!F71</f>
        <v>#REF!</v>
      </c>
      <c r="F4" s="227" t="e">
        <f>'Model 20A'!G39/'Model 20A'!G71</f>
        <v>#REF!</v>
      </c>
      <c r="G4" s="227" t="e">
        <f>'Model 20A'!H39/'Model 20A'!H71</f>
        <v>#REF!</v>
      </c>
      <c r="H4" s="227" t="e">
        <f>'Model 20A'!I39/'Model 20A'!I71</f>
        <v>#REF!</v>
      </c>
      <c r="I4" s="227" t="e">
        <f>'Model 20A'!J39/'Model 20A'!J71</f>
        <v>#REF!</v>
      </c>
    </row>
    <row r="5" spans="1:11">
      <c r="A5" t="s">
        <v>1542</v>
      </c>
      <c r="B5" s="227">
        <f>'Model 20A'!C75/'Model 20A'!C55</f>
        <v>-3.4108869031325172E-2</v>
      </c>
      <c r="C5" s="227">
        <f>'Model 20A'!D75/'Model 20A'!D55</f>
        <v>-7.8190504733283525E-2</v>
      </c>
      <c r="D5" s="227">
        <f>'Model 20A'!E75/'Model 20A'!E55</f>
        <v>-3.5729051782111637E-2</v>
      </c>
      <c r="E5" s="227">
        <f>'Model 20A'!F75/'Model 20A'!F55</f>
        <v>-2.2588825089626629E-2</v>
      </c>
      <c r="F5" s="227">
        <f>'Model 20A'!G75/'Model 20A'!G55</f>
        <v>1.6529876505330981E-2</v>
      </c>
      <c r="G5" s="227">
        <f>'Model 20A'!H75/'Model 20A'!H55</f>
        <v>9.375407068336368E-2</v>
      </c>
      <c r="H5" s="227">
        <f>'Model 20A'!I75/'Model 20A'!I55</f>
        <v>0.17983206601827392</v>
      </c>
      <c r="I5" s="227">
        <f>'Model 20A'!J75/'Model 20A'!J55</f>
        <v>0.10166969990840639</v>
      </c>
    </row>
    <row r="6" spans="1:11">
      <c r="A6" t="s">
        <v>2662</v>
      </c>
      <c r="B6" s="227">
        <f>'Model 20A'!C21/'Model 20A'!C7</f>
        <v>0.22846107550303715</v>
      </c>
      <c r="C6" s="227">
        <f>'Model 20A'!D21/'Model 20A'!D7</f>
        <v>0.18905717305839423</v>
      </c>
      <c r="D6" s="227">
        <f>'Model 20A'!E21/'Model 20A'!E7</f>
        <v>0.19075183590546485</v>
      </c>
      <c r="E6" s="227">
        <f>'Model 20A'!F21/'Model 20A'!F7</f>
        <v>0.1655545609895028</v>
      </c>
      <c r="F6" s="227">
        <f>'Model 20A'!G21/'Model 20A'!G7</f>
        <v>0.2102359208523592</v>
      </c>
      <c r="G6" s="227">
        <f>'Model 20A'!H21/'Model 20A'!H7</f>
        <v>0.25280467458149863</v>
      </c>
      <c r="H6" s="227">
        <f>'Model 20A'!I21/'Model 20A'!I7</f>
        <v>0.25661719026116148</v>
      </c>
      <c r="I6" s="227">
        <f>'Model 20A'!J21/'Model 20A'!J7</f>
        <v>0.17085644981672773</v>
      </c>
      <c r="J6" s="31"/>
      <c r="K6" s="31"/>
    </row>
    <row r="7" spans="1:11">
      <c r="A7" t="s">
        <v>1569</v>
      </c>
      <c r="B7" s="227">
        <f>('Model 20A'!C34+'Model 20A'!C30)/'Model 20A'!C7</f>
        <v>-7.9436821807140984E-2</v>
      </c>
      <c r="C7" s="227">
        <f>('Model 20A'!D34+'Model 20A'!D30)/'Model 20A'!D7</f>
        <v>-0.14945383235778595</v>
      </c>
      <c r="D7" s="227">
        <f>('Model 20A'!E34+'Model 20A'!E30)/'Model 20A'!E7</f>
        <v>-1.7063995750391411E-2</v>
      </c>
      <c r="E7" s="227">
        <f>('Model 20A'!F34+'Model 20A'!F30)/'Model 20A'!F7</f>
        <v>-9.764830336072911E-4</v>
      </c>
      <c r="F7" s="227">
        <f>('Model 20A'!G34+'Model 20A'!G30)/'Model 20A'!G7</f>
        <v>5.9360730593607303E-2</v>
      </c>
      <c r="G7" s="227">
        <f>('Model 20A'!H34+'Model 20A'!H30)/'Model 20A'!H7</f>
        <v>0.12473674823031046</v>
      </c>
      <c r="H7" s="227">
        <f>('Model 20A'!I34+'Model 20A'!I30)/'Model 20A'!I7</f>
        <v>0.17137488096357489</v>
      </c>
      <c r="I7" s="227">
        <f>('Model 20A'!J34+'Model 20A'!J30)/'Model 20A'!J7</f>
        <v>9.2910297063027725E-2</v>
      </c>
      <c r="J7" s="31"/>
      <c r="K7" s="31"/>
    </row>
    <row r="8" spans="1:11">
      <c r="A8" t="s">
        <v>1570</v>
      </c>
      <c r="B8" s="227">
        <f>('Model 20A'!C34+'Model 20A'!C30+'Model 20A'!C79)/'Model 20A'!C7</f>
        <v>6.9387435574401551E-2</v>
      </c>
      <c r="C8" s="227">
        <f>('Model 20A'!D34+'Model 20A'!D30+'Model 20A'!D79)/'Model 20A'!D7</f>
        <v>-2.5868234345674582E-3</v>
      </c>
      <c r="D8" s="227">
        <f>('Model 20A'!E34+'Model 20A'!E30+'Model 20A'!E79)/'Model 20A'!E7</f>
        <v>7.891471892939686E-2</v>
      </c>
      <c r="E8" s="227">
        <f>('Model 20A'!F34+'Model 20A'!F30+'Model 20A'!F79)/'Model 20A'!F7</f>
        <v>9.4311986329237527E-2</v>
      </c>
      <c r="F8" s="227">
        <f>('Model 20A'!G34+'Model 20A'!G30+'Model 20A'!G79)/'Model 20A'!G7</f>
        <v>0.1386986301369863</v>
      </c>
      <c r="G8" s="227">
        <f>('Model 20A'!H34+'Model 20A'!H30+'Model 20A'!H79)/'Model 20A'!H7</f>
        <v>0.19948515300914033</v>
      </c>
      <c r="H8" s="227">
        <f>('Model 20A'!I34+'Model 20A'!I30+'Model 20A'!I79)/'Model 20A'!I7</f>
        <v>0.23784819880266819</v>
      </c>
      <c r="I8" s="227">
        <f>('Model 20A'!J34+'Model 20A'!J30+'Model 20A'!J79)/'Model 20A'!J7</f>
        <v>0.15261495498100511</v>
      </c>
    </row>
    <row r="9" spans="1:11">
      <c r="A9" t="s">
        <v>2663</v>
      </c>
      <c r="B9" s="227">
        <f>'Model 20A'!C24/'Model 20A'!C7</f>
        <v>0.20459465818415631</v>
      </c>
      <c r="C9" s="227">
        <f>'Model 20A'!D24/'Model 20A'!D7</f>
        <v>0.21060088220212073</v>
      </c>
      <c r="D9" s="227">
        <f>'Model 20A'!E24/'Model 20A'!E7</f>
        <v>0.13207760195332885</v>
      </c>
      <c r="E9" s="227">
        <f>'Model 20A'!F24/'Model 20A'!F7</f>
        <v>0.11371958662218244</v>
      </c>
      <c r="F9" s="227">
        <f>'Model 20A'!G24/'Model 20A'!G7</f>
        <v>9.9727295788939629E-2</v>
      </c>
      <c r="G9" s="227">
        <f>'Model 20A'!H24/'Model 20A'!H7</f>
        <v>8.3923229845976624E-2</v>
      </c>
      <c r="H9" s="227">
        <f>'Model 20A'!I24/'Model 20A'!I7</f>
        <v>4.843976332523138E-2</v>
      </c>
      <c r="I9" s="227">
        <f>'Model 20A'!J24/'Model 20A'!J7</f>
        <v>4.4540393725233121E-2</v>
      </c>
    </row>
    <row r="11" spans="1:11">
      <c r="A11" s="55" t="s">
        <v>2664</v>
      </c>
    </row>
    <row r="12" spans="1:11">
      <c r="A12" t="s">
        <v>2665</v>
      </c>
      <c r="B12" s="227">
        <f>'Model 20A'!C89/'Model 20A'!C75</f>
        <v>0.16018322324932799</v>
      </c>
      <c r="C12" s="227">
        <f>'Model 20A'!D89/'Model 20A'!D75</f>
        <v>2.7070693365729735E-2</v>
      </c>
      <c r="D12" s="227">
        <f>'Model 20A'!E89/'Model 20A'!E75</f>
        <v>-1.9742495167431784</v>
      </c>
      <c r="E12" s="227">
        <f>'Model 20A'!F89/'Model 20A'!F75</f>
        <v>-3.1032258064516127</v>
      </c>
      <c r="F12" s="227">
        <f>'Model 20A'!G89/'Model 20A'!G75</f>
        <v>6.8944315545243615</v>
      </c>
      <c r="G12" s="227">
        <f>'Model 20A'!H89/'Model 20A'!H75</f>
        <v>2.1551038426323896</v>
      </c>
      <c r="H12" s="227">
        <f>'Model 20A'!I89/'Model 20A'!I75</f>
        <v>1.1457526757439713</v>
      </c>
      <c r="I12" s="227">
        <f>'Model 20A'!J89/'Model 20A'!J75</f>
        <v>1.580248643227534</v>
      </c>
    </row>
    <row r="13" spans="1:11" ht="14.5">
      <c r="A13" s="215" t="s">
        <v>2666</v>
      </c>
      <c r="B13" s="227">
        <f>'Model 20A'!C79/('Model 20A'!C48+'Model 20A'!C49)</f>
        <v>7.6490113706272955E-2</v>
      </c>
      <c r="C13" s="227">
        <f>'Model 20A'!D79/('Model 20A'!D48+'Model 20A'!D49)</f>
        <v>9.6945115179580627E-2</v>
      </c>
      <c r="D13" s="227">
        <f>'Model 20A'!E79/('Model 20A'!E48+'Model 20A'!E49)</f>
        <v>0.12843122583863326</v>
      </c>
      <c r="E13" s="227">
        <f>'Model 20A'!F79/('Model 20A'!F48+'Model 20A'!F49)</f>
        <v>0.16588751947867969</v>
      </c>
      <c r="F13" s="227">
        <f>'Model 20A'!G79/('Model 20A'!G48+'Model 20A'!G49)</f>
        <v>0.16354010066017385</v>
      </c>
      <c r="G13" s="227">
        <f>'Model 20A'!H79/('Model 20A'!H48+'Model 20A'!H49)</f>
        <v>0.25945839020359734</v>
      </c>
      <c r="H13" s="227">
        <f>'Model 20A'!I79/('Model 20A'!I48+'Model 20A'!I49)</f>
        <v>0.31712791987355032</v>
      </c>
      <c r="I13" s="227">
        <f>'Model 20A'!J79/('Model 20A'!J48+'Model 20A'!J49)</f>
        <v>0.28485334616263958</v>
      </c>
    </row>
    <row r="14" spans="1:11">
      <c r="A14" t="s">
        <v>2667</v>
      </c>
      <c r="B14" s="227">
        <f>'Model 20A'!C79/('Model 20A'!C48-'Model 20A'!C49)</f>
        <v>6.3315561881101018E-2</v>
      </c>
      <c r="C14" s="227">
        <f>'Model 20A'!D79/('Model 20A'!D48-'Model 20A'!D49)</f>
        <v>7.4542216936911557E-2</v>
      </c>
      <c r="D14" s="227">
        <f>'Model 20A'!E79/('Model 20A'!E48-'Model 20A'!E49)</f>
        <v>8.823594928032899E-2</v>
      </c>
      <c r="E14" s="227">
        <f>'Model 20A'!F79/('Model 20A'!F48-'Model 20A'!F49)</f>
        <v>9.822177486998826E-2</v>
      </c>
      <c r="F14" s="227">
        <f>'Model 20A'!G79/('Model 20A'!G48-'Model 20A'!G49)</f>
        <v>8.8300688194812071E-2</v>
      </c>
      <c r="G14" s="227">
        <f>'Model 20A'!H79/('Model 20A'!H48-'Model 20A'!H49)</f>
        <v>0.1099577432334783</v>
      </c>
      <c r="H14" s="227">
        <f>'Model 20A'!I79/('Model 20A'!I48-'Model 20A'!I49)</f>
        <v>0.11053884732016107</v>
      </c>
      <c r="I14" s="227">
        <f>'Model 20A'!J79/('Model 20A'!J48-'Model 20A'!J49)</f>
        <v>9.0452182435402401E-2</v>
      </c>
    </row>
    <row r="16" spans="1:11">
      <c r="A16" s="55" t="s">
        <v>2668</v>
      </c>
    </row>
    <row r="17" spans="1:9">
      <c r="A17" s="39" t="s">
        <v>2669</v>
      </c>
      <c r="B17" s="227">
        <f>IFERROR(('Model 20A'!C58+'Model 20A'!C62)/'Model 20A'!C71,"-")</f>
        <v>1.4998031732552954</v>
      </c>
      <c r="C17" s="227">
        <f>IFERROR(('Model 20A'!D58+'Model 20A'!D62)/'Model 20A'!D71,"-")</f>
        <v>2.4343518732231955</v>
      </c>
      <c r="D17" s="227">
        <f>IFERROR(('Model 20A'!E58+'Model 20A'!E62)/'Model 20A'!E71,"-")</f>
        <v>2.4318504976640258</v>
      </c>
      <c r="E17" s="227" t="str">
        <f>IFERROR(('Model 20A'!F58+'Model 20A'!F62)/'Model 20A'!F71,"-")</f>
        <v>-</v>
      </c>
      <c r="F17" s="227" t="str">
        <f>IFERROR(('Model 20A'!G58+'Model 20A'!G62)/'Model 20A'!G71,"-")</f>
        <v>-</v>
      </c>
      <c r="G17" s="227" t="str">
        <f>IFERROR(('Model 20A'!H58+'Model 20A'!H62)/'Model 20A'!H71,"-")</f>
        <v>-</v>
      </c>
      <c r="H17" s="227" t="str">
        <f>IFERROR(('Model 20A'!I58+'Model 20A'!I62)/'Model 20A'!I71,"-")</f>
        <v>-</v>
      </c>
      <c r="I17" s="227" t="str">
        <f>IFERROR(('Model 20A'!J58+'Model 20A'!J62)/'Model 20A'!J71,"-")</f>
        <v>-</v>
      </c>
    </row>
    <row r="18" spans="1:9">
      <c r="A18" s="39" t="s">
        <v>2670</v>
      </c>
      <c r="B18" s="227">
        <f>IFERROR(('Model 20A'!C58+'Model 20A'!C62-'Model 20A'!C42)/'Model 20A'!C71,"-")</f>
        <v>0.78587943262560567</v>
      </c>
      <c r="C18" s="227">
        <f>IFERROR(('Model 20A'!D58+'Model 20A'!D62-'Model 20A'!D42)/'Model 20A'!D71,"-")</f>
        <v>1.6395155150449279</v>
      </c>
      <c r="D18" s="227">
        <f>IFERROR(('Model 20A'!E58+'Model 20A'!E62-'Model 20A'!E42)/'Model 20A'!E71,"-")</f>
        <v>1.6831200487507618</v>
      </c>
      <c r="E18" s="227" t="str">
        <f>IFERROR(('Model 20A'!F58+'Model 20A'!F62-'Model 20A'!F42)/'Model 20A'!F71,"-")</f>
        <v>-</v>
      </c>
      <c r="F18" s="227" t="str">
        <f>IFERROR(('Model 20A'!G58+'Model 20A'!G62-'Model 20A'!G42)/'Model 20A'!G71,"-")</f>
        <v>-</v>
      </c>
      <c r="G18" s="227" t="str">
        <f>IFERROR(('Model 20A'!H58+'Model 20A'!H62-'Model 20A'!H42)/'Model 20A'!H71,"-")</f>
        <v>-</v>
      </c>
      <c r="H18" s="227" t="str">
        <f>IFERROR(('Model 20A'!I58+'Model 20A'!I62-'Model 20A'!I42)/'Model 20A'!I71,"-")</f>
        <v>-</v>
      </c>
      <c r="I18" s="227" t="str">
        <f>IFERROR(('Model 20A'!J58+'Model 20A'!J62-'Model 20A'!J42)/'Model 20A'!J71,"-")</f>
        <v>-</v>
      </c>
    </row>
    <row r="19" spans="1:9">
      <c r="A19" s="39" t="s">
        <v>2671</v>
      </c>
      <c r="B19" s="227" t="str">
        <f>IFERROR(('Model 20A'!C58+'Model 20A'!C62)/('Model 20A'!B58+'Model 20A'!B62)-1,"-")</f>
        <v>-</v>
      </c>
      <c r="C19" s="227">
        <f>IFERROR(('Model 20A'!D58+'Model 20A'!D62)/('Model 20A'!C58+'Model 20A'!C62)-1,"-")</f>
        <v>0.44701379588299295</v>
      </c>
      <c r="D19" s="227">
        <f>IFERROR(('Model 20A'!E58+'Model 20A'!E62)/('Model 20A'!D58+'Model 20A'!D62)-1,"-")</f>
        <v>0.16064682114424733</v>
      </c>
      <c r="E19" s="227">
        <f>IFERROR(('Model 20A'!F58+'Model 20A'!F62)/('Model 20A'!E58+'Model 20A'!E62)-1,"-")</f>
        <v>0.12086535248914143</v>
      </c>
      <c r="F19" s="227">
        <f>IFERROR(('Model 20A'!G58+'Model 20A'!G62)/('Model 20A'!F58+'Model 20A'!F62)-1,"-")</f>
        <v>-0.12519561815336466</v>
      </c>
      <c r="G19" s="227">
        <f>IFERROR(('Model 20A'!H58+'Model 20A'!H62)/('Model 20A'!G58+'Model 20A'!G62)-1,"-")</f>
        <v>-0.23266537557124878</v>
      </c>
      <c r="H19" s="227">
        <f>IFERROR(('Model 20A'!I58+'Model 20A'!I62)/('Model 20A'!H58+'Model 20A'!H62)-1,"-")</f>
        <v>-8.2254722522244417E-2</v>
      </c>
      <c r="I19" s="227">
        <f>IFERROR(('Model 20A'!J58+'Model 20A'!J62)/('Model 20A'!I58+'Model 20A'!I62)-1,"-")</f>
        <v>-5.0286032140373194E-2</v>
      </c>
    </row>
    <row r="20" spans="1:9">
      <c r="A20" t="s">
        <v>2672</v>
      </c>
      <c r="B20" s="227">
        <f>'Model 20A'!C64/'Model 20A'!C71</f>
        <v>3.5260393051752916</v>
      </c>
      <c r="C20" s="227">
        <f>'Model 20A'!D64/'Model 20A'!D71</f>
        <v>5.4334989599366761</v>
      </c>
      <c r="D20" s="227">
        <f>'Model 20A'!E64/'Model 20A'!E71</f>
        <v>4.7586837294332724</v>
      </c>
      <c r="E20" s="227" t="e">
        <f>'Model 20A'!F64/'Model 20A'!F71</f>
        <v>#REF!</v>
      </c>
      <c r="F20" s="227" t="e">
        <f>'Model 20A'!G64/'Model 20A'!G71</f>
        <v>#REF!</v>
      </c>
      <c r="G20" s="227" t="e">
        <f>'Model 20A'!H64/'Model 20A'!H71</f>
        <v>#REF!</v>
      </c>
      <c r="H20" s="227" t="e">
        <f>'Model 20A'!I64/'Model 20A'!I71</f>
        <v>#REF!</v>
      </c>
      <c r="I20" s="227" t="e">
        <f>'Model 20A'!J64/'Model 20A'!J71</f>
        <v>#REF!</v>
      </c>
    </row>
    <row r="21" spans="1:9">
      <c r="A21" t="s">
        <v>2673</v>
      </c>
      <c r="B21" s="227">
        <f>'Model 20A'!C89/('Model 20A'!C58+'Model 20A'!C62-'Model 20A'!C42)</f>
        <v>-3.3151773057240347E-2</v>
      </c>
      <c r="C21" s="227">
        <f>'Model 20A'!D89/('Model 20A'!D58+'Model 20A'!D62-'Model 20A'!D42)</f>
        <v>-8.730932842610015E-3</v>
      </c>
      <c r="D21" s="227">
        <f>'Model 20A'!E89/('Model 20A'!E58+'Model 20A'!E62-'Model 20A'!E42)</f>
        <v>0.2531742698527637</v>
      </c>
      <c r="E21" s="227">
        <f>'Model 20A'!F89/('Model 20A'!F58+'Model 20A'!F62-'Model 20A'!F42)</f>
        <v>0.33631659907705214</v>
      </c>
      <c r="F21" s="227">
        <f>'Model 20A'!G89/('Model 20A'!G58+'Model 20A'!G62-'Model 20A'!G42)</f>
        <v>-0.77737083060824064</v>
      </c>
      <c r="G21" s="227">
        <f>'Model 20A'!H89/('Model 20A'!H58+'Model 20A'!H62-'Model 20A'!H42)</f>
        <v>-1.2692143401073226</v>
      </c>
      <c r="H21" s="227">
        <f>'Model 20A'!I89/('Model 20A'!I58+'Model 20A'!I62-'Model 20A'!I42)</f>
        <v>-1.6656289006584295</v>
      </c>
      <c r="I21" s="227">
        <f>'Model 20A'!J89/('Model 20A'!J58+'Model 20A'!J62-'Model 20A'!J42)</f>
        <v>-3.9550758888675053</v>
      </c>
    </row>
    <row r="22" spans="1:9">
      <c r="A22" t="s">
        <v>2674</v>
      </c>
      <c r="B22" s="227">
        <f>('Model 20A'!C34+'Model 20A'!C30)/'Model 20A'!C30</f>
        <v>-2.9223670380491908</v>
      </c>
      <c r="C22" s="227">
        <f>('Model 20A'!D34+'Model 20A'!D30)/'Model 20A'!D30</f>
        <v>-3.8918602307932493</v>
      </c>
      <c r="D22" s="227">
        <f>('Model 20A'!E34+'Model 20A'!E30)/'Model 20A'!E30</f>
        <v>-0.57350854608496282</v>
      </c>
      <c r="E22" s="227">
        <f>('Model 20A'!F34+'Model 20A'!F30)/'Model 20A'!F30</f>
        <v>-3.7441497659906398E-2</v>
      </c>
      <c r="F22" s="227">
        <f>('Model 20A'!G34+'Model 20A'!G30)/'Model 20A'!G30</f>
        <v>2.6072423398328692</v>
      </c>
      <c r="G22" s="227">
        <f>('Model 20A'!H34+'Model 20A'!H30)/'Model 20A'!H30</f>
        <v>18.096242587601079</v>
      </c>
      <c r="H22" s="227">
        <f>('Model 20A'!I34+'Model 20A'!I30)/'Model 20A'!I30</f>
        <v>73.091835356307556</v>
      </c>
      <c r="I22" s="227">
        <f>('Model 20A'!J34+'Model 20A'!J30)/'Model 20A'!J30</f>
        <v>52.100225143192887</v>
      </c>
    </row>
    <row r="24" spans="1:9">
      <c r="A24" s="55" t="s">
        <v>2675</v>
      </c>
    </row>
    <row r="25" spans="1:9">
      <c r="A25" t="s">
        <v>2676</v>
      </c>
      <c r="B25" s="227">
        <f>'Model 20A'!C7/'Model 20A'!C55</f>
        <v>0.3088645219862482</v>
      </c>
      <c r="C25" s="227">
        <f>'Model 20A'!D7/'Model 20A'!D55</f>
        <v>0.41036668447368263</v>
      </c>
      <c r="D25" s="227">
        <f>'Model 20A'!E7/'Model 20A'!E55</f>
        <v>0.72161398789509079</v>
      </c>
      <c r="E25" s="227">
        <f>'Model 20A'!F7/'Model 20A'!F55</f>
        <v>0.71637179748753976</v>
      </c>
      <c r="F25" s="227">
        <f>'Model 20A'!G7/'Model 20A'!G55</f>
        <v>0.60474035437600671</v>
      </c>
      <c r="G25" s="227">
        <f>'Model 20A'!H7/'Model 20A'!H55</f>
        <v>0.89411555924257635</v>
      </c>
      <c r="H25" s="227">
        <f>'Model 20A'!I7/'Model 20A'!I55</f>
        <v>1.1592033830063213</v>
      </c>
      <c r="I25" s="227">
        <f>'Model 20A'!J7/'Model 20A'!J55</f>
        <v>1.2555611990415854</v>
      </c>
    </row>
    <row r="26" spans="1:9">
      <c r="A26" t="s">
        <v>2677</v>
      </c>
      <c r="B26" s="227">
        <f>'Model 20A'!C14/'Model 20A'!C44</f>
        <v>2.6123299478489002</v>
      </c>
      <c r="C26" s="227">
        <f>'Model 20A'!D14/'Model 20A'!D44</f>
        <v>4.2128964536475433</v>
      </c>
      <c r="D26" s="227">
        <f>'Model 20A'!E14/'Model 20A'!E44</f>
        <v>5.5788991326694504</v>
      </c>
      <c r="E26" s="227">
        <f>'Model 20A'!F14/'Model 20A'!F44</f>
        <v>5.7739301801801801</v>
      </c>
      <c r="F26" s="227">
        <f>'Model 20A'!G14/'Model 20A'!G44</f>
        <v>6.0731528895391369</v>
      </c>
      <c r="G26" s="227">
        <f>'Model 20A'!H14/'Model 20A'!H44</f>
        <v>6.073152889539136</v>
      </c>
      <c r="H26" s="227">
        <f>'Model 20A'!I14/'Model 20A'!I44</f>
        <v>6.073152889539136</v>
      </c>
      <c r="I26" s="227">
        <f>'Model 20A'!J14/'Model 20A'!J44</f>
        <v>6.073152889539136</v>
      </c>
    </row>
    <row r="27" spans="1:9">
      <c r="A27" t="s">
        <v>2678</v>
      </c>
      <c r="B27" s="227">
        <f>SUM('Model 20A'!C8,'Model 20A'!C10)/'Model 20A'!C48</f>
        <v>0.43440813033682368</v>
      </c>
      <c r="C27" s="227">
        <f>SUM('Model 20A'!D8,'Model 20A'!D10)/'Model 20A'!D48</f>
        <v>0.52499617404503385</v>
      </c>
      <c r="D27" s="227">
        <f>SUM('Model 20A'!E8,'Model 20A'!E10)/'Model 20A'!E48</f>
        <v>1.01923518358641</v>
      </c>
      <c r="E27" s="227">
        <f>SUM('Model 20A'!F8,'Model 20A'!F10)/'Model 20A'!F48</f>
        <v>1.1775986512828618</v>
      </c>
      <c r="F27" s="227">
        <f>SUM('Model 20A'!G8,'Model 20A'!G10)/'Model 20A'!G48</f>
        <v>1.3397809047990099</v>
      </c>
      <c r="G27" s="227">
        <f>SUM('Model 20A'!H8,'Model 20A'!H10)/'Model 20A'!H48</f>
        <v>1.9203934428031413</v>
      </c>
      <c r="H27" s="227">
        <f>SUM('Model 20A'!I8,'Model 20A'!I10)/'Model 20A'!I48</f>
        <v>2.2817904355526988</v>
      </c>
      <c r="I27" s="227">
        <f>SUM('Model 20A'!J8,'Model 20A'!J10)/'Model 20A'!J48</f>
        <v>2.1326092048674914</v>
      </c>
    </row>
    <row r="29" spans="1:9">
      <c r="A29" s="55" t="s">
        <v>2679</v>
      </c>
    </row>
    <row r="30" spans="1:9">
      <c r="A30" t="s">
        <v>2680</v>
      </c>
      <c r="B30" s="227">
        <f>'Model 20A'!C23/('Model 20A'!C23-'Model 20A'!C91)</f>
        <v>0.61142579526461338</v>
      </c>
      <c r="C30" s="227">
        <f>'Model 20A'!D23/('Model 20A'!D23-'Model 20A'!D91)</f>
        <v>0.48574417185589791</v>
      </c>
      <c r="D30" s="227">
        <f>'Model 20A'!E23/('Model 20A'!E23-'Model 20A'!E91)</f>
        <v>0.65900869902775572</v>
      </c>
      <c r="E30" s="227">
        <f>'Model 20A'!F23/('Model 20A'!F23-'Model 20A'!F91)</f>
        <v>0.74290843806104134</v>
      </c>
      <c r="F30" s="227">
        <f>'Model 20A'!G23/('Model 20A'!G23-'Model 20A'!G91)</f>
        <v>0.58922216573462127</v>
      </c>
      <c r="G30" s="227">
        <f>'Model 20A'!H23/('Model 20A'!H23-'Model 20A'!H91)</f>
        <v>0.4682730209537358</v>
      </c>
      <c r="H30" s="227">
        <f>'Model 20A'!I23/('Model 20A'!I23-'Model 20A'!I91)</f>
        <v>0.36491115003404306</v>
      </c>
      <c r="I30" s="227">
        <f>'Model 20A'!J23/('Model 20A'!J23-'Model 20A'!J91)</f>
        <v>0.34569074269338995</v>
      </c>
    </row>
    <row r="31" spans="1:9">
      <c r="A31" t="s">
        <v>2681</v>
      </c>
      <c r="B31" s="227">
        <f>'Model 20A'!C23/'Model 20A'!C89</f>
        <v>-18.304250216023711</v>
      </c>
      <c r="C31" s="227">
        <f>'Model 20A'!D23/'Model 20A'!D89</f>
        <v>-63.561331486793947</v>
      </c>
      <c r="D31" s="227">
        <f>'Model 20A'!E23/'Model 20A'!E89</f>
        <v>2.1364075351248593</v>
      </c>
      <c r="E31" s="227">
        <f>'Model 20A'!F23/'Model 20A'!F89</f>
        <v>1.7205821205821206</v>
      </c>
      <c r="F31" s="227">
        <f>'Model 20A'!G23/'Model 20A'!G89</f>
        <v>0.78007740198552922</v>
      </c>
      <c r="G31" s="227">
        <f>'Model 20A'!H23/'Model 20A'!H89</f>
        <v>0.5845706649064899</v>
      </c>
      <c r="H31" s="227">
        <f>'Model 20A'!I23/'Model 20A'!I89</f>
        <v>0.48489257131596319</v>
      </c>
      <c r="I31" s="227">
        <f>'Model 20A'!J23/'Model 20A'!J89</f>
        <v>0.61932250565391711</v>
      </c>
    </row>
  </sheetData>
  <phoneticPr fontId="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453A1-9F05-410F-B185-6E112CA6C932}">
  <dimension ref="A1:I27"/>
  <sheetViews>
    <sheetView workbookViewId="0">
      <pane ySplit="1" topLeftCell="A3" activePane="bottomLeft" state="frozen"/>
      <selection pane="bottomLeft" activeCell="C3" sqref="C3"/>
    </sheetView>
  </sheetViews>
  <sheetFormatPr defaultColWidth="8.83203125" defaultRowHeight="14"/>
  <cols>
    <col min="1" max="1" width="26.75" customWidth="1"/>
    <col min="2" max="3" width="12.75" bestFit="1" customWidth="1"/>
    <col min="4" max="9" width="13.75" bestFit="1" customWidth="1"/>
  </cols>
  <sheetData>
    <row r="1" spans="1:9" ht="15.65" customHeight="1">
      <c r="B1" s="4">
        <v>2016</v>
      </c>
      <c r="C1" s="4">
        <v>2017</v>
      </c>
      <c r="D1" s="4">
        <v>2018</v>
      </c>
      <c r="E1" s="4">
        <v>2019</v>
      </c>
      <c r="F1" s="4">
        <v>2020</v>
      </c>
      <c r="G1" s="4" t="s">
        <v>2682</v>
      </c>
      <c r="H1" s="4" t="s">
        <v>2079</v>
      </c>
      <c r="I1" s="4" t="s">
        <v>219</v>
      </c>
    </row>
    <row r="2" spans="1:9" ht="18" customHeight="1">
      <c r="A2" s="10" t="s">
        <v>2683</v>
      </c>
    </row>
    <row r="3" spans="1:9">
      <c r="A3" s="2" t="s">
        <v>220</v>
      </c>
      <c r="B3" s="7">
        <v>5589007</v>
      </c>
      <c r="C3" s="7">
        <v>8534752</v>
      </c>
      <c r="D3" s="7">
        <v>17631522</v>
      </c>
      <c r="E3" s="7">
        <v>19952000</v>
      </c>
      <c r="F3" s="7">
        <v>26184000</v>
      </c>
      <c r="G3" s="7">
        <v>41550200</v>
      </c>
      <c r="H3" s="7">
        <v>57257680</v>
      </c>
      <c r="I3" s="7">
        <v>67125860</v>
      </c>
    </row>
    <row r="4" spans="1:9">
      <c r="A4" s="2" t="s">
        <v>554</v>
      </c>
      <c r="B4" s="7">
        <v>8285660</v>
      </c>
      <c r="C4" s="7">
        <v>8074040</v>
      </c>
      <c r="D4" s="7">
        <v>10858060</v>
      </c>
      <c r="E4" s="7">
        <v>8620360</v>
      </c>
      <c r="F4" s="7">
        <v>11890470</v>
      </c>
      <c r="G4" s="7">
        <v>17103150</v>
      </c>
      <c r="H4" s="7">
        <v>19759610</v>
      </c>
      <c r="I4" s="7">
        <v>22362550</v>
      </c>
    </row>
    <row r="5" spans="1:9">
      <c r="A5" s="2" t="s">
        <v>2684</v>
      </c>
      <c r="B5" s="7"/>
      <c r="C5" s="7"/>
      <c r="D5" s="7">
        <v>734140</v>
      </c>
      <c r="E5" s="7">
        <v>1066680</v>
      </c>
      <c r="F5" s="7">
        <v>2202680</v>
      </c>
      <c r="G5" s="7">
        <v>5190220</v>
      </c>
      <c r="H5" s="7">
        <v>8558770</v>
      </c>
      <c r="I5" s="7">
        <v>12889200</v>
      </c>
    </row>
    <row r="6" spans="1:9" ht="15">
      <c r="A6" s="10" t="s">
        <v>2685</v>
      </c>
      <c r="B6" s="19"/>
      <c r="C6" s="19"/>
      <c r="D6" s="19"/>
      <c r="E6" s="19"/>
      <c r="F6" s="19"/>
      <c r="G6" s="19"/>
      <c r="H6" s="19"/>
      <c r="I6" s="19"/>
    </row>
    <row r="7" spans="1:9">
      <c r="A7" s="8" t="s">
        <v>220</v>
      </c>
      <c r="B7" s="20">
        <v>83922</v>
      </c>
      <c r="C7" s="7">
        <v>101027</v>
      </c>
      <c r="D7" s="7">
        <v>254530</v>
      </c>
      <c r="E7" s="7">
        <v>365232</v>
      </c>
      <c r="F7" s="7">
        <v>509737</v>
      </c>
      <c r="G7" s="7">
        <v>651550.11</v>
      </c>
      <c r="H7" s="7">
        <v>1269203.3600000001</v>
      </c>
      <c r="I7" s="7">
        <v>1217030.1000000001</v>
      </c>
    </row>
    <row r="8" spans="1:9">
      <c r="A8" s="8" t="s">
        <v>554</v>
      </c>
      <c r="B8" s="20">
        <v>497294</v>
      </c>
      <c r="C8" s="7">
        <v>408282</v>
      </c>
      <c r="D8" s="7">
        <v>508656</v>
      </c>
      <c r="E8" s="7">
        <v>444920</v>
      </c>
      <c r="F8" s="7">
        <v>421319</v>
      </c>
      <c r="G8" s="7"/>
      <c r="H8" s="7"/>
      <c r="I8" s="7"/>
    </row>
    <row r="9" spans="1:9">
      <c r="A9" s="8" t="s">
        <v>2684</v>
      </c>
      <c r="B9" s="9"/>
      <c r="C9" s="3"/>
      <c r="D9" s="3">
        <v>11348</v>
      </c>
      <c r="E9" s="3">
        <v>31913</v>
      </c>
      <c r="F9" s="3">
        <v>75641</v>
      </c>
      <c r="G9" s="3"/>
      <c r="H9" s="3"/>
      <c r="I9" s="3"/>
    </row>
    <row r="10" spans="1:9">
      <c r="A10" s="8" t="s">
        <v>2686</v>
      </c>
      <c r="B10" s="21">
        <f>SUM(B7:B9)</f>
        <v>581216</v>
      </c>
      <c r="C10" s="21">
        <f t="shared" ref="C10:F10" si="0">SUM(C7:C9)</f>
        <v>509309</v>
      </c>
      <c r="D10" s="21">
        <f t="shared" si="0"/>
        <v>774534</v>
      </c>
      <c r="E10" s="21">
        <f t="shared" si="0"/>
        <v>842065</v>
      </c>
      <c r="F10" s="21">
        <f t="shared" si="0"/>
        <v>1006697</v>
      </c>
      <c r="G10" s="21"/>
      <c r="H10" s="21"/>
      <c r="I10" s="21"/>
    </row>
    <row r="11" spans="1:9">
      <c r="A11" s="10" t="s">
        <v>2687</v>
      </c>
      <c r="B11" s="19"/>
      <c r="C11" s="19"/>
      <c r="D11" s="19"/>
      <c r="E11" s="19"/>
      <c r="F11" s="19"/>
      <c r="G11" s="19"/>
      <c r="H11" s="19"/>
      <c r="I11" s="19"/>
    </row>
    <row r="12" spans="1:9">
      <c r="A12" s="17" t="s">
        <v>2688</v>
      </c>
      <c r="B12" s="22">
        <f>B7</f>
        <v>83922</v>
      </c>
      <c r="C12" s="22">
        <f t="shared" ref="C12:I12" si="1">C7</f>
        <v>101027</v>
      </c>
      <c r="D12" s="22">
        <f t="shared" si="1"/>
        <v>254530</v>
      </c>
      <c r="E12" s="22">
        <f t="shared" si="1"/>
        <v>365232</v>
      </c>
      <c r="F12" s="22">
        <f t="shared" si="1"/>
        <v>509737</v>
      </c>
      <c r="G12" s="22">
        <f t="shared" si="1"/>
        <v>651550.11</v>
      </c>
      <c r="H12" s="22">
        <f t="shared" si="1"/>
        <v>1269203.3600000001</v>
      </c>
      <c r="I12" s="22">
        <f t="shared" si="1"/>
        <v>1217030.1000000001</v>
      </c>
    </row>
    <row r="13" spans="1:9">
      <c r="A13" s="14" t="s">
        <v>2689</v>
      </c>
      <c r="B13" s="18">
        <f>'Capacity Detail'!O7</f>
        <v>150000</v>
      </c>
      <c r="C13" s="18">
        <f>'Capacity Detail'!P7</f>
        <v>150000</v>
      </c>
      <c r="D13" s="18">
        <f>'Capacity Detail'!Q7</f>
        <v>300000</v>
      </c>
      <c r="E13" s="18">
        <f>'Capacity Detail'!R7</f>
        <v>490000</v>
      </c>
      <c r="F13" s="18">
        <f>'Capacity Detail'!S7</f>
        <v>782000</v>
      </c>
      <c r="G13" s="18">
        <f>'Capacity Detail'!T7</f>
        <v>1190000</v>
      </c>
      <c r="H13" s="18">
        <f>'Capacity Detail'!U7</f>
        <v>1900000</v>
      </c>
      <c r="I13" s="18">
        <f>'Capacity Detail'!V7</f>
        <v>2316666.6666666665</v>
      </c>
    </row>
    <row r="14" spans="1:9">
      <c r="A14" s="14" t="s">
        <v>2690</v>
      </c>
      <c r="B14" s="23">
        <f>B12/B13</f>
        <v>0.55947999999999998</v>
      </c>
      <c r="C14" s="23">
        <f t="shared" ref="C14:I14" si="2">C12/C13</f>
        <v>0.6735133333333333</v>
      </c>
      <c r="D14" s="23">
        <f t="shared" si="2"/>
        <v>0.84843333333333337</v>
      </c>
      <c r="E14" s="23">
        <f t="shared" si="2"/>
        <v>0.74537142857142857</v>
      </c>
      <c r="F14" s="23">
        <f t="shared" si="2"/>
        <v>0.65183759590792834</v>
      </c>
      <c r="G14" s="23">
        <f t="shared" si="2"/>
        <v>0.54752110084033612</v>
      </c>
      <c r="H14" s="23">
        <f t="shared" si="2"/>
        <v>0.66800176842105263</v>
      </c>
      <c r="I14" s="23">
        <f t="shared" si="2"/>
        <v>0.52533673381294976</v>
      </c>
    </row>
    <row r="15" spans="1:9">
      <c r="A15" s="14" t="s">
        <v>2691</v>
      </c>
      <c r="B15" s="11"/>
      <c r="C15" s="11"/>
      <c r="D15" s="11"/>
      <c r="E15" s="11"/>
      <c r="F15" s="11"/>
      <c r="G15" s="23">
        <f>('Capacity Detail'!BH7/'Capacity Detail'!BG7)-1</f>
        <v>0.8252981439448186</v>
      </c>
      <c r="H15" s="23">
        <f>('Capacity Detail'!BI7/'Capacity Detail'!BH7)-1</f>
        <v>0.43483279630103322</v>
      </c>
      <c r="I15" s="23">
        <f>('Capacity Detail'!BJ7/'Capacity Detail'!BI7)-1</f>
        <v>0.34556803995006247</v>
      </c>
    </row>
    <row r="16" spans="1:9">
      <c r="A16" s="14" t="s">
        <v>2692</v>
      </c>
      <c r="B16" s="11"/>
      <c r="C16" s="11"/>
      <c r="D16" s="11"/>
      <c r="E16" s="11"/>
      <c r="F16" s="11"/>
      <c r="G16" s="23">
        <f>G12/F12-1</f>
        <v>0.27820838981670937</v>
      </c>
      <c r="H16" s="23">
        <f t="shared" ref="H16:I16" si="3">H12/G12-1</f>
        <v>0.947975052908824</v>
      </c>
      <c r="I16" s="23">
        <f t="shared" si="3"/>
        <v>-4.1107092562377101E-2</v>
      </c>
    </row>
    <row r="17" spans="1:9">
      <c r="A17" s="15" t="s">
        <v>2693</v>
      </c>
      <c r="B17" s="24">
        <f>B8</f>
        <v>497294</v>
      </c>
      <c r="C17" s="24">
        <f t="shared" ref="C17:F17" si="4">C8</f>
        <v>408282</v>
      </c>
      <c r="D17" s="24">
        <f t="shared" si="4"/>
        <v>508656</v>
      </c>
      <c r="E17" s="24">
        <f t="shared" si="4"/>
        <v>444920</v>
      </c>
      <c r="F17" s="24">
        <f t="shared" si="4"/>
        <v>421319</v>
      </c>
      <c r="G17" s="25">
        <f>(G4*1000)/('Price and Quant'!$I$67/6.4)</f>
        <v>623023.35527831456</v>
      </c>
      <c r="H17" s="25">
        <f>(H4*1000)/('Price and Quant'!$I$67/6.4)</f>
        <v>719791.2969944682</v>
      </c>
      <c r="I17" s="25">
        <f>(I4*1000)/('Price and Quant'!$I$67/6.4)</f>
        <v>814609.64404680277</v>
      </c>
    </row>
    <row r="18" spans="1:9">
      <c r="A18" s="15" t="s">
        <v>2694</v>
      </c>
      <c r="B18" s="12"/>
      <c r="C18" s="12"/>
      <c r="D18" s="12"/>
      <c r="E18" s="12"/>
      <c r="F18" s="12"/>
      <c r="G18" s="12"/>
      <c r="H18" s="12"/>
      <c r="I18" s="12"/>
    </row>
    <row r="19" spans="1:9">
      <c r="A19" s="15" t="s">
        <v>2695</v>
      </c>
      <c r="B19" s="26">
        <f>'Capacity Detail'!O26</f>
        <v>600000</v>
      </c>
      <c r="C19" s="26">
        <f>'Capacity Detail'!P26</f>
        <v>600000</v>
      </c>
      <c r="D19" s="26">
        <f>'Capacity Detail'!Q26</f>
        <v>800000</v>
      </c>
      <c r="E19" s="26">
        <f>'Capacity Detail'!R26</f>
        <v>800000</v>
      </c>
      <c r="F19" s="26">
        <f>'Capacity Detail'!S26</f>
        <v>800000</v>
      </c>
      <c r="G19" s="26">
        <f>'Capacity Detail'!T26</f>
        <v>1000000</v>
      </c>
      <c r="H19" s="26">
        <f>'Capacity Detail'!U26</f>
        <v>2073333.3333333333</v>
      </c>
      <c r="I19" s="26">
        <f>'Capacity Detail'!V26</f>
        <v>3355833.333333333</v>
      </c>
    </row>
    <row r="20" spans="1:9">
      <c r="A20" s="15" t="s">
        <v>2696</v>
      </c>
      <c r="B20" s="27">
        <f>B17/B19</f>
        <v>0.82882333333333336</v>
      </c>
      <c r="C20" s="27">
        <f t="shared" ref="C20:I20" si="5">C17/C19</f>
        <v>0.68047000000000002</v>
      </c>
      <c r="D20" s="27">
        <f t="shared" si="5"/>
        <v>0.63582000000000005</v>
      </c>
      <c r="E20" s="27">
        <f t="shared" si="5"/>
        <v>0.55615000000000003</v>
      </c>
      <c r="F20" s="27">
        <f t="shared" si="5"/>
        <v>0.52664875</v>
      </c>
      <c r="G20" s="27">
        <f t="shared" si="5"/>
        <v>0.62302335527831454</v>
      </c>
      <c r="H20" s="27">
        <f t="shared" si="5"/>
        <v>0.34716622041533834</v>
      </c>
      <c r="I20" s="27">
        <f t="shared" si="5"/>
        <v>0.24274436872514613</v>
      </c>
    </row>
    <row r="21" spans="1:9">
      <c r="A21" s="15" t="s">
        <v>2697</v>
      </c>
      <c r="B21" s="12"/>
      <c r="C21" s="12"/>
      <c r="D21" s="12"/>
      <c r="E21" s="12"/>
      <c r="F21" s="12"/>
      <c r="G21" s="27">
        <f>G17/F17-1</f>
        <v>0.47874497774445146</v>
      </c>
      <c r="H21" s="27">
        <f>H17/G17-1</f>
        <v>0.15531992644629811</v>
      </c>
      <c r="I21" s="27">
        <f>I17/H17-1</f>
        <v>0.13173033273429979</v>
      </c>
    </row>
    <row r="22" spans="1:9">
      <c r="A22" s="16" t="s">
        <v>2698</v>
      </c>
      <c r="B22" s="13"/>
      <c r="C22" s="13"/>
      <c r="D22" s="28">
        <f>'Capacity Detail'!BW30</f>
        <v>11348</v>
      </c>
      <c r="E22" s="28">
        <f>'Capacity Detail'!BX30</f>
        <v>20565</v>
      </c>
      <c r="F22" s="28">
        <f>'Capacity Detail'!BY30</f>
        <v>43728</v>
      </c>
      <c r="G22" s="28">
        <f>(G5*1000)/'Price and Quant'!$I$88</f>
        <v>85608.565315692176</v>
      </c>
      <c r="H22" s="28">
        <f>(H5*1000)/'Price and Quant'!$I$88</f>
        <v>141170.12777242329</v>
      </c>
      <c r="I22" s="28">
        <f>(I5*1000)/'Price and Quant'!$I$88</f>
        <v>212597.13847717817</v>
      </c>
    </row>
    <row r="23" spans="1:9">
      <c r="A23" s="16" t="s">
        <v>2699</v>
      </c>
      <c r="B23" s="13"/>
      <c r="C23" s="13"/>
      <c r="D23" s="13">
        <f>'Capacity Detail'!Q30</f>
        <v>120000</v>
      </c>
      <c r="E23" s="13">
        <f>'Capacity Detail'!R30</f>
        <v>120000</v>
      </c>
      <c r="F23" s="13">
        <f>'Capacity Detail'!S30</f>
        <v>120000</v>
      </c>
      <c r="G23" s="13">
        <f>'Capacity Detail'!T30</f>
        <v>120000</v>
      </c>
      <c r="H23" s="13">
        <f>'Capacity Detail'!U30</f>
        <v>600000</v>
      </c>
      <c r="I23" s="13">
        <f>'Capacity Detail'!V30</f>
        <v>900000</v>
      </c>
    </row>
    <row r="24" spans="1:9">
      <c r="A24" s="16" t="s">
        <v>2700</v>
      </c>
      <c r="B24" s="13"/>
      <c r="C24" s="13"/>
      <c r="D24" s="13">
        <f>'Capacity Detail'!G30</f>
        <v>120000</v>
      </c>
      <c r="E24" s="13">
        <f>'Capacity Detail'!H30</f>
        <v>120000</v>
      </c>
      <c r="F24" s="13">
        <f>'Capacity Detail'!I30</f>
        <v>120000</v>
      </c>
      <c r="G24" s="13">
        <f>'Capacity Detail'!J30</f>
        <v>300000</v>
      </c>
      <c r="H24" s="13">
        <f>'Capacity Detail'!K30</f>
        <v>1300000</v>
      </c>
      <c r="I24" s="13">
        <f>'Capacity Detail'!L30</f>
        <v>1300000</v>
      </c>
    </row>
    <row r="25" spans="1:9">
      <c r="A25" s="16" t="s">
        <v>2701</v>
      </c>
      <c r="B25" s="13"/>
      <c r="C25" s="13"/>
      <c r="D25" s="29">
        <f>D22/D23</f>
        <v>9.456666666666666E-2</v>
      </c>
      <c r="E25" s="29">
        <f t="shared" ref="E25:I25" si="6">E22/E23</f>
        <v>0.171375</v>
      </c>
      <c r="F25" s="29">
        <f t="shared" si="6"/>
        <v>0.3644</v>
      </c>
      <c r="G25" s="29">
        <f t="shared" si="6"/>
        <v>0.71340471096410152</v>
      </c>
      <c r="H25" s="29">
        <f t="shared" si="6"/>
        <v>0.23528354628737216</v>
      </c>
      <c r="I25" s="29">
        <f t="shared" si="6"/>
        <v>0.2362190427524202</v>
      </c>
    </row>
    <row r="26" spans="1:9">
      <c r="A26" s="16" t="s">
        <v>2702</v>
      </c>
      <c r="B26" s="13"/>
      <c r="C26" s="13"/>
      <c r="D26" s="29">
        <f>D22/D24</f>
        <v>9.456666666666666E-2</v>
      </c>
      <c r="E26" s="29">
        <f t="shared" ref="E26:I26" si="7">E22/E24</f>
        <v>0.171375</v>
      </c>
      <c r="F26" s="29">
        <f>F22/F24</f>
        <v>0.3644</v>
      </c>
      <c r="G26" s="29">
        <f>G22/G24</f>
        <v>0.28536188438564059</v>
      </c>
      <c r="H26" s="29">
        <f t="shared" si="7"/>
        <v>0.10859240597878715</v>
      </c>
      <c r="I26" s="29">
        <f t="shared" si="7"/>
        <v>0.16353626036706012</v>
      </c>
    </row>
    <row r="27" spans="1:9">
      <c r="A27" s="16" t="s">
        <v>2703</v>
      </c>
      <c r="B27" s="13"/>
      <c r="C27" s="13"/>
      <c r="D27" s="13"/>
      <c r="E27" s="13"/>
      <c r="F27" s="13"/>
      <c r="G27" s="29">
        <f>G22/F22-1</f>
        <v>0.95775167663035532</v>
      </c>
      <c r="H27" s="29">
        <f>H22/G22-1</f>
        <v>0.64901873138325561</v>
      </c>
      <c r="I27" s="29">
        <f t="shared" ref="I27" si="8">I22/H22-1</f>
        <v>0.50596405791953747</v>
      </c>
    </row>
  </sheetData>
  <phoneticPr fontId="4" type="noConversion"/>
  <pageMargins left="0.7" right="0.7" top="0.75" bottom="0.75" header="0.3" footer="0.3"/>
  <pageSetup paperSize="9" orientation="portrait" horizontalDpi="1200" verticalDpi="12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329D-F53F-438A-B3F8-61A69A4F7061}">
  <dimension ref="A1:B6"/>
  <sheetViews>
    <sheetView workbookViewId="0">
      <selection activeCell="C8" sqref="C8"/>
    </sheetView>
  </sheetViews>
  <sheetFormatPr defaultColWidth="8.83203125" defaultRowHeight="14"/>
  <sheetData>
    <row r="1" spans="1:2">
      <c r="A1" t="s">
        <v>2704</v>
      </c>
    </row>
    <row r="2" spans="1:2">
      <c r="A2" t="s">
        <v>2705</v>
      </c>
      <c r="B2" t="s">
        <v>2706</v>
      </c>
    </row>
    <row r="3" spans="1:2">
      <c r="A3" t="s">
        <v>15</v>
      </c>
      <c r="B3" s="60">
        <v>0.215</v>
      </c>
    </row>
    <row r="4" spans="1:2">
      <c r="A4" t="s">
        <v>2707</v>
      </c>
      <c r="B4" s="60">
        <v>9.8000000000000004E-2</v>
      </c>
    </row>
    <row r="5" spans="1:2">
      <c r="A5" t="s">
        <v>25</v>
      </c>
      <c r="B5" s="60">
        <v>6.3E-2</v>
      </c>
    </row>
    <row r="6" spans="1:2">
      <c r="A6" t="s">
        <v>2708</v>
      </c>
      <c r="B6" s="60">
        <v>5.7000000000000002E-2</v>
      </c>
    </row>
  </sheetData>
  <phoneticPr fontId="4" type="noConversion"/>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AF7DA-03AD-443E-8575-D35B9247CAF0}">
  <dimension ref="A1:AJ93"/>
  <sheetViews>
    <sheetView workbookViewId="0">
      <pane xSplit="2" ySplit="2" topLeftCell="C49" activePane="bottomRight" state="frozen"/>
      <selection pane="topRight"/>
      <selection pane="bottomLeft"/>
      <selection pane="bottomRight" activeCell="G82" sqref="G82"/>
    </sheetView>
  </sheetViews>
  <sheetFormatPr defaultColWidth="8.83203125" defaultRowHeight="14.25" customHeight="1"/>
  <cols>
    <col min="1" max="1" width="13.1640625" customWidth="1"/>
    <col min="2" max="2" width="39.83203125" style="6" bestFit="1" customWidth="1"/>
    <col min="3" max="3" width="23.83203125" style="6" bestFit="1" customWidth="1"/>
    <col min="4" max="4" width="14.75" bestFit="1" customWidth="1"/>
    <col min="5" max="5" width="14.1640625" bestFit="1" customWidth="1"/>
    <col min="6" max="6" width="14.25" customWidth="1"/>
    <col min="7" max="7" width="14.1640625" bestFit="1" customWidth="1"/>
    <col min="8" max="9" width="14.75" bestFit="1" customWidth="1"/>
    <col min="10" max="12" width="11.75" bestFit="1" customWidth="1"/>
    <col min="13" max="13" width="11.75" style="48" bestFit="1" customWidth="1"/>
    <col min="14" max="14" width="11.75" bestFit="1" customWidth="1"/>
    <col min="15" max="17" width="13.1640625" bestFit="1" customWidth="1"/>
    <col min="20" max="20" width="10.83203125" customWidth="1"/>
    <col min="21" max="21" width="10.25" customWidth="1"/>
    <col min="22" max="23" width="10.1640625" customWidth="1"/>
    <col min="24" max="24" width="9" style="6"/>
    <col min="25" max="25" width="27.4140625" style="48" bestFit="1" customWidth="1"/>
    <col min="31" max="31" width="10.4140625" customWidth="1"/>
    <col min="32" max="32" width="10.75" bestFit="1" customWidth="1"/>
    <col min="35" max="35" width="8.83203125" style="1255"/>
    <col min="36" max="36" width="65" bestFit="1" customWidth="1"/>
  </cols>
  <sheetData>
    <row r="1" spans="1:35" ht="14.15" customHeight="1">
      <c r="A1" s="1955" t="s">
        <v>0</v>
      </c>
      <c r="B1" s="1963" t="s">
        <v>10</v>
      </c>
      <c r="C1" s="1997" t="s">
        <v>2020</v>
      </c>
      <c r="D1" s="2006" t="s">
        <v>2709</v>
      </c>
      <c r="E1" s="2006"/>
      <c r="F1" s="2006"/>
      <c r="G1" s="2006"/>
      <c r="H1" s="2006"/>
      <c r="I1" s="2006"/>
      <c r="J1" s="2006"/>
      <c r="K1" s="2006"/>
      <c r="L1" s="2006"/>
      <c r="M1" s="623"/>
      <c r="N1" s="2005" t="s">
        <v>2710</v>
      </c>
      <c r="O1" s="2006"/>
      <c r="P1" s="2006"/>
      <c r="Q1" s="2006"/>
      <c r="R1" s="2006"/>
      <c r="S1" s="2006"/>
      <c r="T1" s="2006"/>
      <c r="U1" s="2006"/>
      <c r="V1" s="2007"/>
      <c r="W1" s="624"/>
      <c r="Z1" s="2005" t="s">
        <v>2711</v>
      </c>
      <c r="AA1" s="2006"/>
      <c r="AB1" s="2006"/>
      <c r="AC1" s="2006"/>
      <c r="AD1" s="2006"/>
      <c r="AE1" s="2006"/>
      <c r="AF1" s="2006"/>
      <c r="AG1" s="2006"/>
      <c r="AH1" s="2006"/>
      <c r="AI1" s="1521"/>
    </row>
    <row r="2" spans="1:35" ht="14">
      <c r="A2" s="1955"/>
      <c r="B2" s="1963"/>
      <c r="C2" s="1997"/>
      <c r="D2" s="38">
        <v>2016</v>
      </c>
      <c r="E2" s="38">
        <v>2017</v>
      </c>
      <c r="F2" s="38">
        <v>2018</v>
      </c>
      <c r="G2" s="38">
        <v>2019</v>
      </c>
      <c r="H2" s="38">
        <v>2020</v>
      </c>
      <c r="I2" s="62">
        <v>2021</v>
      </c>
      <c r="J2" s="62" t="s">
        <v>14</v>
      </c>
      <c r="K2" s="62" t="s">
        <v>11</v>
      </c>
      <c r="L2" s="62" t="s">
        <v>12</v>
      </c>
      <c r="M2" s="63" t="s">
        <v>13</v>
      </c>
      <c r="N2" s="38">
        <v>2016</v>
      </c>
      <c r="O2" s="38">
        <v>2017</v>
      </c>
      <c r="P2" s="38">
        <v>2018</v>
      </c>
      <c r="Q2" s="38">
        <v>2019</v>
      </c>
      <c r="R2" s="38">
        <v>2020</v>
      </c>
      <c r="S2" s="38">
        <v>2021</v>
      </c>
      <c r="T2" s="38" t="s">
        <v>14</v>
      </c>
      <c r="U2" s="38" t="s">
        <v>11</v>
      </c>
      <c r="V2" s="38" t="s">
        <v>12</v>
      </c>
      <c r="W2" s="1512" t="s">
        <v>13</v>
      </c>
      <c r="X2"/>
      <c r="Z2" s="38">
        <v>2016</v>
      </c>
      <c r="AA2" s="38">
        <v>2017</v>
      </c>
      <c r="AB2" s="38">
        <v>2018</v>
      </c>
      <c r="AC2" s="38">
        <v>2019</v>
      </c>
      <c r="AD2" s="38">
        <v>2020</v>
      </c>
      <c r="AE2" s="38">
        <v>2021</v>
      </c>
      <c r="AF2" s="38">
        <v>2022</v>
      </c>
      <c r="AG2" s="38" t="s">
        <v>11</v>
      </c>
      <c r="AH2" s="38" t="s">
        <v>12</v>
      </c>
      <c r="AI2" s="1512" t="s">
        <v>13</v>
      </c>
    </row>
    <row r="3" spans="1:35" ht="14">
      <c r="A3" s="2002" t="s">
        <v>15</v>
      </c>
      <c r="B3" s="39" t="s">
        <v>2712</v>
      </c>
      <c r="C3" s="6" t="s">
        <v>2713</v>
      </c>
      <c r="D3" s="19"/>
      <c r="E3" s="19"/>
      <c r="F3" s="19"/>
      <c r="G3" s="19"/>
      <c r="H3" s="78">
        <v>94990</v>
      </c>
      <c r="I3" s="78">
        <v>94990</v>
      </c>
      <c r="J3" s="19"/>
      <c r="K3" s="19"/>
      <c r="L3" s="19"/>
      <c r="M3" s="46"/>
    </row>
    <row r="4" spans="1:35" ht="14">
      <c r="A4" s="2002"/>
      <c r="B4" s="39" t="s">
        <v>2714</v>
      </c>
      <c r="C4" s="6" t="s">
        <v>2713</v>
      </c>
      <c r="D4" s="19"/>
      <c r="E4" s="19"/>
      <c r="F4" s="19"/>
      <c r="G4" s="19"/>
      <c r="H4" s="78">
        <v>129990</v>
      </c>
      <c r="I4" s="78">
        <v>129990</v>
      </c>
      <c r="J4" s="19"/>
      <c r="K4" s="19"/>
      <c r="L4" s="19"/>
      <c r="M4" s="46"/>
    </row>
    <row r="5" spans="1:35" ht="14">
      <c r="A5" s="2002"/>
      <c r="B5" s="39" t="s">
        <v>2715</v>
      </c>
      <c r="C5" s="6" t="s">
        <v>2713</v>
      </c>
      <c r="D5" s="19"/>
      <c r="E5" s="19"/>
      <c r="F5" s="19"/>
      <c r="G5" s="19"/>
      <c r="H5" s="78">
        <v>44990</v>
      </c>
      <c r="I5" s="78">
        <v>44990</v>
      </c>
      <c r="J5" s="19"/>
      <c r="K5" s="19"/>
      <c r="L5" s="19"/>
      <c r="M5" s="46"/>
    </row>
    <row r="6" spans="1:35" ht="14">
      <c r="A6" s="2002"/>
      <c r="B6" s="39" t="s">
        <v>2716</v>
      </c>
      <c r="C6" s="6" t="s">
        <v>2713</v>
      </c>
      <c r="D6" s="19"/>
      <c r="E6" s="19"/>
      <c r="F6" s="19"/>
      <c r="G6" s="19"/>
      <c r="H6" s="78">
        <v>50990</v>
      </c>
      <c r="I6" s="78">
        <v>50990</v>
      </c>
      <c r="J6" s="19"/>
      <c r="K6" s="19"/>
      <c r="L6" s="19"/>
      <c r="M6" s="46"/>
    </row>
    <row r="7" spans="1:35" ht="14">
      <c r="A7" s="2002"/>
      <c r="B7" s="39" t="s">
        <v>2717</v>
      </c>
      <c r="C7" s="6" t="s">
        <v>2713</v>
      </c>
      <c r="D7" s="19"/>
      <c r="E7" s="19"/>
      <c r="F7" s="19"/>
      <c r="G7" s="19"/>
      <c r="H7" s="78">
        <v>58990</v>
      </c>
      <c r="I7" s="78">
        <v>58990</v>
      </c>
      <c r="J7" s="19"/>
      <c r="K7" s="19"/>
      <c r="L7" s="19"/>
      <c r="M7" s="46"/>
    </row>
    <row r="8" spans="1:35" ht="14">
      <c r="A8" s="2002"/>
      <c r="B8" s="39" t="s">
        <v>2718</v>
      </c>
      <c r="C8" s="6" t="s">
        <v>2713</v>
      </c>
      <c r="D8" s="19"/>
      <c r="E8" s="19"/>
      <c r="F8" s="19"/>
      <c r="G8" s="19"/>
      <c r="H8" s="78">
        <v>104990</v>
      </c>
      <c r="I8" s="78">
        <v>104990</v>
      </c>
      <c r="J8" s="19"/>
      <c r="K8" s="19"/>
      <c r="L8" s="19"/>
      <c r="M8" s="46"/>
    </row>
    <row r="9" spans="1:35" ht="14">
      <c r="A9" s="2002"/>
      <c r="B9" s="39" t="s">
        <v>2719</v>
      </c>
      <c r="C9" s="6" t="s">
        <v>2713</v>
      </c>
      <c r="D9" s="19"/>
      <c r="E9" s="19"/>
      <c r="F9" s="19"/>
      <c r="G9" s="19"/>
      <c r="H9" s="78">
        <v>119990</v>
      </c>
      <c r="I9" s="78">
        <v>119990</v>
      </c>
      <c r="J9" s="19"/>
      <c r="K9" s="19"/>
      <c r="L9" s="19"/>
      <c r="M9" s="46"/>
    </row>
    <row r="10" spans="1:35" ht="14">
      <c r="A10" s="2002"/>
      <c r="B10" s="39" t="s">
        <v>2720</v>
      </c>
      <c r="C10" s="6" t="s">
        <v>2713</v>
      </c>
      <c r="D10" s="19"/>
      <c r="E10" s="19"/>
      <c r="F10" s="19"/>
      <c r="G10" s="19"/>
      <c r="H10" s="78">
        <v>57990</v>
      </c>
      <c r="I10" s="78">
        <v>57990</v>
      </c>
      <c r="J10" s="19"/>
      <c r="K10" s="19"/>
      <c r="L10" s="19"/>
      <c r="M10" s="46"/>
    </row>
    <row r="11" spans="1:35" ht="14">
      <c r="A11" s="2002"/>
      <c r="B11" s="39" t="s">
        <v>2721</v>
      </c>
      <c r="C11" s="6" t="s">
        <v>2713</v>
      </c>
      <c r="D11" s="19"/>
      <c r="E11" s="19"/>
      <c r="F11" s="19"/>
      <c r="G11" s="19"/>
      <c r="H11" s="78">
        <v>62990</v>
      </c>
      <c r="I11" s="78">
        <v>62990</v>
      </c>
      <c r="J11" s="19"/>
      <c r="K11" s="19"/>
      <c r="L11" s="19"/>
      <c r="M11" s="46"/>
    </row>
    <row r="12" spans="1:35" ht="15">
      <c r="A12" s="2002"/>
      <c r="B12" s="39" t="s">
        <v>1777</v>
      </c>
      <c r="D12" s="19"/>
      <c r="E12" s="19"/>
      <c r="F12" s="19"/>
      <c r="H12" s="84">
        <f>AVERAGE(H3,H4,H8,H9)</f>
        <v>112490</v>
      </c>
      <c r="I12" s="78">
        <f t="shared" ref="I12:L13" si="0">H12</f>
        <v>112490</v>
      </c>
      <c r="J12" s="238">
        <f>I12</f>
        <v>112490</v>
      </c>
      <c r="K12" s="238">
        <f t="shared" si="0"/>
        <v>112490</v>
      </c>
      <c r="L12" s="238">
        <f t="shared" si="0"/>
        <v>112490</v>
      </c>
      <c r="M12" s="275"/>
      <c r="O12" s="19">
        <v>101417</v>
      </c>
      <c r="P12" s="19">
        <v>99451</v>
      </c>
      <c r="Q12" s="19">
        <v>66771</v>
      </c>
      <c r="R12" s="19">
        <v>57085</v>
      </c>
      <c r="S12" s="19">
        <v>24964</v>
      </c>
      <c r="T12" s="75">
        <f>T15*T18</f>
        <v>31026.830006083692</v>
      </c>
      <c r="U12" s="75">
        <f>U15*U18</f>
        <v>37050.921792616995</v>
      </c>
      <c r="V12" s="75">
        <f>V15*V18</f>
        <v>39808.248836949766</v>
      </c>
      <c r="W12" s="75"/>
    </row>
    <row r="13" spans="1:35" ht="15">
      <c r="A13" s="2002"/>
      <c r="B13" s="39" t="s">
        <v>1780</v>
      </c>
      <c r="C13"/>
      <c r="D13" s="19"/>
      <c r="E13" s="19"/>
      <c r="F13" s="19"/>
      <c r="H13" s="84">
        <f>(H17-H12*R15)/R16</f>
        <v>47031.528363065314</v>
      </c>
      <c r="I13" s="78">
        <f t="shared" si="0"/>
        <v>47031.528363065314</v>
      </c>
      <c r="J13" s="238">
        <v>55000</v>
      </c>
      <c r="K13" s="238">
        <f t="shared" si="0"/>
        <v>55000</v>
      </c>
      <c r="L13" s="238">
        <f t="shared" si="0"/>
        <v>55000</v>
      </c>
      <c r="M13" s="275"/>
      <c r="O13" s="19">
        <v>1764</v>
      </c>
      <c r="P13" s="19">
        <v>146055</v>
      </c>
      <c r="Q13" s="19">
        <v>300885</v>
      </c>
      <c r="R13" s="19">
        <v>442565</v>
      </c>
      <c r="S13" s="19">
        <v>911208</v>
      </c>
      <c r="T13" s="75">
        <f>T18-T12</f>
        <v>1261788.1346744066</v>
      </c>
      <c r="U13" s="75">
        <f>U18-U12</f>
        <v>1678309.8424702839</v>
      </c>
      <c r="V13" s="75">
        <f>V18-V12</f>
        <v>2007989.3000825995</v>
      </c>
      <c r="W13" s="1249"/>
      <c r="X13"/>
    </row>
    <row r="14" spans="1:35" ht="14">
      <c r="A14" s="2002"/>
      <c r="B14" s="39" t="s">
        <v>2722</v>
      </c>
      <c r="C14"/>
      <c r="D14" s="19"/>
      <c r="E14" s="19"/>
      <c r="F14" s="19"/>
      <c r="I14" s="19"/>
      <c r="J14" s="19"/>
      <c r="K14" s="19"/>
      <c r="L14" s="19"/>
      <c r="M14" s="46"/>
      <c r="O14" s="19"/>
      <c r="P14" s="19"/>
      <c r="Q14" s="19"/>
      <c r="R14" s="19"/>
      <c r="S14" s="19">
        <v>0</v>
      </c>
      <c r="T14" s="19">
        <v>0</v>
      </c>
      <c r="U14" s="19">
        <v>0</v>
      </c>
      <c r="V14" s="19"/>
      <c r="W14" s="1252"/>
      <c r="X14"/>
    </row>
    <row r="15" spans="1:35" ht="15.5">
      <c r="A15" s="2002"/>
      <c r="B15" s="39" t="s">
        <v>2723</v>
      </c>
      <c r="C15"/>
      <c r="D15" s="19"/>
      <c r="E15" s="19"/>
      <c r="F15" s="19"/>
      <c r="I15" s="19"/>
      <c r="J15" s="19"/>
      <c r="K15" s="19"/>
      <c r="L15" s="19"/>
      <c r="M15" s="46"/>
      <c r="O15" s="82">
        <f>O12/O18</f>
        <v>0.98290382919335928</v>
      </c>
      <c r="P15" s="82">
        <f>P12/P18</f>
        <v>0.40552519980427337</v>
      </c>
      <c r="Q15" s="82">
        <f>Q12/Q18</f>
        <v>0.1816127031790587</v>
      </c>
      <c r="R15" s="82">
        <f>R12/R18</f>
        <v>0.11355860049493527</v>
      </c>
      <c r="S15" s="82">
        <f>S12/S18</f>
        <v>2.6666040001196361E-2</v>
      </c>
      <c r="T15" s="81">
        <f>S15*$X15</f>
        <v>2.3999436001076725E-2</v>
      </c>
      <c r="U15" s="81">
        <f>T15*$X15</f>
        <v>2.1599492400969051E-2</v>
      </c>
      <c r="V15" s="81">
        <f>U15*$X15</f>
        <v>1.9439543160872146E-2</v>
      </c>
      <c r="W15" s="1530"/>
      <c r="X15" s="1529">
        <v>0.9</v>
      </c>
      <c r="Y15" s="48" t="s">
        <v>2724</v>
      </c>
    </row>
    <row r="16" spans="1:35" ht="14">
      <c r="A16" s="2002"/>
      <c r="B16" s="39" t="s">
        <v>2725</v>
      </c>
      <c r="C16"/>
      <c r="D16" s="19"/>
      <c r="E16" s="19"/>
      <c r="F16" s="19"/>
      <c r="I16" s="19"/>
      <c r="J16" s="19"/>
      <c r="K16" s="19"/>
      <c r="L16" s="19"/>
      <c r="M16" s="46"/>
      <c r="O16" s="82">
        <f>O13/O18</f>
        <v>1.7096170806640758E-2</v>
      </c>
      <c r="P16" s="82">
        <f>P13/P18</f>
        <v>0.59555945196542159</v>
      </c>
      <c r="Q16" s="82">
        <f>Q13/Q18</f>
        <v>0.81838729682094136</v>
      </c>
      <c r="R16" s="82">
        <f>R13/R18</f>
        <v>0.88038998034581817</v>
      </c>
      <c r="S16" s="82">
        <f>S13/S18</f>
        <v>0.97333395999880368</v>
      </c>
      <c r="T16" s="82">
        <f>1-T15</f>
        <v>0.97600056399892332</v>
      </c>
      <c r="U16" s="82">
        <f>1-U15</f>
        <v>0.97840050759903097</v>
      </c>
      <c r="V16" s="82">
        <f>1-V15</f>
        <v>0.98056045683912785</v>
      </c>
      <c r="W16" s="1248"/>
      <c r="X16"/>
    </row>
    <row r="17" spans="1:35" ht="15">
      <c r="A17" s="2002"/>
      <c r="B17" s="39" t="s">
        <v>2726</v>
      </c>
      <c r="D17" s="75">
        <f>1000*'Earning Forecast'!B5/'Price and Quant'!N18</f>
        <v>83250.560398505608</v>
      </c>
      <c r="E17" s="75">
        <f>1000*'Earning Forecast'!C5/'Price and Quant'!O18</f>
        <v>93445.014101433408</v>
      </c>
      <c r="F17" s="75">
        <f>1000*'Earning Forecast'!D5/'Price and Quant'!P18</f>
        <v>75495.514597944872</v>
      </c>
      <c r="G17" s="75">
        <f>1000*'Earning Forecast'!E5/'Price and Quant'!Q18</f>
        <v>56631.74271601715</v>
      </c>
      <c r="H17" s="75">
        <f>1000*'Earning Forecast'!F5/'Price and Quant'!R18</f>
        <v>54180.293300868128</v>
      </c>
      <c r="I17" s="75">
        <f>1000*'Earning Forecast'!G5/'Price and Quant'!S18</f>
        <v>50452.267318398757</v>
      </c>
      <c r="J17" s="241">
        <f>J12*T15+J13*T16</f>
        <v>56379.727575701902</v>
      </c>
      <c r="K17" s="239">
        <f>K12*U15+K13*U16</f>
        <v>56241.754818131711</v>
      </c>
      <c r="L17" s="239">
        <f>L12*V15+L13*V16</f>
        <v>56117.579336318544</v>
      </c>
      <c r="M17" s="277"/>
      <c r="N17" s="19" t="s">
        <v>619</v>
      </c>
      <c r="O17" s="19" t="s">
        <v>619</v>
      </c>
      <c r="P17" s="19" t="s">
        <v>619</v>
      </c>
      <c r="Q17" s="19" t="s">
        <v>619</v>
      </c>
      <c r="R17" s="19" t="s">
        <v>619</v>
      </c>
      <c r="S17" s="19" t="s">
        <v>619</v>
      </c>
      <c r="T17" s="19" t="s">
        <v>619</v>
      </c>
      <c r="U17" s="19" t="s">
        <v>619</v>
      </c>
      <c r="V17" s="19"/>
      <c r="W17" s="19"/>
    </row>
    <row r="18" spans="1:35" ht="14">
      <c r="A18" s="2002"/>
      <c r="B18" s="58" t="s">
        <v>2727</v>
      </c>
      <c r="C18" s="51"/>
      <c r="D18" s="19" t="s">
        <v>619</v>
      </c>
      <c r="E18" s="19" t="s">
        <v>619</v>
      </c>
      <c r="F18" s="19" t="s">
        <v>619</v>
      </c>
      <c r="G18" s="19" t="s">
        <v>619</v>
      </c>
      <c r="H18" s="19" t="s">
        <v>619</v>
      </c>
      <c r="I18" s="19" t="s">
        <v>619</v>
      </c>
      <c r="J18" s="19" t="s">
        <v>619</v>
      </c>
      <c r="K18" s="19" t="s">
        <v>619</v>
      </c>
      <c r="L18" s="19" t="s">
        <v>619</v>
      </c>
      <c r="M18" s="46"/>
      <c r="N18" s="85">
        <f>'Capacity Detail'!BU7</f>
        <v>76285</v>
      </c>
      <c r="O18" s="85">
        <f>'Capacity Detail'!BV7</f>
        <v>103181</v>
      </c>
      <c r="P18" s="85">
        <f>'Capacity Detail'!BW7</f>
        <v>245240</v>
      </c>
      <c r="Q18" s="85">
        <f>'Capacity Detail'!BX7</f>
        <v>367656</v>
      </c>
      <c r="R18" s="85">
        <f>'Capacity Detail'!BY7</f>
        <v>502692</v>
      </c>
      <c r="S18" s="85">
        <f>'Capacity Detail'!BZ7</f>
        <v>936172</v>
      </c>
      <c r="T18" s="85">
        <f>'Capacity Detail'!CA7</f>
        <v>1292814.9646804903</v>
      </c>
      <c r="U18" s="85">
        <f>'Capacity Detail'!CB7</f>
        <v>1715360.7642629009</v>
      </c>
      <c r="V18" s="85">
        <f>'Capacity Detail'!CC7</f>
        <v>2047797.5489195492</v>
      </c>
      <c r="W18" s="85"/>
    </row>
    <row r="19" spans="1:35" ht="14">
      <c r="A19" s="2002"/>
      <c r="B19" s="39" t="s">
        <v>2728</v>
      </c>
      <c r="C19" s="51" t="s">
        <v>1424</v>
      </c>
      <c r="D19" s="19"/>
      <c r="E19" s="19"/>
      <c r="F19" s="19"/>
      <c r="G19" s="19"/>
      <c r="H19" s="19"/>
      <c r="I19" s="19"/>
      <c r="J19" s="19"/>
      <c r="K19" s="19"/>
      <c r="L19" s="19"/>
      <c r="M19" s="46"/>
      <c r="N19" s="19"/>
      <c r="O19" s="19">
        <v>522</v>
      </c>
      <c r="P19" s="19">
        <v>326</v>
      </c>
      <c r="Q19" s="19">
        <v>173</v>
      </c>
      <c r="R19" s="19">
        <v>205</v>
      </c>
      <c r="S19" s="19">
        <v>345</v>
      </c>
      <c r="T19" s="19"/>
      <c r="U19" s="19"/>
      <c r="V19" s="19"/>
      <c r="W19" s="19"/>
    </row>
    <row r="20" spans="1:35" ht="14">
      <c r="A20" s="2002"/>
      <c r="B20" s="39" t="s">
        <v>2729</v>
      </c>
      <c r="C20" s="51" t="s">
        <v>1424</v>
      </c>
      <c r="D20" s="19"/>
      <c r="E20" s="19"/>
      <c r="F20" s="19"/>
      <c r="G20" s="19"/>
      <c r="H20" s="19"/>
      <c r="I20" s="19"/>
      <c r="J20" s="19"/>
      <c r="K20" s="19"/>
      <c r="L20" s="19"/>
      <c r="M20" s="46"/>
      <c r="N20" s="19"/>
      <c r="O20" s="19"/>
      <c r="P20" s="19">
        <v>1041</v>
      </c>
      <c r="Q20" s="19">
        <v>1651</v>
      </c>
      <c r="R20" s="19">
        <v>3022</v>
      </c>
      <c r="S20" s="83">
        <v>3990</v>
      </c>
      <c r="T20" s="83">
        <v>6500</v>
      </c>
      <c r="U20" s="75">
        <f>T20*(1+U21)</f>
        <v>10356.225028021136</v>
      </c>
      <c r="V20" s="75">
        <f>U20*(1+V21)</f>
        <v>15681.588359706782</v>
      </c>
      <c r="W20" s="75">
        <f>V20*(1+W21)</f>
        <v>24758.910547698684</v>
      </c>
    </row>
    <row r="21" spans="1:35" ht="15.5">
      <c r="A21" s="2002"/>
      <c r="B21" s="39" t="s">
        <v>526</v>
      </c>
      <c r="C21" s="51"/>
      <c r="D21" s="19"/>
      <c r="E21" s="19"/>
      <c r="F21" s="19"/>
      <c r="G21" s="19"/>
      <c r="H21" s="19"/>
      <c r="I21" s="19"/>
      <c r="J21" s="19"/>
      <c r="K21" s="19"/>
      <c r="L21" s="19"/>
      <c r="M21" s="46"/>
      <c r="N21" s="19"/>
      <c r="O21" s="19"/>
      <c r="P21" s="19"/>
      <c r="Q21" s="82">
        <f>Q20/P20-1</f>
        <v>0.58597502401536983</v>
      </c>
      <c r="R21" s="82">
        <f>R20/Q20-1</f>
        <v>0.83040581465778307</v>
      </c>
      <c r="S21" s="82">
        <f>S20/R20-1</f>
        <v>0.32031767041694237</v>
      </c>
      <c r="T21" s="82">
        <f>T20/S20-1</f>
        <v>0.62907268170426067</v>
      </c>
      <c r="U21" s="70">
        <f t="shared" ref="U21:W21" si="1">AVERAGE(R21:T21)</f>
        <v>0.59326538892632874</v>
      </c>
      <c r="V21" s="70">
        <f t="shared" si="1"/>
        <v>0.51421858034917722</v>
      </c>
      <c r="W21" s="70">
        <f t="shared" si="1"/>
        <v>0.57885221699325562</v>
      </c>
      <c r="X21" s="6" t="s">
        <v>229</v>
      </c>
    </row>
    <row r="22" spans="1:35" ht="15.5">
      <c r="A22" s="2002"/>
      <c r="B22" s="39" t="s">
        <v>2730</v>
      </c>
      <c r="C22" s="51"/>
      <c r="D22" s="19"/>
      <c r="E22" s="19"/>
      <c r="F22" s="75">
        <f>1000*'Earning Forecast'!D20/(1000*'Price and Quant'!P20)</f>
        <v>1493.9865513928914</v>
      </c>
      <c r="G22" s="75">
        <f>1000*'Earning Forecast'!E20/(1000*'Price and Quant'!Q20)</f>
        <v>927.3167777104785</v>
      </c>
      <c r="H22" s="75">
        <f>1000*'Earning Forecast'!F20/(1000*'Price and Quant'!R20)</f>
        <v>659.82792852415616</v>
      </c>
      <c r="I22" s="75">
        <f>1000*'Earning Forecast'!G20/(1000*'Price and Quant'!S20)</f>
        <v>698.99749373433588</v>
      </c>
      <c r="J22" s="75">
        <f>1000*'Earning Forecast'!H20/(1000*'Price and Quant'!T20)</f>
        <v>601.38461538461536</v>
      </c>
      <c r="K22" s="75">
        <f>J22*(1+K23)</f>
        <v>527.46676338409338</v>
      </c>
      <c r="L22" s="75">
        <f>K22*(1+L23)</f>
        <v>491.74030774668569</v>
      </c>
      <c r="M22" s="76">
        <f>L22*(1+M23)</f>
        <v>437.60102993959714</v>
      </c>
      <c r="N22" s="19"/>
      <c r="O22" s="19"/>
      <c r="P22" s="19"/>
      <c r="Q22" s="31"/>
      <c r="R22" s="31"/>
      <c r="S22" s="31"/>
      <c r="T22" s="50"/>
      <c r="U22" s="50"/>
      <c r="V22" s="50"/>
      <c r="W22" s="50"/>
    </row>
    <row r="23" spans="1:35" ht="15.5">
      <c r="A23" s="2002"/>
      <c r="B23" s="39" t="s">
        <v>526</v>
      </c>
      <c r="C23" s="51"/>
      <c r="D23" s="19"/>
      <c r="E23" s="19"/>
      <c r="F23" s="19"/>
      <c r="G23" s="82">
        <f>G22/F22-1</f>
        <v>-0.37930045163665538</v>
      </c>
      <c r="H23" s="82">
        <f>H22/G22-1</f>
        <v>-0.28845466362287275</v>
      </c>
      <c r="I23" s="82">
        <f>I22/H22-1</f>
        <v>5.9363302941405793E-2</v>
      </c>
      <c r="J23" s="82">
        <f>J22/I22-1</f>
        <v>-0.13964696472405336</v>
      </c>
      <c r="K23" s="518">
        <f t="shared" ref="K23:M23" si="2">AVERAGE(H23:J23)</f>
        <v>-0.12291277513517344</v>
      </c>
      <c r="L23" s="518">
        <f t="shared" ref="L23" si="3">AVERAGE(I23:K23)</f>
        <v>-6.7732145639273669E-2</v>
      </c>
      <c r="M23" s="300">
        <f t="shared" si="2"/>
        <v>-0.11009729516616683</v>
      </c>
      <c r="N23" s="19"/>
      <c r="O23" s="19"/>
      <c r="P23" s="19"/>
      <c r="Q23" s="31"/>
      <c r="R23" s="31"/>
      <c r="S23" s="31"/>
      <c r="T23" s="50"/>
      <c r="U23" s="50"/>
      <c r="V23" s="50"/>
      <c r="W23" s="50"/>
    </row>
    <row r="24" spans="1:35" ht="14">
      <c r="A24" s="2002"/>
      <c r="B24" s="39" t="s">
        <v>2731</v>
      </c>
      <c r="C24" s="51" t="s">
        <v>1424</v>
      </c>
      <c r="D24" s="19"/>
      <c r="E24" s="19"/>
      <c r="F24" s="19"/>
      <c r="G24" s="19"/>
      <c r="H24" s="19"/>
      <c r="I24" s="19"/>
      <c r="J24" s="19"/>
      <c r="K24" s="19"/>
      <c r="L24" s="19"/>
      <c r="M24" s="46"/>
      <c r="N24" s="19">
        <v>14</v>
      </c>
      <c r="O24" s="19">
        <v>14</v>
      </c>
      <c r="P24" s="19">
        <v>14</v>
      </c>
      <c r="Q24" s="19">
        <v>14</v>
      </c>
      <c r="R24" s="19">
        <v>14</v>
      </c>
      <c r="S24" s="19">
        <v>14</v>
      </c>
      <c r="T24" s="19">
        <v>14</v>
      </c>
      <c r="U24" s="19">
        <v>14</v>
      </c>
      <c r="V24" s="19"/>
      <c r="W24" s="19"/>
    </row>
    <row r="25" spans="1:35" ht="14">
      <c r="A25" s="2002"/>
      <c r="B25" s="39" t="s">
        <v>2732</v>
      </c>
      <c r="C25" s="51"/>
      <c r="D25" s="19"/>
      <c r="E25" s="19"/>
      <c r="F25" s="19"/>
      <c r="G25" s="19"/>
      <c r="H25" s="19"/>
      <c r="I25" s="19"/>
      <c r="J25" s="19"/>
      <c r="K25" s="19"/>
      <c r="L25" s="19"/>
      <c r="M25" s="46"/>
      <c r="N25" s="19"/>
      <c r="O25" s="19"/>
      <c r="P25" s="19"/>
      <c r="Q25" s="19"/>
      <c r="R25" s="19"/>
      <c r="S25" s="19"/>
      <c r="T25" s="19"/>
      <c r="U25" s="19"/>
      <c r="V25" s="19"/>
      <c r="W25" s="19"/>
    </row>
    <row r="26" spans="1:35" ht="14">
      <c r="A26" s="2002"/>
      <c r="B26" s="39" t="s">
        <v>2733</v>
      </c>
      <c r="C26" s="51"/>
      <c r="D26" s="19"/>
      <c r="E26" s="19"/>
      <c r="F26" s="19"/>
      <c r="G26" s="19"/>
      <c r="H26" s="19"/>
      <c r="I26" s="19"/>
      <c r="J26" s="19"/>
      <c r="K26" s="19"/>
      <c r="L26" s="19"/>
      <c r="M26" s="46"/>
      <c r="N26" s="19"/>
      <c r="O26" s="19"/>
      <c r="T26" s="19"/>
      <c r="U26" s="19"/>
      <c r="V26" s="19"/>
      <c r="W26" s="19"/>
    </row>
    <row r="27" spans="1:35" ht="14">
      <c r="A27" s="2011"/>
      <c r="B27" s="226"/>
      <c r="C27" s="1513"/>
      <c r="D27" s="19"/>
      <c r="E27" s="19"/>
      <c r="F27" s="19"/>
      <c r="G27" s="19"/>
      <c r="H27" s="19"/>
      <c r="I27" s="19"/>
      <c r="J27" s="19"/>
      <c r="K27" s="19"/>
      <c r="L27" s="19"/>
      <c r="M27" s="46"/>
      <c r="N27" s="19"/>
      <c r="O27" s="19"/>
      <c r="P27" s="19"/>
      <c r="Q27" s="19"/>
      <c r="R27" s="19"/>
      <c r="S27" s="302"/>
      <c r="T27" s="19"/>
      <c r="U27" s="19"/>
      <c r="V27" s="302"/>
      <c r="W27" s="302"/>
      <c r="X27" s="301"/>
    </row>
    <row r="28" spans="1:35" s="7" customFormat="1" ht="14.15" customHeight="1">
      <c r="A28" s="1995" t="s">
        <v>2734</v>
      </c>
      <c r="B28" s="6" t="s">
        <v>2735</v>
      </c>
      <c r="C28" s="6" t="s">
        <v>2713</v>
      </c>
      <c r="D28" s="211">
        <v>282300</v>
      </c>
      <c r="E28" s="211">
        <v>245900</v>
      </c>
      <c r="F28" s="211">
        <v>250650</v>
      </c>
      <c r="G28" s="211">
        <v>154100</v>
      </c>
      <c r="H28" s="211">
        <v>154100</v>
      </c>
      <c r="I28" s="211">
        <v>169800</v>
      </c>
      <c r="J28" s="53">
        <v>163100</v>
      </c>
      <c r="K28" s="283">
        <f>J28</f>
        <v>163100</v>
      </c>
      <c r="L28" s="77">
        <f>K28</f>
        <v>163100</v>
      </c>
      <c r="M28" s="336"/>
      <c r="N28" s="53"/>
      <c r="O28" s="53"/>
      <c r="P28" s="53"/>
      <c r="Q28" s="53"/>
      <c r="R28" s="211">
        <v>47999</v>
      </c>
      <c r="S28" s="2009">
        <v>19477</v>
      </c>
      <c r="T28" s="53"/>
      <c r="U28" s="53"/>
      <c r="V28" s="19"/>
      <c r="W28" s="19"/>
      <c r="X28" s="2010">
        <f>S28/X69</f>
        <v>2.5609822643069918E-2</v>
      </c>
      <c r="Y28" s="342"/>
      <c r="AE28" s="322">
        <v>53.1</v>
      </c>
      <c r="AF28" s="314">
        <v>53.1</v>
      </c>
      <c r="AI28" s="1522"/>
    </row>
    <row r="29" spans="1:35" ht="15.65" customHeight="1">
      <c r="A29" s="1998"/>
      <c r="B29" s="6" t="s">
        <v>2736</v>
      </c>
      <c r="C29" s="6" t="s">
        <v>2737</v>
      </c>
      <c r="D29" s="78" t="s">
        <v>1581</v>
      </c>
      <c r="E29" s="78">
        <v>197900</v>
      </c>
      <c r="F29" s="78">
        <v>137900</v>
      </c>
      <c r="G29" s="78" t="s">
        <v>1581</v>
      </c>
      <c r="H29" s="78" t="s">
        <v>1581</v>
      </c>
      <c r="I29" s="78" t="s">
        <v>1581</v>
      </c>
      <c r="J29" s="78" t="s">
        <v>1581</v>
      </c>
      <c r="K29" s="77" t="str">
        <f t="shared" ref="K29:L61" si="4">J29</f>
        <v>-</v>
      </c>
      <c r="L29" s="77" t="str">
        <f t="shared" si="4"/>
        <v>-</v>
      </c>
      <c r="M29" s="80"/>
      <c r="R29" s="212"/>
      <c r="S29" s="2009"/>
      <c r="T29" s="281"/>
      <c r="X29" s="2000"/>
    </row>
    <row r="30" spans="1:35" ht="14">
      <c r="A30" s="1998"/>
      <c r="B30" s="6" t="s">
        <v>2738</v>
      </c>
      <c r="C30" s="6" t="s">
        <v>2713</v>
      </c>
      <c r="D30" s="78" t="s">
        <v>1581</v>
      </c>
      <c r="E30" s="78" t="s">
        <v>1581</v>
      </c>
      <c r="F30" s="78">
        <v>208230</v>
      </c>
      <c r="G30" s="78">
        <v>183300</v>
      </c>
      <c r="H30" s="78">
        <v>183300</v>
      </c>
      <c r="I30" s="78">
        <v>183300</v>
      </c>
      <c r="J30" s="19">
        <v>194828.57142857142</v>
      </c>
      <c r="K30" s="77">
        <f t="shared" si="4"/>
        <v>194828.57142857142</v>
      </c>
      <c r="L30" s="77">
        <f t="shared" si="4"/>
        <v>194828.57142857142</v>
      </c>
      <c r="M30" s="80"/>
      <c r="R30" s="78">
        <v>12638</v>
      </c>
      <c r="S30" s="2009">
        <v>2138</v>
      </c>
      <c r="X30" s="2000">
        <f>S30/X69</f>
        <v>2.8112029989671656E-3</v>
      </c>
      <c r="AE30" s="33">
        <v>58.024999999999999</v>
      </c>
      <c r="AF30" s="33">
        <v>58.024999999999999</v>
      </c>
    </row>
    <row r="31" spans="1:35" ht="14.15" customHeight="1">
      <c r="A31" s="1998"/>
      <c r="B31" s="6" t="s">
        <v>2739</v>
      </c>
      <c r="C31" s="6" t="s">
        <v>2737</v>
      </c>
      <c r="D31" s="78" t="s">
        <v>1581</v>
      </c>
      <c r="E31" s="78" t="s">
        <v>1581</v>
      </c>
      <c r="F31" s="78">
        <v>172400</v>
      </c>
      <c r="G31" s="78">
        <v>159600</v>
      </c>
      <c r="H31" s="78">
        <v>159600</v>
      </c>
      <c r="I31" s="78">
        <v>159600</v>
      </c>
      <c r="J31" s="19">
        <v>171566.66666666666</v>
      </c>
      <c r="K31" s="77">
        <f>J31</f>
        <v>171566.66666666666</v>
      </c>
      <c r="L31" s="77">
        <f>K31</f>
        <v>171566.66666666666</v>
      </c>
      <c r="M31" s="80"/>
      <c r="R31" s="212"/>
      <c r="S31" s="2009"/>
      <c r="X31" s="2000"/>
      <c r="AE31" s="33">
        <v>10.813333330000001</v>
      </c>
      <c r="AF31" s="33">
        <v>10.813333330000001</v>
      </c>
    </row>
    <row r="32" spans="1:35" ht="16.5">
      <c r="A32" s="1998"/>
      <c r="B32" s="6" t="s">
        <v>2740</v>
      </c>
      <c r="C32" s="6" t="s">
        <v>2713</v>
      </c>
      <c r="D32" s="78" t="s">
        <v>1581</v>
      </c>
      <c r="E32" s="78" t="s">
        <v>1581</v>
      </c>
      <c r="F32" s="78" t="s">
        <v>1581</v>
      </c>
      <c r="G32" s="78" t="s">
        <v>1581</v>
      </c>
      <c r="H32" s="78" t="s">
        <v>1581</v>
      </c>
      <c r="I32" s="78">
        <v>155100</v>
      </c>
      <c r="J32" s="19">
        <v>168024</v>
      </c>
      <c r="K32" s="77">
        <f t="shared" si="4"/>
        <v>168024</v>
      </c>
      <c r="L32" s="77">
        <f t="shared" si="4"/>
        <v>168024</v>
      </c>
      <c r="M32" s="80"/>
      <c r="N32" s="282"/>
      <c r="O32" s="282"/>
      <c r="P32" s="282"/>
      <c r="Q32" s="282"/>
      <c r="R32" s="281"/>
      <c r="S32" s="307">
        <v>169807</v>
      </c>
      <c r="T32" s="281"/>
      <c r="U32" s="281"/>
      <c r="V32" s="281"/>
      <c r="W32" s="281"/>
      <c r="X32" s="329">
        <f>S32/X69</f>
        <v>0.2232749988987921</v>
      </c>
      <c r="AE32" s="33">
        <v>58.733333330000001</v>
      </c>
      <c r="AF32" s="33">
        <v>58.733333330000001</v>
      </c>
    </row>
    <row r="33" spans="1:33" ht="15.65" customHeight="1">
      <c r="A33" s="1998"/>
      <c r="B33" s="6" t="s">
        <v>2741</v>
      </c>
      <c r="C33" s="6" t="s">
        <v>2737</v>
      </c>
      <c r="D33" s="78" t="s">
        <v>1581</v>
      </c>
      <c r="E33" s="78" t="s">
        <v>1581</v>
      </c>
      <c r="F33" s="78" t="s">
        <v>1581</v>
      </c>
      <c r="G33" s="78" t="s">
        <v>1581</v>
      </c>
      <c r="H33" s="78" t="s">
        <v>1581</v>
      </c>
      <c r="I33" s="78">
        <v>125300</v>
      </c>
      <c r="J33" s="19">
        <v>136100</v>
      </c>
      <c r="K33" s="77">
        <f t="shared" si="4"/>
        <v>136100</v>
      </c>
      <c r="L33" s="77">
        <f t="shared" si="4"/>
        <v>136100</v>
      </c>
      <c r="M33" s="80"/>
      <c r="R33" s="212"/>
      <c r="S33" s="307"/>
      <c r="U33" s="281"/>
      <c r="V33" s="281"/>
      <c r="W33" s="281"/>
      <c r="AE33" s="33">
        <v>13.32</v>
      </c>
      <c r="AF33" s="33">
        <v>13.32</v>
      </c>
    </row>
    <row r="34" spans="1:33" ht="16.5">
      <c r="A34" s="1998"/>
      <c r="B34" s="6" t="s">
        <v>2742</v>
      </c>
      <c r="C34" s="6" t="s">
        <v>2713</v>
      </c>
      <c r="D34" s="78" t="s">
        <v>1581</v>
      </c>
      <c r="E34" s="78" t="s">
        <v>1581</v>
      </c>
      <c r="F34" s="78" t="s">
        <v>1581</v>
      </c>
      <c r="G34" s="78" t="s">
        <v>1581</v>
      </c>
      <c r="H34" s="78">
        <v>255000</v>
      </c>
      <c r="I34" s="78">
        <v>243700</v>
      </c>
      <c r="J34" s="19">
        <v>281531</v>
      </c>
      <c r="K34" s="77">
        <f t="shared" si="4"/>
        <v>281531</v>
      </c>
      <c r="L34" s="77">
        <f t="shared" si="4"/>
        <v>281531</v>
      </c>
      <c r="M34" s="80"/>
      <c r="O34" s="280"/>
      <c r="P34" s="280"/>
      <c r="Q34" s="280"/>
      <c r="R34" s="78">
        <v>56250</v>
      </c>
      <c r="S34" s="2008">
        <v>117665</v>
      </c>
      <c r="X34" s="2000">
        <f>S34/X69</f>
        <v>0.15471478057692775</v>
      </c>
      <c r="AE34" s="33">
        <v>78.125</v>
      </c>
      <c r="AF34" s="33">
        <v>78.125</v>
      </c>
    </row>
    <row r="35" spans="1:33" ht="16.5">
      <c r="A35" s="1998"/>
      <c r="B35" s="6" t="s">
        <v>2743</v>
      </c>
      <c r="D35" s="78"/>
      <c r="E35" s="78"/>
      <c r="F35" s="78"/>
      <c r="G35" s="78"/>
      <c r="H35" s="78"/>
      <c r="I35" s="78"/>
      <c r="J35" s="19">
        <v>261240</v>
      </c>
      <c r="K35" s="77">
        <f t="shared" si="4"/>
        <v>261240</v>
      </c>
      <c r="L35" s="77">
        <f t="shared" si="4"/>
        <v>261240</v>
      </c>
      <c r="M35" s="80"/>
      <c r="P35" s="280"/>
      <c r="Q35" s="281"/>
      <c r="R35" s="78"/>
      <c r="S35" s="2008"/>
      <c r="X35" s="2000"/>
      <c r="AE35" s="33">
        <v>31.1</v>
      </c>
      <c r="AF35" s="33">
        <v>31.1</v>
      </c>
    </row>
    <row r="36" spans="1:33" ht="14">
      <c r="A36" s="1998"/>
      <c r="B36" s="6" t="s">
        <v>2744</v>
      </c>
      <c r="C36" s="6" t="s">
        <v>2737</v>
      </c>
      <c r="D36" s="78" t="s">
        <v>1581</v>
      </c>
      <c r="E36" s="78" t="s">
        <v>1581</v>
      </c>
      <c r="F36" s="78" t="s">
        <v>1581</v>
      </c>
      <c r="G36" s="78" t="s">
        <v>1581</v>
      </c>
      <c r="H36" s="78">
        <v>229800</v>
      </c>
      <c r="I36" s="78">
        <v>229800</v>
      </c>
      <c r="J36" s="19">
        <v>237600</v>
      </c>
      <c r="K36" s="77">
        <f t="shared" si="4"/>
        <v>237600</v>
      </c>
      <c r="L36" s="77">
        <f t="shared" si="4"/>
        <v>237600</v>
      </c>
      <c r="M36" s="80"/>
      <c r="N36" s="19"/>
      <c r="O36" s="19"/>
      <c r="P36" s="19"/>
      <c r="R36" s="78"/>
      <c r="S36" s="2008"/>
      <c r="T36" s="19"/>
      <c r="U36" s="19"/>
      <c r="V36" s="19"/>
      <c r="W36" s="19"/>
      <c r="X36" s="2000"/>
      <c r="AE36" s="33">
        <v>15.2</v>
      </c>
      <c r="AF36" s="33">
        <v>15.2</v>
      </c>
    </row>
    <row r="37" spans="1:33" ht="16.5">
      <c r="A37" s="1998"/>
      <c r="B37" s="6" t="s">
        <v>2745</v>
      </c>
      <c r="C37" s="6" t="s">
        <v>2713</v>
      </c>
      <c r="D37" s="78" t="s">
        <v>1581</v>
      </c>
      <c r="E37" s="78" t="s">
        <v>1581</v>
      </c>
      <c r="F37" s="78" t="s">
        <v>1581</v>
      </c>
      <c r="G37" s="78">
        <v>310700</v>
      </c>
      <c r="H37" s="78">
        <v>310700</v>
      </c>
      <c r="I37" s="78">
        <v>292600</v>
      </c>
      <c r="J37" s="19">
        <v>313580</v>
      </c>
      <c r="K37" s="77">
        <f t="shared" si="4"/>
        <v>313580</v>
      </c>
      <c r="L37" s="77">
        <f t="shared" si="4"/>
        <v>313580</v>
      </c>
      <c r="M37" s="80"/>
      <c r="N37" s="281"/>
      <c r="O37" s="281"/>
      <c r="P37" s="19"/>
      <c r="Q37" s="19"/>
      <c r="R37" s="213">
        <v>22497</v>
      </c>
      <c r="S37" s="2008">
        <v>50075</v>
      </c>
      <c r="T37" s="19"/>
      <c r="U37" s="19"/>
      <c r="V37" s="19"/>
      <c r="W37" s="19"/>
      <c r="X37" s="2000">
        <f>S37/X69</f>
        <v>6.5842371456165019E-2</v>
      </c>
      <c r="AE37" s="33">
        <v>86.4</v>
      </c>
      <c r="AF37" s="33">
        <v>99.55</v>
      </c>
    </row>
    <row r="38" spans="1:33" ht="14">
      <c r="A38" s="1998"/>
      <c r="B38" s="6" t="s">
        <v>2746</v>
      </c>
      <c r="C38" s="6" t="s">
        <v>2737</v>
      </c>
      <c r="D38" s="78"/>
      <c r="E38" s="78"/>
      <c r="F38" s="78"/>
      <c r="G38" s="78"/>
      <c r="H38" s="78"/>
      <c r="I38" s="78"/>
      <c r="J38" s="19">
        <v>219100</v>
      </c>
      <c r="K38" s="77">
        <f t="shared" si="4"/>
        <v>219100</v>
      </c>
      <c r="L38" s="77">
        <f t="shared" si="4"/>
        <v>219100</v>
      </c>
      <c r="M38" s="80"/>
      <c r="N38" s="19"/>
      <c r="O38" s="19"/>
      <c r="P38" s="19"/>
      <c r="Q38" s="19"/>
      <c r="S38" s="2008"/>
      <c r="T38" s="19"/>
      <c r="U38" s="19"/>
      <c r="V38" s="19"/>
      <c r="W38" s="19"/>
      <c r="X38" s="2000"/>
      <c r="AE38" s="33">
        <v>21.5</v>
      </c>
      <c r="AF38" s="33">
        <v>21.5</v>
      </c>
    </row>
    <row r="39" spans="1:33" ht="14">
      <c r="A39" s="1998"/>
      <c r="B39" s="6" t="s">
        <v>2747</v>
      </c>
      <c r="C39" s="6" t="s">
        <v>2737</v>
      </c>
      <c r="D39" s="78">
        <v>327800</v>
      </c>
      <c r="E39" s="78">
        <v>281900</v>
      </c>
      <c r="F39" s="78">
        <v>269900</v>
      </c>
      <c r="G39" s="78">
        <v>277600</v>
      </c>
      <c r="H39" s="78">
        <v>238400</v>
      </c>
      <c r="I39" s="78">
        <v>232800</v>
      </c>
      <c r="J39" s="19">
        <v>277100</v>
      </c>
      <c r="K39" s="77">
        <f t="shared" si="4"/>
        <v>277100</v>
      </c>
      <c r="L39" s="77">
        <f t="shared" si="4"/>
        <v>277100</v>
      </c>
      <c r="M39" s="80"/>
      <c r="N39" s="19"/>
      <c r="O39" s="19"/>
      <c r="P39" s="19"/>
      <c r="Q39" s="19"/>
      <c r="R39" s="213">
        <v>13991</v>
      </c>
      <c r="S39" s="2008"/>
      <c r="T39" s="19"/>
      <c r="U39" s="19"/>
      <c r="V39" s="19"/>
      <c r="W39" s="19"/>
      <c r="X39" s="2000"/>
      <c r="AE39" s="33">
        <v>19.3</v>
      </c>
      <c r="AF39" s="33">
        <v>19.3</v>
      </c>
    </row>
    <row r="40" spans="1:33" ht="14">
      <c r="A40" s="1998"/>
      <c r="B40" s="6" t="s">
        <v>2748</v>
      </c>
      <c r="C40" s="6" t="s">
        <v>2713</v>
      </c>
      <c r="D40" s="78" t="s">
        <v>1581</v>
      </c>
      <c r="E40" s="78">
        <v>270900</v>
      </c>
      <c r="F40" s="78">
        <v>269150</v>
      </c>
      <c r="G40" s="78">
        <v>204900</v>
      </c>
      <c r="H40" s="78" t="s">
        <v>1581</v>
      </c>
      <c r="I40" s="78" t="s">
        <v>1581</v>
      </c>
      <c r="J40" s="78" t="s">
        <v>1581</v>
      </c>
      <c r="K40" s="77" t="str">
        <f t="shared" si="4"/>
        <v>-</v>
      </c>
      <c r="L40" s="77" t="str">
        <f t="shared" si="4"/>
        <v>-</v>
      </c>
      <c r="M40" s="80"/>
      <c r="N40" s="19"/>
      <c r="O40" s="19"/>
      <c r="P40" s="19"/>
      <c r="Q40" s="19"/>
      <c r="R40" s="78">
        <v>7108</v>
      </c>
      <c r="S40" s="307"/>
      <c r="T40" s="19"/>
      <c r="U40" s="19"/>
      <c r="V40" s="19"/>
      <c r="W40" s="19"/>
    </row>
    <row r="41" spans="1:33" ht="14">
      <c r="A41" s="1998"/>
      <c r="B41" s="6" t="s">
        <v>2749</v>
      </c>
      <c r="C41" s="6" t="s">
        <v>2737</v>
      </c>
      <c r="D41" s="78" t="s">
        <v>1581</v>
      </c>
      <c r="E41" s="78">
        <v>231200</v>
      </c>
      <c r="F41" s="78">
        <v>231200</v>
      </c>
      <c r="G41" s="78">
        <v>191900</v>
      </c>
      <c r="H41" s="78" t="s">
        <v>1581</v>
      </c>
      <c r="I41" s="78" t="s">
        <v>1581</v>
      </c>
      <c r="J41" s="78" t="s">
        <v>1581</v>
      </c>
      <c r="K41" s="77" t="str">
        <f t="shared" si="4"/>
        <v>-</v>
      </c>
      <c r="L41" s="77" t="str">
        <f t="shared" si="4"/>
        <v>-</v>
      </c>
      <c r="M41" s="80"/>
      <c r="N41" s="19"/>
      <c r="O41" s="19"/>
      <c r="P41" s="19"/>
      <c r="Q41" s="19"/>
      <c r="R41" s="78"/>
      <c r="S41" s="307"/>
      <c r="T41" s="19"/>
      <c r="U41" s="19"/>
      <c r="V41" s="19"/>
      <c r="W41" s="19"/>
    </row>
    <row r="42" spans="1:33" ht="14">
      <c r="A42" s="1998"/>
      <c r="B42" s="6" t="s">
        <v>2750</v>
      </c>
      <c r="C42" s="6" t="s">
        <v>2737</v>
      </c>
      <c r="D42" s="78" t="s">
        <v>1581</v>
      </c>
      <c r="E42" s="78" t="s">
        <v>1581</v>
      </c>
      <c r="F42" s="78" t="s">
        <v>1581</v>
      </c>
      <c r="G42" s="78">
        <v>174800</v>
      </c>
      <c r="H42" s="78">
        <v>174800</v>
      </c>
      <c r="I42" s="78">
        <v>174800</v>
      </c>
      <c r="J42" s="19">
        <v>175154.54545454544</v>
      </c>
      <c r="K42" s="77">
        <f t="shared" si="4"/>
        <v>175154.54545454544</v>
      </c>
      <c r="L42" s="77">
        <f t="shared" si="4"/>
        <v>175154.54545454544</v>
      </c>
      <c r="M42" s="80"/>
      <c r="N42" s="19"/>
      <c r="O42" s="19"/>
      <c r="P42" s="19"/>
      <c r="Q42" s="19"/>
      <c r="R42" s="212"/>
      <c r="S42" s="2009">
        <v>733</v>
      </c>
      <c r="T42" s="19"/>
      <c r="U42" s="19"/>
      <c r="V42" s="19"/>
      <c r="W42" s="19"/>
      <c r="X42" s="2000">
        <f>S42/X69</f>
        <v>9.6380346035684396E-4</v>
      </c>
      <c r="AE42" s="1531">
        <v>13.3</v>
      </c>
      <c r="AF42" s="33">
        <v>13.3</v>
      </c>
      <c r="AG42" t="s">
        <v>2751</v>
      </c>
    </row>
    <row r="43" spans="1:33" ht="14">
      <c r="A43" s="1998"/>
      <c r="B43" s="6" t="s">
        <v>2752</v>
      </c>
      <c r="C43" s="6" t="s">
        <v>2713</v>
      </c>
      <c r="D43" s="78" t="s">
        <v>1581</v>
      </c>
      <c r="E43" s="78" t="s">
        <v>1581</v>
      </c>
      <c r="F43" s="78" t="s">
        <v>1581</v>
      </c>
      <c r="G43" s="78">
        <v>189800</v>
      </c>
      <c r="H43" s="78" t="s">
        <v>1581</v>
      </c>
      <c r="I43" s="78" t="s">
        <v>1581</v>
      </c>
      <c r="J43" s="19">
        <v>214800</v>
      </c>
      <c r="K43" s="77">
        <f t="shared" si="4"/>
        <v>214800</v>
      </c>
      <c r="L43" s="77">
        <f t="shared" si="4"/>
        <v>214800</v>
      </c>
      <c r="M43" s="80"/>
      <c r="N43" s="19"/>
      <c r="O43" s="19"/>
      <c r="P43" s="19"/>
      <c r="Q43" s="19"/>
      <c r="R43" s="78">
        <v>1882</v>
      </c>
      <c r="S43" s="2009"/>
      <c r="T43" s="19"/>
      <c r="U43" s="19"/>
      <c r="V43" s="19"/>
      <c r="W43" s="19"/>
      <c r="X43" s="2000"/>
      <c r="AE43" s="1532">
        <v>13.3</v>
      </c>
      <c r="AF43" s="33">
        <v>23.76</v>
      </c>
    </row>
    <row r="44" spans="1:33" ht="14">
      <c r="A44" s="1998"/>
      <c r="B44" s="6" t="s">
        <v>2753</v>
      </c>
      <c r="C44" s="6" t="s">
        <v>2713</v>
      </c>
      <c r="D44" s="78" t="s">
        <v>1581</v>
      </c>
      <c r="E44" s="78" t="s">
        <v>1581</v>
      </c>
      <c r="F44" s="78" t="s">
        <v>1581</v>
      </c>
      <c r="G44" s="78" t="s">
        <v>1581</v>
      </c>
      <c r="H44" s="78" t="s">
        <v>1581</v>
      </c>
      <c r="I44" s="78">
        <v>178300</v>
      </c>
      <c r="J44" s="19">
        <v>200640</v>
      </c>
      <c r="K44" s="77">
        <f t="shared" si="4"/>
        <v>200640</v>
      </c>
      <c r="L44" s="77">
        <f t="shared" si="4"/>
        <v>200640</v>
      </c>
      <c r="M44" s="80"/>
      <c r="N44" s="19"/>
      <c r="O44" s="19"/>
      <c r="P44" s="19"/>
      <c r="Q44" s="19"/>
      <c r="R44" s="212"/>
      <c r="S44" s="307">
        <v>99561</v>
      </c>
      <c r="T44" s="19"/>
      <c r="U44" s="19"/>
      <c r="V44" s="19"/>
      <c r="W44" s="19"/>
      <c r="X44" s="329">
        <f>S44/X69</f>
        <v>0.13091028146874181</v>
      </c>
      <c r="AE44" s="33">
        <v>71.7</v>
      </c>
      <c r="AF44" s="33">
        <v>71.7</v>
      </c>
    </row>
    <row r="45" spans="1:33" ht="14.15" customHeight="1">
      <c r="A45" s="1998"/>
      <c r="B45" s="6" t="s">
        <v>2754</v>
      </c>
      <c r="C45" s="6" t="s">
        <v>2737</v>
      </c>
      <c r="D45" s="78" t="s">
        <v>1581</v>
      </c>
      <c r="E45" s="78" t="s">
        <v>1581</v>
      </c>
      <c r="F45" s="78" t="s">
        <v>1581</v>
      </c>
      <c r="G45" s="78" t="s">
        <v>1581</v>
      </c>
      <c r="H45" s="78" t="s">
        <v>1581</v>
      </c>
      <c r="I45" s="78">
        <v>166600</v>
      </c>
      <c r="J45" s="19">
        <v>185600</v>
      </c>
      <c r="K45" s="77">
        <f t="shared" si="4"/>
        <v>185600</v>
      </c>
      <c r="L45" s="77">
        <f t="shared" si="4"/>
        <v>185600</v>
      </c>
      <c r="M45" s="80"/>
      <c r="N45" s="19"/>
      <c r="O45" s="19"/>
      <c r="P45" s="19"/>
      <c r="Q45" s="19"/>
      <c r="R45" s="78"/>
      <c r="S45" s="307"/>
      <c r="T45" s="19"/>
      <c r="U45" s="19"/>
      <c r="V45" s="19"/>
      <c r="W45" s="19"/>
      <c r="X45" s="329"/>
      <c r="AE45" s="33">
        <v>13.3</v>
      </c>
      <c r="AF45" s="33">
        <v>13.3</v>
      </c>
    </row>
    <row r="46" spans="1:33" ht="14">
      <c r="A46" s="1998"/>
      <c r="B46" s="6" t="s">
        <v>2755</v>
      </c>
      <c r="C46" s="6" t="s">
        <v>2713</v>
      </c>
      <c r="D46" s="78" t="s">
        <v>1581</v>
      </c>
      <c r="E46" s="78" t="s">
        <v>1581</v>
      </c>
      <c r="F46" s="78" t="s">
        <v>1581</v>
      </c>
      <c r="G46" s="78">
        <v>197300</v>
      </c>
      <c r="H46" s="78">
        <v>197300</v>
      </c>
      <c r="I46" s="78">
        <v>197300</v>
      </c>
      <c r="J46" s="19">
        <v>218820</v>
      </c>
      <c r="K46" s="77">
        <f t="shared" si="4"/>
        <v>218820</v>
      </c>
      <c r="L46" s="77">
        <f t="shared" si="4"/>
        <v>218820</v>
      </c>
      <c r="M46" s="80"/>
      <c r="N46" s="19"/>
      <c r="O46" s="19"/>
      <c r="P46" s="19"/>
      <c r="Q46" s="19"/>
      <c r="R46" s="78">
        <v>10600</v>
      </c>
      <c r="S46" s="307">
        <f>38007/8*12</f>
        <v>57010.5</v>
      </c>
      <c r="T46" s="19"/>
      <c r="U46" s="19"/>
      <c r="V46" s="19"/>
      <c r="W46" s="19"/>
      <c r="X46" s="329">
        <f>S46/X69</f>
        <v>7.4961687826294476E-2</v>
      </c>
      <c r="AE46" s="33">
        <v>63.066666669999996</v>
      </c>
      <c r="AF46" s="33">
        <v>63.066666669999996</v>
      </c>
    </row>
    <row r="47" spans="1:33" ht="14.5">
      <c r="A47" s="1998"/>
      <c r="B47" s="512" t="s">
        <v>2756</v>
      </c>
      <c r="C47" s="6" t="s">
        <v>2737</v>
      </c>
      <c r="D47" s="78" t="s">
        <v>1581</v>
      </c>
      <c r="E47" s="78" t="s">
        <v>1581</v>
      </c>
      <c r="F47" s="78" t="s">
        <v>1581</v>
      </c>
      <c r="G47" s="78">
        <v>192300</v>
      </c>
      <c r="H47" s="78">
        <v>192300</v>
      </c>
      <c r="I47" s="78">
        <v>192300</v>
      </c>
      <c r="J47" s="19">
        <v>203620</v>
      </c>
      <c r="K47" s="77">
        <f t="shared" si="4"/>
        <v>203620</v>
      </c>
      <c r="L47" s="77">
        <f t="shared" si="4"/>
        <v>203620</v>
      </c>
      <c r="M47" s="80"/>
      <c r="N47" s="19"/>
      <c r="O47" s="19"/>
      <c r="P47" s="19"/>
      <c r="Q47" s="19"/>
      <c r="R47" s="78">
        <v>81148</v>
      </c>
      <c r="S47" s="307"/>
      <c r="T47" s="19"/>
      <c r="U47" s="19"/>
      <c r="V47" s="19"/>
      <c r="W47" s="19"/>
      <c r="AE47" s="49"/>
      <c r="AF47" s="33">
        <v>14.1</v>
      </c>
    </row>
    <row r="48" spans="1:33" ht="14.5">
      <c r="A48" s="1998"/>
      <c r="B48" s="512" t="s">
        <v>2757</v>
      </c>
      <c r="C48" s="6" t="s">
        <v>2043</v>
      </c>
      <c r="D48" s="78"/>
      <c r="E48" s="78"/>
      <c r="F48" s="78"/>
      <c r="G48" s="78"/>
      <c r="H48" s="78">
        <f>(89800+129900)/2</f>
        <v>109850</v>
      </c>
      <c r="I48" s="78"/>
      <c r="J48" s="19">
        <v>112600</v>
      </c>
      <c r="K48" s="77">
        <f t="shared" si="4"/>
        <v>112600</v>
      </c>
      <c r="L48" s="77">
        <f t="shared" si="4"/>
        <v>112600</v>
      </c>
      <c r="M48" s="80"/>
      <c r="N48" s="19"/>
      <c r="O48" s="19"/>
      <c r="P48" s="19"/>
      <c r="Q48" s="19"/>
      <c r="S48" s="307"/>
      <c r="T48" s="19"/>
      <c r="U48" s="19"/>
      <c r="V48" s="19"/>
      <c r="W48" s="19"/>
    </row>
    <row r="49" spans="1:32" ht="14.5">
      <c r="A49" s="1998"/>
      <c r="B49" s="512" t="s">
        <v>2758</v>
      </c>
      <c r="C49" s="6" t="s">
        <v>2043</v>
      </c>
      <c r="D49" s="78"/>
      <c r="E49" s="78"/>
      <c r="F49" s="78"/>
      <c r="G49" s="78"/>
      <c r="H49" s="78">
        <f>(69800+93800)/2</f>
        <v>81800</v>
      </c>
      <c r="I49" s="78"/>
      <c r="J49" s="19"/>
      <c r="K49" s="77">
        <f t="shared" si="4"/>
        <v>0</v>
      </c>
      <c r="L49" s="77">
        <f t="shared" si="4"/>
        <v>0</v>
      </c>
      <c r="M49" s="80"/>
      <c r="N49" s="19"/>
      <c r="O49" s="19"/>
      <c r="P49" s="19"/>
      <c r="Q49" s="19"/>
      <c r="R49" s="78">
        <v>79159</v>
      </c>
      <c r="S49" s="307">
        <v>92022</v>
      </c>
      <c r="T49" s="19"/>
      <c r="U49" s="19"/>
      <c r="V49" s="19"/>
      <c r="W49" s="19"/>
      <c r="X49" s="329">
        <f>S49/X69</f>
        <v>0.12099743796583561</v>
      </c>
    </row>
    <row r="50" spans="1:32" ht="14.5">
      <c r="A50" s="1998"/>
      <c r="B50" s="512" t="s">
        <v>2759</v>
      </c>
      <c r="C50" s="6" t="s">
        <v>2043</v>
      </c>
      <c r="D50" s="78"/>
      <c r="E50" s="78"/>
      <c r="F50" s="78"/>
      <c r="G50" s="78"/>
      <c r="H50" s="78">
        <f>AVERAGE(79900,129900)</f>
        <v>104900</v>
      </c>
      <c r="I50" s="78"/>
      <c r="J50" s="19"/>
      <c r="K50" s="77">
        <f t="shared" si="4"/>
        <v>0</v>
      </c>
      <c r="L50" s="77">
        <f t="shared" si="4"/>
        <v>0</v>
      </c>
      <c r="M50" s="80"/>
      <c r="N50" s="19"/>
      <c r="O50" s="19"/>
      <c r="P50" s="19"/>
      <c r="Q50" s="19"/>
      <c r="R50" s="78">
        <v>23410</v>
      </c>
      <c r="S50" s="307">
        <v>9935</v>
      </c>
      <c r="T50" s="19"/>
      <c r="U50" s="19"/>
      <c r="V50" s="19"/>
      <c r="W50" s="19"/>
      <c r="X50" s="329">
        <f>S50/X69</f>
        <v>1.3063284281917114E-2</v>
      </c>
    </row>
    <row r="51" spans="1:32" ht="14.5">
      <c r="A51" s="1998"/>
      <c r="B51" s="512" t="s">
        <v>2760</v>
      </c>
      <c r="C51" s="6" t="s">
        <v>2737</v>
      </c>
      <c r="D51" s="78">
        <v>229800</v>
      </c>
      <c r="E51" s="78">
        <v>229800</v>
      </c>
      <c r="F51" s="78" t="s">
        <v>1581</v>
      </c>
      <c r="G51" s="78" t="s">
        <v>1581</v>
      </c>
      <c r="H51" s="78" t="s">
        <v>1581</v>
      </c>
      <c r="I51" s="78" t="s">
        <v>1581</v>
      </c>
      <c r="J51" s="78" t="s">
        <v>1581</v>
      </c>
      <c r="K51" s="77" t="str">
        <f t="shared" si="4"/>
        <v>-</v>
      </c>
      <c r="L51" s="77" t="str">
        <f t="shared" si="4"/>
        <v>-</v>
      </c>
      <c r="M51" s="80"/>
      <c r="N51" s="19"/>
      <c r="O51" s="19"/>
      <c r="P51" s="19"/>
      <c r="Q51" s="19"/>
      <c r="R51" s="212"/>
      <c r="S51" s="307"/>
      <c r="T51" s="19"/>
      <c r="U51" s="19"/>
      <c r="V51" s="19"/>
      <c r="W51" s="19"/>
    </row>
    <row r="52" spans="1:32" ht="14.5">
      <c r="A52" s="1998"/>
      <c r="B52" s="512" t="s">
        <v>2761</v>
      </c>
      <c r="C52" s="6" t="s">
        <v>2713</v>
      </c>
      <c r="D52" s="78" t="s">
        <v>1581</v>
      </c>
      <c r="E52" s="78" t="s">
        <v>1581</v>
      </c>
      <c r="F52" s="78">
        <v>89900</v>
      </c>
      <c r="G52" s="78">
        <v>112800</v>
      </c>
      <c r="H52" s="78">
        <v>112800</v>
      </c>
      <c r="I52" s="78">
        <v>112800</v>
      </c>
      <c r="J52" s="19">
        <v>135533.33333333334</v>
      </c>
      <c r="K52" s="77">
        <f t="shared" si="4"/>
        <v>135533.33333333334</v>
      </c>
      <c r="L52" s="77">
        <f t="shared" si="4"/>
        <v>135533.33333333334</v>
      </c>
      <c r="M52" s="80"/>
      <c r="N52" s="19"/>
      <c r="O52" s="19"/>
      <c r="P52" s="19"/>
      <c r="Q52" s="19"/>
      <c r="R52" s="78">
        <v>16306</v>
      </c>
      <c r="S52" s="307">
        <v>19797</v>
      </c>
      <c r="T52" s="19"/>
      <c r="U52" s="19"/>
      <c r="V52" s="19"/>
      <c r="W52" s="19"/>
      <c r="X52" s="329">
        <f>S52/X69</f>
        <v>2.6030582680333477E-2</v>
      </c>
      <c r="AE52" s="49">
        <v>43.2</v>
      </c>
      <c r="AF52">
        <v>46.92</v>
      </c>
    </row>
    <row r="53" spans="1:32" ht="14.5">
      <c r="A53" s="1998"/>
      <c r="B53" s="512" t="s">
        <v>2762</v>
      </c>
      <c r="C53" s="6" t="s">
        <v>2713</v>
      </c>
      <c r="D53" s="78" t="s">
        <v>1581</v>
      </c>
      <c r="E53" s="78" t="s">
        <v>1581</v>
      </c>
      <c r="F53" s="78" t="s">
        <v>1581</v>
      </c>
      <c r="G53" s="78" t="s">
        <v>1581</v>
      </c>
      <c r="H53" s="78" t="s">
        <v>1581</v>
      </c>
      <c r="I53" s="78">
        <v>104400</v>
      </c>
      <c r="J53" s="19">
        <v>122930</v>
      </c>
      <c r="K53" s="77">
        <f t="shared" si="4"/>
        <v>122930</v>
      </c>
      <c r="L53" s="77">
        <f t="shared" si="4"/>
        <v>122930</v>
      </c>
      <c r="M53" s="80"/>
      <c r="N53" s="19"/>
      <c r="O53" s="19"/>
      <c r="P53" s="19"/>
      <c r="Q53" s="19"/>
      <c r="R53" s="78"/>
      <c r="S53" s="307">
        <v>21605</v>
      </c>
      <c r="T53" s="19"/>
      <c r="U53" s="19"/>
      <c r="V53" s="19"/>
      <c r="W53" s="19"/>
      <c r="X53" s="329">
        <f>S53/X69</f>
        <v>2.8407876890872596E-2</v>
      </c>
      <c r="AE53" s="5">
        <v>44.5</v>
      </c>
      <c r="AF53">
        <v>44.5</v>
      </c>
    </row>
    <row r="54" spans="1:32" ht="14.5">
      <c r="A54" s="1998"/>
      <c r="B54" s="512" t="s">
        <v>2763</v>
      </c>
      <c r="C54" s="6" t="s">
        <v>2713</v>
      </c>
      <c r="D54" s="78"/>
      <c r="E54" s="78"/>
      <c r="F54" s="78"/>
      <c r="G54" s="78"/>
      <c r="H54" s="78"/>
      <c r="I54" s="78"/>
      <c r="J54" s="19">
        <v>163274</v>
      </c>
      <c r="K54" s="77">
        <f t="shared" si="4"/>
        <v>163274</v>
      </c>
      <c r="L54" s="77">
        <f t="shared" si="4"/>
        <v>163274</v>
      </c>
      <c r="M54" s="80"/>
      <c r="N54" s="19"/>
      <c r="O54" s="19"/>
      <c r="P54" s="19"/>
      <c r="Q54" s="19"/>
      <c r="R54" s="78"/>
      <c r="S54" s="307"/>
      <c r="T54" s="19"/>
      <c r="U54" s="19"/>
      <c r="V54" s="19"/>
      <c r="W54" s="19"/>
      <c r="AE54">
        <v>49.92</v>
      </c>
      <c r="AF54">
        <v>49.92</v>
      </c>
    </row>
    <row r="55" spans="1:32" ht="14.5">
      <c r="A55" s="1998"/>
      <c r="B55" s="513" t="s">
        <v>1864</v>
      </c>
      <c r="C55" s="6" t="s">
        <v>2737</v>
      </c>
      <c r="D55" s="78"/>
      <c r="E55" s="78"/>
      <c r="F55" s="78"/>
      <c r="G55" s="78"/>
      <c r="H55" s="78"/>
      <c r="I55" s="78"/>
      <c r="J55" s="19">
        <v>141400</v>
      </c>
      <c r="K55" s="77">
        <f t="shared" si="4"/>
        <v>141400</v>
      </c>
      <c r="L55" s="77">
        <f t="shared" si="4"/>
        <v>141400</v>
      </c>
      <c r="M55" s="80"/>
      <c r="N55" s="19"/>
      <c r="O55" s="19"/>
      <c r="P55" s="19"/>
      <c r="Q55" s="19"/>
      <c r="R55" s="78"/>
      <c r="S55" s="307"/>
      <c r="T55" s="19"/>
      <c r="U55" s="19"/>
      <c r="V55" s="19"/>
      <c r="W55" s="19"/>
      <c r="AE55">
        <v>13.3</v>
      </c>
      <c r="AF55">
        <v>13.3</v>
      </c>
    </row>
    <row r="56" spans="1:32" ht="14.5">
      <c r="A56" s="1998"/>
      <c r="B56" s="513" t="s">
        <v>2764</v>
      </c>
      <c r="C56" s="6" t="s">
        <v>2713</v>
      </c>
      <c r="D56" s="78"/>
      <c r="E56" s="78"/>
      <c r="F56" s="78"/>
      <c r="G56" s="78"/>
      <c r="H56" s="78"/>
      <c r="I56" s="78"/>
      <c r="J56" s="19">
        <v>127519.42720000001</v>
      </c>
      <c r="K56" s="77">
        <f t="shared" si="4"/>
        <v>127519.42720000001</v>
      </c>
      <c r="L56" s="77">
        <f t="shared" si="4"/>
        <v>127519.42720000001</v>
      </c>
      <c r="M56" s="80"/>
      <c r="N56" s="19"/>
      <c r="O56" s="19"/>
      <c r="P56" s="19"/>
      <c r="Q56" s="19"/>
      <c r="R56" s="78"/>
      <c r="S56" s="307">
        <v>29598</v>
      </c>
      <c r="T56" s="19"/>
      <c r="U56" s="19"/>
      <c r="V56" s="19"/>
      <c r="W56" s="19"/>
      <c r="X56" s="329">
        <f>S56/X69</f>
        <v>3.8917673696646476E-2</v>
      </c>
      <c r="AE56">
        <v>37.799999999999997</v>
      </c>
      <c r="AF56">
        <v>37.799999999999997</v>
      </c>
    </row>
    <row r="57" spans="1:32" ht="14.5">
      <c r="A57" s="1998"/>
      <c r="B57" s="513" t="s">
        <v>2765</v>
      </c>
      <c r="C57" s="6" t="s">
        <v>2713</v>
      </c>
      <c r="D57" s="78"/>
      <c r="E57" s="78"/>
      <c r="F57" s="78"/>
      <c r="G57" s="78"/>
      <c r="H57" s="78"/>
      <c r="I57" s="78"/>
      <c r="J57" s="19"/>
      <c r="K57" s="77">
        <f t="shared" si="4"/>
        <v>0</v>
      </c>
      <c r="L57" s="77">
        <f t="shared" si="4"/>
        <v>0</v>
      </c>
      <c r="M57" s="80"/>
      <c r="N57" s="19"/>
      <c r="O57" s="19"/>
      <c r="P57" s="19"/>
      <c r="Q57" s="19"/>
      <c r="R57" s="78"/>
      <c r="S57" s="307"/>
      <c r="T57" s="19"/>
      <c r="U57" s="19"/>
      <c r="V57" s="19"/>
      <c r="W57" s="19"/>
    </row>
    <row r="58" spans="1:32" ht="14.5">
      <c r="A58" s="1998"/>
      <c r="B58" s="512" t="s">
        <v>2766</v>
      </c>
      <c r="C58" s="6" t="s">
        <v>2713</v>
      </c>
      <c r="D58" s="78" t="s">
        <v>1581</v>
      </c>
      <c r="E58" s="78" t="s">
        <v>1581</v>
      </c>
      <c r="F58" s="78" t="s">
        <v>1581</v>
      </c>
      <c r="G58" s="78" t="s">
        <v>1581</v>
      </c>
      <c r="H58" s="78" t="s">
        <v>1581</v>
      </c>
      <c r="I58" s="78">
        <v>229800</v>
      </c>
      <c r="J58" s="78" t="s">
        <v>1581</v>
      </c>
      <c r="K58" s="77" t="str">
        <f t="shared" si="4"/>
        <v>-</v>
      </c>
      <c r="L58" s="77" t="str">
        <f t="shared" si="4"/>
        <v>-</v>
      </c>
      <c r="M58" s="80"/>
      <c r="R58" s="212"/>
      <c r="S58" s="307"/>
    </row>
    <row r="59" spans="1:32" ht="14.5">
      <c r="A59" s="1998"/>
      <c r="B59" s="512" t="s">
        <v>2767</v>
      </c>
      <c r="C59" s="6" t="s">
        <v>2713</v>
      </c>
      <c r="D59" s="78" t="s">
        <v>1581</v>
      </c>
      <c r="E59" s="78" t="s">
        <v>1581</v>
      </c>
      <c r="F59" s="78" t="s">
        <v>1581</v>
      </c>
      <c r="G59" s="78">
        <v>71383</v>
      </c>
      <c r="H59" s="78">
        <v>69680</v>
      </c>
      <c r="I59" s="78">
        <v>69680</v>
      </c>
      <c r="J59" s="78" t="s">
        <v>1581</v>
      </c>
      <c r="K59" s="77" t="str">
        <f t="shared" si="4"/>
        <v>-</v>
      </c>
      <c r="L59" s="77" t="str">
        <f t="shared" si="4"/>
        <v>-</v>
      </c>
      <c r="M59" s="80"/>
      <c r="R59" s="212"/>
      <c r="S59" s="307"/>
      <c r="AE59">
        <v>32.200000000000003</v>
      </c>
    </row>
    <row r="60" spans="1:32" ht="14.5">
      <c r="A60" s="1998"/>
      <c r="B60" s="512" t="s">
        <v>2768</v>
      </c>
      <c r="C60" s="6" t="s">
        <v>2713</v>
      </c>
      <c r="D60" s="78" t="s">
        <v>1581</v>
      </c>
      <c r="E60" s="78" t="s">
        <v>1581</v>
      </c>
      <c r="F60" s="78" t="s">
        <v>1581</v>
      </c>
      <c r="G60" s="78">
        <v>112800</v>
      </c>
      <c r="H60" s="78">
        <v>106300</v>
      </c>
      <c r="I60" s="78">
        <v>116100</v>
      </c>
      <c r="J60" s="19">
        <v>119467.04999999999</v>
      </c>
      <c r="K60" s="77">
        <f t="shared" si="4"/>
        <v>119467.04999999999</v>
      </c>
      <c r="L60" s="77">
        <f t="shared" si="4"/>
        <v>119467.04999999999</v>
      </c>
      <c r="M60" s="80"/>
      <c r="R60" s="78">
        <v>19616</v>
      </c>
      <c r="S60" s="307">
        <v>34265</v>
      </c>
      <c r="X60" s="329">
        <f t="shared" ref="X60:X65" si="5">S60/$X$69</f>
        <v>4.5054195865112223E-2</v>
      </c>
      <c r="AE60" s="316">
        <v>38.200000000000003</v>
      </c>
      <c r="AF60" s="316">
        <v>38.200000000000003</v>
      </c>
    </row>
    <row r="61" spans="1:32" ht="14.5">
      <c r="A61" s="1998"/>
      <c r="B61" s="512" t="s">
        <v>2769</v>
      </c>
      <c r="C61" s="6" t="s">
        <v>2713</v>
      </c>
      <c r="D61" s="78" t="s">
        <v>1581</v>
      </c>
      <c r="E61" s="78" t="s">
        <v>1581</v>
      </c>
      <c r="F61" s="78" t="s">
        <v>1581</v>
      </c>
      <c r="G61" s="78" t="s">
        <v>1581</v>
      </c>
      <c r="H61" s="78">
        <v>130000</v>
      </c>
      <c r="I61" s="78">
        <v>134800</v>
      </c>
      <c r="J61" s="78" t="s">
        <v>1581</v>
      </c>
      <c r="K61" s="77" t="str">
        <f t="shared" si="4"/>
        <v>-</v>
      </c>
      <c r="L61" s="77" t="str">
        <f t="shared" si="4"/>
        <v>-</v>
      </c>
      <c r="M61" s="80"/>
      <c r="R61" s="78">
        <v>2820</v>
      </c>
      <c r="S61" s="307">
        <v>3842</v>
      </c>
      <c r="X61" s="329">
        <f t="shared" si="5"/>
        <v>5.0517501973956266E-3</v>
      </c>
      <c r="AE61" s="317">
        <v>47.3</v>
      </c>
    </row>
    <row r="62" spans="1:32" ht="14.5">
      <c r="A62" s="1998"/>
      <c r="B62" s="512" t="s">
        <v>2770</v>
      </c>
      <c r="C62" s="6" t="s">
        <v>2713</v>
      </c>
      <c r="D62" s="78">
        <v>239800</v>
      </c>
      <c r="E62" s="78">
        <v>205900</v>
      </c>
      <c r="F62" s="78">
        <v>224000</v>
      </c>
      <c r="G62" s="78">
        <v>224000</v>
      </c>
      <c r="H62" s="78">
        <v>220650</v>
      </c>
      <c r="I62" s="78">
        <v>220650</v>
      </c>
      <c r="J62" s="78" t="s">
        <v>1581</v>
      </c>
      <c r="K62" s="77" t="s">
        <v>1581</v>
      </c>
      <c r="L62" s="77" t="s">
        <v>1581</v>
      </c>
      <c r="M62" s="80"/>
      <c r="R62" s="78">
        <v>103</v>
      </c>
      <c r="S62" s="307">
        <v>1544</v>
      </c>
      <c r="X62" s="329">
        <f t="shared" si="5"/>
        <v>2.0301671797966808E-3</v>
      </c>
      <c r="AE62">
        <v>60.48</v>
      </c>
    </row>
    <row r="63" spans="1:32" ht="14">
      <c r="A63" s="1998"/>
      <c r="B63" s="6" t="s">
        <v>2771</v>
      </c>
      <c r="C63" s="6" t="s">
        <v>2713</v>
      </c>
      <c r="D63" s="78">
        <v>336500</v>
      </c>
      <c r="E63" s="78">
        <v>336500</v>
      </c>
      <c r="F63" s="78" t="s">
        <v>1581</v>
      </c>
      <c r="G63" s="78" t="s">
        <v>1581</v>
      </c>
      <c r="H63" s="78" t="s">
        <v>1581</v>
      </c>
      <c r="I63" s="78" t="s">
        <v>1581</v>
      </c>
      <c r="J63" s="19"/>
      <c r="K63" s="19"/>
      <c r="L63" s="19"/>
      <c r="M63" s="46"/>
      <c r="R63" s="212"/>
      <c r="S63" s="307">
        <v>2219</v>
      </c>
      <c r="X63" s="329">
        <f t="shared" si="5"/>
        <v>2.9177078833995044E-3</v>
      </c>
      <c r="AE63">
        <v>91</v>
      </c>
    </row>
    <row r="64" spans="1:32" ht="14">
      <c r="A64" s="1998"/>
      <c r="B64" s="6" t="s">
        <v>2772</v>
      </c>
      <c r="C64" s="6" t="s">
        <v>2713</v>
      </c>
      <c r="D64" s="78"/>
      <c r="E64" s="78"/>
      <c r="F64" s="78"/>
      <c r="G64" s="78"/>
      <c r="H64" s="78"/>
      <c r="I64" s="77">
        <f>J64</f>
        <v>42900</v>
      </c>
      <c r="J64" s="83">
        <v>42900</v>
      </c>
      <c r="K64" s="19"/>
      <c r="L64" s="19"/>
      <c r="M64" s="46"/>
      <c r="R64" s="212"/>
      <c r="S64" s="307">
        <v>29177</v>
      </c>
      <c r="X64" s="329">
        <f t="shared" si="5"/>
        <v>3.8364111272621605E-2</v>
      </c>
    </row>
    <row r="65" spans="1:36" ht="14">
      <c r="A65" s="1998"/>
      <c r="B65" s="6" t="s">
        <v>1861</v>
      </c>
      <c r="C65" s="6" t="s">
        <v>2713</v>
      </c>
      <c r="D65" s="78"/>
      <c r="E65" s="78"/>
      <c r="F65" s="78"/>
      <c r="G65" s="78"/>
      <c r="H65" s="78"/>
      <c r="I65" s="77">
        <f>J65</f>
        <v>157800</v>
      </c>
      <c r="J65" s="83">
        <v>157800</v>
      </c>
      <c r="K65" s="19"/>
      <c r="L65" s="19"/>
      <c r="M65" s="46"/>
      <c r="R65" s="212"/>
      <c r="S65" s="307">
        <v>58</v>
      </c>
      <c r="X65" s="329">
        <f t="shared" si="5"/>
        <v>7.6262756754020392E-5</v>
      </c>
      <c r="AE65">
        <v>53.6</v>
      </c>
    </row>
    <row r="66" spans="1:36" ht="15.5">
      <c r="A66" s="1998"/>
      <c r="B66" s="6" t="s">
        <v>204</v>
      </c>
      <c r="C66" s="6" t="s">
        <v>49</v>
      </c>
      <c r="D66" s="75">
        <f>1000*'Earning Forecast'!B81/'Price and Quant'!N69</f>
        <v>130384.10426540284</v>
      </c>
      <c r="E66" s="75">
        <f>1000*'Earning Forecast'!C81/'Price and Quant'!O69</f>
        <v>153522.74647887325</v>
      </c>
      <c r="F66" s="75">
        <f>1000*'Earning Forecast'!D81/'Price and Quant'!P69</f>
        <v>137834.92193966816</v>
      </c>
      <c r="G66" s="75">
        <f>1000*'Earning Forecast'!E81/'Price and Quant'!Q69</f>
        <v>129036.53237219846</v>
      </c>
      <c r="H66" s="75">
        <f>1000*'Earning Forecast'!F81/'Price and Quant'!R69</f>
        <v>191951.43709657775</v>
      </c>
      <c r="I66" s="75">
        <f>1000*'Earning Forecast'!G81/'Price and Quant'!S69</f>
        <v>146693.76621986783</v>
      </c>
      <c r="J66" s="242">
        <f>I66</f>
        <v>146693.76621986783</v>
      </c>
      <c r="K66" s="240">
        <f>J66</f>
        <v>146693.76621986783</v>
      </c>
      <c r="L66" s="240">
        <f>K66</f>
        <v>146693.76621986783</v>
      </c>
      <c r="M66" s="306"/>
      <c r="N66" s="19"/>
      <c r="O66" s="19"/>
      <c r="P66" s="19"/>
      <c r="Q66" s="19"/>
      <c r="R66" s="78"/>
      <c r="S66" s="308"/>
    </row>
    <row r="67" spans="1:36" ht="14">
      <c r="A67" s="1998"/>
      <c r="B67" s="51" t="s">
        <v>2773</v>
      </c>
      <c r="C67" s="51"/>
      <c r="D67" s="75">
        <f>AVERAGE(D28:D63)</f>
        <v>283240</v>
      </c>
      <c r="E67" s="75">
        <f t="shared" ref="E67:H67" si="6">AVERAGE(E28:E63)</f>
        <v>250000</v>
      </c>
      <c r="F67" s="75">
        <f t="shared" si="6"/>
        <v>205925.55555555556</v>
      </c>
      <c r="G67" s="75">
        <f t="shared" si="6"/>
        <v>183818.86666666667</v>
      </c>
      <c r="H67" s="75">
        <f t="shared" si="6"/>
        <v>168404.44444444444</v>
      </c>
      <c r="I67" s="75">
        <f>AVERAGE(I28:I63)</f>
        <v>175691.90476190476</v>
      </c>
      <c r="J67" s="75">
        <f>AVERAGE(J28:J63)</f>
        <v>189380.35808679651</v>
      </c>
      <c r="K67" s="238">
        <f>J67</f>
        <v>189380.35808679651</v>
      </c>
      <c r="L67" s="238">
        <f>K67</f>
        <v>189380.35808679651</v>
      </c>
      <c r="M67" s="275"/>
      <c r="R67" s="212"/>
      <c r="S67" s="308"/>
    </row>
    <row r="68" spans="1:36" ht="14">
      <c r="A68" s="1998"/>
      <c r="B68" s="51" t="s">
        <v>2774</v>
      </c>
      <c r="C68" s="52"/>
      <c r="D68" s="43"/>
      <c r="E68" s="43"/>
      <c r="F68" s="43"/>
      <c r="G68" s="43"/>
      <c r="H68" s="43" t="s">
        <v>2775</v>
      </c>
      <c r="I68" s="43"/>
      <c r="J68" s="43"/>
      <c r="K68" s="43"/>
      <c r="L68" s="43"/>
      <c r="M68" s="47"/>
      <c r="R68" s="212"/>
      <c r="S68" s="308"/>
    </row>
    <row r="69" spans="1:36" ht="14">
      <c r="A69" s="1999"/>
      <c r="B69" s="51" t="s">
        <v>24</v>
      </c>
      <c r="C69" s="52"/>
      <c r="D69" s="43" t="s">
        <v>619</v>
      </c>
      <c r="E69" s="43" t="s">
        <v>619</v>
      </c>
      <c r="F69" s="43" t="s">
        <v>619</v>
      </c>
      <c r="G69" s="43" t="s">
        <v>619</v>
      </c>
      <c r="H69" s="43" t="s">
        <v>619</v>
      </c>
      <c r="I69" s="43" t="s">
        <v>619</v>
      </c>
      <c r="J69" s="43" t="s">
        <v>619</v>
      </c>
      <c r="K69" s="43" t="s">
        <v>619</v>
      </c>
      <c r="L69" s="43"/>
      <c r="M69" s="47"/>
      <c r="N69" s="85">
        <f>'Capacity Detail'!BU26</f>
        <v>422000</v>
      </c>
      <c r="O69" s="85">
        <f>'Capacity Detail'!BV26</f>
        <v>355000</v>
      </c>
      <c r="P69" s="85">
        <f>'Capacity Detail'!BW26</f>
        <v>520687</v>
      </c>
      <c r="Q69" s="85">
        <f>'Capacity Detail'!BX26</f>
        <v>461399</v>
      </c>
      <c r="R69" s="85">
        <f>'Capacity Detail'!BY26</f>
        <v>426972</v>
      </c>
      <c r="S69" s="85">
        <f>'Capacity Detail'!BZ26</f>
        <v>747540</v>
      </c>
      <c r="X69" s="328">
        <f>SUM(S28:S68)</f>
        <v>760528.5</v>
      </c>
    </row>
    <row r="70" spans="1:36" s="7" customFormat="1" ht="14">
      <c r="A70" s="2001" t="s">
        <v>2776</v>
      </c>
      <c r="B70" s="2003" t="s">
        <v>1436</v>
      </c>
      <c r="C70" s="53" t="s">
        <v>2777</v>
      </c>
      <c r="D70" s="53"/>
      <c r="E70" s="53">
        <v>1665683</v>
      </c>
      <c r="F70" s="53">
        <v>2451542.9900000002</v>
      </c>
      <c r="G70" s="53">
        <v>3858352.57</v>
      </c>
      <c r="H70" s="53">
        <v>3942582.07</v>
      </c>
      <c r="I70" s="53">
        <v>9149077.4499999993</v>
      </c>
      <c r="J70" s="283"/>
      <c r="K70" s="283"/>
      <c r="L70" s="77"/>
      <c r="M70" s="336"/>
      <c r="N70" s="331">
        <f>'Capacity Detail'!BU77</f>
        <v>7.35</v>
      </c>
      <c r="O70" s="331">
        <f>'Capacity Detail'!BV77</f>
        <v>5.66</v>
      </c>
      <c r="P70" s="331">
        <f>'Capacity Detail'!BW77</f>
        <v>11.4</v>
      </c>
      <c r="Q70" s="331">
        <f>'Capacity Detail'!BX77</f>
        <v>10.75</v>
      </c>
      <c r="R70" s="331">
        <f>'Capacity Detail'!BY77</f>
        <v>9.48</v>
      </c>
      <c r="S70" s="331">
        <f>'Capacity Detail'!BZ77</f>
        <v>12.453956426647245</v>
      </c>
      <c r="T70" s="331">
        <f>'Capacity Detail'!CA77</f>
        <v>17.098934274299992</v>
      </c>
      <c r="U70" s="331">
        <f>'Capacity Detail'!CB77</f>
        <v>27.737345130297868</v>
      </c>
      <c r="V70" s="331">
        <f>'Capacity Detail'!CC77</f>
        <v>21.027868868008284</v>
      </c>
      <c r="W70" s="1511"/>
      <c r="Y70" s="333" t="s">
        <v>2778</v>
      </c>
      <c r="Z70" s="338">
        <f>'Capacity Detail'!BC77/'Capacity Detail'!BC26*1000000</f>
        <v>16.085642067306424</v>
      </c>
      <c r="AA70" s="338">
        <f>'Capacity Detail'!BD77/'Capacity Detail'!BD26*1000000</f>
        <v>16.947858329550396</v>
      </c>
      <c r="AB70" s="338">
        <f>'Capacity Detail'!BE77/'Capacity Detail'!BE26*1000000</f>
        <v>27.808215111449286</v>
      </c>
      <c r="AC70" s="338">
        <f>'Capacity Detail'!BF77/'Capacity Detail'!BF26*1000000</f>
        <v>33.173708312170284</v>
      </c>
      <c r="AD70" s="338">
        <f>'Capacity Detail'!BG77/'Capacity Detail'!BG26*1000000</f>
        <v>29.505720735872298</v>
      </c>
      <c r="AE70" s="338">
        <f>'Capacity Detail'!BH77/'Capacity Detail'!BH26*1000000</f>
        <v>47.67033496621886</v>
      </c>
      <c r="AF70" s="340">
        <f>AE70*1.1</f>
        <v>52.437368462840752</v>
      </c>
      <c r="AG70" s="340">
        <f t="shared" ref="AG70:AI70" si="7">AF70*1.1</f>
        <v>57.681105309124831</v>
      </c>
      <c r="AH70" s="340">
        <f t="shared" si="7"/>
        <v>63.449215840037319</v>
      </c>
      <c r="AI70" s="1523">
        <f t="shared" si="7"/>
        <v>69.794137424041054</v>
      </c>
      <c r="AJ70" s="7" t="s">
        <v>2779</v>
      </c>
    </row>
    <row r="71" spans="1:36" ht="14">
      <c r="A71" s="2002"/>
      <c r="B71" s="1981"/>
      <c r="C71" s="19" t="s">
        <v>2780</v>
      </c>
      <c r="D71" s="78">
        <v>14000000000</v>
      </c>
      <c r="E71" s="75">
        <f>E70*10000</f>
        <v>16656830000</v>
      </c>
      <c r="F71" s="75">
        <f t="shared" ref="F71:I71" si="8">F70*10000</f>
        <v>24515429900.000004</v>
      </c>
      <c r="G71" s="75">
        <f t="shared" si="8"/>
        <v>38583525700</v>
      </c>
      <c r="H71" s="75">
        <f t="shared" si="8"/>
        <v>39425820700</v>
      </c>
      <c r="I71" s="75">
        <f t="shared" si="8"/>
        <v>91490774500</v>
      </c>
      <c r="J71" s="77"/>
      <c r="K71" s="77"/>
      <c r="L71" s="77"/>
      <c r="M71" s="80"/>
      <c r="N71" s="330"/>
      <c r="O71" s="330"/>
      <c r="P71" s="330"/>
      <c r="Q71" s="330"/>
      <c r="R71" s="330"/>
      <c r="S71" s="330"/>
      <c r="T71" s="330"/>
      <c r="U71" s="330"/>
      <c r="V71" s="330"/>
      <c r="W71" s="330"/>
      <c r="Y71" s="335" t="s">
        <v>2778</v>
      </c>
      <c r="Z71" s="338">
        <f>AA71/(1+10%)</f>
        <v>27.891942157526572</v>
      </c>
      <c r="AA71" s="338">
        <f>AB71/(1+10%)</f>
        <v>30.68113637327923</v>
      </c>
      <c r="AB71" s="338">
        <f>AC71/(1+10%)</f>
        <v>33.749250010607156</v>
      </c>
      <c r="AC71" s="338">
        <f>AD71/(1+10%)</f>
        <v>37.124175011667873</v>
      </c>
      <c r="AD71" s="338">
        <f>AE71/(1+10%)</f>
        <v>40.836592512834663</v>
      </c>
      <c r="AE71" s="338">
        <f>X28*AE28+X30*AVERAGE(AE30:AE31)+X32*AE32+X34*AVERAGE(AE34,AE36)+X37*AVERAGE(AE37:AE39)+X42*AVERAGE(AE42:AE43)+X44*AE44+X46*AE46+X52*AE52+X53*AE53+X56*AE56+X60*AE60+X61*AE61+X62*AE62+X63*AE63+X65*AE65</f>
        <v>44.920251764118134</v>
      </c>
      <c r="AJ71" t="s">
        <v>2781</v>
      </c>
    </row>
    <row r="72" spans="1:36" ht="14">
      <c r="A72" s="2002"/>
      <c r="B72" s="1981"/>
      <c r="C72" s="19" t="s">
        <v>526</v>
      </c>
      <c r="D72" s="19"/>
      <c r="E72" s="296">
        <f>E71/D71-1</f>
        <v>0.18977357142857132</v>
      </c>
      <c r="F72" s="296">
        <f>F71/E71-1</f>
        <v>0.47179444708266849</v>
      </c>
      <c r="G72" s="296">
        <f t="shared" ref="G72:I72" si="9">G71/F71-1</f>
        <v>0.57384658794011179</v>
      </c>
      <c r="H72" s="296">
        <f t="shared" si="9"/>
        <v>2.1830431115837712E-2</v>
      </c>
      <c r="I72" s="296">
        <f t="shared" si="9"/>
        <v>1.320580088774157</v>
      </c>
      <c r="J72" s="77"/>
      <c r="K72" s="77"/>
      <c r="L72" s="77"/>
      <c r="M72" s="80"/>
      <c r="N72" s="330"/>
      <c r="O72" s="330"/>
      <c r="P72" s="330"/>
      <c r="Q72" s="330"/>
      <c r="R72" s="330"/>
      <c r="S72" s="330"/>
      <c r="T72" s="330"/>
      <c r="U72" s="330"/>
      <c r="V72" s="330"/>
      <c r="W72" s="330"/>
      <c r="Y72" s="335" t="s">
        <v>2782</v>
      </c>
      <c r="Z72" s="338">
        <f>Z70*'Capacity Detail'!BC26/1000000</f>
        <v>7.9992932862190811</v>
      </c>
      <c r="AA72" s="338">
        <f>AA70*'Capacity Detail'!BD26/1000000</f>
        <v>6.9195054945054952</v>
      </c>
      <c r="AB72" s="338">
        <f>AB70*'Capacity Detail'!BE26/1000000</f>
        <v>14.144815465729348</v>
      </c>
      <c r="AC72" s="338">
        <f>AC70*'Capacity Detail'!BF26/1000000</f>
        <v>14.759646302250802</v>
      </c>
      <c r="AD72" s="338">
        <f>AD70*'Capacity Detail'!BG26/1000000</f>
        <v>12.431320754716982</v>
      </c>
      <c r="AE72" s="338">
        <f>AE70*'Capacity Detail'!BH26/1000000</f>
        <v>35.635482200647253</v>
      </c>
      <c r="AF72" s="338">
        <f>'Price&amp;Q'!DF48</f>
        <v>72.741065725700011</v>
      </c>
      <c r="AG72" s="338">
        <f>'Price&amp;Q'!DG48</f>
        <v>115.53381276443896</v>
      </c>
      <c r="AH72" s="338">
        <f>'Price&amp;Q'!DH48</f>
        <v>160.54349955304434</v>
      </c>
      <c r="AI72" s="1524">
        <f>'Price&amp;Q'!DI48</f>
        <v>195.45236418677058</v>
      </c>
      <c r="AJ72" t="s">
        <v>2783</v>
      </c>
    </row>
    <row r="73" spans="1:36" ht="14">
      <c r="A73" s="2002"/>
      <c r="B73" s="1981"/>
      <c r="C73" s="51" t="s">
        <v>2784</v>
      </c>
      <c r="D73" s="78"/>
      <c r="E73" s="337">
        <v>11.85</v>
      </c>
      <c r="F73" s="337">
        <v>21.31</v>
      </c>
      <c r="G73" s="337">
        <v>40.96</v>
      </c>
      <c r="H73" s="337">
        <v>46.84</v>
      </c>
      <c r="I73" s="337">
        <v>133.41</v>
      </c>
      <c r="J73" s="77"/>
      <c r="K73" s="77"/>
      <c r="L73" s="77"/>
      <c r="M73" s="80"/>
      <c r="N73" s="330"/>
      <c r="O73" s="330"/>
      <c r="P73" s="330"/>
      <c r="Q73" s="330"/>
      <c r="R73" s="330"/>
      <c r="S73" s="330"/>
      <c r="T73" s="330"/>
      <c r="U73" s="330"/>
      <c r="V73" s="330"/>
      <c r="W73" s="330"/>
      <c r="Y73" s="335" t="s">
        <v>2785</v>
      </c>
      <c r="Z73" s="341">
        <f>'Capacity Detail'!BC77</f>
        <v>7.9992932862190802</v>
      </c>
      <c r="AA73" s="341">
        <f>'Capacity Detail'!BD77</f>
        <v>6.9195054945054943</v>
      </c>
      <c r="AB73" s="341">
        <f>'Capacity Detail'!BE77</f>
        <v>14.144815465729348</v>
      </c>
      <c r="AC73" s="341">
        <f>'Capacity Detail'!BF77</f>
        <v>14.759646302250804</v>
      </c>
      <c r="AD73" s="341">
        <f>'Capacity Detail'!BG77</f>
        <v>12.431320754716982</v>
      </c>
      <c r="AE73" s="341">
        <f>'Capacity Detail'!BH77</f>
        <v>35.635482200647246</v>
      </c>
      <c r="AF73" s="899">
        <v>89.835999999999999</v>
      </c>
      <c r="AG73" s="341">
        <f>'Capacity Detail'!BJ77</f>
        <v>143.27115789473683</v>
      </c>
      <c r="AH73" s="341">
        <f>'Capacity Detail'!BK77</f>
        <v>181.57136842105263</v>
      </c>
      <c r="AI73" s="1525">
        <f>'Capacity Detail'!BL77</f>
        <v>228.65427190345852</v>
      </c>
      <c r="AJ73" t="s">
        <v>2786</v>
      </c>
    </row>
    <row r="74" spans="1:36" ht="14">
      <c r="A74" s="2002"/>
      <c r="B74" s="1981"/>
      <c r="C74" s="19" t="s">
        <v>526</v>
      </c>
      <c r="D74" s="19"/>
      <c r="F74" s="296">
        <f>F73/E73-1</f>
        <v>0.79831223628691972</v>
      </c>
      <c r="G74" s="296">
        <f>G73/F73-1</f>
        <v>0.92210229938995791</v>
      </c>
      <c r="H74" s="296">
        <f>H73/G73-1</f>
        <v>0.1435546875</v>
      </c>
      <c r="I74" s="296">
        <f>I73/H73-1</f>
        <v>1.8482066609735268</v>
      </c>
      <c r="J74" s="77"/>
      <c r="K74" s="77"/>
      <c r="L74" s="77"/>
      <c r="M74" s="80"/>
      <c r="N74" s="330"/>
      <c r="O74" s="330"/>
      <c r="P74" s="330"/>
      <c r="Q74" s="330"/>
      <c r="R74" s="330"/>
      <c r="S74" s="330"/>
      <c r="T74" s="330"/>
      <c r="U74" s="330"/>
      <c r="V74" s="330"/>
      <c r="W74" s="330"/>
      <c r="Y74" s="335" t="s">
        <v>2787</v>
      </c>
      <c r="Z74" s="339">
        <f>Z73-Z72</f>
        <v>0</v>
      </c>
      <c r="AA74" s="339">
        <f t="shared" ref="AA74:AH74" si="10">AA73-AA72</f>
        <v>0</v>
      </c>
      <c r="AB74" s="339">
        <f t="shared" si="10"/>
        <v>0</v>
      </c>
      <c r="AC74" s="339">
        <f t="shared" si="10"/>
        <v>0</v>
      </c>
      <c r="AD74" s="339">
        <f t="shared" si="10"/>
        <v>0</v>
      </c>
      <c r="AE74" s="339">
        <f t="shared" si="10"/>
        <v>0</v>
      </c>
      <c r="AF74" s="339">
        <f>AF73-'Price&amp;Q'!DF48</f>
        <v>17.094934274299987</v>
      </c>
      <c r="AG74" s="339">
        <f t="shared" si="10"/>
        <v>27.737345130297868</v>
      </c>
      <c r="AH74" s="339">
        <f t="shared" si="10"/>
        <v>21.027868868008284</v>
      </c>
      <c r="AI74" s="1526">
        <f t="shared" ref="AI74" si="11">AI73-AI72</f>
        <v>33.201907716687941</v>
      </c>
      <c r="AJ74" t="s">
        <v>2788</v>
      </c>
    </row>
    <row r="75" spans="1:36" ht="14.5">
      <c r="A75" s="2002"/>
      <c r="B75" s="1981"/>
      <c r="C75" s="215" t="s">
        <v>2789</v>
      </c>
      <c r="D75" s="78">
        <f>2055*1000000*0.8</f>
        <v>1644000000</v>
      </c>
      <c r="E75" s="75">
        <f>E71/E73*0.8</f>
        <v>1124511729.9578061</v>
      </c>
      <c r="F75" s="75">
        <f t="shared" ref="F75:H75" si="12">F71/F73*0.8</f>
        <v>920335237.91647136</v>
      </c>
      <c r="G75" s="75">
        <f t="shared" si="12"/>
        <v>753584486.328125</v>
      </c>
      <c r="H75" s="75">
        <f t="shared" si="12"/>
        <v>673370122.97181892</v>
      </c>
      <c r="I75" s="75">
        <f>I71/I73*0.8</f>
        <v>548629185.21849942</v>
      </c>
      <c r="J75" s="75">
        <f>I75*(1+J76)</f>
        <v>462151098.7508719</v>
      </c>
      <c r="K75" s="75">
        <f t="shared" ref="K75:M75" si="13">J75*(1+K76)</f>
        <v>392933465.10129368</v>
      </c>
      <c r="L75" s="75">
        <f t="shared" si="13"/>
        <v>328407610.54955161</v>
      </c>
      <c r="M75" s="1249">
        <f t="shared" si="13"/>
        <v>276780378.57576883</v>
      </c>
      <c r="N75" s="330"/>
      <c r="O75" s="330"/>
      <c r="P75" s="330"/>
      <c r="Q75" s="330"/>
      <c r="R75" s="330"/>
      <c r="S75" s="330"/>
      <c r="T75" s="330"/>
      <c r="U75" s="330"/>
      <c r="V75" s="330"/>
      <c r="W75" s="330"/>
      <c r="Y75" s="334" t="s">
        <v>2790</v>
      </c>
      <c r="Z75" s="338">
        <f t="shared" ref="Z75:AE75" si="14">Z71*N69/1000000</f>
        <v>11.770399590476213</v>
      </c>
      <c r="AA75" s="338">
        <f t="shared" si="14"/>
        <v>10.891803412514125</v>
      </c>
      <c r="AB75" s="338">
        <f t="shared" si="14"/>
        <v>17.572795740273008</v>
      </c>
      <c r="AC75" s="338">
        <f t="shared" si="14"/>
        <v>17.129057226208545</v>
      </c>
      <c r="AD75" s="338">
        <f t="shared" si="14"/>
        <v>17.436081578390045</v>
      </c>
      <c r="AE75" s="338">
        <f t="shared" si="14"/>
        <v>33.579685003748871</v>
      </c>
      <c r="AF75" s="338">
        <f t="shared" ref="AF75" si="15">AF71*T69/1000000</f>
        <v>0</v>
      </c>
      <c r="AG75" s="338">
        <f t="shared" ref="AG75" si="16">AG71*U69/1000000</f>
        <v>0</v>
      </c>
      <c r="AH75" s="338">
        <f t="shared" ref="AH75" si="17">AH71*V69/1000000</f>
        <v>0</v>
      </c>
      <c r="AI75" s="1524">
        <f t="shared" ref="AI75" si="18">AI71*W69/1000000</f>
        <v>0</v>
      </c>
      <c r="AJ75" t="s">
        <v>2791</v>
      </c>
    </row>
    <row r="76" spans="1:36" s="1518" customFormat="1" ht="14.5">
      <c r="A76" s="2002"/>
      <c r="B76" s="2004"/>
      <c r="E76" s="1519">
        <f>E75/D75-1</f>
        <v>-0.31599043189914466</v>
      </c>
      <c r="F76" s="1519">
        <f t="shared" ref="F76:H76" si="19">F75/E75-1</f>
        <v>-0.18156901933694891</v>
      </c>
      <c r="G76" s="1519">
        <f t="shared" si="19"/>
        <v>-0.18118479519033748</v>
      </c>
      <c r="H76" s="1519">
        <f t="shared" si="19"/>
        <v>-0.10644375622321289</v>
      </c>
      <c r="I76" s="1519">
        <f>I75/H75-1</f>
        <v>-0.18524869681297107</v>
      </c>
      <c r="J76" s="1509">
        <f>AVERAGE(G76:I76)</f>
        <v>-0.15762574940884047</v>
      </c>
      <c r="K76" s="1509">
        <f t="shared" ref="K76:M76" si="20">AVERAGE(H76:J76)</f>
        <v>-0.14977273414834147</v>
      </c>
      <c r="L76" s="1509">
        <f t="shared" si="20"/>
        <v>-0.164215726790051</v>
      </c>
      <c r="M76" s="1509">
        <f t="shared" si="20"/>
        <v>-0.15720473678241098</v>
      </c>
      <c r="N76" s="1514"/>
      <c r="O76" s="1515"/>
      <c r="P76" s="1515"/>
      <c r="Q76" s="1515"/>
      <c r="R76" s="1515"/>
      <c r="S76" s="1515"/>
      <c r="T76" s="1515"/>
      <c r="U76" s="1515"/>
      <c r="V76" s="1515"/>
      <c r="W76" s="1515"/>
      <c r="X76" s="1516"/>
      <c r="Y76" s="1517" t="s">
        <v>2790</v>
      </c>
      <c r="Z76" s="1520"/>
      <c r="AA76" s="1520"/>
      <c r="AB76" s="1520"/>
      <c r="AC76" s="1520"/>
      <c r="AD76" s="1520"/>
      <c r="AE76" s="1520">
        <f>(AE28*S28+AVERAGE(AE30:AE31)*S30+AE32*S32+AVERAGE(AE34:AE36)*S34+AVERAGE(AE37,AE39)*S37+AVERAGE(AE42:AE43)*S42+AE44*S44+AE46*S46+AE49*S49+AE50*S50+AE52*S52+AE53*S53+AE56*S56+AE60*S60+AE61*S61+AE62*S62+AE63*S63+AE64*S64+AE65*S65)/1000000</f>
        <v>34.076028256287103</v>
      </c>
      <c r="AI76" s="1527"/>
      <c r="AJ76" s="1518" t="s">
        <v>2792</v>
      </c>
    </row>
    <row r="77" spans="1:36" ht="14">
      <c r="A77" s="1995" t="s">
        <v>57</v>
      </c>
      <c r="B77" t="s">
        <v>192</v>
      </c>
      <c r="D77" s="19"/>
      <c r="E77" s="19"/>
      <c r="F77" s="78">
        <v>65000</v>
      </c>
      <c r="G77" s="78">
        <v>65000</v>
      </c>
      <c r="H77" s="78">
        <v>65000</v>
      </c>
      <c r="I77" s="78">
        <v>65000</v>
      </c>
      <c r="J77" s="78">
        <f>I77</f>
        <v>65000</v>
      </c>
      <c r="K77" s="78">
        <f t="shared" ref="K77:L81" si="21">J77</f>
        <v>65000</v>
      </c>
      <c r="L77" s="78">
        <f t="shared" si="21"/>
        <v>65000</v>
      </c>
      <c r="M77" s="79"/>
      <c r="P77" s="78">
        <v>11348</v>
      </c>
      <c r="Q77" s="78">
        <v>9132</v>
      </c>
      <c r="R77" s="78">
        <v>10861</v>
      </c>
      <c r="S77" s="78">
        <v>20050</v>
      </c>
      <c r="T77">
        <v>21132</v>
      </c>
      <c r="U77">
        <v>38851</v>
      </c>
      <c r="V77">
        <v>52080</v>
      </c>
    </row>
    <row r="78" spans="1:36" ht="14">
      <c r="A78" s="1995"/>
      <c r="B78" t="s">
        <v>194</v>
      </c>
      <c r="D78" s="19"/>
      <c r="E78" s="19"/>
      <c r="F78" s="212"/>
      <c r="G78" s="78">
        <v>55000</v>
      </c>
      <c r="H78" s="78">
        <v>55000</v>
      </c>
      <c r="I78" s="78">
        <v>55000</v>
      </c>
      <c r="J78" s="78">
        <f>I78</f>
        <v>55000</v>
      </c>
      <c r="K78" s="78">
        <f t="shared" si="21"/>
        <v>55000</v>
      </c>
      <c r="L78" s="78">
        <f t="shared" si="21"/>
        <v>55000</v>
      </c>
      <c r="M78" s="79"/>
      <c r="P78" s="78"/>
      <c r="Q78" s="78">
        <v>11433</v>
      </c>
      <c r="R78" s="78">
        <v>27945</v>
      </c>
      <c r="S78" s="78">
        <v>41474</v>
      </c>
      <c r="T78">
        <v>43513</v>
      </c>
      <c r="U78">
        <v>52066</v>
      </c>
      <c r="V78">
        <v>57962</v>
      </c>
    </row>
    <row r="79" spans="1:36" ht="14">
      <c r="A79" s="1995"/>
      <c r="B79" t="s">
        <v>195</v>
      </c>
      <c r="D79" s="19"/>
      <c r="E79" s="19"/>
      <c r="F79" s="78"/>
      <c r="G79" s="78"/>
      <c r="H79" s="78">
        <v>65500</v>
      </c>
      <c r="I79" s="78">
        <v>65500</v>
      </c>
      <c r="J79" s="78">
        <f>I79</f>
        <v>65500</v>
      </c>
      <c r="K79" s="78">
        <f t="shared" si="21"/>
        <v>65500</v>
      </c>
      <c r="L79" s="78">
        <f t="shared" si="21"/>
        <v>65500</v>
      </c>
      <c r="M79" s="79"/>
      <c r="P79" s="78"/>
      <c r="Q79" s="78"/>
      <c r="R79" s="78">
        <v>4922</v>
      </c>
      <c r="S79" s="78">
        <v>29905</v>
      </c>
      <c r="T79">
        <v>14844</v>
      </c>
      <c r="U79">
        <v>12123</v>
      </c>
      <c r="V79">
        <v>8696</v>
      </c>
    </row>
    <row r="80" spans="1:36" ht="14">
      <c r="A80" s="1995"/>
      <c r="B80" t="s">
        <v>197</v>
      </c>
      <c r="D80" s="19"/>
      <c r="E80" s="19"/>
      <c r="F80" s="78"/>
      <c r="G80" s="78"/>
      <c r="H80" s="78"/>
      <c r="I80" s="78"/>
      <c r="J80" s="78">
        <v>69200</v>
      </c>
      <c r="K80" s="78">
        <f t="shared" si="21"/>
        <v>69200</v>
      </c>
      <c r="L80" s="78">
        <f t="shared" si="21"/>
        <v>69200</v>
      </c>
      <c r="M80" s="79"/>
      <c r="P80" s="19"/>
      <c r="Q80" s="19"/>
      <c r="R80" s="19"/>
      <c r="S80" s="19"/>
      <c r="T80">
        <v>33517</v>
      </c>
      <c r="U80">
        <v>68854</v>
      </c>
      <c r="V80">
        <v>102007</v>
      </c>
    </row>
    <row r="81" spans="1:35" ht="14">
      <c r="A81" s="1995"/>
      <c r="B81" t="s">
        <v>198</v>
      </c>
      <c r="D81" s="19"/>
      <c r="E81" s="19"/>
      <c r="F81" s="78"/>
      <c r="G81" s="78"/>
      <c r="H81" s="78"/>
      <c r="I81" s="78"/>
      <c r="J81" s="78">
        <v>55000</v>
      </c>
      <c r="K81" s="78">
        <f t="shared" si="21"/>
        <v>55000</v>
      </c>
      <c r="L81" s="78">
        <f t="shared" si="21"/>
        <v>55000</v>
      </c>
      <c r="M81" s="79"/>
      <c r="P81" s="19"/>
      <c r="Q81" s="19"/>
      <c r="R81" s="19"/>
      <c r="S81" s="19"/>
    </row>
    <row r="82" spans="1:35" ht="14">
      <c r="A82" s="1995"/>
      <c r="B82" t="s">
        <v>199</v>
      </c>
      <c r="D82" s="19"/>
      <c r="E82" s="19"/>
      <c r="F82" s="19"/>
      <c r="G82" s="19"/>
      <c r="H82" s="19"/>
      <c r="I82" s="19"/>
      <c r="J82" s="19"/>
      <c r="K82" s="19"/>
      <c r="L82" s="19"/>
      <c r="M82" s="46"/>
      <c r="P82" s="82">
        <f>P77/P88</f>
        <v>1</v>
      </c>
      <c r="Q82" s="82">
        <f>Q77/$Q$88</f>
        <v>0.44405543398978847</v>
      </c>
      <c r="R82" s="82">
        <f>R77/$R$88</f>
        <v>0.248376326381266</v>
      </c>
      <c r="S82" s="82">
        <f>S77/$S$88</f>
        <v>0.21929584705071695</v>
      </c>
      <c r="T82" s="82">
        <f>T77/T88</f>
        <v>0.17252583968780105</v>
      </c>
      <c r="U82" s="82">
        <f>U77/U88</f>
        <v>0.22601756083229321</v>
      </c>
      <c r="V82" s="82">
        <f>V77/V88</f>
        <v>0.23592864233856076</v>
      </c>
      <c r="W82" s="82"/>
    </row>
    <row r="83" spans="1:35" ht="14">
      <c r="A83" s="1995"/>
      <c r="B83" t="s">
        <v>200</v>
      </c>
      <c r="D83" s="19"/>
      <c r="E83" s="19"/>
      <c r="F83" s="19"/>
      <c r="G83" s="19"/>
      <c r="H83" s="19"/>
      <c r="I83" s="19"/>
      <c r="J83" s="19"/>
      <c r="K83" s="19"/>
      <c r="L83" s="19"/>
      <c r="M83" s="46"/>
      <c r="P83" s="75"/>
      <c r="Q83" s="82">
        <f>Q78/$Q$88</f>
        <v>0.55594456601021147</v>
      </c>
      <c r="R83" s="82">
        <f>R78/$R$88</f>
        <v>0.63906421514818879</v>
      </c>
      <c r="S83" s="82">
        <f t="shared" ref="S83:S84" si="22">S78/$S$88</f>
        <v>0.45361974865742816</v>
      </c>
      <c r="T83" s="82">
        <f>T78/T88</f>
        <v>0.35524876312394887</v>
      </c>
      <c r="U83" s="82">
        <f>U78/U88</f>
        <v>0.30289645883746052</v>
      </c>
      <c r="V83" s="82">
        <f>V78/V88</f>
        <v>0.26257480735844196</v>
      </c>
      <c r="W83" s="82"/>
    </row>
    <row r="84" spans="1:35" ht="14">
      <c r="A84" s="1995"/>
      <c r="B84" t="s">
        <v>201</v>
      </c>
      <c r="D84" s="19"/>
      <c r="E84" s="19"/>
      <c r="F84" s="19"/>
      <c r="G84" s="19"/>
      <c r="H84" s="19"/>
      <c r="I84" s="19"/>
      <c r="J84" s="19"/>
      <c r="K84" s="19"/>
      <c r="L84" s="19"/>
      <c r="M84" s="46"/>
      <c r="P84" s="75"/>
      <c r="Q84" s="75"/>
      <c r="R84" s="82">
        <f>R79/$R$88</f>
        <v>0.11255945847054519</v>
      </c>
      <c r="S84" s="82">
        <f t="shared" si="22"/>
        <v>0.32708440429185487</v>
      </c>
      <c r="T84" s="296">
        <f>T79/T88</f>
        <v>0.12118936041670068</v>
      </c>
      <c r="U84" s="296">
        <f>U79/U88</f>
        <v>7.0526135491232933E-2</v>
      </c>
      <c r="V84" s="296">
        <f>V79/V88</f>
        <v>3.9393922307529271E-2</v>
      </c>
      <c r="W84" s="296"/>
    </row>
    <row r="85" spans="1:35" ht="14">
      <c r="A85" s="1995"/>
      <c r="B85" t="s">
        <v>202</v>
      </c>
      <c r="D85" s="19"/>
      <c r="E85" s="19"/>
      <c r="F85" s="19"/>
      <c r="G85" s="19"/>
      <c r="H85" s="19"/>
      <c r="I85" s="19"/>
      <c r="J85" s="19"/>
      <c r="K85" s="19"/>
      <c r="L85" s="19"/>
      <c r="M85" s="46"/>
      <c r="P85" s="19"/>
      <c r="Q85" s="19"/>
      <c r="R85" s="31"/>
      <c r="S85" s="19"/>
      <c r="T85" s="60">
        <f>T80/T88</f>
        <v>0.27363943634374543</v>
      </c>
      <c r="U85" s="60">
        <f>U80/U88</f>
        <v>0.40056145616706695</v>
      </c>
      <c r="V85" s="60">
        <f>V80/V88</f>
        <v>0.4621039366173112</v>
      </c>
      <c r="W85" s="60"/>
    </row>
    <row r="86" spans="1:35" ht="14">
      <c r="A86" s="1995"/>
      <c r="B86" t="s">
        <v>203</v>
      </c>
      <c r="D86" s="19"/>
      <c r="E86" s="19"/>
      <c r="F86" s="19"/>
      <c r="G86" s="19"/>
      <c r="H86" s="19"/>
      <c r="I86" s="19"/>
      <c r="J86" s="19"/>
      <c r="K86" s="19"/>
      <c r="L86" s="19"/>
      <c r="M86" s="46"/>
      <c r="P86" s="19"/>
      <c r="Q86" s="19"/>
      <c r="R86" s="19"/>
      <c r="S86" s="19"/>
    </row>
    <row r="87" spans="1:35" ht="14">
      <c r="A87" s="1995"/>
      <c r="B87" t="s">
        <v>204</v>
      </c>
      <c r="D87" s="19"/>
      <c r="E87" s="19"/>
      <c r="F87" s="75">
        <f>1000*'Earning Forecast'!D162/'Price and Quant'!P88</f>
        <v>62192.633063094821</v>
      </c>
      <c r="G87" s="75">
        <f>1000*'Earning Forecast'!E162/'Price and Quant'!Q88</f>
        <v>51457.330415754921</v>
      </c>
      <c r="H87" s="75">
        <f>1000*'Earning Forecast'!F162/'Price and Quant'!R88</f>
        <v>53211.283388218078</v>
      </c>
      <c r="I87" s="75">
        <f>1000*'Earning Forecast'!G162/'Price and Quant'!S88</f>
        <v>56930.033140469655</v>
      </c>
      <c r="J87" s="75">
        <f>AVERAGE(G87:I87)</f>
        <v>53866.215648147547</v>
      </c>
      <c r="K87" s="75">
        <f>AVERAGE(H87:J87)</f>
        <v>54669.177392278427</v>
      </c>
      <c r="L87" s="75">
        <f>AVERAGE(I87:K87)</f>
        <v>55155.142060298538</v>
      </c>
      <c r="M87" s="76"/>
      <c r="P87" s="19"/>
      <c r="Q87" s="19"/>
      <c r="R87" s="19"/>
      <c r="S87" s="19"/>
    </row>
    <row r="88" spans="1:35" s="233" customFormat="1" ht="14">
      <c r="A88" s="1996"/>
      <c r="B88" s="233" t="s">
        <v>2793</v>
      </c>
      <c r="C88" s="301"/>
      <c r="D88" s="302"/>
      <c r="E88" s="302"/>
      <c r="F88" s="303">
        <f>F77</f>
        <v>65000</v>
      </c>
      <c r="G88" s="303">
        <f>Q82*G77+Q83*G78</f>
        <v>59440.554339897884</v>
      </c>
      <c r="H88" s="303">
        <f>R82*H77+R83*H78+R84*H79</f>
        <v>58665.637577753383</v>
      </c>
      <c r="I88" s="303">
        <f>S82*I77+S83*I78+S84*I79</f>
        <v>60627.344715571642</v>
      </c>
      <c r="J88" s="303">
        <f>AVERAGE(J77:J81)</f>
        <v>61940</v>
      </c>
      <c r="K88" s="303">
        <f>AVERAGE(K77:K81)</f>
        <v>61940</v>
      </c>
      <c r="L88" s="1510">
        <f>AVERAGE(L77:L81)</f>
        <v>61940</v>
      </c>
      <c r="M88" s="304"/>
      <c r="N88" s="302"/>
      <c r="O88" s="302"/>
      <c r="P88" s="303">
        <f>SUM(P77:P81)</f>
        <v>11348</v>
      </c>
      <c r="Q88" s="303">
        <f>SUM(Q77:Q81)</f>
        <v>20565</v>
      </c>
      <c r="R88" s="303">
        <f t="shared" ref="R88" si="23">SUM(R77:R81)</f>
        <v>43728</v>
      </c>
      <c r="S88" s="303">
        <f>SUM(S77:S81)</f>
        <v>91429</v>
      </c>
      <c r="T88" s="305">
        <f>'Capacity Detail'!CA30</f>
        <v>122486</v>
      </c>
      <c r="U88" s="305">
        <f>'Capacity Detail'!CB30</f>
        <v>171893.72302282185</v>
      </c>
      <c r="V88" s="305">
        <f>'Capacity Detail'!CC30</f>
        <v>220744.71112864924</v>
      </c>
      <c r="W88" s="305"/>
      <c r="X88" s="301"/>
      <c r="Y88" s="343"/>
      <c r="AI88" s="1528"/>
    </row>
    <row r="89" spans="1:35" ht="14">
      <c r="E89" s="332"/>
      <c r="F89" s="332"/>
      <c r="G89" s="332"/>
      <c r="H89" s="332"/>
      <c r="I89" s="332"/>
    </row>
    <row r="93" spans="1:35" ht="14">
      <c r="C93"/>
    </row>
  </sheetData>
  <mergeCells count="21">
    <mergeCell ref="X37:X39"/>
    <mergeCell ref="X42:X43"/>
    <mergeCell ref="A70:A76"/>
    <mergeCell ref="B70:B76"/>
    <mergeCell ref="Z1:AH1"/>
    <mergeCell ref="D1:L1"/>
    <mergeCell ref="N1:V1"/>
    <mergeCell ref="S34:S36"/>
    <mergeCell ref="S37:S39"/>
    <mergeCell ref="S42:S43"/>
    <mergeCell ref="S28:S29"/>
    <mergeCell ref="S30:S31"/>
    <mergeCell ref="X28:X29"/>
    <mergeCell ref="X30:X31"/>
    <mergeCell ref="X34:X36"/>
    <mergeCell ref="A3:A27"/>
    <mergeCell ref="A77:A88"/>
    <mergeCell ref="C1:C2"/>
    <mergeCell ref="A1:A2"/>
    <mergeCell ref="B1:B2"/>
    <mergeCell ref="A28:A69"/>
  </mergeCells>
  <phoneticPr fontId="4" type="noConversion"/>
  <pageMargins left="0.7" right="0.7" top="0.75" bottom="0.75" header="0.3" footer="0.3"/>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9DE94-9838-4C31-9603-B4DB4D1DE476}">
  <dimension ref="A1:A4"/>
  <sheetViews>
    <sheetView workbookViewId="0">
      <selection activeCell="I5" sqref="I5"/>
    </sheetView>
  </sheetViews>
  <sheetFormatPr defaultColWidth="8.83203125" defaultRowHeight="14"/>
  <sheetData>
    <row r="1" spans="1:1" ht="15.5">
      <c r="A1" s="500" t="s">
        <v>2794</v>
      </c>
    </row>
    <row r="2" spans="1:1" ht="15.5">
      <c r="A2" s="500"/>
    </row>
    <row r="3" spans="1:1">
      <c r="A3" s="501" t="s">
        <v>2795</v>
      </c>
    </row>
    <row r="4" spans="1:1">
      <c r="A4" s="501" t="s">
        <v>2796</v>
      </c>
    </row>
  </sheetData>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Capacity Detail</vt:lpstr>
      <vt:lpstr>Price&amp;Q</vt:lpstr>
      <vt:lpstr>CA</vt:lpstr>
      <vt:lpstr>Earning Forecast</vt:lpstr>
      <vt:lpstr>Fin Sta as rep</vt:lpstr>
      <vt:lpstr>Valuation</vt:lpstr>
      <vt:lpstr>Est. Record</vt:lpstr>
      <vt:lpstr>Financial Tables Chinese Nio</vt:lpstr>
      <vt:lpstr>Model 22A NIO </vt:lpstr>
      <vt:lpstr>Model 22A Li</vt:lpstr>
      <vt:lpstr>Model 22A-BYD</vt:lpstr>
      <vt:lpstr>Log-Li Model</vt:lpstr>
      <vt:lpstr>Tesla FSD</vt:lpstr>
      <vt:lpstr>Model 22A-Tesla</vt:lpstr>
      <vt:lpstr>Financial Tables Chinese Li</vt:lpstr>
      <vt:lpstr>【Draft】Beakdown analysis BYD</vt:lpstr>
      <vt:lpstr>Financial Tables Chinese BYD</vt:lpstr>
      <vt:lpstr>TSLA Financial Tables Chinese</vt:lpstr>
      <vt:lpstr>Charts</vt:lpstr>
      <vt:lpstr>Model 21A-Tesla</vt:lpstr>
      <vt:lpstr>Model 21A-BYD</vt:lpstr>
      <vt:lpstr>Model 21A-NIO</vt:lpstr>
      <vt:lpstr>Model 21A-Tesla (2)</vt:lpstr>
      <vt:lpstr>Production Quarterly</vt:lpstr>
      <vt:lpstr>Tesla-Demand forecasting-detail</vt:lpstr>
      <vt:lpstr>Tesla-Demand forecasting sum</vt:lpstr>
      <vt:lpstr>BYD-Demand forecasting-detail</vt:lpstr>
      <vt:lpstr>BYD-Demand forecasting sum</vt:lpstr>
      <vt:lpstr>Model 20A</vt:lpstr>
      <vt:lpstr>Ratio</vt:lpstr>
      <vt:lpstr>Consensus</vt:lpstr>
      <vt:lpstr>Sheet1</vt:lpstr>
      <vt:lpstr>Price and Quant</vt:lpstr>
      <vt:lpstr>Claim</vt:lpstr>
      <vt:lpstr>'Financial Tables Chinese BYD'!Print_Area</vt:lpstr>
      <vt:lpstr>'Financial Tables Chinese Li'!Print_Area</vt:lpstr>
      <vt:lpstr>'Financial Tables Chinese Nio'!Print_Area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Klein</dc:creator>
  <cp:keywords/>
  <dc:description/>
  <cp:lastModifiedBy>HAO CHEN</cp:lastModifiedBy>
  <cp:revision/>
  <dcterms:created xsi:type="dcterms:W3CDTF">2021-10-11T09:55:27Z</dcterms:created>
  <dcterms:modified xsi:type="dcterms:W3CDTF">2024-09-13T04:29:35Z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61a764cf</vt:lpwstr>
  </property>
</Properties>
</file>